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9B2EAE73-3C94-4DCE-AF70-308FF28A0758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表紙" sheetId="4" r:id="rId1"/>
    <sheet name="PL用_事業計画書" sheetId="5" r:id="rId2"/>
    <sheet name="GM用_ゲーム管理" sheetId="2" r:id="rId3"/>
    <sheet name="おまけ_盤面" sheetId="1" r:id="rId4"/>
    <sheet name="おまけ_損益分岐点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" i="2" l="1"/>
  <c r="S15" i="2"/>
  <c r="T15" i="2" s="1"/>
  <c r="U15" i="2" s="1"/>
  <c r="S16" i="2"/>
  <c r="S17" i="2"/>
  <c r="S13" i="2"/>
  <c r="T14" i="2"/>
  <c r="U14" i="2" s="1"/>
  <c r="T16" i="2"/>
  <c r="U16" i="2" s="1"/>
  <c r="T17" i="2"/>
  <c r="U17" i="2" s="1"/>
  <c r="T13" i="2"/>
  <c r="U13" i="2" s="1"/>
  <c r="C3" i="2"/>
  <c r="K27" i="2"/>
  <c r="J27" i="2" s="1"/>
  <c r="K15" i="2"/>
  <c r="J15" i="2" s="1"/>
  <c r="H27" i="2"/>
  <c r="H15" i="2"/>
  <c r="H3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J14" i="2" s="1"/>
  <c r="C27" i="2"/>
  <c r="C15" i="2"/>
  <c r="D45" i="5"/>
  <c r="D43" i="5"/>
  <c r="D24" i="5"/>
  <c r="D22" i="5"/>
  <c r="K22" i="5"/>
  <c r="K11" i="5"/>
  <c r="K88" i="5"/>
  <c r="K77" i="5"/>
  <c r="K66" i="5"/>
  <c r="K55" i="5"/>
  <c r="K44" i="5"/>
  <c r="K33" i="5"/>
  <c r="K30" i="5"/>
  <c r="K19" i="5"/>
  <c r="G50" i="5"/>
  <c r="D50" i="5"/>
  <c r="D29" i="5"/>
  <c r="G45" i="5"/>
  <c r="G24" i="5"/>
  <c r="G47" i="5"/>
  <c r="G48" i="5" s="1"/>
  <c r="G49" i="5" s="1"/>
  <c r="D47" i="5"/>
  <c r="D48" i="5"/>
  <c r="D49" i="5" s="1"/>
  <c r="D26" i="5"/>
  <c r="D27" i="5"/>
  <c r="D28" i="5"/>
  <c r="D42" i="5"/>
  <c r="G44" i="5"/>
  <c r="G23" i="5"/>
  <c r="D21" i="5"/>
  <c r="D23" i="5"/>
  <c r="G21" i="5"/>
  <c r="G42" i="5"/>
  <c r="D44" i="5"/>
  <c r="K9" i="5"/>
  <c r="K20" i="5" s="1"/>
  <c r="K10" i="5"/>
  <c r="K21" i="5" s="1"/>
  <c r="K8" i="5"/>
  <c r="N77" i="5"/>
  <c r="N88" i="5"/>
  <c r="N86" i="5"/>
  <c r="N84" i="5"/>
  <c r="L84" i="5"/>
  <c r="N83" i="5"/>
  <c r="L83" i="5"/>
  <c r="N82" i="5"/>
  <c r="N81" i="5"/>
  <c r="N80" i="5"/>
  <c r="N75" i="5"/>
  <c r="N73" i="5"/>
  <c r="L73" i="5"/>
  <c r="N72" i="5"/>
  <c r="L72" i="5"/>
  <c r="N71" i="5"/>
  <c r="N70" i="5"/>
  <c r="N69" i="5"/>
  <c r="N66" i="5"/>
  <c r="N64" i="5"/>
  <c r="N62" i="5"/>
  <c r="L62" i="5"/>
  <c r="N61" i="5"/>
  <c r="L61" i="5"/>
  <c r="N60" i="5"/>
  <c r="N59" i="5"/>
  <c r="N58" i="5"/>
  <c r="N55" i="5"/>
  <c r="N53" i="5"/>
  <c r="N51" i="5"/>
  <c r="L51" i="5"/>
  <c r="N50" i="5"/>
  <c r="L50" i="5"/>
  <c r="N49" i="5"/>
  <c r="N48" i="5"/>
  <c r="N47" i="5"/>
  <c r="N44" i="5"/>
  <c r="N42" i="5"/>
  <c r="N40" i="5"/>
  <c r="L40" i="5"/>
  <c r="N39" i="5"/>
  <c r="L39" i="5"/>
  <c r="N38" i="5"/>
  <c r="N37" i="5"/>
  <c r="N36" i="5"/>
  <c r="N33" i="5"/>
  <c r="N31" i="5"/>
  <c r="N29" i="5"/>
  <c r="L29" i="5"/>
  <c r="N28" i="5"/>
  <c r="L28" i="5"/>
  <c r="N27" i="5"/>
  <c r="N26" i="5"/>
  <c r="N25" i="5"/>
  <c r="N20" i="5"/>
  <c r="N9" i="5"/>
  <c r="N11" i="5"/>
  <c r="N22" i="5"/>
  <c r="N18" i="5"/>
  <c r="L17" i="5"/>
  <c r="L18" i="5"/>
  <c r="N17" i="5"/>
  <c r="N16" i="5"/>
  <c r="N15" i="5"/>
  <c r="N14" i="5"/>
  <c r="L7" i="5"/>
  <c r="L6" i="5"/>
  <c r="L5" i="5"/>
  <c r="N3" i="5"/>
  <c r="N4" i="5"/>
  <c r="N5" i="5"/>
  <c r="N6" i="5"/>
  <c r="N7" i="5"/>
  <c r="B10" i="4"/>
  <c r="K29" i="2"/>
  <c r="G2" i="2"/>
  <c r="B2" i="2"/>
  <c r="N28" i="2"/>
  <c r="O28" i="2" s="1"/>
  <c r="N27" i="2"/>
  <c r="O27" i="2" s="1"/>
  <c r="B10" i="3"/>
  <c r="H3" i="3"/>
  <c r="J3" i="3" s="1"/>
  <c r="H6" i="3" s="1"/>
  <c r="N21" i="5" l="1"/>
  <c r="N23" i="5"/>
  <c r="N32" i="5"/>
  <c r="N34" i="5"/>
  <c r="N43" i="5"/>
  <c r="N45" i="5"/>
  <c r="N78" i="5"/>
  <c r="K32" i="5"/>
  <c r="K43" i="5" s="1"/>
  <c r="K54" i="5" s="1"/>
  <c r="K65" i="5" s="1"/>
  <c r="K76" i="5" s="1"/>
  <c r="K87" i="5" s="1"/>
  <c r="K41" i="5"/>
  <c r="K52" i="5" s="1"/>
  <c r="K63" i="5" s="1"/>
  <c r="K74" i="5" s="1"/>
  <c r="K85" i="5" s="1"/>
  <c r="K31" i="5"/>
  <c r="K42" i="5" s="1"/>
  <c r="K53" i="5" s="1"/>
  <c r="K64" i="5" s="1"/>
  <c r="K75" i="5" s="1"/>
  <c r="K86" i="5" s="1"/>
  <c r="N12" i="5"/>
  <c r="N10" i="5"/>
  <c r="N89" i="5"/>
  <c r="N87" i="5"/>
  <c r="N76" i="5"/>
  <c r="N65" i="5"/>
  <c r="N67" i="5"/>
  <c r="N56" i="5"/>
  <c r="N54" i="5"/>
  <c r="P28" i="2"/>
  <c r="O25" i="2" s="1"/>
  <c r="P27" i="2"/>
  <c r="M24" i="2" s="1"/>
  <c r="J13" i="2"/>
  <c r="J8" i="2"/>
  <c r="J5" i="2"/>
  <c r="K3" i="2" s="1"/>
  <c r="J3" i="2" s="1"/>
  <c r="J9" i="2"/>
  <c r="J6" i="2"/>
  <c r="J10" i="2"/>
  <c r="J12" i="2"/>
  <c r="J7" i="2"/>
  <c r="J11" i="2"/>
  <c r="K30" i="2"/>
  <c r="J29" i="2"/>
  <c r="H9" i="3"/>
  <c r="F17" i="2" l="1"/>
  <c r="L14" i="5"/>
  <c r="L4" i="5"/>
  <c r="L3" i="5"/>
  <c r="Q25" i="2"/>
  <c r="O24" i="2"/>
  <c r="F29" i="2" s="1"/>
  <c r="Q24" i="2"/>
  <c r="M25" i="2"/>
  <c r="K17" i="2" s="1"/>
  <c r="K31" i="2"/>
  <c r="J30" i="2"/>
  <c r="H12" i="3"/>
  <c r="H15" i="3" s="1"/>
  <c r="F5" i="2"/>
  <c r="K18" i="2" l="1"/>
  <c r="J17" i="2"/>
  <c r="F30" i="2"/>
  <c r="E29" i="2"/>
  <c r="F18" i="2"/>
  <c r="E17" i="2"/>
  <c r="L16" i="5"/>
  <c r="L15" i="5"/>
  <c r="L25" i="5"/>
  <c r="L27" i="5"/>
  <c r="L26" i="5"/>
  <c r="K32" i="2"/>
  <c r="J31" i="2"/>
  <c r="F6" i="2"/>
  <c r="E5" i="2"/>
  <c r="K19" i="2" l="1"/>
  <c r="J18" i="2"/>
  <c r="F31" i="2"/>
  <c r="E30" i="2"/>
  <c r="F19" i="2"/>
  <c r="E18" i="2"/>
  <c r="L37" i="5"/>
  <c r="L38" i="5"/>
  <c r="L36" i="5"/>
  <c r="K33" i="2"/>
  <c r="J32" i="2"/>
  <c r="F7" i="2"/>
  <c r="E6" i="2"/>
  <c r="K20" i="2" l="1"/>
  <c r="J19" i="2"/>
  <c r="F32" i="2"/>
  <c r="E31" i="2"/>
  <c r="E19" i="2"/>
  <c r="F20" i="2"/>
  <c r="G22" i="5"/>
  <c r="L47" i="5"/>
  <c r="L49" i="5"/>
  <c r="L48" i="5"/>
  <c r="K34" i="2"/>
  <c r="J33" i="2"/>
  <c r="E7" i="2"/>
  <c r="F8" i="2"/>
  <c r="K21" i="2" l="1"/>
  <c r="J20" i="2"/>
  <c r="F33" i="2"/>
  <c r="E32" i="2"/>
  <c r="F21" i="2"/>
  <c r="E20" i="2"/>
  <c r="L59" i="5"/>
  <c r="L58" i="5"/>
  <c r="L60" i="5"/>
  <c r="K35" i="2"/>
  <c r="J34" i="2"/>
  <c r="E8" i="2"/>
  <c r="F9" i="2"/>
  <c r="K22" i="2" l="1"/>
  <c r="J21" i="2"/>
  <c r="F34" i="2"/>
  <c r="E33" i="2"/>
  <c r="F22" i="2"/>
  <c r="E21" i="2"/>
  <c r="L81" i="5"/>
  <c r="L80" i="5"/>
  <c r="L82" i="5"/>
  <c r="L69" i="5"/>
  <c r="L71" i="5"/>
  <c r="L70" i="5"/>
  <c r="K36" i="2"/>
  <c r="J35" i="2"/>
  <c r="E9" i="2"/>
  <c r="F10" i="2"/>
  <c r="K23" i="2" l="1"/>
  <c r="J22" i="2"/>
  <c r="F35" i="2"/>
  <c r="E34" i="2"/>
  <c r="F23" i="2"/>
  <c r="E22" i="2"/>
  <c r="G43" i="5"/>
  <c r="K37" i="2"/>
  <c r="J36" i="2"/>
  <c r="E10" i="2"/>
  <c r="F11" i="2"/>
  <c r="K24" i="2" l="1"/>
  <c r="J23" i="2"/>
  <c r="F36" i="2"/>
  <c r="E35" i="2"/>
  <c r="F24" i="2"/>
  <c r="E23" i="2"/>
  <c r="K38" i="2"/>
  <c r="J38" i="2" s="1"/>
  <c r="J37" i="2"/>
  <c r="F12" i="2"/>
  <c r="E11" i="2"/>
  <c r="K25" i="2" l="1"/>
  <c r="J24" i="2"/>
  <c r="F37" i="2"/>
  <c r="E36" i="2"/>
  <c r="F25" i="2"/>
  <c r="E24" i="2"/>
  <c r="F13" i="2"/>
  <c r="E12" i="2"/>
  <c r="K26" i="2" l="1"/>
  <c r="J26" i="2" s="1"/>
  <c r="J25" i="2"/>
  <c r="F38" i="2"/>
  <c r="E38" i="2" s="1"/>
  <c r="F27" i="2" s="1"/>
  <c r="E37" i="2"/>
  <c r="F26" i="2"/>
  <c r="E26" i="2" s="1"/>
  <c r="E25" i="2"/>
  <c r="E13" i="2"/>
  <c r="F14" i="2"/>
  <c r="E14" i="2" s="1"/>
  <c r="F3" i="2" s="1"/>
  <c r="F15" i="2" l="1"/>
  <c r="E15" i="2" s="1"/>
  <c r="E3" i="2"/>
  <c r="E27" i="2"/>
</calcChain>
</file>

<file path=xl/sharedStrings.xml><?xml version="1.0" encoding="utf-8"?>
<sst xmlns="http://schemas.openxmlformats.org/spreadsheetml/2006/main" count="359" uniqueCount="155">
  <si>
    <t>大企業</t>
    <rPh sb="0" eb="3">
      <t>ダイキギョウ</t>
    </rPh>
    <phoneticPr fontId="1"/>
  </si>
  <si>
    <t>PC1</t>
    <phoneticPr fontId="1"/>
  </si>
  <si>
    <t>PC2</t>
    <phoneticPr fontId="1"/>
  </si>
  <si>
    <t>PC3</t>
    <phoneticPr fontId="1"/>
  </si>
  <si>
    <t>PC4</t>
    <phoneticPr fontId="1"/>
  </si>
  <si>
    <t>PC5</t>
    <phoneticPr fontId="1"/>
  </si>
  <si>
    <t>ボドゲ風お願い社長RP卓盤面</t>
    <rPh sb="3" eb="4">
      <t>フウ</t>
    </rPh>
    <rPh sb="5" eb="6">
      <t>ネガ</t>
    </rPh>
    <rPh sb="7" eb="9">
      <t>シャチョウ</t>
    </rPh>
    <rPh sb="11" eb="12">
      <t>タク</t>
    </rPh>
    <rPh sb="12" eb="14">
      <t>バンメン</t>
    </rPh>
    <phoneticPr fontId="1"/>
  </si>
  <si>
    <t>中</t>
    <rPh sb="0" eb="1">
      <t>ナカ</t>
    </rPh>
    <phoneticPr fontId="1"/>
  </si>
  <si>
    <t>小</t>
    <rPh sb="0" eb="1">
      <t>ショウ</t>
    </rPh>
    <phoneticPr fontId="1"/>
  </si>
  <si>
    <t>大</t>
    <rPh sb="0" eb="1">
      <t>ダイ</t>
    </rPh>
    <phoneticPr fontId="1"/>
  </si>
  <si>
    <t>ゲームの流れ</t>
    <rPh sb="4" eb="5">
      <t>ナガ</t>
    </rPh>
    <phoneticPr fontId="1"/>
  </si>
  <si>
    <t>ラウンド処理</t>
    <rPh sb="4" eb="6">
      <t>ショリ</t>
    </rPh>
    <phoneticPr fontId="1"/>
  </si>
  <si>
    <t>市場フェイズ</t>
    <phoneticPr fontId="1"/>
  </si>
  <si>
    <t>↓</t>
    <phoneticPr fontId="1"/>
  </si>
  <si>
    <t>大企業フェイズ</t>
    <rPh sb="0" eb="3">
      <t>ダイキギョウ</t>
    </rPh>
    <phoneticPr fontId="1"/>
  </si>
  <si>
    <t>戦略フェイズ</t>
    <rPh sb="0" eb="2">
      <t>センリャク</t>
    </rPh>
    <phoneticPr fontId="1"/>
  </si>
  <si>
    <t>商売フェイズ</t>
    <rPh sb="0" eb="2">
      <t>ショウバイ</t>
    </rPh>
    <phoneticPr fontId="1"/>
  </si>
  <si>
    <t>会計フェイズ</t>
    <rPh sb="0" eb="2">
      <t>カイケイ</t>
    </rPh>
    <phoneticPr fontId="1"/>
  </si>
  <si>
    <t>《販売》:資金消費し、1商品製造。</t>
    <rPh sb="1" eb="3">
      <t>ハンバイ</t>
    </rPh>
    <rPh sb="5" eb="7">
      <t>シキン</t>
    </rPh>
    <rPh sb="7" eb="9">
      <t>ショウヒ</t>
    </rPh>
    <rPh sb="12" eb="14">
      <t>ショウヒン</t>
    </rPh>
    <rPh sb="14" eb="16">
      <t>セイゾウ</t>
    </rPh>
    <phoneticPr fontId="1"/>
  </si>
  <si>
    <t>《成長》:資金消費し、ステータス増加。</t>
    <rPh sb="1" eb="3">
      <t>セイチョウ</t>
    </rPh>
    <rPh sb="5" eb="7">
      <t>シキン</t>
    </rPh>
    <rPh sb="7" eb="9">
      <t>ショウヒ</t>
    </rPh>
    <rPh sb="16" eb="18">
      <t>ゾウカ</t>
    </rPh>
    <phoneticPr fontId="1"/>
  </si>
  <si>
    <t>《調査》:資金消費し、市場状況を知る。</t>
    <rPh sb="11" eb="13">
      <t>シジョウ</t>
    </rPh>
    <rPh sb="13" eb="15">
      <t>ジョウキョウ</t>
    </rPh>
    <rPh sb="16" eb="17">
      <t>シ</t>
    </rPh>
    <phoneticPr fontId="1"/>
  </si>
  <si>
    <t>コマンド実行回数1増加。最大で2。</t>
    <rPh sb="4" eb="8">
      <t>ジッコウカイスウ</t>
    </rPh>
    <rPh sb="9" eb="11">
      <t>ゾウカ</t>
    </rPh>
    <rPh sb="12" eb="14">
      <t>サイダイ</t>
    </rPh>
    <phoneticPr fontId="1"/>
  </si>
  <si>
    <t>《雇用》:資金消費し、従業員+1。</t>
    <rPh sb="5" eb="7">
      <t>シキン</t>
    </rPh>
    <rPh sb="7" eb="9">
      <t>ショウヒ</t>
    </rPh>
    <rPh sb="11" eb="14">
      <t>ジュウギョウイン</t>
    </rPh>
    <phoneticPr fontId="1"/>
  </si>
  <si>
    <t>※割り振り内容は未開示</t>
    <rPh sb="1" eb="2">
      <t>ワ</t>
    </rPh>
    <rPh sb="3" eb="4">
      <t>フ</t>
    </rPh>
    <rPh sb="5" eb="7">
      <t>ナイヨウ</t>
    </rPh>
    <rPh sb="8" eb="11">
      <t>ミカイジ</t>
    </rPh>
    <phoneticPr fontId="1"/>
  </si>
  <si>
    <t>Pを【値段】と【価値】に割り振る。</t>
    <rPh sb="3" eb="5">
      <t>ネダン</t>
    </rPh>
    <rPh sb="8" eb="10">
      <t>カチ</t>
    </rPh>
    <rPh sb="12" eb="13">
      <t>ワ</t>
    </rPh>
    <rPh sb="14" eb="15">
      <t>フ</t>
    </rPh>
    <phoneticPr fontId="1"/>
  </si>
  <si>
    <t>※大企業は配置不可</t>
    <rPh sb="1" eb="4">
      <t>ダイキギョウ</t>
    </rPh>
    <rPh sb="5" eb="9">
      <t>ハイチフカ</t>
    </rPh>
    <phoneticPr fontId="1"/>
  </si>
  <si>
    <t>値段</t>
    <rPh sb="0" eb="2">
      <t>ネダン</t>
    </rPh>
    <phoneticPr fontId="1"/>
  </si>
  <si>
    <t>価値</t>
    <rPh sb="0" eb="2">
      <t>カチ</t>
    </rPh>
    <phoneticPr fontId="1"/>
  </si>
  <si>
    <t>成熟市場（客数：PCの数×2）</t>
    <rPh sb="0" eb="2">
      <t>セイジュク</t>
    </rPh>
    <rPh sb="2" eb="4">
      <t>シジョウ</t>
    </rPh>
    <rPh sb="5" eb="6">
      <t>キャク</t>
    </rPh>
    <rPh sb="6" eb="7">
      <t>カズ</t>
    </rPh>
    <rPh sb="11" eb="12">
      <t>カズ</t>
    </rPh>
    <phoneticPr fontId="1"/>
  </si>
  <si>
    <t>成長市場（客数：1+(1D[PCの数]-1)/2ラウンド以降1ラウンド毎）</t>
    <rPh sb="0" eb="2">
      <t>セイチョウ</t>
    </rPh>
    <rPh sb="2" eb="4">
      <t>シジョウ</t>
    </rPh>
    <rPh sb="5" eb="6">
      <t>キャク</t>
    </rPh>
    <rPh sb="6" eb="7">
      <t>カズ</t>
    </rPh>
    <rPh sb="17" eb="18">
      <t>カズ</t>
    </rPh>
    <rPh sb="28" eb="30">
      <t>イコウ</t>
    </rPh>
    <rPh sb="35" eb="36">
      <t>マイ</t>
    </rPh>
    <phoneticPr fontId="1"/>
  </si>
  <si>
    <t>大企業</t>
    <rPh sb="0" eb="3">
      <t>ダイキギョウ</t>
    </rPh>
    <phoneticPr fontId="1"/>
  </si>
  <si>
    <t>客の数</t>
    <rPh sb="0" eb="1">
      <t>キャク</t>
    </rPh>
    <rPh sb="2" eb="3">
      <t>カズ</t>
    </rPh>
    <phoneticPr fontId="1"/>
  </si>
  <si>
    <t>大企業位置:</t>
    <rPh sb="0" eb="3">
      <t>ダイキギョウ</t>
    </rPh>
    <rPh sb="3" eb="5">
      <t>イチ</t>
    </rPh>
    <phoneticPr fontId="1"/>
  </si>
  <si>
    <t>コマンド</t>
    <phoneticPr fontId="1"/>
  </si>
  <si>
    <t>製品特徴P</t>
    <rPh sb="0" eb="4">
      <t>セイヒントクチョウ</t>
    </rPh>
    <phoneticPr fontId="1"/>
  </si>
  <si>
    <t>従業員の数</t>
    <rPh sb="0" eb="3">
      <t>ジュウギョウイン</t>
    </rPh>
    <rPh sb="4" eb="5">
      <t>カズ</t>
    </rPh>
    <phoneticPr fontId="1"/>
  </si>
  <si>
    <t>借用書の数</t>
    <rPh sb="0" eb="3">
      <t>シャクヨウショ</t>
    </rPh>
    <rPh sb="4" eb="5">
      <t>カズ</t>
    </rPh>
    <phoneticPr fontId="1"/>
  </si>
  <si>
    <t>コマンドリスト</t>
    <phoneticPr fontId="1"/>
  </si>
  <si>
    <t>販売</t>
    <rPh sb="0" eb="2">
      <t>ハンバイ</t>
    </rPh>
    <phoneticPr fontId="1"/>
  </si>
  <si>
    <t>成長/経理</t>
    <rPh sb="0" eb="2">
      <t>セイチョウ</t>
    </rPh>
    <rPh sb="3" eb="5">
      <t>ケイリ</t>
    </rPh>
    <phoneticPr fontId="1"/>
  </si>
  <si>
    <t>成長/開発</t>
    <rPh sb="0" eb="2">
      <t>セイチョウ</t>
    </rPh>
    <rPh sb="3" eb="5">
      <t>カイハツ</t>
    </rPh>
    <phoneticPr fontId="1"/>
  </si>
  <si>
    <t>成長/人望</t>
    <rPh sb="0" eb="2">
      <t>セイチョウ</t>
    </rPh>
    <rPh sb="3" eb="5">
      <t>ジンボウ</t>
    </rPh>
    <phoneticPr fontId="1"/>
  </si>
  <si>
    <t>調査</t>
    <rPh sb="0" eb="2">
      <t>チョウサ</t>
    </rPh>
    <phoneticPr fontId="1"/>
  </si>
  <si>
    <t>支 出(万円)</t>
    <rPh sb="0" eb="1">
      <t>シ</t>
    </rPh>
    <rPh sb="2" eb="3">
      <t>デ</t>
    </rPh>
    <rPh sb="4" eb="6">
      <t>マンエン</t>
    </rPh>
    <phoneticPr fontId="1"/>
  </si>
  <si>
    <t>推奨最小値段</t>
    <rPh sb="0" eb="2">
      <t>スイショウ</t>
    </rPh>
    <rPh sb="2" eb="4">
      <t>サイショウ</t>
    </rPh>
    <rPh sb="4" eb="6">
      <t>ネダン</t>
    </rPh>
    <phoneticPr fontId="1"/>
  </si>
  <si>
    <t>推奨最大価値</t>
    <rPh sb="0" eb="2">
      <t>スイショウ</t>
    </rPh>
    <rPh sb="2" eb="4">
      <t>サイダイ</t>
    </rPh>
    <rPh sb="4" eb="6">
      <t>カチ</t>
    </rPh>
    <phoneticPr fontId="1"/>
  </si>
  <si>
    <t>1ラウンド</t>
    <phoneticPr fontId="1"/>
  </si>
  <si>
    <t>2ラウンド</t>
    <phoneticPr fontId="1"/>
  </si>
  <si>
    <t>3ラウンド</t>
    <phoneticPr fontId="1"/>
  </si>
  <si>
    <t>4ラウンド</t>
    <phoneticPr fontId="1"/>
  </si>
  <si>
    <t>5ラウンド</t>
    <phoneticPr fontId="1"/>
  </si>
  <si>
    <t>6ラウンド</t>
    <phoneticPr fontId="1"/>
  </si>
  <si>
    <t>7ラウンド</t>
    <phoneticPr fontId="1"/>
  </si>
  <si>
    <t>8ラウンド</t>
    <phoneticPr fontId="1"/>
  </si>
  <si>
    <t>追加製品特徴P</t>
    <rPh sb="0" eb="2">
      <t>ツイカ</t>
    </rPh>
    <rPh sb="2" eb="6">
      <t>セイヒントクチョウ</t>
    </rPh>
    <phoneticPr fontId="1"/>
  </si>
  <si>
    <t>→</t>
    <phoneticPr fontId="1"/>
  </si>
  <si>
    <t>↑</t>
    <phoneticPr fontId="1"/>
  </si>
  <si>
    <t>雇用/解雇</t>
    <rPh sb="0" eb="2">
      <t>コヨウ</t>
    </rPh>
    <rPh sb="3" eb="5">
      <t>カイコ</t>
    </rPh>
    <phoneticPr fontId="1"/>
  </si>
  <si>
    <t>見込売上(万円)</t>
    <rPh sb="0" eb="2">
      <t>ミコ</t>
    </rPh>
    <rPh sb="2" eb="4">
      <t>ウリアゲ</t>
    </rPh>
    <phoneticPr fontId="1"/>
  </si>
  <si>
    <t>見込利益(万円)</t>
    <rPh sb="0" eb="2">
      <t>ミコ</t>
    </rPh>
    <rPh sb="2" eb="4">
      <t>リエキ</t>
    </rPh>
    <phoneticPr fontId="1"/>
  </si>
  <si>
    <t>損益分岐点売上高(万円)/1商品</t>
    <rPh sb="0" eb="5">
      <t>ソンエキブンキテン</t>
    </rPh>
    <rPh sb="5" eb="7">
      <t>ウリアゲ</t>
    </rPh>
    <rPh sb="7" eb="8">
      <t>タカ</t>
    </rPh>
    <rPh sb="9" eb="11">
      <t>マンエン</t>
    </rPh>
    <rPh sb="14" eb="16">
      <t>ショウヒン</t>
    </rPh>
    <phoneticPr fontId="1"/>
  </si>
  <si>
    <t>参加PCリスト</t>
    <rPh sb="0" eb="2">
      <t>サンカ</t>
    </rPh>
    <phoneticPr fontId="1"/>
  </si>
  <si>
    <t>↓結果発表用↓</t>
    <rPh sb="1" eb="3">
      <t>ケッカ</t>
    </rPh>
    <rPh sb="3" eb="5">
      <t>ハッピョウ</t>
    </rPh>
    <rPh sb="5" eb="6">
      <t>ヨウ</t>
    </rPh>
    <phoneticPr fontId="1"/>
  </si>
  <si>
    <t>判定</t>
    <rPh sb="0" eb="2">
      <t>ハンテイ</t>
    </rPh>
    <phoneticPr fontId="1"/>
  </si>
  <si>
    <t>成熟大:</t>
    <rPh sb="0" eb="2">
      <t>セイジュク</t>
    </rPh>
    <phoneticPr fontId="1"/>
  </si>
  <si>
    <t>成熟中:</t>
    <rPh sb="0" eb="2">
      <t>セイジュク</t>
    </rPh>
    <rPh sb="2" eb="3">
      <t>チュウ</t>
    </rPh>
    <phoneticPr fontId="1"/>
  </si>
  <si>
    <t>成熟小:</t>
    <rPh sb="0" eb="2">
      <t>セイジュク</t>
    </rPh>
    <rPh sb="2" eb="3">
      <t>ショウ</t>
    </rPh>
    <phoneticPr fontId="1"/>
  </si>
  <si>
    <t>成長大:</t>
    <rPh sb="0" eb="2">
      <t>セイチョウ</t>
    </rPh>
    <rPh sb="2" eb="3">
      <t>ダイ</t>
    </rPh>
    <phoneticPr fontId="1"/>
  </si>
  <si>
    <t>成長中:</t>
    <rPh sb="0" eb="2">
      <t>セイチョウ</t>
    </rPh>
    <rPh sb="2" eb="3">
      <t>ナカ</t>
    </rPh>
    <phoneticPr fontId="1"/>
  </si>
  <si>
    <t>成長小:</t>
    <rPh sb="0" eb="2">
      <t>セイチョウ</t>
    </rPh>
    <rPh sb="2" eb="3">
      <t>チイ</t>
    </rPh>
    <phoneticPr fontId="1"/>
  </si>
  <si>
    <t>←『価値』を降順にして整理</t>
    <rPh sb="2" eb="4">
      <t>カチ</t>
    </rPh>
    <rPh sb="6" eb="8">
      <t>コウジュン</t>
    </rPh>
    <rPh sb="11" eb="13">
      <t>セイリ</t>
    </rPh>
    <phoneticPr fontId="1"/>
  </si>
  <si>
    <t>計算</t>
    <rPh sb="0" eb="2">
      <t>ケイサン</t>
    </rPh>
    <phoneticPr fontId="1"/>
  </si>
  <si>
    <t>成熟大：</t>
    <phoneticPr fontId="1"/>
  </si>
  <si>
    <t>成熟中：</t>
    <phoneticPr fontId="1"/>
  </si>
  <si>
    <t>成熟小：</t>
    <phoneticPr fontId="1"/>
  </si>
  <si>
    <t>成長大：</t>
    <phoneticPr fontId="1"/>
  </si>
  <si>
    <t>成長中：</t>
    <phoneticPr fontId="1"/>
  </si>
  <si>
    <t>成長小：</t>
    <phoneticPr fontId="1"/>
  </si>
  <si>
    <t>↑ここまでを記入して貼り付け</t>
    <rPh sb="6" eb="8">
      <t>キニュウ</t>
    </rPh>
    <rPh sb="10" eb="11">
      <t>ハ</t>
    </rPh>
    <rPh sb="12" eb="13">
      <t>ツ</t>
    </rPh>
    <phoneticPr fontId="1"/>
  </si>
  <si>
    <t>入力</t>
    <rPh sb="0" eb="2">
      <t>ニュウリョク</t>
    </rPh>
    <phoneticPr fontId="1"/>
  </si>
  <si>
    <t>タブ</t>
    <phoneticPr fontId="1"/>
  </si>
  <si>
    <t>出力</t>
    <rPh sb="0" eb="2">
      <t>シュツリョク</t>
    </rPh>
    <phoneticPr fontId="1"/>
  </si>
  <si>
    <t>↓ランダム生成用↓</t>
    <rPh sb="5" eb="7">
      <t>セイセイ</t>
    </rPh>
    <rPh sb="7" eb="8">
      <t>ヨウ</t>
    </rPh>
    <phoneticPr fontId="1"/>
  </si>
  <si>
    <t>成熟客数</t>
    <rPh sb="0" eb="2">
      <t>セイジュク</t>
    </rPh>
    <rPh sb="2" eb="3">
      <t>キャク</t>
    </rPh>
    <rPh sb="3" eb="4">
      <t>カズ</t>
    </rPh>
    <phoneticPr fontId="1"/>
  </si>
  <si>
    <t>成長客数</t>
    <rPh sb="0" eb="2">
      <t>セイチョウ</t>
    </rPh>
    <rPh sb="2" eb="3">
      <t>キャク</t>
    </rPh>
    <rPh sb="3" eb="4">
      <t>カズ</t>
    </rPh>
    <phoneticPr fontId="1"/>
  </si>
  <si>
    <t>名前</t>
    <rPh sb="0" eb="1">
      <t>ナ</t>
    </rPh>
    <rPh sb="1" eb="2">
      <t>マエ</t>
    </rPh>
    <phoneticPr fontId="1"/>
  </si>
  <si>
    <t>成熟大</t>
  </si>
  <si>
    <t>事業計画書</t>
  </si>
  <si>
    <t>計画</t>
  </si>
  <si>
    <t>値段</t>
  </si>
  <si>
    <t>価値</t>
  </si>
  <si>
    <t>顧客獲得</t>
  </si>
  <si>
    <t>備考</t>
  </si>
  <si>
    <t>会社名</t>
  </si>
  <si>
    <t>代表者</t>
  </si>
  <si>
    <t>経理</t>
  </si>
  <si>
    <t>開発</t>
  </si>
  <si>
    <t>人望</t>
  </si>
  <si>
    <t>経営理念</t>
  </si>
  <si>
    <t>その他収支</t>
  </si>
  <si>
    <t>事業内容</t>
  </si>
  <si>
    <t>売上高</t>
  </si>
  <si>
    <t>現在の製造特徴P</t>
  </si>
  <si>
    <t>純利益</t>
  </si>
  <si>
    <t>1
期
目</t>
    <phoneticPr fontId="1"/>
  </si>
  <si>
    <t>2
期
目</t>
    <phoneticPr fontId="1"/>
  </si>
  <si>
    <t>3
期
目</t>
    <phoneticPr fontId="1"/>
  </si>
  <si>
    <t>4
期
目</t>
    <phoneticPr fontId="1"/>
  </si>
  <si>
    <t>現在の経理/追加</t>
    <rPh sb="6" eb="8">
      <t>ツイカ</t>
    </rPh>
    <phoneticPr fontId="1"/>
  </si>
  <si>
    <t>現在の開発/追加</t>
    <phoneticPr fontId="1"/>
  </si>
  <si>
    <t>現在の人望/追加</t>
    <phoneticPr fontId="1"/>
  </si>
  <si>
    <t>見込売上</t>
    <rPh sb="0" eb="2">
      <t>ミコ</t>
    </rPh>
    <rPh sb="2" eb="4">
      <t>ウリアゲ</t>
    </rPh>
    <phoneticPr fontId="1"/>
  </si>
  <si>
    <t>見込利益</t>
    <rPh sb="0" eb="2">
      <t>ミコ</t>
    </rPh>
    <rPh sb="2" eb="4">
      <t>リエキ</t>
    </rPh>
    <phoneticPr fontId="1"/>
  </si>
  <si>
    <t>従業員数/借用書数</t>
    <rPh sb="0" eb="3">
      <t>ジュウギョウイン</t>
    </rPh>
    <rPh sb="3" eb="4">
      <t>カズ</t>
    </rPh>
    <rPh sb="5" eb="8">
      <t>シャクヨウショ</t>
    </rPh>
    <rPh sb="8" eb="9">
      <t>カズ</t>
    </rPh>
    <phoneticPr fontId="1"/>
  </si>
  <si>
    <t>5
期
目</t>
    <phoneticPr fontId="1"/>
  </si>
  <si>
    <t>6
期
目</t>
    <phoneticPr fontId="1"/>
  </si>
  <si>
    <t>7
期
目</t>
    <phoneticPr fontId="1"/>
  </si>
  <si>
    <t>8
期
目</t>
    <phoneticPr fontId="1"/>
  </si>
  <si>
    <t>総売上高(万円)</t>
    <rPh sb="5" eb="7">
      <t>マンエン</t>
    </rPh>
    <phoneticPr fontId="1"/>
  </si>
  <si>
    <t>売上総利益(万円)</t>
    <phoneticPr fontId="1"/>
  </si>
  <si>
    <t>支出(万円)</t>
    <phoneticPr fontId="1"/>
  </si>
  <si>
    <t>総生産数</t>
    <rPh sb="0" eb="3">
      <t>ソウセイサン</t>
    </rPh>
    <rPh sb="1" eb="3">
      <t>セイサン</t>
    </rPh>
    <rPh sb="3" eb="4">
      <t>カズ</t>
    </rPh>
    <phoneticPr fontId="1"/>
  </si>
  <si>
    <t>総生価値数</t>
    <rPh sb="1" eb="2">
      <t>セイ</t>
    </rPh>
    <rPh sb="2" eb="4">
      <t>カチ</t>
    </rPh>
    <rPh sb="4" eb="5">
      <t>スウ</t>
    </rPh>
    <phoneticPr fontId="1"/>
  </si>
  <si>
    <t>計画</t>
    <phoneticPr fontId="1"/>
  </si>
  <si>
    <t>4期(4ラウンド)</t>
    <rPh sb="1" eb="2">
      <t>キ</t>
    </rPh>
    <phoneticPr fontId="1"/>
  </si>
  <si>
    <t>8期(8ラウンド)</t>
    <rPh sb="1" eb="2">
      <t>キ</t>
    </rPh>
    <phoneticPr fontId="1"/>
  </si>
  <si>
    <t>見込売上総利益(万円)</t>
    <rPh sb="0" eb="2">
      <t>ミコ</t>
    </rPh>
    <phoneticPr fontId="1"/>
  </si>
  <si>
    <t>見込総売上(万円)</t>
    <rPh sb="0" eb="2">
      <t>ミコ</t>
    </rPh>
    <rPh sb="6" eb="8">
      <t>マンエン</t>
    </rPh>
    <phoneticPr fontId="1"/>
  </si>
  <si>
    <t>-</t>
    <phoneticPr fontId="1"/>
  </si>
  <si>
    <t>売上差(万円)</t>
    <rPh sb="0" eb="2">
      <t>ウリアゲ</t>
    </rPh>
    <rPh sb="2" eb="3">
      <t>サ</t>
    </rPh>
    <rPh sb="4" eb="6">
      <t>マンエン</t>
    </rPh>
    <phoneticPr fontId="1"/>
  </si>
  <si>
    <t>利益差(万円)</t>
    <rPh sb="0" eb="2">
      <t>リエキ</t>
    </rPh>
    <rPh sb="2" eb="3">
      <t>サ</t>
    </rPh>
    <phoneticPr fontId="1"/>
  </si>
  <si>
    <t>売上差(万円)</t>
    <rPh sb="0" eb="2">
      <t>ウリアゲ</t>
    </rPh>
    <rPh sb="2" eb="3">
      <t>サ</t>
    </rPh>
    <phoneticPr fontId="1"/>
  </si>
  <si>
    <t>1期目資金(万円)</t>
    <rPh sb="1" eb="3">
      <t>キメ</t>
    </rPh>
    <rPh sb="3" eb="5">
      <t>シキン</t>
    </rPh>
    <phoneticPr fontId="1"/>
  </si>
  <si>
    <t>2期目資金(万円)</t>
    <rPh sb="1" eb="3">
      <t>キメ</t>
    </rPh>
    <rPh sb="3" eb="5">
      <t>シキン</t>
    </rPh>
    <phoneticPr fontId="1"/>
  </si>
  <si>
    <t>3期目資金(万円)</t>
    <rPh sb="1" eb="3">
      <t>キメ</t>
    </rPh>
    <rPh sb="3" eb="5">
      <t>シキン</t>
    </rPh>
    <phoneticPr fontId="1"/>
  </si>
  <si>
    <t>4期目資金(万円)</t>
    <rPh sb="1" eb="3">
      <t>キメ</t>
    </rPh>
    <rPh sb="3" eb="5">
      <t>シキン</t>
    </rPh>
    <phoneticPr fontId="1"/>
  </si>
  <si>
    <t>5期目資金(万円)</t>
    <rPh sb="1" eb="3">
      <t>キメ</t>
    </rPh>
    <rPh sb="3" eb="5">
      <t>シキン</t>
    </rPh>
    <phoneticPr fontId="1"/>
  </si>
  <si>
    <t>6期目資金(万円)</t>
    <rPh sb="1" eb="3">
      <t>キメ</t>
    </rPh>
    <rPh sb="3" eb="5">
      <t>シキン</t>
    </rPh>
    <phoneticPr fontId="1"/>
  </si>
  <si>
    <t>7期目資金(万円)</t>
    <rPh sb="1" eb="3">
      <t>キメ</t>
    </rPh>
    <rPh sb="3" eb="5">
      <t>シキン</t>
    </rPh>
    <phoneticPr fontId="1"/>
  </si>
  <si>
    <t>8期目資金(万円)</t>
    <rPh sb="1" eb="3">
      <t>キメ</t>
    </rPh>
    <rPh sb="3" eb="5">
      <t>シキン</t>
    </rPh>
    <phoneticPr fontId="1"/>
  </si>
  <si>
    <t>市場の声</t>
    <rPh sb="0" eb="2">
      <t>シジョウ</t>
    </rPh>
    <rPh sb="3" eb="4">
      <t>コエ</t>
    </rPh>
    <phoneticPr fontId="1"/>
  </si>
  <si>
    <t>市場の声条件</t>
    <rPh sb="0" eb="2">
      <t>シジョウ</t>
    </rPh>
    <rPh sb="3" eb="4">
      <t>コエ</t>
    </rPh>
    <rPh sb="4" eb="6">
      <t>ジョウケン</t>
    </rPh>
    <phoneticPr fontId="1"/>
  </si>
  <si>
    <t>以上</t>
    <rPh sb="0" eb="2">
      <t>イジョウ</t>
    </rPh>
    <phoneticPr fontId="1"/>
  </si>
  <si>
    <t>結果</t>
    <rPh sb="0" eb="2">
      <t>ケッカ</t>
    </rPh>
    <phoneticPr fontId="1"/>
  </si>
  <si>
    <t>大満足</t>
    <rPh sb="0" eb="3">
      <t>ダイマンゾク</t>
    </rPh>
    <phoneticPr fontId="1"/>
  </si>
  <si>
    <t>満足</t>
    <rPh sb="0" eb="2">
      <t>マンゾク</t>
    </rPh>
    <phoneticPr fontId="1"/>
  </si>
  <si>
    <t>普通</t>
    <rPh sb="0" eb="2">
      <t>フツウ</t>
    </rPh>
    <phoneticPr fontId="1"/>
  </si>
  <si>
    <t>不満</t>
    <rPh sb="0" eb="2">
      <t>フマン</t>
    </rPh>
    <phoneticPr fontId="1"/>
  </si>
  <si>
    <t>失望</t>
    <rPh sb="0" eb="2">
      <t>シツボウ</t>
    </rPh>
    <phoneticPr fontId="1"/>
  </si>
  <si>
    <t>未満</t>
    <rPh sb="0" eb="2">
      <t>ミマン</t>
    </rPh>
    <phoneticPr fontId="1"/>
  </si>
  <si>
    <t>成立客数×10 + 成立価値×5 - 残存客数×10</t>
    <rPh sb="0" eb="2">
      <t>セイリツ</t>
    </rPh>
    <rPh sb="2" eb="3">
      <t>キャク</t>
    </rPh>
    <rPh sb="3" eb="4">
      <t>カズ</t>
    </rPh>
    <rPh sb="10" eb="12">
      <t>セイリツ</t>
    </rPh>
    <rPh sb="12" eb="14">
      <t>カチ</t>
    </rPh>
    <rPh sb="19" eb="21">
      <t>ザンゾン</t>
    </rPh>
    <rPh sb="21" eb="23">
      <t>キャクスウ</t>
    </rPh>
    <phoneticPr fontId="1"/>
  </si>
  <si>
    <t>廃棄物処理問題</t>
    <rPh sb="0" eb="3">
      <t>ハイキブツ</t>
    </rPh>
    <rPh sb="3" eb="5">
      <t>ショリ</t>
    </rPh>
    <rPh sb="5" eb="7">
      <t>モンダイ</t>
    </rPh>
    <phoneticPr fontId="1"/>
  </si>
  <si>
    <t>名前</t>
    <rPh sb="0" eb="2">
      <t>ナマエ</t>
    </rPh>
    <phoneticPr fontId="1"/>
  </si>
  <si>
    <t>廃棄数</t>
    <rPh sb="0" eb="3">
      <t>ハイキスウ</t>
    </rPh>
    <phoneticPr fontId="1"/>
  </si>
  <si>
    <t>評価</t>
    <rPh sb="0" eb="2">
      <t>ヒョウカ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</si>
</sst>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&quot;¥&quot;#,##0_);[Red]\(&quot;¥&quot;#,##0\)"/>
  </numFmts>
  <fonts count="2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4"/>
      <color theme="2" tint="-0.749992370372631"/>
      <name val="BIZ UDPゴシック"/>
      <family val="3"/>
      <charset val="128"/>
    </font>
    <font>
      <b/>
      <sz val="14"/>
      <color theme="2"/>
      <name val="BIZ UDPゴシック"/>
      <family val="3"/>
      <charset val="128"/>
    </font>
    <font>
      <b/>
      <sz val="14"/>
      <color theme="4" tint="-0.499984740745262"/>
      <name val="BIZ UDPゴシック"/>
      <family val="3"/>
      <charset val="128"/>
    </font>
    <font>
      <b/>
      <sz val="14"/>
      <color rgb="FFC00000"/>
      <name val="BIZ UDPゴシック"/>
      <family val="3"/>
      <charset val="128"/>
    </font>
    <font>
      <sz val="11"/>
      <color rgb="FF3F3F76"/>
      <name val="Yu Gothic"/>
      <family val="2"/>
      <charset val="128"/>
      <scheme val="minor"/>
    </font>
    <font>
      <b/>
      <sz val="11"/>
      <color theme="0"/>
      <name val="Yu Gothic"/>
      <family val="2"/>
      <charset val="128"/>
      <scheme val="minor"/>
    </font>
    <font>
      <b/>
      <sz val="11"/>
      <color rgb="FF3F3F3F"/>
      <name val="Yu Gothic"/>
      <family val="2"/>
      <charset val="128"/>
      <scheme val="minor"/>
    </font>
    <font>
      <b/>
      <sz val="11"/>
      <color theme="0"/>
      <name val="Yu Gothic"/>
      <family val="3"/>
      <charset val="128"/>
      <scheme val="minor"/>
    </font>
    <font>
      <b/>
      <sz val="11"/>
      <color rgb="FFC00000"/>
      <name val="Yu Gothic"/>
      <family val="2"/>
      <charset val="128"/>
      <scheme val="minor"/>
    </font>
    <font>
      <b/>
      <sz val="11"/>
      <color theme="8"/>
      <name val="Yu Gothic"/>
      <family val="2"/>
      <charset val="128"/>
      <scheme val="minor"/>
    </font>
    <font>
      <b/>
      <sz val="11"/>
      <color rgb="FFC00000"/>
      <name val="Yu Gothic"/>
      <family val="2"/>
      <scheme val="minor"/>
    </font>
    <font>
      <b/>
      <sz val="11"/>
      <color theme="4" tint="-0.249977111117893"/>
      <name val="Yu Gothic"/>
      <family val="3"/>
      <charset val="128"/>
      <scheme val="minor"/>
    </font>
    <font>
      <b/>
      <sz val="11"/>
      <color rgb="FFC00000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sz val="11"/>
      <color theme="8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b/>
      <sz val="28"/>
      <color theme="1"/>
      <name val="Yu Gothic"/>
      <family val="3"/>
      <charset val="128"/>
      <scheme val="minor"/>
    </font>
    <font>
      <b/>
      <sz val="20"/>
      <color theme="0"/>
      <name val="Yu Gothic"/>
      <family val="2"/>
      <charset val="128"/>
      <scheme val="minor"/>
    </font>
    <font>
      <b/>
      <sz val="20"/>
      <color theme="0"/>
      <name val="Yu Gothic"/>
      <family val="3"/>
      <charset val="128"/>
      <scheme val="minor"/>
    </font>
    <font>
      <b/>
      <sz val="11"/>
      <color theme="8"/>
      <name val="Yu Gothic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2F2F2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/>
      <top style="double">
        <color rgb="FF3F3F3F"/>
      </top>
      <bottom style="thin">
        <color rgb="FF3F3F3F"/>
      </bottom>
      <diagonal/>
    </border>
    <border>
      <left/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 style="thin">
        <color rgb="FF7F7F7F"/>
      </bottom>
      <diagonal/>
    </border>
    <border>
      <left style="double">
        <color rgb="FF3F3F3F"/>
      </left>
      <right/>
      <top style="thin">
        <color rgb="FF7F7F7F"/>
      </top>
      <bottom style="thin">
        <color rgb="FF7F7F7F"/>
      </bottom>
      <diagonal/>
    </border>
    <border>
      <left style="double">
        <color rgb="FF3F3F3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double">
        <color rgb="FF3F3F3F"/>
      </left>
      <right/>
      <top/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5">
    <xf numFmtId="0" fontId="0" fillId="0" borderId="0"/>
    <xf numFmtId="0" fontId="6" fillId="7" borderId="1" applyNumberFormat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8" fillId="9" borderId="4" applyNumberFormat="0" applyAlignment="0" applyProtection="0">
      <alignment vertical="center"/>
    </xf>
    <xf numFmtId="6" fontId="17" fillId="0" borderId="0" applyFont="0" applyFill="0" applyBorder="0" applyAlignment="0" applyProtection="0">
      <alignment vertical="center"/>
    </xf>
  </cellStyleXfs>
  <cellXfs count="7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6" borderId="0" xfId="0" applyFont="1" applyFill="1" applyAlignment="1">
      <alignment horizontal="right" vertical="center"/>
    </xf>
    <xf numFmtId="0" fontId="5" fillId="6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7" fillId="8" borderId="2" xfId="2" applyAlignment="1">
      <alignment horizontal="center" vertical="center"/>
    </xf>
    <xf numFmtId="0" fontId="6" fillId="7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9" borderId="4" xfId="3" applyAlignment="1">
      <alignment horizontal="center" vertical="center"/>
    </xf>
    <xf numFmtId="0" fontId="7" fillId="8" borderId="3" xfId="2" applyBorder="1" applyAlignment="1">
      <alignment horizontal="center" vertical="center"/>
    </xf>
    <xf numFmtId="0" fontId="9" fillId="8" borderId="2" xfId="2" applyFont="1" applyAlignment="1">
      <alignment horizontal="center" vertical="center"/>
    </xf>
    <xf numFmtId="0" fontId="6" fillId="7" borderId="13" xfId="1" applyBorder="1" applyAlignment="1">
      <alignment horizontal="center" vertical="center"/>
    </xf>
    <xf numFmtId="0" fontId="8" fillId="9" borderId="4" xfId="3" applyAlignment="1">
      <alignment horizontal="center" vertical="center" wrapText="1"/>
    </xf>
    <xf numFmtId="0" fontId="0" fillId="0" borderId="0" xfId="0" applyAlignment="1">
      <alignment horizontal="center"/>
    </xf>
    <xf numFmtId="0" fontId="12" fillId="8" borderId="2" xfId="2" applyFont="1" applyAlignment="1">
      <alignment horizontal="center" vertical="center"/>
    </xf>
    <xf numFmtId="0" fontId="13" fillId="8" borderId="2" xfId="2" applyFont="1" applyAlignment="1">
      <alignment horizontal="center" vertical="center"/>
    </xf>
    <xf numFmtId="0" fontId="14" fillId="8" borderId="2" xfId="2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6" fillId="7" borderId="1" xfId="1" applyAlignment="1">
      <alignment horizontal="center"/>
    </xf>
    <xf numFmtId="0" fontId="8" fillId="9" borderId="4" xfId="3" applyAlignment="1">
      <alignment horizontal="center"/>
    </xf>
    <xf numFmtId="0" fontId="6" fillId="7" borderId="1" xfId="1" applyAlignment="1">
      <alignment horizontal="left" vertical="center"/>
    </xf>
    <xf numFmtId="6" fontId="8" fillId="9" borderId="4" xfId="4" applyFont="1" applyFill="1" applyBorder="1" applyAlignment="1">
      <alignment horizontal="center" vertical="center"/>
    </xf>
    <xf numFmtId="6" fontId="6" fillId="7" borderId="1" xfId="4" applyFont="1" applyFill="1" applyBorder="1" applyAlignment="1">
      <alignment horizontal="center" vertical="center"/>
    </xf>
    <xf numFmtId="0" fontId="8" fillId="9" borderId="4" xfId="4" applyNumberFormat="1" applyFont="1" applyFill="1" applyBorder="1" applyAlignment="1">
      <alignment horizontal="center" vertical="center"/>
    </xf>
    <xf numFmtId="6" fontId="8" fillId="9" borderId="4" xfId="3" applyNumberFormat="1" applyAlignment="1">
      <alignment horizontal="center" vertical="center"/>
    </xf>
    <xf numFmtId="0" fontId="10" fillId="8" borderId="2" xfId="2" applyFont="1" applyAlignment="1">
      <alignment horizontal="right" vertical="center"/>
    </xf>
    <xf numFmtId="0" fontId="11" fillId="8" borderId="2" xfId="2" applyFont="1" applyAlignment="1">
      <alignment horizontal="right" vertical="center"/>
    </xf>
    <xf numFmtId="0" fontId="16" fillId="8" borderId="2" xfId="2" applyFont="1" applyAlignment="1">
      <alignment horizontal="right" vertical="center"/>
    </xf>
    <xf numFmtId="0" fontId="21" fillId="8" borderId="2" xfId="2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7" fillId="8" borderId="8" xfId="2" applyBorder="1" applyAlignment="1">
      <alignment horizontal="center" vertical="center"/>
    </xf>
    <xf numFmtId="0" fontId="7" fillId="8" borderId="9" xfId="2" applyBorder="1" applyAlignment="1">
      <alignment horizontal="center" vertical="center"/>
    </xf>
    <xf numFmtId="0" fontId="7" fillId="8" borderId="22" xfId="2" applyBorder="1" applyAlignment="1">
      <alignment horizontal="center" vertical="center" wrapText="1"/>
    </xf>
    <xf numFmtId="0" fontId="7" fillId="8" borderId="23" xfId="2" applyBorder="1" applyAlignment="1">
      <alignment horizontal="center" vertical="center" wrapText="1"/>
    </xf>
    <xf numFmtId="0" fontId="7" fillId="8" borderId="3" xfId="2" applyBorder="1" applyAlignment="1">
      <alignment horizontal="center" vertical="center" wrapText="1"/>
    </xf>
    <xf numFmtId="0" fontId="7" fillId="8" borderId="12" xfId="2" applyBorder="1" applyAlignment="1">
      <alignment horizontal="center" vertical="center"/>
    </xf>
    <xf numFmtId="0" fontId="8" fillId="9" borderId="4" xfId="3" applyAlignment="1">
      <alignment horizontal="center" vertical="center"/>
    </xf>
    <xf numFmtId="0" fontId="6" fillId="7" borderId="19" xfId="1" applyBorder="1" applyAlignment="1">
      <alignment horizontal="left" vertical="center"/>
    </xf>
    <xf numFmtId="0" fontId="6" fillId="7" borderId="14" xfId="1" applyBorder="1" applyAlignment="1">
      <alignment horizontal="left" vertical="center"/>
    </xf>
    <xf numFmtId="0" fontId="6" fillId="7" borderId="20" xfId="1" applyBorder="1" applyAlignment="1">
      <alignment horizontal="left" vertical="center"/>
    </xf>
    <xf numFmtId="0" fontId="7" fillId="8" borderId="2" xfId="2" applyAlignment="1">
      <alignment horizontal="center" vertical="center"/>
    </xf>
    <xf numFmtId="0" fontId="6" fillId="7" borderId="21" xfId="1" applyBorder="1" applyAlignment="1">
      <alignment horizontal="left" vertical="center"/>
    </xf>
    <xf numFmtId="0" fontId="19" fillId="8" borderId="2" xfId="2" applyFont="1" applyAlignment="1">
      <alignment horizontal="center" vertical="center"/>
    </xf>
    <xf numFmtId="0" fontId="20" fillId="8" borderId="2" xfId="2" applyFont="1" applyAlignment="1">
      <alignment horizontal="center" vertical="center"/>
    </xf>
    <xf numFmtId="0" fontId="6" fillId="7" borderId="15" xfId="1" applyBorder="1" applyAlignment="1">
      <alignment horizontal="left" vertical="center"/>
    </xf>
    <xf numFmtId="0" fontId="6" fillId="7" borderId="6" xfId="1" applyBorder="1" applyAlignment="1">
      <alignment horizontal="left" vertical="center"/>
    </xf>
    <xf numFmtId="0" fontId="6" fillId="7" borderId="7" xfId="1" applyBorder="1" applyAlignment="1">
      <alignment horizontal="left" vertical="center"/>
    </xf>
    <xf numFmtId="0" fontId="6" fillId="7" borderId="16" xfId="1" applyBorder="1" applyAlignment="1">
      <alignment horizontal="left" vertical="center"/>
    </xf>
    <xf numFmtId="0" fontId="6" fillId="7" borderId="17" xfId="1" applyBorder="1" applyAlignment="1">
      <alignment horizontal="left" vertical="center"/>
    </xf>
    <xf numFmtId="0" fontId="6" fillId="7" borderId="18" xfId="1" applyBorder="1" applyAlignment="1">
      <alignment horizontal="left" vertical="center"/>
    </xf>
    <xf numFmtId="0" fontId="6" fillId="7" borderId="1" xfId="1" applyAlignment="1">
      <alignment horizontal="center" vertical="center"/>
    </xf>
    <xf numFmtId="0" fontId="14" fillId="8" borderId="8" xfId="2" applyFont="1" applyBorder="1" applyAlignment="1">
      <alignment horizontal="center" vertical="center"/>
    </xf>
    <xf numFmtId="0" fontId="14" fillId="8" borderId="12" xfId="2" applyFont="1" applyBorder="1" applyAlignment="1">
      <alignment horizontal="center" vertical="center"/>
    </xf>
    <xf numFmtId="0" fontId="14" fillId="8" borderId="9" xfId="2" applyFont="1" applyBorder="1" applyAlignment="1">
      <alignment horizontal="center" vertical="center"/>
    </xf>
    <xf numFmtId="0" fontId="16" fillId="8" borderId="8" xfId="2" applyFont="1" applyBorder="1" applyAlignment="1">
      <alignment horizontal="center" vertical="center"/>
    </xf>
    <xf numFmtId="0" fontId="16" fillId="8" borderId="12" xfId="2" applyFont="1" applyBorder="1" applyAlignment="1">
      <alignment horizontal="center" vertical="center"/>
    </xf>
    <xf numFmtId="0" fontId="16" fillId="8" borderId="9" xfId="2" applyFont="1" applyBorder="1" applyAlignment="1">
      <alignment horizontal="center" vertical="center"/>
    </xf>
    <xf numFmtId="0" fontId="9" fillId="8" borderId="2" xfId="2" applyFont="1" applyAlignment="1">
      <alignment horizontal="center" vertical="center"/>
    </xf>
    <xf numFmtId="0" fontId="6" fillId="7" borderId="5" xfId="1" applyBorder="1" applyAlignment="1">
      <alignment horizontal="center" vertical="center"/>
    </xf>
    <xf numFmtId="0" fontId="6" fillId="7" borderId="6" xfId="1" applyBorder="1" applyAlignment="1">
      <alignment horizontal="center" vertical="center"/>
    </xf>
    <xf numFmtId="0" fontId="6" fillId="7" borderId="7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8" fillId="9" borderId="10" xfId="3" applyNumberFormat="1" applyBorder="1" applyAlignment="1">
      <alignment horizontal="center" vertical="center"/>
    </xf>
    <xf numFmtId="176" fontId="8" fillId="9" borderId="11" xfId="3" applyNumberFormat="1" applyBorder="1" applyAlignment="1">
      <alignment horizontal="center" vertical="center"/>
    </xf>
  </cellXfs>
  <cellStyles count="5">
    <cellStyle name="チェック セル" xfId="2" builtinId="23"/>
    <cellStyle name="出力" xfId="3" builtinId="21"/>
    <cellStyle name="通貨" xfId="4" builtinId="7"/>
    <cellStyle name="入力" xfId="1" builtinId="20"/>
    <cellStyle name="標準" xfId="0" builtinId="0"/>
  </cellStyles>
  <dxfs count="4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rgb="FF7F7F7F"/>
        </top>
      </border>
    </dxf>
    <dxf>
      <border outline="0">
        <top style="double">
          <color rgb="FF3F3F3F"/>
        </top>
        <bottom style="thin">
          <color rgb="FF7F7F7F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double">
          <color rgb="FF3F3F3F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rgb="FF7F7F7F"/>
        </top>
      </border>
    </dxf>
    <dxf>
      <border outline="0">
        <top style="double">
          <color rgb="FF3F3F3F"/>
        </top>
        <bottom style="thin">
          <color rgb="FF7F7F7F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double">
          <color rgb="FF3F3F3F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rgb="FF7F7F7F"/>
        </top>
      </border>
    </dxf>
    <dxf>
      <border outline="0">
        <top style="double">
          <color rgb="FF3F3F3F"/>
        </top>
        <bottom style="thin">
          <color rgb="FF7F7F7F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double">
          <color rgb="FF3F3F3F"/>
        </bottom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rgb="FF7F7F7F"/>
        </top>
      </border>
    </dxf>
    <dxf>
      <border outline="0">
        <top style="double">
          <color rgb="FF3F3F3F"/>
        </top>
        <bottom style="thin">
          <color rgb="FF7F7F7F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double">
          <color rgb="FF3F3F3F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rgb="FF7F7F7F"/>
        </top>
      </border>
    </dxf>
    <dxf>
      <border outline="0">
        <top style="double">
          <color rgb="FF3F3F3F"/>
        </top>
        <bottom style="thin">
          <color rgb="FF7F7F7F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double">
          <color rgb="FF3F3F3F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rgb="FF7F7F7F"/>
        </top>
      </border>
    </dxf>
    <dxf>
      <border outline="0">
        <top style="double">
          <color rgb="FF3F3F3F"/>
        </top>
        <bottom style="thin">
          <color rgb="FF7F7F7F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double">
          <color rgb="FF3F3F3F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PL用_事業計画書!$D$26:$D$29</c:f>
              <c:numCache>
                <c:formatCode>"¥"#,##0_);[Red]\("¥"#,##0\)</c:formatCode>
                <c:ptCount val="4"/>
                <c:pt idx="0">
                  <c:v>900</c:v>
                </c:pt>
                <c:pt idx="1">
                  <c:v>800</c:v>
                </c:pt>
                <c:pt idx="2">
                  <c:v>700</c:v>
                </c:pt>
                <c:pt idx="3">
                  <c:v>-900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75-430A-8035-A6FD778F4B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65024016"/>
        <c:axId val="465026176"/>
      </c:barChart>
      <c:catAx>
        <c:axId val="46502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026176"/>
        <c:crosses val="autoZero"/>
        <c:auto val="1"/>
        <c:lblAlgn val="ctr"/>
        <c:lblOffset val="100"/>
        <c:noMultiLvlLbl val="0"/>
      </c:catAx>
      <c:valAx>
        <c:axId val="4650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02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(PL用_事業計画書!$D$47:$D$50,PL用_事業計画書!$G$47:$G$50)</c:f>
              <c:numCache>
                <c:formatCode>"¥"#,##0_);[Red]\("¥"#,##0\)</c:formatCode>
                <c:ptCount val="8"/>
                <c:pt idx="0">
                  <c:v>900</c:v>
                </c:pt>
                <c:pt idx="1">
                  <c:v>800</c:v>
                </c:pt>
                <c:pt idx="2">
                  <c:v>700</c:v>
                </c:pt>
                <c:pt idx="3">
                  <c:v>600</c:v>
                </c:pt>
                <c:pt idx="4">
                  <c:v>500</c:v>
                </c:pt>
                <c:pt idx="5">
                  <c:v>400</c:v>
                </c:pt>
                <c:pt idx="6">
                  <c:v>300</c:v>
                </c:pt>
                <c:pt idx="7">
                  <c:v>-1300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E-4427-877D-0685A841C2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65024016"/>
        <c:axId val="465026176"/>
      </c:barChart>
      <c:catAx>
        <c:axId val="46502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026176"/>
        <c:crosses val="autoZero"/>
        <c:auto val="1"/>
        <c:lblAlgn val="ctr"/>
        <c:lblOffset val="100"/>
        <c:noMultiLvlLbl val="0"/>
      </c:catAx>
      <c:valAx>
        <c:axId val="4650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02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7</xdr:col>
      <xdr:colOff>0</xdr:colOff>
      <xdr:row>39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8FC82CA-A197-5AB8-625E-053F5BC35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7</xdr:col>
      <xdr:colOff>0</xdr:colOff>
      <xdr:row>59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B152C3C-CE20-4A0F-AC26-825C02E2B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3F1927-BC74-476C-A2BC-E9CAABEDB475}" name="成熟大" displayName="成熟大" ref="B4:D14" totalsRowShown="0" headerRowDxfId="47" dataDxfId="45" headerRowBorderDxfId="46" tableBorderDxfId="44" totalsRowBorderDxfId="43" headerRowCellStyle="チェック セル" dataCellStyle="入力">
  <autoFilter ref="B4:D14" xr:uid="{463F1927-BC74-476C-A2BC-E9CAABEDB475}"/>
  <sortState xmlns:xlrd2="http://schemas.microsoft.com/office/spreadsheetml/2017/richdata2" ref="B5:D14">
    <sortCondition descending="1" ref="D4:D14"/>
  </sortState>
  <tableColumns count="3">
    <tableColumn id="1" xr3:uid="{06306B54-5BE9-4A8C-8706-3391D2D1CE7E}" name="名前" dataDxfId="42" dataCellStyle="入力"/>
    <tableColumn id="2" xr3:uid="{CFCDC511-BEA1-4C9A-A880-E37A1690B0F2}" name="値段" dataDxfId="41" dataCellStyle="入力"/>
    <tableColumn id="3" xr3:uid="{B80E3B9F-8131-4160-BF30-3E918D0F3DB0}" name="価値" dataDxfId="40" dataCellStyle="入力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201E28-AD58-49E2-B5BB-771B3F050C63}" name="成熟中" displayName="成熟中" ref="B16:D26" totalsRowShown="0" headerRowDxfId="39" dataDxfId="37" headerRowBorderDxfId="38" tableBorderDxfId="36" totalsRowBorderDxfId="35" headerRowCellStyle="チェック セル" dataCellStyle="入力">
  <autoFilter ref="B16:D26" xr:uid="{A2201E28-AD58-49E2-B5BB-771B3F050C63}"/>
  <sortState xmlns:xlrd2="http://schemas.microsoft.com/office/spreadsheetml/2017/richdata2" ref="B17:D26">
    <sortCondition descending="1" ref="D16:D26"/>
  </sortState>
  <tableColumns count="3">
    <tableColumn id="1" xr3:uid="{BC0AD12B-4204-44A1-802A-C568E44A4CA8}" name="名前" dataDxfId="34" dataCellStyle="入力"/>
    <tableColumn id="2" xr3:uid="{E37A1953-D408-44E5-90C7-A812C7A75323}" name="値段" dataDxfId="33" dataCellStyle="入力"/>
    <tableColumn id="3" xr3:uid="{BFD7C530-2551-45F6-93AD-C54E1684B5E4}" name="価値" dataDxfId="32" dataCellStyle="入力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6C4594-0CD1-463A-BC4D-67FB0A503246}" name="成熟小" displayName="成熟小" ref="B28:D38" totalsRowShown="0" headerRowDxfId="31" dataDxfId="29" headerRowBorderDxfId="30" tableBorderDxfId="28" totalsRowBorderDxfId="27" headerRowCellStyle="チェック セル" dataCellStyle="入力">
  <autoFilter ref="B28:D38" xr:uid="{0D6C4594-0CD1-463A-BC4D-67FB0A503246}"/>
  <sortState xmlns:xlrd2="http://schemas.microsoft.com/office/spreadsheetml/2017/richdata2" ref="B29:D38">
    <sortCondition descending="1" ref="D28:D38"/>
  </sortState>
  <tableColumns count="3">
    <tableColumn id="1" xr3:uid="{5A7E9A7A-471C-4D12-8C38-BEF0CEAC2946}" name="名前" dataDxfId="26" dataCellStyle="入力"/>
    <tableColumn id="2" xr3:uid="{17789098-A569-43DE-BE1F-62E756DCEC0A}" name="値段" dataDxfId="25" dataCellStyle="入力"/>
    <tableColumn id="3" xr3:uid="{74375543-788B-4F5F-8D6C-1B1D64D3606B}" name="価値" dataDxfId="24" dataCellStyle="入力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8F729F-C82C-4D31-9FB4-DC0A1A739725}" name="成長大" displayName="成長大" ref="G4:I14" totalsRowShown="0" headerRowDxfId="23" dataDxfId="21" headerRowBorderDxfId="22" tableBorderDxfId="20" totalsRowBorderDxfId="19" dataCellStyle="入力">
  <autoFilter ref="G4:I14" xr:uid="{3C8F729F-C82C-4D31-9FB4-DC0A1A739725}"/>
  <sortState xmlns:xlrd2="http://schemas.microsoft.com/office/spreadsheetml/2017/richdata2" ref="G5:I14">
    <sortCondition descending="1" ref="I4:I14"/>
  </sortState>
  <tableColumns count="3">
    <tableColumn id="1" xr3:uid="{14866B47-8A4A-49CA-9738-80725C0067AE}" name="名前" dataDxfId="18" dataCellStyle="入力"/>
    <tableColumn id="2" xr3:uid="{7FECD55D-F26B-4951-B1AA-D7F2D2B96A7A}" name="値段" dataDxfId="17" dataCellStyle="入力"/>
    <tableColumn id="3" xr3:uid="{E39DF61A-7DE9-48F2-935F-58C4DA25BFBB}" name="価値" dataDxfId="16" dataCellStyle="入力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1E8B6D-8AB2-44FA-8361-33EA3755D51D}" name="成長中" displayName="成長中" ref="G16:I26" totalsRowShown="0" headerRowDxfId="15" dataDxfId="13" headerRowBorderDxfId="14" tableBorderDxfId="12" totalsRowBorderDxfId="11" headerRowCellStyle="チェック セル" dataCellStyle="入力">
  <autoFilter ref="G16:I26" xr:uid="{2F1E8B6D-8AB2-44FA-8361-33EA3755D51D}"/>
  <sortState xmlns:xlrd2="http://schemas.microsoft.com/office/spreadsheetml/2017/richdata2" ref="G17:I26">
    <sortCondition descending="1" ref="I16:I26"/>
  </sortState>
  <tableColumns count="3">
    <tableColumn id="1" xr3:uid="{BE184607-07CC-4D13-9A8E-81A844D1A41E}" name="名前" dataDxfId="10" dataCellStyle="入力"/>
    <tableColumn id="2" xr3:uid="{BC41CE17-6A93-44CA-AB0D-107291EBF0E9}" name="値段" dataDxfId="9" dataCellStyle="入力"/>
    <tableColumn id="3" xr3:uid="{273C6A79-9A72-4C59-BE24-59261FA8EF7F}" name="価値" dataDxfId="8" dataCellStyle="入力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301FAD1-8A06-4261-A2B4-7AD6043DBA93}" name="成長小" displayName="成長小" ref="G28:I38" totalsRowShown="0" headerRowDxfId="7" dataDxfId="5" headerRowBorderDxfId="6" tableBorderDxfId="4" totalsRowBorderDxfId="3" headerRowCellStyle="チェック セル" dataCellStyle="入力">
  <autoFilter ref="G28:I38" xr:uid="{F301FAD1-8A06-4261-A2B4-7AD6043DBA93}"/>
  <sortState xmlns:xlrd2="http://schemas.microsoft.com/office/spreadsheetml/2017/richdata2" ref="G29:I38">
    <sortCondition descending="1" ref="I28:I38"/>
  </sortState>
  <tableColumns count="3">
    <tableColumn id="1" xr3:uid="{7284AFC7-98CD-4418-AAA8-AAF86114309E}" name="名前" dataDxfId="2" dataCellStyle="入力"/>
    <tableColumn id="2" xr3:uid="{CF9D6126-2850-4022-B80D-DDF557FC517D}" name="値段" dataDxfId="1" dataCellStyle="入力"/>
    <tableColumn id="3" xr3:uid="{731A1645-285C-4263-829D-8666ADA46988}" name="価値" dataDxfId="0" dataCellStyle="入力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475B7-D084-4595-ADDA-9001FB74690B}">
  <dimension ref="B10:N15"/>
  <sheetViews>
    <sheetView tabSelected="1" workbookViewId="0">
      <selection activeCell="B10" sqref="B10:N13"/>
    </sheetView>
  </sheetViews>
  <sheetFormatPr defaultRowHeight="18.75"/>
  <sheetData>
    <row r="10" spans="2:14" ht="18.75" customHeight="1">
      <c r="B10" s="39" t="str">
        <f ca="1">SUBSTITUTE(MID(CELL("filename"),FIND("[",CELL("filename"))+1,FIND("]",CELL("filename"))-FIND("[",CELL("filename"))-1),".xlsx","")</f>
        <v>ボドゲ風お願い社長RP卓管理セット ver1.04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</row>
    <row r="11" spans="2:14" ht="18.75" customHeight="1"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</row>
    <row r="12" spans="2:14" ht="18.75" customHeight="1"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</row>
    <row r="13" spans="2:14" ht="18.75" customHeight="1"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</row>
    <row r="15" spans="2:14">
      <c r="H15" s="15"/>
    </row>
  </sheetData>
  <mergeCells count="1">
    <mergeCell ref="B10:N13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6830C-873C-4695-A3BD-B9D3C02616C0}">
  <dimension ref="A1:R90"/>
  <sheetViews>
    <sheetView workbookViewId="0">
      <selection activeCell="C3" sqref="C3:G3"/>
    </sheetView>
  </sheetViews>
  <sheetFormatPr defaultRowHeight="18.75"/>
  <cols>
    <col min="1" max="1" width="3.625" customWidth="1"/>
    <col min="2" max="7" width="10.625" customWidth="1"/>
    <col min="8" max="8" width="3.625" customWidth="1"/>
    <col min="10" max="10" width="20.625" customWidth="1"/>
    <col min="11" max="14" width="10.625" customWidth="1"/>
    <col min="15" max="15" width="40.625" customWidth="1"/>
    <col min="16" max="16" width="3.625" customWidth="1"/>
    <col min="17" max="17" width="10.625" customWidth="1"/>
  </cols>
  <sheetData>
    <row r="1" spans="1:18" ht="19.5" thickBo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8" ht="34.5" customHeight="1" thickTop="1" thickBot="1">
      <c r="A2" s="15"/>
      <c r="B2" s="52" t="s">
        <v>87</v>
      </c>
      <c r="C2" s="53"/>
      <c r="D2" s="53"/>
      <c r="E2" s="53"/>
      <c r="F2" s="53"/>
      <c r="G2" s="53"/>
      <c r="H2" s="15"/>
      <c r="I2" s="42" t="s">
        <v>104</v>
      </c>
      <c r="J2" s="13" t="s">
        <v>123</v>
      </c>
      <c r="K2" s="13" t="s">
        <v>89</v>
      </c>
      <c r="L2" s="13" t="s">
        <v>90</v>
      </c>
      <c r="M2" s="13" t="s">
        <v>91</v>
      </c>
      <c r="N2" s="13" t="s">
        <v>120</v>
      </c>
      <c r="O2" s="13" t="s">
        <v>92</v>
      </c>
      <c r="P2" s="15"/>
      <c r="R2" s="13" t="s">
        <v>80</v>
      </c>
    </row>
    <row r="3" spans="1:18" ht="20.25" thickTop="1" thickBot="1">
      <c r="A3" s="15"/>
      <c r="B3" s="13" t="s">
        <v>93</v>
      </c>
      <c r="C3" s="54"/>
      <c r="D3" s="55"/>
      <c r="E3" s="55"/>
      <c r="F3" s="55"/>
      <c r="G3" s="56"/>
      <c r="H3" s="15"/>
      <c r="I3" s="43"/>
      <c r="J3" s="14"/>
      <c r="K3" s="14"/>
      <c r="L3" s="16" t="str">
        <f>IF(J3=$Q$7,K11-K3,"")</f>
        <v/>
      </c>
      <c r="M3" s="14"/>
      <c r="N3" s="30">
        <f>-1*IFERROR(VLOOKUP(J3,$Q$7:$R$12,2,FALSE),"0")</f>
        <v>0</v>
      </c>
      <c r="O3" s="29"/>
      <c r="P3" s="15"/>
      <c r="R3" s="14" t="s">
        <v>79</v>
      </c>
    </row>
    <row r="4" spans="1:18" ht="20.25" thickTop="1" thickBot="1">
      <c r="A4" s="15"/>
      <c r="B4" s="13" t="s">
        <v>94</v>
      </c>
      <c r="C4" s="57"/>
      <c r="D4" s="58"/>
      <c r="E4" s="58"/>
      <c r="F4" s="58"/>
      <c r="G4" s="59"/>
      <c r="H4" s="15"/>
      <c r="I4" s="43"/>
      <c r="J4" s="14"/>
      <c r="K4" s="14"/>
      <c r="L4" s="16" t="str">
        <f>IF(J4=$Q$7,K11-K4,"")</f>
        <v/>
      </c>
      <c r="M4" s="14"/>
      <c r="N4" s="30">
        <f t="shared" ref="N4:N7" si="0">-1*IFERROR(VLOOKUP(J4,$Q$7:$R$12,2,FALSE),"0")</f>
        <v>0</v>
      </c>
      <c r="O4" s="29"/>
      <c r="P4" s="15"/>
      <c r="R4" s="16" t="s">
        <v>81</v>
      </c>
    </row>
    <row r="5" spans="1:18" ht="20.25" thickTop="1" thickBot="1">
      <c r="A5" s="15"/>
      <c r="B5" s="13" t="s">
        <v>95</v>
      </c>
      <c r="C5" s="14">
        <v>0</v>
      </c>
      <c r="D5" s="13" t="s">
        <v>96</v>
      </c>
      <c r="E5" s="14">
        <v>0</v>
      </c>
      <c r="F5" s="13" t="s">
        <v>97</v>
      </c>
      <c r="G5" s="14">
        <v>0</v>
      </c>
      <c r="H5" s="15"/>
      <c r="I5" s="43"/>
      <c r="J5" s="14"/>
      <c r="K5" s="14"/>
      <c r="L5" s="16" t="str">
        <f>IF(J5=$Q$7,K11-K5,"-")</f>
        <v>-</v>
      </c>
      <c r="M5" s="14"/>
      <c r="N5" s="30">
        <f t="shared" si="0"/>
        <v>0</v>
      </c>
      <c r="O5" s="29"/>
      <c r="P5" s="15"/>
    </row>
    <row r="6" spans="1:18" ht="20.25" thickTop="1" thickBot="1">
      <c r="A6" s="15"/>
      <c r="B6" s="13" t="s">
        <v>98</v>
      </c>
      <c r="C6" s="51"/>
      <c r="D6" s="48"/>
      <c r="E6" s="48"/>
      <c r="F6" s="48"/>
      <c r="G6" s="49"/>
      <c r="I6" s="43"/>
      <c r="J6" s="14"/>
      <c r="K6" s="14"/>
      <c r="L6" s="16" t="str">
        <f>IF(J6=$Q$7,K11-K6,"-")</f>
        <v>-</v>
      </c>
      <c r="M6" s="14"/>
      <c r="N6" s="30">
        <f t="shared" si="0"/>
        <v>0</v>
      </c>
      <c r="O6" s="29"/>
      <c r="P6" s="15"/>
      <c r="Q6" s="50" t="s">
        <v>37</v>
      </c>
      <c r="R6" s="50"/>
    </row>
    <row r="7" spans="1:18" ht="20.25" thickTop="1" thickBot="1">
      <c r="A7" s="15"/>
      <c r="B7" s="47"/>
      <c r="C7" s="48"/>
      <c r="D7" s="48"/>
      <c r="E7" s="48"/>
      <c r="F7" s="48"/>
      <c r="G7" s="49"/>
      <c r="I7" s="43"/>
      <c r="J7" s="14"/>
      <c r="K7" s="14"/>
      <c r="L7" s="16" t="str">
        <f>IF(J7=$Q$7,K11-K7,"-")</f>
        <v>-</v>
      </c>
      <c r="M7" s="14"/>
      <c r="N7" s="30">
        <f t="shared" si="0"/>
        <v>0</v>
      </c>
      <c r="O7" s="29"/>
      <c r="P7" s="15"/>
      <c r="Q7" s="16" t="s">
        <v>38</v>
      </c>
      <c r="R7" s="16">
        <v>100</v>
      </c>
    </row>
    <row r="8" spans="1:18" ht="20.25" thickTop="1" thickBot="1">
      <c r="A8" s="15"/>
      <c r="B8" s="47"/>
      <c r="C8" s="48"/>
      <c r="D8" s="48"/>
      <c r="E8" s="48"/>
      <c r="F8" s="48"/>
      <c r="G8" s="49"/>
      <c r="I8" s="43"/>
      <c r="J8" s="13" t="s">
        <v>108</v>
      </c>
      <c r="K8" s="16">
        <f>IF(C5+COUNTIF(J3:J7,$Q$8)*2+L8 &gt;30,30,C5+COUNTIF(J3:J7,$Q$8)*2+L8)</f>
        <v>0</v>
      </c>
      <c r="L8" s="14">
        <v>0</v>
      </c>
      <c r="M8" s="13" t="s">
        <v>99</v>
      </c>
      <c r="N8" s="31">
        <v>0</v>
      </c>
      <c r="O8" s="29"/>
      <c r="P8" s="15"/>
      <c r="Q8" s="16" t="s">
        <v>39</v>
      </c>
      <c r="R8" s="16">
        <v>300</v>
      </c>
    </row>
    <row r="9" spans="1:18" ht="20.25" thickTop="1" thickBot="1">
      <c r="A9" s="15"/>
      <c r="B9" s="47"/>
      <c r="C9" s="48"/>
      <c r="D9" s="48"/>
      <c r="E9" s="48"/>
      <c r="F9" s="48"/>
      <c r="G9" s="49"/>
      <c r="I9" s="43"/>
      <c r="J9" s="13" t="s">
        <v>109</v>
      </c>
      <c r="K9" s="16">
        <f>IF(E5+COUNTIF(J3:J7,$Q$9)*2+L9&gt;20,20,E5+COUNTIF(J3:J7,$Q$9)*3+L9)</f>
        <v>0</v>
      </c>
      <c r="L9" s="14">
        <v>0</v>
      </c>
      <c r="M9" s="13" t="s">
        <v>111</v>
      </c>
      <c r="N9" s="30">
        <f>SUM(K3:K7)*100</f>
        <v>0</v>
      </c>
      <c r="O9" s="29"/>
      <c r="P9" s="15"/>
      <c r="Q9" s="16" t="s">
        <v>40</v>
      </c>
      <c r="R9" s="16">
        <v>500</v>
      </c>
    </row>
    <row r="10" spans="1:18" ht="20.25" thickTop="1" thickBot="1">
      <c r="A10" s="15"/>
      <c r="B10" s="13" t="s">
        <v>100</v>
      </c>
      <c r="C10" s="51"/>
      <c r="D10" s="48"/>
      <c r="E10" s="48"/>
      <c r="F10" s="48"/>
      <c r="G10" s="49"/>
      <c r="I10" s="43"/>
      <c r="J10" s="13" t="s">
        <v>110</v>
      </c>
      <c r="K10" s="16">
        <f>G5+COUNTIF(J3:J7,$Q$10)+L10</f>
        <v>0</v>
      </c>
      <c r="L10" s="14">
        <v>0</v>
      </c>
      <c r="M10" s="13" t="s">
        <v>112</v>
      </c>
      <c r="N10" s="30">
        <f>N9+SUM(N3:N8)-100-100*K12-100*L12</f>
        <v>-100</v>
      </c>
      <c r="O10" s="29"/>
      <c r="P10" s="15"/>
      <c r="Q10" s="16" t="s">
        <v>41</v>
      </c>
      <c r="R10" s="16">
        <v>100</v>
      </c>
    </row>
    <row r="11" spans="1:18" ht="20.25" thickTop="1" thickBot="1">
      <c r="A11" s="15"/>
      <c r="B11" s="47"/>
      <c r="C11" s="48"/>
      <c r="D11" s="48"/>
      <c r="E11" s="48"/>
      <c r="F11" s="48"/>
      <c r="G11" s="49"/>
      <c r="I11" s="43"/>
      <c r="J11" s="13" t="s">
        <v>102</v>
      </c>
      <c r="K11" s="46">
        <f>SUM(K8:K10)</f>
        <v>0</v>
      </c>
      <c r="L11" s="46"/>
      <c r="M11" s="13" t="s">
        <v>101</v>
      </c>
      <c r="N11" s="30">
        <f>(IF(M3="〇",K3,0)+IF(M4="〇",K4,0)+IF(M5="〇",K5,0)+IF(M6="〇",K6,0)+IF(M7="〇",K7,0))*100</f>
        <v>0</v>
      </c>
      <c r="O11" s="29"/>
      <c r="P11" s="15"/>
      <c r="Q11" s="16" t="s">
        <v>57</v>
      </c>
      <c r="R11" s="16">
        <v>100</v>
      </c>
    </row>
    <row r="12" spans="1:18" ht="18.75" customHeight="1" thickTop="1" thickBot="1">
      <c r="A12" s="15"/>
      <c r="B12" s="47"/>
      <c r="C12" s="48"/>
      <c r="D12" s="48"/>
      <c r="E12" s="48"/>
      <c r="F12" s="48"/>
      <c r="G12" s="49"/>
      <c r="I12" s="44"/>
      <c r="J12" s="13" t="s">
        <v>113</v>
      </c>
      <c r="K12" s="27">
        <v>0</v>
      </c>
      <c r="L12" s="27">
        <v>0</v>
      </c>
      <c r="M12" s="13" t="s">
        <v>103</v>
      </c>
      <c r="N12" s="30">
        <f>N11+SUM(N3:N8)-100-100*K12-100*L12</f>
        <v>-100</v>
      </c>
      <c r="O12" s="29"/>
      <c r="P12" s="15"/>
      <c r="Q12" s="16" t="s">
        <v>42</v>
      </c>
      <c r="R12" s="16">
        <v>100</v>
      </c>
    </row>
    <row r="13" spans="1:18" ht="20.25" thickTop="1" thickBot="1">
      <c r="A13" s="15"/>
      <c r="B13" s="47"/>
      <c r="C13" s="48"/>
      <c r="D13" s="48"/>
      <c r="E13" s="48"/>
      <c r="F13" s="48"/>
      <c r="G13" s="49"/>
      <c r="H13" s="15"/>
      <c r="I13" s="42" t="s">
        <v>105</v>
      </c>
      <c r="J13" s="13" t="s">
        <v>88</v>
      </c>
      <c r="K13" s="13" t="s">
        <v>89</v>
      </c>
      <c r="L13" s="13" t="s">
        <v>90</v>
      </c>
      <c r="M13" s="13" t="s">
        <v>91</v>
      </c>
      <c r="N13" s="13" t="s">
        <v>120</v>
      </c>
      <c r="O13" s="13" t="s">
        <v>92</v>
      </c>
      <c r="P13" s="15"/>
    </row>
    <row r="14" spans="1:18" ht="20.25" thickTop="1" thickBot="1">
      <c r="A14" s="15"/>
      <c r="B14" s="13" t="s">
        <v>92</v>
      </c>
      <c r="C14" s="51"/>
      <c r="D14" s="48"/>
      <c r="E14" s="48"/>
      <c r="F14" s="48"/>
      <c r="G14" s="49"/>
      <c r="H14" s="15"/>
      <c r="I14" s="43"/>
      <c r="J14" s="14"/>
      <c r="K14" s="14"/>
      <c r="L14" s="16" t="str">
        <f>IF(J14=$Q$7,K22-K14,"")</f>
        <v/>
      </c>
      <c r="M14" s="14"/>
      <c r="N14" s="30">
        <f>-1*IFERROR(VLOOKUP(J14,$Q$7:$R$12,2,FALSE),"0")</f>
        <v>0</v>
      </c>
      <c r="O14" s="29"/>
      <c r="P14" s="15"/>
    </row>
    <row r="15" spans="1:18" ht="19.5" thickTop="1">
      <c r="A15" s="15"/>
      <c r="B15" s="47"/>
      <c r="C15" s="48"/>
      <c r="D15" s="48"/>
      <c r="E15" s="48"/>
      <c r="F15" s="48"/>
      <c r="G15" s="49"/>
      <c r="H15" s="15"/>
      <c r="I15" s="43"/>
      <c r="J15" s="14"/>
      <c r="K15" s="14"/>
      <c r="L15" s="16" t="str">
        <f>IF(J15=$Q$7,K22-K15,"")</f>
        <v/>
      </c>
      <c r="M15" s="14"/>
      <c r="N15" s="30">
        <f t="shared" ref="N15:N17" si="1">-1*IFERROR(VLOOKUP(J15,$Q$7:$R$12,2,FALSE),"0")</f>
        <v>0</v>
      </c>
      <c r="O15" s="29"/>
      <c r="P15" s="15"/>
    </row>
    <row r="16" spans="1:18">
      <c r="A16" s="15"/>
      <c r="B16" s="47"/>
      <c r="C16" s="48"/>
      <c r="D16" s="48"/>
      <c r="E16" s="48"/>
      <c r="F16" s="48"/>
      <c r="G16" s="49"/>
      <c r="H16" s="15"/>
      <c r="I16" s="43"/>
      <c r="J16" s="14"/>
      <c r="K16" s="14"/>
      <c r="L16" s="16" t="str">
        <f>IF(J16=$Q$7,K22-K16,"-")</f>
        <v>-</v>
      </c>
      <c r="M16" s="14"/>
      <c r="N16" s="30">
        <f t="shared" si="1"/>
        <v>0</v>
      </c>
      <c r="O16" s="29"/>
      <c r="P16" s="15"/>
    </row>
    <row r="17" spans="1:16">
      <c r="A17" s="15"/>
      <c r="B17" s="47"/>
      <c r="C17" s="48"/>
      <c r="D17" s="48"/>
      <c r="E17" s="48"/>
      <c r="F17" s="48"/>
      <c r="G17" s="49"/>
      <c r="H17" s="15"/>
      <c r="I17" s="43"/>
      <c r="J17" s="14"/>
      <c r="K17" s="14"/>
      <c r="L17" s="16" t="str">
        <f>IF(J17=$Q$7,K22-K17,"-")</f>
        <v>-</v>
      </c>
      <c r="M17" s="14"/>
      <c r="N17" s="30">
        <f t="shared" si="1"/>
        <v>0</v>
      </c>
      <c r="O17" s="29"/>
      <c r="P17" s="15"/>
    </row>
    <row r="18" spans="1:16" ht="19.5" thickBot="1">
      <c r="A18" s="15"/>
      <c r="B18" s="47"/>
      <c r="C18" s="48"/>
      <c r="D18" s="48"/>
      <c r="E18" s="48"/>
      <c r="F18" s="48"/>
      <c r="G18" s="49"/>
      <c r="H18" s="15"/>
      <c r="I18" s="43"/>
      <c r="J18" s="14"/>
      <c r="K18" s="14"/>
      <c r="L18" s="16" t="str">
        <f>IF(J18=$Q$7,K22-K18,"-")</f>
        <v>-</v>
      </c>
      <c r="M18" s="14"/>
      <c r="N18" s="30">
        <f>-1*IFERROR(VLOOKUP(J18,$Q$7:$R$12,2,FALSE),"0")</f>
        <v>0</v>
      </c>
      <c r="O18" s="29"/>
      <c r="P18" s="15"/>
    </row>
    <row r="19" spans="1:16" ht="20.25" thickTop="1" thickBot="1">
      <c r="A19" s="15"/>
      <c r="H19" s="15"/>
      <c r="I19" s="43"/>
      <c r="J19" s="13" t="s">
        <v>108</v>
      </c>
      <c r="K19" s="16">
        <f>IF(K8+COUNTIF(J14:J18,$Q$8)*2+L19&gt;30,30,K8+COUNTIF(J14:J18,$Q$8)*2+L19)</f>
        <v>0</v>
      </c>
      <c r="L19" s="14">
        <v>0</v>
      </c>
      <c r="M19" s="13" t="s">
        <v>99</v>
      </c>
      <c r="N19" s="31">
        <v>0</v>
      </c>
      <c r="O19" s="29"/>
      <c r="P19" s="15"/>
    </row>
    <row r="20" spans="1:16" ht="20.25" thickTop="1" thickBot="1">
      <c r="A20" s="15"/>
      <c r="B20" s="40" t="s">
        <v>124</v>
      </c>
      <c r="C20" s="45"/>
      <c r="D20" s="45"/>
      <c r="E20" s="45"/>
      <c r="F20" s="45"/>
      <c r="G20" s="41"/>
      <c r="H20" s="15"/>
      <c r="I20" s="43"/>
      <c r="J20" s="13" t="s">
        <v>109</v>
      </c>
      <c r="K20" s="16">
        <f>IF(K9+COUNTIF(J14:J18,$Q$9)*3+L20&gt;20,20,K9+COUNTIF(J14:J18,$Q$9)*3+L20)</f>
        <v>0</v>
      </c>
      <c r="L20" s="14">
        <v>0</v>
      </c>
      <c r="M20" s="13" t="s">
        <v>111</v>
      </c>
      <c r="N20" s="30">
        <f>SUM(K14:K18)*100</f>
        <v>0</v>
      </c>
      <c r="O20" s="29"/>
      <c r="P20" s="15"/>
    </row>
    <row r="21" spans="1:16" ht="20.25" thickTop="1" thickBot="1">
      <c r="A21" s="15"/>
      <c r="B21" s="40" t="s">
        <v>127</v>
      </c>
      <c r="C21" s="41"/>
      <c r="D21" s="30">
        <f>N9+N20+N31+N42</f>
        <v>0</v>
      </c>
      <c r="E21" s="40" t="s">
        <v>121</v>
      </c>
      <c r="F21" s="41"/>
      <c r="G21" s="16">
        <f>COUNTIF(J2:J45,$Q$7)</f>
        <v>0</v>
      </c>
      <c r="H21" s="15"/>
      <c r="I21" s="43"/>
      <c r="J21" s="13" t="s">
        <v>110</v>
      </c>
      <c r="K21" s="16">
        <f>K10+COUNTIF(J14:J18,$Q$10)+L21</f>
        <v>0</v>
      </c>
      <c r="L21" s="14">
        <v>0</v>
      </c>
      <c r="M21" s="13" t="s">
        <v>112</v>
      </c>
      <c r="N21" s="30">
        <f>N20+SUM(N14:N19)-100-100*K23-100*L23</f>
        <v>-100</v>
      </c>
      <c r="O21" s="29"/>
      <c r="P21" s="15"/>
    </row>
    <row r="22" spans="1:16" ht="20.25" thickTop="1" thickBot="1">
      <c r="A22" s="15"/>
      <c r="B22" s="40" t="s">
        <v>126</v>
      </c>
      <c r="C22" s="41"/>
      <c r="D22" s="30">
        <f>N10+N21+N32+N43-500</f>
        <v>-900</v>
      </c>
      <c r="E22" s="40" t="s">
        <v>122</v>
      </c>
      <c r="F22" s="41"/>
      <c r="G22" s="16">
        <f>SUM(L14:L18)+SUM(L25:L29)+SUM(L36:L40)+SUM(L3:L7)</f>
        <v>0</v>
      </c>
      <c r="H22" s="15"/>
      <c r="I22" s="43"/>
      <c r="J22" s="13" t="s">
        <v>102</v>
      </c>
      <c r="K22" s="46">
        <f>SUM(K19:K21)</f>
        <v>0</v>
      </c>
      <c r="L22" s="46"/>
      <c r="M22" s="13" t="s">
        <v>101</v>
      </c>
      <c r="N22" s="30">
        <f>(IF(M14="〇",K14,0)+IF(M15="〇",K15,0)+IF(M16="〇",K16,0)+IF(M17="〇",K17,0)+IF(M18="〇",K18,0))*100</f>
        <v>0</v>
      </c>
      <c r="O22" s="29"/>
      <c r="P22" s="15"/>
    </row>
    <row r="23" spans="1:16" ht="20.25" thickTop="1" thickBot="1">
      <c r="A23" s="15"/>
      <c r="B23" s="40" t="s">
        <v>118</v>
      </c>
      <c r="C23" s="41"/>
      <c r="D23" s="30">
        <f>N11+N22+N33+N44</f>
        <v>0</v>
      </c>
      <c r="E23" s="40" t="s">
        <v>129</v>
      </c>
      <c r="F23" s="41"/>
      <c r="G23" s="33">
        <f>D23-D21</f>
        <v>0</v>
      </c>
      <c r="H23" s="15"/>
      <c r="I23" s="44"/>
      <c r="J23" s="13" t="s">
        <v>113</v>
      </c>
      <c r="K23" s="27">
        <v>0</v>
      </c>
      <c r="L23" s="27">
        <v>0</v>
      </c>
      <c r="M23" s="13" t="s">
        <v>103</v>
      </c>
      <c r="N23" s="30">
        <f>N22+SUM(N14:N19)-100-100*K23-100*L23</f>
        <v>-100</v>
      </c>
      <c r="O23" s="29"/>
      <c r="P23" s="15"/>
    </row>
    <row r="24" spans="1:16" ht="20.25" thickTop="1" thickBot="1">
      <c r="A24" s="15"/>
      <c r="B24" s="40" t="s">
        <v>119</v>
      </c>
      <c r="C24" s="41"/>
      <c r="D24" s="30">
        <f>N12+N23+N34+N45-500</f>
        <v>-900</v>
      </c>
      <c r="E24" s="40" t="s">
        <v>130</v>
      </c>
      <c r="F24" s="41"/>
      <c r="G24" s="33">
        <f>D24-D22</f>
        <v>0</v>
      </c>
      <c r="H24" s="15"/>
      <c r="I24" s="42" t="s">
        <v>106</v>
      </c>
      <c r="J24" s="13" t="s">
        <v>88</v>
      </c>
      <c r="K24" s="13" t="s">
        <v>89</v>
      </c>
      <c r="L24" s="13" t="s">
        <v>90</v>
      </c>
      <c r="M24" s="13" t="s">
        <v>91</v>
      </c>
      <c r="N24" s="13" t="s">
        <v>120</v>
      </c>
      <c r="O24" s="13" t="s">
        <v>92</v>
      </c>
      <c r="P24" s="15"/>
    </row>
    <row r="25" spans="1:16" ht="20.25" thickTop="1" thickBot="1">
      <c r="A25" s="15"/>
      <c r="G25" s="21"/>
      <c r="H25" s="15"/>
      <c r="I25" s="43"/>
      <c r="J25" s="14"/>
      <c r="K25" s="14"/>
      <c r="L25" s="16" t="str">
        <f>IF(J25=$Q$7,K33-K25,"")</f>
        <v/>
      </c>
      <c r="M25" s="14"/>
      <c r="N25" s="30">
        <f>-1*IFERROR(VLOOKUP(J25,$Q$7:$R$12,2,FALSE),"0")</f>
        <v>0</v>
      </c>
      <c r="O25" s="29"/>
      <c r="P25" s="15"/>
    </row>
    <row r="26" spans="1:16" ht="20.25" thickTop="1" thickBot="1">
      <c r="A26" s="15"/>
      <c r="B26" s="40" t="s">
        <v>132</v>
      </c>
      <c r="C26" s="41"/>
      <c r="D26" s="33">
        <f>1000+$N$12</f>
        <v>900</v>
      </c>
      <c r="E26" s="40" t="s">
        <v>136</v>
      </c>
      <c r="F26" s="41"/>
      <c r="G26" s="16" t="s">
        <v>128</v>
      </c>
      <c r="H26" s="15"/>
      <c r="I26" s="43"/>
      <c r="J26" s="14"/>
      <c r="K26" s="14"/>
      <c r="L26" s="16" t="str">
        <f>IF(J26=$Q$7,K33-K26,"")</f>
        <v/>
      </c>
      <c r="M26" s="14"/>
      <c r="N26" s="30">
        <f t="shared" ref="N26:N28" si="2">-1*IFERROR(VLOOKUP(J26,$Q$7:$R$12,2,FALSE),"0")</f>
        <v>0</v>
      </c>
      <c r="O26" s="29"/>
      <c r="P26" s="15"/>
    </row>
    <row r="27" spans="1:16" ht="20.25" thickTop="1" thickBot="1">
      <c r="A27" s="15"/>
      <c r="B27" s="40" t="s">
        <v>133</v>
      </c>
      <c r="C27" s="41"/>
      <c r="D27" s="33">
        <f>D26+$N$23</f>
        <v>800</v>
      </c>
      <c r="E27" s="40" t="s">
        <v>137</v>
      </c>
      <c r="F27" s="41"/>
      <c r="G27" s="16" t="s">
        <v>128</v>
      </c>
      <c r="H27" s="15"/>
      <c r="I27" s="43"/>
      <c r="J27" s="14"/>
      <c r="K27" s="14"/>
      <c r="L27" s="16" t="str">
        <f>IF(J27=$Q$7,K33-K27,"-")</f>
        <v>-</v>
      </c>
      <c r="M27" s="14"/>
      <c r="N27" s="30">
        <f t="shared" si="2"/>
        <v>0</v>
      </c>
      <c r="O27" s="29"/>
      <c r="P27" s="15"/>
    </row>
    <row r="28" spans="1:16" ht="20.25" thickTop="1" thickBot="1">
      <c r="A28" s="15"/>
      <c r="B28" s="40" t="s">
        <v>134</v>
      </c>
      <c r="C28" s="41"/>
      <c r="D28" s="33">
        <f>D27+$N$34</f>
        <v>700</v>
      </c>
      <c r="E28" s="40" t="s">
        <v>138</v>
      </c>
      <c r="F28" s="41"/>
      <c r="G28" s="16" t="s">
        <v>128</v>
      </c>
      <c r="H28" s="15"/>
      <c r="I28" s="43"/>
      <c r="J28" s="14"/>
      <c r="K28" s="14"/>
      <c r="L28" s="16" t="str">
        <f>IF(J28=$Q$7,K33-K28,"-")</f>
        <v>-</v>
      </c>
      <c r="M28" s="14"/>
      <c r="N28" s="30">
        <f t="shared" si="2"/>
        <v>0</v>
      </c>
      <c r="O28" s="29"/>
      <c r="P28" s="15"/>
    </row>
    <row r="29" spans="1:16" ht="20.25" thickTop="1" thickBot="1">
      <c r="A29" s="15"/>
      <c r="B29" s="40" t="s">
        <v>135</v>
      </c>
      <c r="C29" s="41"/>
      <c r="D29" s="33">
        <f>D28+$N$45-1500</f>
        <v>-900</v>
      </c>
      <c r="E29" s="40" t="s">
        <v>139</v>
      </c>
      <c r="F29" s="41"/>
      <c r="G29" s="16" t="s">
        <v>128</v>
      </c>
      <c r="H29" s="15"/>
      <c r="I29" s="43"/>
      <c r="J29" s="14"/>
      <c r="K29" s="14"/>
      <c r="L29" s="16" t="str">
        <f>IF(J29=$Q$7,K33-K29,"-")</f>
        <v>-</v>
      </c>
      <c r="M29" s="14"/>
      <c r="N29" s="30">
        <f>-1*IFERROR(VLOOKUP(J29,$Q$7:$R$12,2,FALSE),"0")</f>
        <v>0</v>
      </c>
      <c r="O29" s="29"/>
      <c r="P29" s="15"/>
    </row>
    <row r="30" spans="1:16" ht="20.25" thickTop="1" thickBot="1">
      <c r="A30" s="15"/>
      <c r="H30" s="15"/>
      <c r="I30" s="43"/>
      <c r="J30" s="13" t="s">
        <v>108</v>
      </c>
      <c r="K30" s="16">
        <f>IF(K19+COUNTIF(J25:J29,$Q$8)*2+L30&gt;30,30,K19+COUNTIF(J25:J29,$Q$8)*2+L30)</f>
        <v>0</v>
      </c>
      <c r="L30" s="14">
        <v>0</v>
      </c>
      <c r="M30" s="13" t="s">
        <v>99</v>
      </c>
      <c r="N30" s="31">
        <v>0</v>
      </c>
      <c r="O30" s="29"/>
      <c r="P30" s="15"/>
    </row>
    <row r="31" spans="1:16" ht="20.25" thickTop="1" thickBot="1">
      <c r="A31" s="15"/>
      <c r="G31" s="15"/>
      <c r="H31" s="15"/>
      <c r="I31" s="43"/>
      <c r="J31" s="13" t="s">
        <v>109</v>
      </c>
      <c r="K31" s="16">
        <f>IF(K20+COUNTIF(J25:J29,$Q$9)*3+L31&gt;20,20,K20+COUNTIF(J25:J29,$Q$9)*3+L31)</f>
        <v>0</v>
      </c>
      <c r="L31" s="14">
        <v>0</v>
      </c>
      <c r="M31" s="13" t="s">
        <v>111</v>
      </c>
      <c r="N31" s="30">
        <f>SUM(K25:K29)*100</f>
        <v>0</v>
      </c>
      <c r="O31" s="29"/>
      <c r="P31" s="15"/>
    </row>
    <row r="32" spans="1:16" ht="20.25" thickTop="1" thickBot="1">
      <c r="A32" s="15"/>
      <c r="G32" s="15"/>
      <c r="H32" s="15"/>
      <c r="I32" s="43"/>
      <c r="J32" s="13" t="s">
        <v>110</v>
      </c>
      <c r="K32" s="16">
        <f>K21+COUNTIF(J25:J29,$Q$10)+L32</f>
        <v>0</v>
      </c>
      <c r="L32" s="14">
        <v>0</v>
      </c>
      <c r="M32" s="13" t="s">
        <v>112</v>
      </c>
      <c r="N32" s="30">
        <f>N31+SUM(N25:N30)-100-100*K34-100*L34</f>
        <v>-100</v>
      </c>
      <c r="O32" s="29"/>
      <c r="P32" s="15"/>
    </row>
    <row r="33" spans="2:15" ht="20.25" thickTop="1" thickBot="1">
      <c r="I33" s="43"/>
      <c r="J33" s="13" t="s">
        <v>102</v>
      </c>
      <c r="K33" s="46">
        <f>SUM(K30:K32)</f>
        <v>0</v>
      </c>
      <c r="L33" s="46"/>
      <c r="M33" s="13" t="s">
        <v>101</v>
      </c>
      <c r="N33" s="30">
        <f>(IF(M25="〇",K25,0)+IF(M26="〇",K26,0)+IF(M27="〇",K27,0)+IF(M28="〇",K28,0)+IF(M29="〇",K29,0))*100</f>
        <v>0</v>
      </c>
      <c r="O33" s="29"/>
    </row>
    <row r="34" spans="2:15" ht="20.25" thickTop="1" thickBot="1">
      <c r="I34" s="44"/>
      <c r="J34" s="13" t="s">
        <v>113</v>
      </c>
      <c r="K34" s="27">
        <v>0</v>
      </c>
      <c r="L34" s="27">
        <v>0</v>
      </c>
      <c r="M34" s="13" t="s">
        <v>103</v>
      </c>
      <c r="N34" s="30">
        <f>N33+SUM(N25:N30)-100-100*K34-100*L34</f>
        <v>-100</v>
      </c>
      <c r="O34" s="29"/>
    </row>
    <row r="35" spans="2:15" ht="20.25" thickTop="1" thickBot="1">
      <c r="I35" s="42" t="s">
        <v>107</v>
      </c>
      <c r="J35" s="13" t="s">
        <v>88</v>
      </c>
      <c r="K35" s="13" t="s">
        <v>89</v>
      </c>
      <c r="L35" s="13" t="s">
        <v>90</v>
      </c>
      <c r="M35" s="13" t="s">
        <v>91</v>
      </c>
      <c r="N35" s="13" t="s">
        <v>120</v>
      </c>
      <c r="O35" s="13" t="s">
        <v>92</v>
      </c>
    </row>
    <row r="36" spans="2:15" ht="19.5" thickTop="1">
      <c r="I36" s="43"/>
      <c r="J36" s="14"/>
      <c r="K36" s="14"/>
      <c r="L36" s="16" t="str">
        <f>IF(J36=$Q$7,K44-K36,"")</f>
        <v/>
      </c>
      <c r="M36" s="14"/>
      <c r="N36" s="30">
        <f>-1*IFERROR(VLOOKUP(J36,$Q$7:$R$12,2,FALSE),"0")</f>
        <v>0</v>
      </c>
      <c r="O36" s="29"/>
    </row>
    <row r="37" spans="2:15">
      <c r="I37" s="43"/>
      <c r="J37" s="14"/>
      <c r="K37" s="14"/>
      <c r="L37" s="16" t="str">
        <f>IF(J37=$Q$7,K44-K37,"")</f>
        <v/>
      </c>
      <c r="M37" s="14"/>
      <c r="N37" s="30">
        <f t="shared" ref="N37:N39" si="3">-1*IFERROR(VLOOKUP(J37,$Q$7:$R$12,2,FALSE),"0")</f>
        <v>0</v>
      </c>
      <c r="O37" s="29"/>
    </row>
    <row r="38" spans="2:15">
      <c r="I38" s="43"/>
      <c r="J38" s="14"/>
      <c r="K38" s="14"/>
      <c r="L38" s="16" t="str">
        <f>IF(J38=$Q$7,K44-K38,"-")</f>
        <v>-</v>
      </c>
      <c r="M38" s="14"/>
      <c r="N38" s="30">
        <f t="shared" si="3"/>
        <v>0</v>
      </c>
      <c r="O38" s="29"/>
    </row>
    <row r="39" spans="2:15">
      <c r="I39" s="43"/>
      <c r="J39" s="14"/>
      <c r="K39" s="14"/>
      <c r="L39" s="16" t="str">
        <f>IF(J39=$Q$7,K44-K39,"-")</f>
        <v>-</v>
      </c>
      <c r="M39" s="14"/>
      <c r="N39" s="30">
        <f t="shared" si="3"/>
        <v>0</v>
      </c>
      <c r="O39" s="29"/>
    </row>
    <row r="40" spans="2:15" ht="19.5" thickBot="1">
      <c r="I40" s="43"/>
      <c r="J40" s="14"/>
      <c r="K40" s="14"/>
      <c r="L40" s="16" t="str">
        <f>IF(J40=$Q$7,K44-K40,"-")</f>
        <v>-</v>
      </c>
      <c r="M40" s="14"/>
      <c r="N40" s="30">
        <f>-1*IFERROR(VLOOKUP(J40,$Q$7:$R$12,2,FALSE),"0")</f>
        <v>0</v>
      </c>
      <c r="O40" s="29"/>
    </row>
    <row r="41" spans="2:15" ht="20.25" thickTop="1" thickBot="1">
      <c r="B41" s="40" t="s">
        <v>125</v>
      </c>
      <c r="C41" s="45"/>
      <c r="D41" s="45"/>
      <c r="E41" s="45"/>
      <c r="F41" s="45"/>
      <c r="G41" s="41"/>
      <c r="I41" s="43"/>
      <c r="J41" s="13" t="s">
        <v>108</v>
      </c>
      <c r="K41" s="16">
        <f>IF(K30+COUNTIF(J36:J40,$Q$8)*2+L41&gt;30,30,K30+COUNTIF(J36:J40,$Q$8)*2+L41)</f>
        <v>0</v>
      </c>
      <c r="L41" s="14">
        <v>0</v>
      </c>
      <c r="M41" s="13" t="s">
        <v>99</v>
      </c>
      <c r="N41" s="31">
        <v>0</v>
      </c>
      <c r="O41" s="29"/>
    </row>
    <row r="42" spans="2:15" ht="20.25" thickTop="1" thickBot="1">
      <c r="B42" s="40" t="s">
        <v>127</v>
      </c>
      <c r="C42" s="41"/>
      <c r="D42" s="30">
        <f>N9+N20+N31+N42+N53+N64+N75+N86</f>
        <v>0</v>
      </c>
      <c r="E42" s="40" t="s">
        <v>121</v>
      </c>
      <c r="F42" s="41"/>
      <c r="G42" s="28">
        <f>COUNTIF(J:J,$Q$7)</f>
        <v>0</v>
      </c>
      <c r="I42" s="43"/>
      <c r="J42" s="13" t="s">
        <v>109</v>
      </c>
      <c r="K42" s="16">
        <f>IF(K31+COUNTIF(J36:J40,$Q$9)*3+L42&gt;20,20,K31+COUNTIF(J36:J40,$Q$9)*3+L42)</f>
        <v>0</v>
      </c>
      <c r="L42" s="14">
        <v>0</v>
      </c>
      <c r="M42" s="13" t="s">
        <v>111</v>
      </c>
      <c r="N42" s="30">
        <f>SUM(K36:K40)*100</f>
        <v>0</v>
      </c>
      <c r="O42" s="29"/>
    </row>
    <row r="43" spans="2:15" ht="20.25" thickTop="1" thickBot="1">
      <c r="B43" s="40" t="s">
        <v>126</v>
      </c>
      <c r="C43" s="41"/>
      <c r="D43" s="30">
        <f>N10+N21+N32+N43+N54+N65+N76+N87-500</f>
        <v>-1300</v>
      </c>
      <c r="E43" s="40" t="s">
        <v>122</v>
      </c>
      <c r="F43" s="41"/>
      <c r="G43" s="28">
        <f>SUM(L14:L18)+SUM(L25:L29)+SUM(L36:L40)+SUM(L47:L51)+SUM(L58:L62)+SUM(L69:L73)+SUM(L80:L84)+SUM(L3:L7)</f>
        <v>0</v>
      </c>
      <c r="I43" s="43"/>
      <c r="J43" s="13" t="s">
        <v>110</v>
      </c>
      <c r="K43" s="16">
        <f>K32+COUNTIF(J36:J40,$Q$10)+L43</f>
        <v>0</v>
      </c>
      <c r="L43" s="14">
        <v>0</v>
      </c>
      <c r="M43" s="13" t="s">
        <v>112</v>
      </c>
      <c r="N43" s="30">
        <f>N42+SUM(N36:N41)-100-100*K45-100*L45</f>
        <v>-100</v>
      </c>
      <c r="O43" s="29"/>
    </row>
    <row r="44" spans="2:15" ht="20.25" thickTop="1" thickBot="1">
      <c r="B44" s="40" t="s">
        <v>118</v>
      </c>
      <c r="C44" s="41"/>
      <c r="D44" s="30">
        <f>N11+N22+N33+N44+N55+N66+N77+N88</f>
        <v>0</v>
      </c>
      <c r="E44" s="40" t="s">
        <v>131</v>
      </c>
      <c r="F44" s="41"/>
      <c r="G44" s="33">
        <f>D44-D42</f>
        <v>0</v>
      </c>
      <c r="I44" s="43"/>
      <c r="J44" s="13" t="s">
        <v>102</v>
      </c>
      <c r="K44" s="46">
        <f>SUM(K41:K43)</f>
        <v>0</v>
      </c>
      <c r="L44" s="46"/>
      <c r="M44" s="13" t="s">
        <v>101</v>
      </c>
      <c r="N44" s="30">
        <f>(IF(M36="〇",K36,0)+IF(M37="〇",K37,0)+IF(M38="〇",K38,0)+IF(M39="〇",K39,0)+IF(M40="〇",K40,0))*100</f>
        <v>0</v>
      </c>
      <c r="O44" s="29"/>
    </row>
    <row r="45" spans="2:15" ht="20.25" thickTop="1" thickBot="1">
      <c r="B45" s="40" t="s">
        <v>119</v>
      </c>
      <c r="C45" s="41"/>
      <c r="D45" s="30">
        <f>N12+N23+N34+N45+N56+N67+N78+N89-500</f>
        <v>-1300</v>
      </c>
      <c r="E45" s="40" t="s">
        <v>130</v>
      </c>
      <c r="F45" s="41"/>
      <c r="G45" s="33">
        <f>D45-D43</f>
        <v>0</v>
      </c>
      <c r="I45" s="44"/>
      <c r="J45" s="13" t="s">
        <v>113</v>
      </c>
      <c r="K45" s="27">
        <v>0</v>
      </c>
      <c r="L45" s="27">
        <v>0</v>
      </c>
      <c r="M45" s="13" t="s">
        <v>103</v>
      </c>
      <c r="N45" s="30">
        <f>N44+SUM(N36:N41)-100-100*K45-100*L45</f>
        <v>-100</v>
      </c>
      <c r="O45" s="29"/>
    </row>
    <row r="46" spans="2:15" ht="20.25" thickTop="1" thickBot="1">
      <c r="I46" s="42" t="s">
        <v>114</v>
      </c>
      <c r="J46" s="13" t="s">
        <v>88</v>
      </c>
      <c r="K46" s="13" t="s">
        <v>89</v>
      </c>
      <c r="L46" s="13" t="s">
        <v>90</v>
      </c>
      <c r="M46" s="13" t="s">
        <v>91</v>
      </c>
      <c r="N46" s="13" t="s">
        <v>120</v>
      </c>
      <c r="O46" s="13" t="s">
        <v>92</v>
      </c>
    </row>
    <row r="47" spans="2:15" ht="20.25" thickTop="1" thickBot="1">
      <c r="B47" s="40" t="s">
        <v>132</v>
      </c>
      <c r="C47" s="41"/>
      <c r="D47" s="33">
        <f>1000+$N$12</f>
        <v>900</v>
      </c>
      <c r="E47" s="40" t="s">
        <v>136</v>
      </c>
      <c r="F47" s="41"/>
      <c r="G47" s="33">
        <f>D50+N56</f>
        <v>500</v>
      </c>
      <c r="I47" s="43"/>
      <c r="J47" s="14"/>
      <c r="K47" s="14"/>
      <c r="L47" s="16" t="str">
        <f>IF(J47=$Q$7,K55-K47,"")</f>
        <v/>
      </c>
      <c r="M47" s="14"/>
      <c r="N47" s="30">
        <f>-1*IFERROR(VLOOKUP(J47,$Q$7:$R$12,2,FALSE),"0")</f>
        <v>0</v>
      </c>
      <c r="O47" s="29"/>
    </row>
    <row r="48" spans="2:15" ht="20.25" thickTop="1" thickBot="1">
      <c r="B48" s="40" t="s">
        <v>133</v>
      </c>
      <c r="C48" s="41"/>
      <c r="D48" s="33">
        <f>D47+$N$23</f>
        <v>800</v>
      </c>
      <c r="E48" s="40" t="s">
        <v>137</v>
      </c>
      <c r="F48" s="41"/>
      <c r="G48" s="33">
        <f>G47+N67</f>
        <v>400</v>
      </c>
      <c r="I48" s="43"/>
      <c r="J48" s="14"/>
      <c r="K48" s="14"/>
      <c r="L48" s="16" t="str">
        <f>IF(J48=$Q$7,K55-K48,"")</f>
        <v/>
      </c>
      <c r="M48" s="14"/>
      <c r="N48" s="30">
        <f t="shared" ref="N48:N50" si="4">-1*IFERROR(VLOOKUP(J48,$Q$7:$R$12,2,FALSE),"0")</f>
        <v>0</v>
      </c>
      <c r="O48" s="29"/>
    </row>
    <row r="49" spans="2:15" ht="20.25" thickTop="1" thickBot="1">
      <c r="B49" s="40" t="s">
        <v>134</v>
      </c>
      <c r="C49" s="41"/>
      <c r="D49" s="33">
        <f>D48+$N$34</f>
        <v>700</v>
      </c>
      <c r="E49" s="40" t="s">
        <v>138</v>
      </c>
      <c r="F49" s="41"/>
      <c r="G49" s="33">
        <f>G48+N78</f>
        <v>300</v>
      </c>
      <c r="I49" s="43"/>
      <c r="J49" s="14"/>
      <c r="K49" s="14"/>
      <c r="L49" s="16" t="str">
        <f>IF(J49=$Q$7,K55-K49,"-")</f>
        <v>-</v>
      </c>
      <c r="M49" s="14"/>
      <c r="N49" s="30">
        <f t="shared" si="4"/>
        <v>0</v>
      </c>
      <c r="O49" s="29"/>
    </row>
    <row r="50" spans="2:15" ht="20.25" thickTop="1" thickBot="1">
      <c r="B50" s="40" t="s">
        <v>135</v>
      </c>
      <c r="C50" s="41"/>
      <c r="D50" s="33">
        <f>D49+$N$45</f>
        <v>600</v>
      </c>
      <c r="E50" s="40" t="s">
        <v>139</v>
      </c>
      <c r="F50" s="41"/>
      <c r="G50" s="33">
        <f>G49+N89-1500</f>
        <v>-1300</v>
      </c>
      <c r="I50" s="43"/>
      <c r="J50" s="14"/>
      <c r="K50" s="14"/>
      <c r="L50" s="16" t="str">
        <f>IF(J50=$Q$7,K55-K50,"-")</f>
        <v>-</v>
      </c>
      <c r="M50" s="14"/>
      <c r="N50" s="30">
        <f t="shared" si="4"/>
        <v>0</v>
      </c>
      <c r="O50" s="29"/>
    </row>
    <row r="51" spans="2:15" ht="20.25" thickTop="1" thickBot="1">
      <c r="I51" s="43"/>
      <c r="J51" s="14"/>
      <c r="K51" s="14"/>
      <c r="L51" s="16" t="str">
        <f>IF(J51=$Q$7,K55-K51,"-")</f>
        <v>-</v>
      </c>
      <c r="M51" s="14"/>
      <c r="N51" s="30">
        <f>-1*IFERROR(VLOOKUP(J51,$Q$7:$R$12,2,FALSE),"0")</f>
        <v>0</v>
      </c>
      <c r="O51" s="29"/>
    </row>
    <row r="52" spans="2:15" ht="20.25" thickTop="1" thickBot="1">
      <c r="I52" s="43"/>
      <c r="J52" s="13" t="s">
        <v>108</v>
      </c>
      <c r="K52" s="16">
        <f>IF(K41+COUNTIF(J47:J51,$Q$8)*2+L52&gt;30,30,K41+COUNTIF(J47:J51,$Q$8)*2+L52)</f>
        <v>0</v>
      </c>
      <c r="L52" s="14">
        <v>0</v>
      </c>
      <c r="M52" s="13" t="s">
        <v>99</v>
      </c>
      <c r="N52" s="31">
        <v>0</v>
      </c>
      <c r="O52" s="29"/>
    </row>
    <row r="53" spans="2:15" ht="20.25" thickTop="1" thickBot="1">
      <c r="I53" s="43"/>
      <c r="J53" s="13" t="s">
        <v>109</v>
      </c>
      <c r="K53" s="16">
        <f>IF(K42+COUNTIF(J47:J51,$Q$9)*3+L53&gt;20,20,K42+COUNTIF(J47:J51,$Q$9)*3+L53)</f>
        <v>0</v>
      </c>
      <c r="L53" s="14">
        <v>0</v>
      </c>
      <c r="M53" s="13" t="s">
        <v>111</v>
      </c>
      <c r="N53" s="30">
        <f>SUM(K47:K51)*100</f>
        <v>0</v>
      </c>
      <c r="O53" s="29"/>
    </row>
    <row r="54" spans="2:15" ht="20.25" thickTop="1" thickBot="1">
      <c r="I54" s="43"/>
      <c r="J54" s="13" t="s">
        <v>110</v>
      </c>
      <c r="K54" s="16">
        <f>K43+COUNTIF(J47:J51,$Q$10)+L54</f>
        <v>0</v>
      </c>
      <c r="L54" s="14">
        <v>0</v>
      </c>
      <c r="M54" s="13" t="s">
        <v>112</v>
      </c>
      <c r="N54" s="30">
        <f>N53+SUM(N47:N52)-100-100*K56-100*L56</f>
        <v>-100</v>
      </c>
      <c r="O54" s="29"/>
    </row>
    <row r="55" spans="2:15" ht="20.25" thickTop="1" thickBot="1">
      <c r="I55" s="43"/>
      <c r="J55" s="13" t="s">
        <v>102</v>
      </c>
      <c r="K55" s="46">
        <f>SUM(K52:K54)</f>
        <v>0</v>
      </c>
      <c r="L55" s="46"/>
      <c r="M55" s="13" t="s">
        <v>101</v>
      </c>
      <c r="N55" s="30">
        <f>(IF(M47="〇",K47,0)+IF(M48="〇",K48,0)+IF(M49="〇",K49,0)+IF(M50="〇",K50,0)+IF(M51="〇",K51,0))*100</f>
        <v>0</v>
      </c>
      <c r="O55" s="29"/>
    </row>
    <row r="56" spans="2:15" ht="20.25" thickTop="1" thickBot="1">
      <c r="I56" s="44"/>
      <c r="J56" s="13" t="s">
        <v>113</v>
      </c>
      <c r="K56" s="27">
        <v>0</v>
      </c>
      <c r="L56" s="27">
        <v>0</v>
      </c>
      <c r="M56" s="13" t="s">
        <v>103</v>
      </c>
      <c r="N56" s="30">
        <f>N55+SUM(N47:N52)-100-100*K56-100*L56</f>
        <v>-100</v>
      </c>
      <c r="O56" s="29"/>
    </row>
    <row r="57" spans="2:15" ht="20.25" thickTop="1" thickBot="1">
      <c r="I57" s="42" t="s">
        <v>115</v>
      </c>
      <c r="J57" s="13" t="s">
        <v>88</v>
      </c>
      <c r="K57" s="13" t="s">
        <v>89</v>
      </c>
      <c r="L57" s="13" t="s">
        <v>90</v>
      </c>
      <c r="M57" s="13" t="s">
        <v>91</v>
      </c>
      <c r="N57" s="13" t="s">
        <v>120</v>
      </c>
      <c r="O57" s="13" t="s">
        <v>92</v>
      </c>
    </row>
    <row r="58" spans="2:15" ht="19.5" thickTop="1">
      <c r="I58" s="43"/>
      <c r="J58" s="14"/>
      <c r="K58" s="14"/>
      <c r="L58" s="16" t="str">
        <f>IF(J58=$Q$7,K66-K58,"")</f>
        <v/>
      </c>
      <c r="M58" s="14"/>
      <c r="N58" s="30">
        <f>-1*IFERROR(VLOOKUP(J58,$Q$7:$R$12,2,FALSE),"0")</f>
        <v>0</v>
      </c>
      <c r="O58" s="29"/>
    </row>
    <row r="59" spans="2:15">
      <c r="I59" s="43"/>
      <c r="J59" s="14"/>
      <c r="K59" s="14"/>
      <c r="L59" s="16" t="str">
        <f>IF(J59=$Q$7,K66-K59,"")</f>
        <v/>
      </c>
      <c r="M59" s="14"/>
      <c r="N59" s="30">
        <f t="shared" ref="N59:N61" si="5">-1*IFERROR(VLOOKUP(J59,$Q$7:$R$12,2,FALSE),"0")</f>
        <v>0</v>
      </c>
      <c r="O59" s="29"/>
    </row>
    <row r="60" spans="2:15">
      <c r="I60" s="43"/>
      <c r="J60" s="14"/>
      <c r="K60" s="14"/>
      <c r="L60" s="16" t="str">
        <f>IF(J60=$Q$7,K66-K60,"-")</f>
        <v>-</v>
      </c>
      <c r="M60" s="14"/>
      <c r="N60" s="30">
        <f t="shared" si="5"/>
        <v>0</v>
      </c>
      <c r="O60" s="29"/>
    </row>
    <row r="61" spans="2:15">
      <c r="I61" s="43"/>
      <c r="J61" s="14"/>
      <c r="K61" s="14"/>
      <c r="L61" s="16" t="str">
        <f>IF(J61=$Q$7,K66-K61,"-")</f>
        <v>-</v>
      </c>
      <c r="M61" s="14"/>
      <c r="N61" s="30">
        <f t="shared" si="5"/>
        <v>0</v>
      </c>
      <c r="O61" s="29"/>
    </row>
    <row r="62" spans="2:15" ht="19.5" thickBot="1">
      <c r="I62" s="43"/>
      <c r="J62" s="14"/>
      <c r="K62" s="14"/>
      <c r="L62" s="16" t="str">
        <f>IF(J62=$Q$7,K66-K62,"-")</f>
        <v>-</v>
      </c>
      <c r="M62" s="14"/>
      <c r="N62" s="30">
        <f>-1*IFERROR(VLOOKUP(J62,$Q$7:$R$12,2,FALSE),"0")</f>
        <v>0</v>
      </c>
      <c r="O62" s="29"/>
    </row>
    <row r="63" spans="2:15" ht="20.25" thickTop="1" thickBot="1">
      <c r="I63" s="43"/>
      <c r="J63" s="13" t="s">
        <v>108</v>
      </c>
      <c r="K63" s="16">
        <f>IF(K52+COUNTIF(J58:J62,$Q$8)*2+L63&gt;30,30,K52+COUNTIF(J58:J62,$Q$8)*2+L63)</f>
        <v>0</v>
      </c>
      <c r="L63" s="14">
        <v>0</v>
      </c>
      <c r="M63" s="13" t="s">
        <v>99</v>
      </c>
      <c r="N63" s="31">
        <v>0</v>
      </c>
      <c r="O63" s="29"/>
    </row>
    <row r="64" spans="2:15" ht="20.25" thickTop="1" thickBot="1">
      <c r="I64" s="43"/>
      <c r="J64" s="13" t="s">
        <v>109</v>
      </c>
      <c r="K64" s="16">
        <f>IF(K53+COUNTIF(J58:J62,$Q$9)*3+L64&gt;20,20,K53+COUNTIF(J58:J62,$Q$9)*3+L64)</f>
        <v>0</v>
      </c>
      <c r="L64" s="14">
        <v>0</v>
      </c>
      <c r="M64" s="13" t="s">
        <v>111</v>
      </c>
      <c r="N64" s="30">
        <f>SUM(K58:K62)*100</f>
        <v>0</v>
      </c>
      <c r="O64" s="29"/>
    </row>
    <row r="65" spans="9:15" ht="20.25" thickTop="1" thickBot="1">
      <c r="I65" s="43"/>
      <c r="J65" s="13" t="s">
        <v>110</v>
      </c>
      <c r="K65" s="16">
        <f>K54+COUNTIF(J58:J62,$Q$10)+L65</f>
        <v>0</v>
      </c>
      <c r="L65" s="14">
        <v>0</v>
      </c>
      <c r="M65" s="13" t="s">
        <v>112</v>
      </c>
      <c r="N65" s="30">
        <f>N64+SUM(N58:N63)-100-100*K67-100*L67</f>
        <v>-100</v>
      </c>
      <c r="O65" s="29"/>
    </row>
    <row r="66" spans="9:15" ht="20.25" thickTop="1" thickBot="1">
      <c r="I66" s="43"/>
      <c r="J66" s="13" t="s">
        <v>102</v>
      </c>
      <c r="K66" s="46">
        <f>SUM(K63:K65)</f>
        <v>0</v>
      </c>
      <c r="L66" s="46"/>
      <c r="M66" s="13" t="s">
        <v>101</v>
      </c>
      <c r="N66" s="30">
        <f>(IF(M58="〇",K58,0)+IF(M59="〇",K59,0)+IF(M60="〇",K60,0)+IF(M61="〇",K61,0)+IF(M62="〇",K62,0))*100</f>
        <v>0</v>
      </c>
      <c r="O66" s="29"/>
    </row>
    <row r="67" spans="9:15" ht="20.25" thickTop="1" thickBot="1">
      <c r="I67" s="44"/>
      <c r="J67" s="13" t="s">
        <v>113</v>
      </c>
      <c r="K67" s="27">
        <v>0</v>
      </c>
      <c r="L67" s="27">
        <v>0</v>
      </c>
      <c r="M67" s="13" t="s">
        <v>103</v>
      </c>
      <c r="N67" s="30">
        <f>N66+SUM(N58:N63)-100-100*K67-100*L67</f>
        <v>-100</v>
      </c>
      <c r="O67" s="29"/>
    </row>
    <row r="68" spans="9:15" ht="20.25" thickTop="1" thickBot="1">
      <c r="I68" s="42" t="s">
        <v>116</v>
      </c>
      <c r="J68" s="13" t="s">
        <v>88</v>
      </c>
      <c r="K68" s="13" t="s">
        <v>89</v>
      </c>
      <c r="L68" s="13" t="s">
        <v>90</v>
      </c>
      <c r="M68" s="13" t="s">
        <v>91</v>
      </c>
      <c r="N68" s="13" t="s">
        <v>120</v>
      </c>
      <c r="O68" s="13" t="s">
        <v>92</v>
      </c>
    </row>
    <row r="69" spans="9:15" ht="19.5" thickTop="1">
      <c r="I69" s="43"/>
      <c r="J69" s="14"/>
      <c r="K69" s="14"/>
      <c r="L69" s="16" t="str">
        <f>IF(J69=$Q$7,K77-K69,"")</f>
        <v/>
      </c>
      <c r="M69" s="14"/>
      <c r="N69" s="30">
        <f>-1*IFERROR(VLOOKUP(J69,$Q$7:$R$12,2,FALSE),"0")</f>
        <v>0</v>
      </c>
      <c r="O69" s="29"/>
    </row>
    <row r="70" spans="9:15">
      <c r="I70" s="43"/>
      <c r="J70" s="14"/>
      <c r="K70" s="14"/>
      <c r="L70" s="16" t="str">
        <f>IF(J70=$Q$7,K77-K70,"")</f>
        <v/>
      </c>
      <c r="M70" s="14"/>
      <c r="N70" s="30">
        <f t="shared" ref="N70:N72" si="6">-1*IFERROR(VLOOKUP(J70,$Q$7:$R$12,2,FALSE),"0")</f>
        <v>0</v>
      </c>
      <c r="O70" s="29"/>
    </row>
    <row r="71" spans="9:15">
      <c r="I71" s="43"/>
      <c r="J71" s="14"/>
      <c r="K71" s="14"/>
      <c r="L71" s="16" t="str">
        <f>IF(J71=$Q$7,K77-K71,"-")</f>
        <v>-</v>
      </c>
      <c r="M71" s="14"/>
      <c r="N71" s="30">
        <f t="shared" si="6"/>
        <v>0</v>
      </c>
      <c r="O71" s="29"/>
    </row>
    <row r="72" spans="9:15">
      <c r="I72" s="43"/>
      <c r="J72" s="14"/>
      <c r="K72" s="14"/>
      <c r="L72" s="16" t="str">
        <f>IF(J72=$Q$7,K77-K72,"-")</f>
        <v>-</v>
      </c>
      <c r="M72" s="14"/>
      <c r="N72" s="30">
        <f t="shared" si="6"/>
        <v>0</v>
      </c>
      <c r="O72" s="29"/>
    </row>
    <row r="73" spans="9:15" ht="19.5" thickBot="1">
      <c r="I73" s="43"/>
      <c r="J73" s="14"/>
      <c r="K73" s="14"/>
      <c r="L73" s="16" t="str">
        <f>IF(J73=$Q$7,K77-K73,"-")</f>
        <v>-</v>
      </c>
      <c r="M73" s="14"/>
      <c r="N73" s="30">
        <f>-1*IFERROR(VLOOKUP(J73,$Q$7:$R$12,2,FALSE),"0")</f>
        <v>0</v>
      </c>
      <c r="O73" s="29"/>
    </row>
    <row r="74" spans="9:15" ht="20.25" thickTop="1" thickBot="1">
      <c r="I74" s="43"/>
      <c r="J74" s="13" t="s">
        <v>108</v>
      </c>
      <c r="K74" s="16">
        <f>IF(K63+COUNTIF(J69:J73,$Q$8)*2+L74&gt;30,30,K63+COUNTIF(J69:J73,$Q$8)*2+L74)</f>
        <v>0</v>
      </c>
      <c r="L74" s="14">
        <v>0</v>
      </c>
      <c r="M74" s="13" t="s">
        <v>99</v>
      </c>
      <c r="N74" s="31">
        <v>0</v>
      </c>
      <c r="O74" s="29"/>
    </row>
    <row r="75" spans="9:15" ht="20.25" thickTop="1" thickBot="1">
      <c r="I75" s="43"/>
      <c r="J75" s="13" t="s">
        <v>109</v>
      </c>
      <c r="K75" s="16">
        <f>IF(K64+COUNTIF(J69:J73,$Q$9)*3+L75&gt;20,20,K64+COUNTIF(J69:J73,$Q$9)*3+L75)</f>
        <v>0</v>
      </c>
      <c r="L75" s="14">
        <v>0</v>
      </c>
      <c r="M75" s="13" t="s">
        <v>111</v>
      </c>
      <c r="N75" s="30">
        <f>SUM(K69:K73)*100</f>
        <v>0</v>
      </c>
      <c r="O75" s="29"/>
    </row>
    <row r="76" spans="9:15" ht="20.25" thickTop="1" thickBot="1">
      <c r="I76" s="43"/>
      <c r="J76" s="13" t="s">
        <v>110</v>
      </c>
      <c r="K76" s="16">
        <f>K65+COUNTIF(J69:J73,$Q$10)+L76</f>
        <v>0</v>
      </c>
      <c r="L76" s="14">
        <v>0</v>
      </c>
      <c r="M76" s="13" t="s">
        <v>112</v>
      </c>
      <c r="N76" s="30">
        <f>N75+SUM(N69:N74)-100-100*K78-100*L78</f>
        <v>-100</v>
      </c>
      <c r="O76" s="29"/>
    </row>
    <row r="77" spans="9:15" ht="20.25" thickTop="1" thickBot="1">
      <c r="I77" s="43"/>
      <c r="J77" s="13" t="s">
        <v>102</v>
      </c>
      <c r="K77" s="46">
        <f>SUM(K74:K76)</f>
        <v>0</v>
      </c>
      <c r="L77" s="46"/>
      <c r="M77" s="13" t="s">
        <v>101</v>
      </c>
      <c r="N77" s="30">
        <f>(IF(M69="〇",K69,0)+IF(M70="〇",K70,0)+IF(M71="〇",K71,0)+IF(M72="〇",K72,0)+IF(M73="〇",K73,0))*100</f>
        <v>0</v>
      </c>
      <c r="O77" s="29"/>
    </row>
    <row r="78" spans="9:15" ht="20.25" thickTop="1" thickBot="1">
      <c r="I78" s="44"/>
      <c r="J78" s="13" t="s">
        <v>113</v>
      </c>
      <c r="K78" s="27">
        <v>0</v>
      </c>
      <c r="L78" s="27">
        <v>0</v>
      </c>
      <c r="M78" s="13" t="s">
        <v>103</v>
      </c>
      <c r="N78" s="30">
        <f>N77+SUM(N69:N74)-100-100*K78-100*L78</f>
        <v>-100</v>
      </c>
      <c r="O78" s="29"/>
    </row>
    <row r="79" spans="9:15" ht="20.25" thickTop="1" thickBot="1">
      <c r="I79" s="42" t="s">
        <v>117</v>
      </c>
      <c r="J79" s="13" t="s">
        <v>88</v>
      </c>
      <c r="K79" s="13" t="s">
        <v>89</v>
      </c>
      <c r="L79" s="13" t="s">
        <v>90</v>
      </c>
      <c r="M79" s="13" t="s">
        <v>91</v>
      </c>
      <c r="N79" s="13" t="s">
        <v>120</v>
      </c>
      <c r="O79" s="13" t="s">
        <v>92</v>
      </c>
    </row>
    <row r="80" spans="9:15" ht="19.5" thickTop="1">
      <c r="I80" s="43"/>
      <c r="J80" s="14"/>
      <c r="K80" s="14"/>
      <c r="L80" s="16" t="str">
        <f>IF(J80=$Q$7,K88-K80,"")</f>
        <v/>
      </c>
      <c r="M80" s="14"/>
      <c r="N80" s="30">
        <f>-1*IFERROR(VLOOKUP(J80,$Q$7:$R$12,2,FALSE),"0")</f>
        <v>0</v>
      </c>
      <c r="O80" s="29"/>
    </row>
    <row r="81" spans="9:15">
      <c r="I81" s="43"/>
      <c r="J81" s="14"/>
      <c r="K81" s="14"/>
      <c r="L81" s="16" t="str">
        <f>IF(J81=$Q$7,K88-K81,"")</f>
        <v/>
      </c>
      <c r="M81" s="14"/>
      <c r="N81" s="30">
        <f t="shared" ref="N81:N83" si="7">-1*IFERROR(VLOOKUP(J81,$Q$7:$R$12,2,FALSE),"0")</f>
        <v>0</v>
      </c>
      <c r="O81" s="29"/>
    </row>
    <row r="82" spans="9:15">
      <c r="I82" s="43"/>
      <c r="J82" s="14"/>
      <c r="K82" s="14"/>
      <c r="L82" s="16" t="str">
        <f>IF(J82=$Q$7,K88-K82,"-")</f>
        <v>-</v>
      </c>
      <c r="M82" s="14"/>
      <c r="N82" s="30">
        <f t="shared" si="7"/>
        <v>0</v>
      </c>
      <c r="O82" s="29"/>
    </row>
    <row r="83" spans="9:15">
      <c r="I83" s="43"/>
      <c r="J83" s="14"/>
      <c r="K83" s="14"/>
      <c r="L83" s="16" t="str">
        <f>IF(J83=$Q$7,K88-K83,"-")</f>
        <v>-</v>
      </c>
      <c r="M83" s="14"/>
      <c r="N83" s="30">
        <f t="shared" si="7"/>
        <v>0</v>
      </c>
      <c r="O83" s="29"/>
    </row>
    <row r="84" spans="9:15" ht="19.5" thickBot="1">
      <c r="I84" s="43"/>
      <c r="J84" s="14"/>
      <c r="K84" s="14"/>
      <c r="L84" s="16" t="str">
        <f>IF(J84=$Q$7,K88-K84,"-")</f>
        <v>-</v>
      </c>
      <c r="M84" s="14"/>
      <c r="N84" s="30">
        <f>-1*IFERROR(VLOOKUP(J84,$Q$7:$R$12,2,FALSE),"0")</f>
        <v>0</v>
      </c>
      <c r="O84" s="29"/>
    </row>
    <row r="85" spans="9:15" ht="20.25" thickTop="1" thickBot="1">
      <c r="I85" s="43"/>
      <c r="J85" s="13" t="s">
        <v>108</v>
      </c>
      <c r="K85" s="16">
        <f>IF(K74+COUNTIF(J80:J84,$Q$8)*2+L85&gt;30,30,K74+COUNTIF(J80:J84,$Q$8)*2+L85)</f>
        <v>0</v>
      </c>
      <c r="L85" s="14">
        <v>0</v>
      </c>
      <c r="M85" s="13" t="s">
        <v>99</v>
      </c>
      <c r="N85" s="31">
        <v>0</v>
      </c>
      <c r="O85" s="29"/>
    </row>
    <row r="86" spans="9:15" ht="20.25" thickTop="1" thickBot="1">
      <c r="I86" s="43"/>
      <c r="J86" s="13" t="s">
        <v>109</v>
      </c>
      <c r="K86" s="16">
        <f>IF(K75+COUNTIF(J80:J84,$Q$9)*3+L86&gt;20,20,K75+COUNTIF(J80:J84,$Q$9)*3+L86)</f>
        <v>0</v>
      </c>
      <c r="L86" s="14">
        <v>0</v>
      </c>
      <c r="M86" s="13" t="s">
        <v>111</v>
      </c>
      <c r="N86" s="30">
        <f>SUM(K80:K84)*100</f>
        <v>0</v>
      </c>
      <c r="O86" s="29"/>
    </row>
    <row r="87" spans="9:15" ht="20.25" thickTop="1" thickBot="1">
      <c r="I87" s="43"/>
      <c r="J87" s="13" t="s">
        <v>110</v>
      </c>
      <c r="K87" s="16">
        <f>K76+COUNTIF(J80:J84,$Q$10)+L87</f>
        <v>0</v>
      </c>
      <c r="L87" s="14">
        <v>0</v>
      </c>
      <c r="M87" s="13" t="s">
        <v>112</v>
      </c>
      <c r="N87" s="30">
        <f>N86+SUM(N80:N85)-100-100*K89-100*L89</f>
        <v>-100</v>
      </c>
      <c r="O87" s="29"/>
    </row>
    <row r="88" spans="9:15" ht="20.25" thickTop="1" thickBot="1">
      <c r="I88" s="43"/>
      <c r="J88" s="13" t="s">
        <v>102</v>
      </c>
      <c r="K88" s="46">
        <f>SUM(K85:K87)</f>
        <v>0</v>
      </c>
      <c r="L88" s="46"/>
      <c r="M88" s="13" t="s">
        <v>101</v>
      </c>
      <c r="N88" s="30">
        <f>(IF(M80="〇",K80,0)+IF(M81="〇",K81,0)+IF(M82="〇",K82,0)+IF(M83="〇",K83,0)+IF(M84="〇",K84,0))*100</f>
        <v>0</v>
      </c>
      <c r="O88" s="29"/>
    </row>
    <row r="89" spans="9:15" ht="20.25" thickTop="1" thickBot="1">
      <c r="I89" s="44"/>
      <c r="J89" s="13" t="s">
        <v>113</v>
      </c>
      <c r="K89" s="27">
        <v>0</v>
      </c>
      <c r="L89" s="27">
        <v>0</v>
      </c>
      <c r="M89" s="13" t="s">
        <v>103</v>
      </c>
      <c r="N89" s="30">
        <f>N88+SUM(N80:N85)-100-100*K89-100*L89</f>
        <v>-100</v>
      </c>
      <c r="O89" s="29"/>
    </row>
    <row r="90" spans="9:15" ht="19.5" thickTop="1"/>
  </sheetData>
  <mergeCells count="67">
    <mergeCell ref="B2:G2"/>
    <mergeCell ref="B11:G11"/>
    <mergeCell ref="B9:G9"/>
    <mergeCell ref="C3:G3"/>
    <mergeCell ref="C4:G4"/>
    <mergeCell ref="B7:G7"/>
    <mergeCell ref="C6:G6"/>
    <mergeCell ref="B8:G8"/>
    <mergeCell ref="B17:G17"/>
    <mergeCell ref="B18:G18"/>
    <mergeCell ref="Q6:R6"/>
    <mergeCell ref="K11:L11"/>
    <mergeCell ref="B12:G12"/>
    <mergeCell ref="B15:G15"/>
    <mergeCell ref="B16:G16"/>
    <mergeCell ref="C10:G10"/>
    <mergeCell ref="C14:G14"/>
    <mergeCell ref="B13:G13"/>
    <mergeCell ref="I2:I12"/>
    <mergeCell ref="I13:I23"/>
    <mergeCell ref="K22:L22"/>
    <mergeCell ref="B21:C21"/>
    <mergeCell ref="B22:C22"/>
    <mergeCell ref="B20:G20"/>
    <mergeCell ref="I24:I34"/>
    <mergeCell ref="K33:L33"/>
    <mergeCell ref="K77:L77"/>
    <mergeCell ref="I79:I89"/>
    <mergeCell ref="K88:L88"/>
    <mergeCell ref="I35:I45"/>
    <mergeCell ref="K44:L44"/>
    <mergeCell ref="I46:I56"/>
    <mergeCell ref="K55:L55"/>
    <mergeCell ref="I57:I67"/>
    <mergeCell ref="K66:L66"/>
    <mergeCell ref="B24:C24"/>
    <mergeCell ref="B23:C23"/>
    <mergeCell ref="B45:C45"/>
    <mergeCell ref="B44:C44"/>
    <mergeCell ref="E44:F44"/>
    <mergeCell ref="E45:F45"/>
    <mergeCell ref="E28:F28"/>
    <mergeCell ref="E29:F29"/>
    <mergeCell ref="E21:F21"/>
    <mergeCell ref="I68:I78"/>
    <mergeCell ref="E43:F43"/>
    <mergeCell ref="B42:C42"/>
    <mergeCell ref="B43:C43"/>
    <mergeCell ref="B26:C26"/>
    <mergeCell ref="B27:C27"/>
    <mergeCell ref="E22:F22"/>
    <mergeCell ref="E23:F23"/>
    <mergeCell ref="E24:F24"/>
    <mergeCell ref="B41:G41"/>
    <mergeCell ref="E42:F42"/>
    <mergeCell ref="B28:C28"/>
    <mergeCell ref="B29:C29"/>
    <mergeCell ref="E26:F26"/>
    <mergeCell ref="E27:F27"/>
    <mergeCell ref="B50:C50"/>
    <mergeCell ref="E50:F50"/>
    <mergeCell ref="B47:C47"/>
    <mergeCell ref="E47:F47"/>
    <mergeCell ref="B48:C48"/>
    <mergeCell ref="E48:F48"/>
    <mergeCell ref="B49:C49"/>
    <mergeCell ref="E49:F49"/>
  </mergeCells>
  <phoneticPr fontId="1"/>
  <dataValidations count="2">
    <dataValidation type="list" allowBlank="1" showInputMessage="1" showErrorMessage="1" sqref="M3:M7 M14:M18 M25:M29 M36:M40 M47:M51 M58:M62 M69:M73 M80:M84" xr:uid="{671E582D-98EB-4FF5-8E1E-305535496FEA}">
      <formula1>"〇,×"</formula1>
    </dataValidation>
    <dataValidation type="list" allowBlank="1" showInputMessage="1" showErrorMessage="1" sqref="J3:J7 J14:J18 J25:J29 J36:J40 J80:J84 J69:J73 J58:J62 J47:J51" xr:uid="{91E7AAD8-3CFB-4935-AB6D-053FC765FD57}">
      <formula1>$Q$7:$Q$12</formula1>
    </dataValidation>
  </dataValidations>
  <pageMargins left="0.7" right="0.7" top="0.75" bottom="0.75" header="0.3" footer="0.3"/>
  <pageSetup paperSize="9" orientation="portrait" r:id="rId1"/>
  <ignoredErrors>
    <ignoredError sqref="D43:D44 D22:D2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BF9B9-9274-44A5-AB54-0797818F85DE}">
  <dimension ref="B1:V38"/>
  <sheetViews>
    <sheetView zoomScaleNormal="100" workbookViewId="0">
      <selection activeCell="B6" sqref="B6"/>
    </sheetView>
  </sheetViews>
  <sheetFormatPr defaultRowHeight="18.75"/>
  <cols>
    <col min="1" max="1" width="5.625" customWidth="1"/>
    <col min="2" max="2" width="20.625" style="21" customWidth="1"/>
    <col min="3" max="5" width="10.625" style="21" customWidth="1"/>
    <col min="6" max="6" width="5.625" style="21" customWidth="1"/>
    <col min="7" max="7" width="20.625" style="21" customWidth="1"/>
    <col min="8" max="10" width="10.625" style="21" customWidth="1"/>
    <col min="11" max="11" width="5.625" style="21" customWidth="1"/>
    <col min="12" max="12" width="10.625" style="21" customWidth="1"/>
    <col min="13" max="13" width="5.625" style="21" customWidth="1"/>
    <col min="14" max="14" width="10.625" style="21" customWidth="1"/>
    <col min="15" max="15" width="5.625" style="21" customWidth="1"/>
    <col min="16" max="16" width="10.625" style="21" customWidth="1"/>
    <col min="17" max="17" width="5.625" style="21" customWidth="1"/>
    <col min="18" max="18" width="5.625" customWidth="1"/>
    <col min="19" max="22" width="10.625" customWidth="1"/>
  </cols>
  <sheetData>
    <row r="1" spans="2:22" ht="19.5" thickBot="1"/>
    <row r="2" spans="2:22" s="26" customFormat="1" ht="20.25" thickTop="1" thickBot="1">
      <c r="B2" s="61" t="str">
        <f>"成熟市場："&amp;(M12+O12+Q12)</f>
        <v>成熟市場：0</v>
      </c>
      <c r="C2" s="62"/>
      <c r="D2" s="62"/>
      <c r="E2" s="63"/>
      <c r="F2" s="15" t="s">
        <v>71</v>
      </c>
      <c r="G2" s="64" t="str">
        <f>"成長市場："&amp;(M13+O13+Q13)</f>
        <v>成長市場：1</v>
      </c>
      <c r="H2" s="65"/>
      <c r="I2" s="65"/>
      <c r="J2" s="66"/>
      <c r="K2" s="15" t="s">
        <v>71</v>
      </c>
      <c r="L2" s="67" t="s">
        <v>61</v>
      </c>
      <c r="M2" s="67"/>
      <c r="N2" s="67"/>
      <c r="O2" s="25"/>
      <c r="P2" s="25"/>
      <c r="Q2" s="25"/>
      <c r="R2" s="25"/>
      <c r="S2" s="25"/>
      <c r="T2" s="25"/>
      <c r="U2" s="25"/>
      <c r="V2" s="25"/>
    </row>
    <row r="3" spans="2:22" ht="20.25" thickTop="1" thickBot="1">
      <c r="B3" s="34" t="s">
        <v>72</v>
      </c>
      <c r="C3" s="16">
        <f>IF(B5="大企業",IF(M12=1,1,IF(M12=0,0,2)),M12)</f>
        <v>0</v>
      </c>
      <c r="D3" s="13" t="s">
        <v>140</v>
      </c>
      <c r="E3" s="16" t="str">
        <f>IF(AND($S$25&lt;=F3,F3&lt;$T$25),$U$25,IF(AND($S$24&lt;=F3,F3&lt;$T$24),$U$24,IF(AND($S$23&lt;=F3,F3&lt;$T$23),$U$23,IF(AND($S$22&lt;=F3,F3&lt;$T$22),$U$22,IF(AND($S$21&lt;=F3,F3&lt;$T$21),$U$21,"-")))))</f>
        <v>失望</v>
      </c>
      <c r="F3" s="15">
        <f>10*COUNTIFS(B5:B14,"&lt;&gt;",E5:E14,"成立")+5*SUMIF(E5:E14,"成立",D5:D14)-10*COUNTIFS(B5:B14,"",E5:E14,"成立")</f>
        <v>0</v>
      </c>
      <c r="G3" s="35" t="s">
        <v>75</v>
      </c>
      <c r="H3" s="16">
        <f>IF(G5="大企業",IF(M13=1,1,IF(M13=0,0,M13)),M13)</f>
        <v>1</v>
      </c>
      <c r="I3" s="13" t="s">
        <v>140</v>
      </c>
      <c r="J3" s="16" t="str">
        <f>IF(AND($S$25&lt;=K3,K3&lt;$T$25),$U$25,IF(AND($S$24&lt;=K3,K3&lt;$T$24),$U$24,IF(AND($S$23&lt;=K3,K3&lt;$T$23),$U$23,IF(AND($S$22&lt;=K3,K3&lt;$T$22),$U$22,IF(AND($S$21&lt;=K3,K3&lt;$T$21),$U$21,"-")))))</f>
        <v>失望</v>
      </c>
      <c r="K3" s="15">
        <f>10*COUNTIFS(G5:G14,"&lt;&gt;",J5:J14,"成立")+5*SUMIF(J5:J14,"成立",I5:I14)-10*COUNTIFS(G5:G14,"",J5:J14,"成立")</f>
        <v>-10</v>
      </c>
      <c r="L3" s="46" t="s">
        <v>30</v>
      </c>
      <c r="M3" s="46"/>
      <c r="N3" s="46"/>
      <c r="O3" s="15"/>
      <c r="P3" s="13" t="s">
        <v>80</v>
      </c>
      <c r="Q3" s="15"/>
      <c r="R3" s="15"/>
      <c r="S3" s="15"/>
      <c r="T3" s="15"/>
      <c r="U3" s="15"/>
      <c r="V3" s="15"/>
    </row>
    <row r="4" spans="2:22" ht="19.5" customHeight="1" thickTop="1" thickBot="1">
      <c r="B4" s="17" t="s">
        <v>85</v>
      </c>
      <c r="C4" s="17" t="s">
        <v>26</v>
      </c>
      <c r="D4" s="17" t="s">
        <v>27</v>
      </c>
      <c r="E4" s="18" t="s">
        <v>63</v>
      </c>
      <c r="F4" s="15"/>
      <c r="G4" s="17" t="s">
        <v>85</v>
      </c>
      <c r="H4" s="17" t="s">
        <v>26</v>
      </c>
      <c r="I4" s="17" t="s">
        <v>27</v>
      </c>
      <c r="J4" s="18" t="s">
        <v>63</v>
      </c>
      <c r="K4" s="15"/>
      <c r="L4" s="68"/>
      <c r="M4" s="69"/>
      <c r="N4" s="70"/>
      <c r="O4" s="15"/>
      <c r="P4" s="14" t="s">
        <v>79</v>
      </c>
      <c r="Q4" s="15"/>
      <c r="R4" s="15"/>
      <c r="S4" s="15"/>
      <c r="T4" s="15"/>
      <c r="U4" s="15"/>
      <c r="V4" s="15"/>
    </row>
    <row r="5" spans="2:22" ht="19.5" thickTop="1">
      <c r="B5" s="14" t="s">
        <v>0</v>
      </c>
      <c r="C5" s="14">
        <v>20</v>
      </c>
      <c r="D5" s="14">
        <v>80</v>
      </c>
      <c r="E5" s="20" t="str">
        <f>IF(F5&gt;=0,"成立","不成立")</f>
        <v>不成立</v>
      </c>
      <c r="F5" s="15">
        <f>C3-1</f>
        <v>-1</v>
      </c>
      <c r="G5" s="14"/>
      <c r="H5" s="14"/>
      <c r="I5" s="14"/>
      <c r="J5" s="20" t="str">
        <f>IF(K5&gt;=0,"成立","不成立")</f>
        <v>成立</v>
      </c>
      <c r="K5" s="15">
        <f>H3-1</f>
        <v>0</v>
      </c>
      <c r="L5" s="68"/>
      <c r="M5" s="69"/>
      <c r="N5" s="70"/>
      <c r="O5" s="15"/>
      <c r="P5" s="16" t="s">
        <v>81</v>
      </c>
      <c r="Q5" s="15"/>
      <c r="R5" s="15"/>
      <c r="S5" s="15"/>
      <c r="T5" s="15"/>
      <c r="U5" s="15"/>
      <c r="V5" s="15"/>
    </row>
    <row r="6" spans="2:22">
      <c r="B6" s="14"/>
      <c r="C6" s="14"/>
      <c r="D6" s="14"/>
      <c r="E6" s="20" t="str">
        <f t="shared" ref="E6:E14" si="0">IF(F6&gt;=0,"成立","不成立")</f>
        <v>不成立</v>
      </c>
      <c r="F6" s="15">
        <f>F5-1</f>
        <v>-2</v>
      </c>
      <c r="G6" s="14"/>
      <c r="H6" s="14"/>
      <c r="I6" s="14"/>
      <c r="J6" s="20" t="str">
        <f t="shared" ref="J6:J14" si="1">IF(K6&gt;=0,"成立","不成立")</f>
        <v>不成立</v>
      </c>
      <c r="K6" s="15">
        <f>K5-1</f>
        <v>-1</v>
      </c>
      <c r="L6" s="60"/>
      <c r="M6" s="60"/>
      <c r="N6" s="60"/>
      <c r="O6" s="15"/>
      <c r="P6" s="15"/>
      <c r="Q6" s="15"/>
      <c r="R6" s="15"/>
      <c r="S6" s="15"/>
      <c r="T6" s="15"/>
      <c r="U6" s="15"/>
      <c r="V6" s="15"/>
    </row>
    <row r="7" spans="2:22">
      <c r="B7" s="14"/>
      <c r="C7" s="14"/>
      <c r="D7" s="14"/>
      <c r="E7" s="20" t="str">
        <f t="shared" si="0"/>
        <v>不成立</v>
      </c>
      <c r="F7" s="15">
        <f t="shared" ref="F7:F14" si="2">F6-1</f>
        <v>-3</v>
      </c>
      <c r="G7" s="14"/>
      <c r="H7" s="14"/>
      <c r="I7" s="14"/>
      <c r="J7" s="20" t="str">
        <f t="shared" si="1"/>
        <v>不成立</v>
      </c>
      <c r="K7" s="15">
        <f t="shared" ref="K7:K14" si="3">K6-1</f>
        <v>-2</v>
      </c>
      <c r="L7" s="60"/>
      <c r="M7" s="60"/>
      <c r="N7" s="60"/>
      <c r="O7" s="15"/>
      <c r="P7" s="15"/>
      <c r="Q7" s="15"/>
      <c r="R7" s="15"/>
      <c r="S7" s="15"/>
      <c r="T7" s="15"/>
      <c r="U7" s="15"/>
      <c r="V7" s="15"/>
    </row>
    <row r="8" spans="2:22">
      <c r="B8" s="14"/>
      <c r="C8" s="14"/>
      <c r="D8" s="14"/>
      <c r="E8" s="20" t="str">
        <f t="shared" si="0"/>
        <v>不成立</v>
      </c>
      <c r="F8" s="15">
        <f t="shared" si="2"/>
        <v>-4</v>
      </c>
      <c r="G8" s="14"/>
      <c r="H8" s="14"/>
      <c r="I8" s="14"/>
      <c r="J8" s="20" t="str">
        <f t="shared" si="1"/>
        <v>不成立</v>
      </c>
      <c r="K8" s="15">
        <f t="shared" si="3"/>
        <v>-3</v>
      </c>
      <c r="L8" s="60"/>
      <c r="M8" s="60"/>
      <c r="N8" s="60"/>
      <c r="O8" s="15"/>
      <c r="P8" s="15"/>
      <c r="Q8" s="15"/>
      <c r="R8" s="15"/>
      <c r="S8" s="15"/>
      <c r="T8" s="15"/>
      <c r="U8" s="15"/>
      <c r="V8" s="15"/>
    </row>
    <row r="9" spans="2:22" ht="19.5" thickBot="1">
      <c r="B9" s="14"/>
      <c r="C9" s="14"/>
      <c r="D9" s="14"/>
      <c r="E9" s="20" t="str">
        <f t="shared" si="0"/>
        <v>不成立</v>
      </c>
      <c r="F9" s="15">
        <f t="shared" si="2"/>
        <v>-5</v>
      </c>
      <c r="G9" s="14"/>
      <c r="H9" s="14"/>
      <c r="I9" s="14"/>
      <c r="J9" s="20" t="str">
        <f t="shared" si="1"/>
        <v>不成立</v>
      </c>
      <c r="K9" s="15">
        <f t="shared" si="3"/>
        <v>-4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</row>
    <row r="10" spans="2:22" ht="20.25" thickTop="1" thickBot="1">
      <c r="B10" s="14"/>
      <c r="C10" s="14"/>
      <c r="D10" s="14"/>
      <c r="E10" s="20" t="str">
        <f t="shared" si="0"/>
        <v>不成立</v>
      </c>
      <c r="F10" s="15">
        <f t="shared" si="2"/>
        <v>-6</v>
      </c>
      <c r="G10" s="14"/>
      <c r="H10" s="14"/>
      <c r="I10" s="14"/>
      <c r="J10" s="20" t="str">
        <f t="shared" si="1"/>
        <v>不成立</v>
      </c>
      <c r="K10" s="15">
        <f t="shared" si="3"/>
        <v>-5</v>
      </c>
      <c r="L10" s="50" t="s">
        <v>62</v>
      </c>
      <c r="M10" s="50"/>
      <c r="N10" s="50"/>
      <c r="O10" s="50"/>
      <c r="P10" s="50"/>
      <c r="Q10" s="50"/>
      <c r="R10" s="15"/>
      <c r="S10" s="15"/>
      <c r="T10" s="15"/>
      <c r="U10" s="15"/>
      <c r="V10" s="15"/>
    </row>
    <row r="11" spans="2:22" ht="20.25" thickTop="1" thickBot="1">
      <c r="B11" s="14"/>
      <c r="C11" s="14"/>
      <c r="D11" s="14"/>
      <c r="E11" s="20" t="str">
        <f t="shared" si="0"/>
        <v>不成立</v>
      </c>
      <c r="F11" s="15">
        <f t="shared" si="2"/>
        <v>-7</v>
      </c>
      <c r="G11" s="14"/>
      <c r="H11" s="14"/>
      <c r="I11" s="14"/>
      <c r="J11" s="20" t="str">
        <f t="shared" si="1"/>
        <v>不成立</v>
      </c>
      <c r="K11" s="15">
        <f t="shared" si="3"/>
        <v>-6</v>
      </c>
      <c r="L11" s="50" t="s">
        <v>31</v>
      </c>
      <c r="M11" s="50"/>
      <c r="N11" s="50"/>
      <c r="O11" s="50"/>
      <c r="P11" s="50"/>
      <c r="Q11" s="50"/>
      <c r="R11" s="15"/>
      <c r="S11" s="40" t="s">
        <v>151</v>
      </c>
      <c r="T11" s="45"/>
      <c r="U11" s="41"/>
    </row>
    <row r="12" spans="2:22" ht="20.25" thickTop="1" thickBot="1">
      <c r="B12" s="14"/>
      <c r="C12" s="14"/>
      <c r="D12" s="14"/>
      <c r="E12" s="20" t="str">
        <f t="shared" si="0"/>
        <v>不成立</v>
      </c>
      <c r="F12" s="15">
        <f t="shared" si="2"/>
        <v>-8</v>
      </c>
      <c r="G12" s="14"/>
      <c r="H12" s="14"/>
      <c r="I12" s="14"/>
      <c r="J12" s="20" t="str">
        <f t="shared" si="1"/>
        <v>不成立</v>
      </c>
      <c r="K12" s="15">
        <f t="shared" si="3"/>
        <v>-7</v>
      </c>
      <c r="L12" s="24" t="s">
        <v>64</v>
      </c>
      <c r="M12" s="14">
        <v>0</v>
      </c>
      <c r="N12" s="22" t="s">
        <v>65</v>
      </c>
      <c r="O12" s="14">
        <v>0</v>
      </c>
      <c r="P12" s="24" t="s">
        <v>66</v>
      </c>
      <c r="Q12" s="14">
        <v>0</v>
      </c>
      <c r="R12" s="15"/>
      <c r="S12" s="13" t="s">
        <v>152</v>
      </c>
      <c r="T12" s="13" t="s">
        <v>153</v>
      </c>
      <c r="U12" s="13" t="s">
        <v>154</v>
      </c>
    </row>
    <row r="13" spans="2:22" ht="20.25" thickTop="1" thickBot="1">
      <c r="B13" s="14"/>
      <c r="C13" s="14"/>
      <c r="D13" s="14"/>
      <c r="E13" s="20" t="str">
        <f t="shared" si="0"/>
        <v>不成立</v>
      </c>
      <c r="F13" s="15">
        <f t="shared" si="2"/>
        <v>-9</v>
      </c>
      <c r="G13" s="14"/>
      <c r="H13" s="14"/>
      <c r="I13" s="14"/>
      <c r="J13" s="20" t="str">
        <f t="shared" si="1"/>
        <v>不成立</v>
      </c>
      <c r="K13" s="15">
        <f t="shared" si="3"/>
        <v>-8</v>
      </c>
      <c r="L13" s="23" t="s">
        <v>67</v>
      </c>
      <c r="M13" s="14">
        <v>1</v>
      </c>
      <c r="N13" s="23" t="s">
        <v>68</v>
      </c>
      <c r="O13" s="14">
        <v>0</v>
      </c>
      <c r="P13" s="23" t="s">
        <v>69</v>
      </c>
      <c r="Q13" s="14">
        <v>0</v>
      </c>
      <c r="R13" s="15"/>
      <c r="S13" s="16" t="str">
        <f>IF(L4="","-",L4)</f>
        <v>-</v>
      </c>
      <c r="T13" s="16">
        <f>COUNTIFS(B:B,S13,E:E,"不成立")</f>
        <v>0</v>
      </c>
      <c r="U13" s="16" t="str">
        <f>_xlfn.IFS(T13=0,"高評価",AND(0&lt;T13,T13&lt;=2),"許容範囲",AND(2&lt;T13,T13&lt;=3),"問題視",3&lt;T13,"深刻")</f>
        <v>高評価</v>
      </c>
    </row>
    <row r="14" spans="2:22" ht="20.25" thickTop="1" thickBot="1">
      <c r="B14" s="19"/>
      <c r="C14" s="19"/>
      <c r="D14" s="19"/>
      <c r="E14" s="20" t="str">
        <f t="shared" si="0"/>
        <v>不成立</v>
      </c>
      <c r="F14" s="15">
        <f t="shared" si="2"/>
        <v>-10</v>
      </c>
      <c r="G14" s="19"/>
      <c r="H14" s="19"/>
      <c r="I14" s="19"/>
      <c r="J14" s="20" t="str">
        <f t="shared" si="1"/>
        <v>不成立</v>
      </c>
      <c r="K14" s="15">
        <f t="shared" si="3"/>
        <v>-9</v>
      </c>
      <c r="L14" s="15"/>
      <c r="M14" s="15"/>
      <c r="N14" s="15"/>
      <c r="O14" s="15"/>
      <c r="P14" s="15"/>
      <c r="Q14" s="15"/>
      <c r="R14" s="15"/>
      <c r="S14" s="16" t="str">
        <f t="shared" ref="S14:S17" si="4">IF(L5="","-",L5)</f>
        <v>-</v>
      </c>
      <c r="T14" s="16">
        <f>COUNTIFS(B:B,S14,E:E,"不成立")</f>
        <v>0</v>
      </c>
      <c r="U14" s="16" t="str">
        <f>_xlfn.IFS(T14=0,"高評価",AND(0&lt;T14,T14&lt;=2),"許容範囲",AND(2&lt;T14,T14&lt;=3),"問題視",3&lt;T14,"深刻")</f>
        <v>高評価</v>
      </c>
    </row>
    <row r="15" spans="2:22" ht="20.25" customHeight="1" thickTop="1" thickBot="1">
      <c r="B15" s="34" t="s">
        <v>73</v>
      </c>
      <c r="C15" s="16">
        <f>IF(B17="大企業",IF(O12=1,1,IF(O12=0,0,O12)),O12)</f>
        <v>0</v>
      </c>
      <c r="D15" s="13" t="s">
        <v>140</v>
      </c>
      <c r="E15" s="16" t="str">
        <f>IF(AND($S$25&lt;=F15,F15&lt;$T$25),$U$25,IF(AND($S$24&lt;=F15,F15&lt;$T$24),$U$24,IF(AND($S$23&lt;=F15,F15&lt;$T$23),$U$23,IF(AND($S$22&lt;=F15,F15&lt;$T$22),$U$22,IF(AND($S$21&lt;=F15,F15&lt;$T$21),$U$21,"-")))))</f>
        <v>失望</v>
      </c>
      <c r="F15" s="15">
        <f>10*COUNTIFS(B17:B26,"&lt;&gt;",E17:E26,"成立")+5*SUMIF(E17:E26,"成立",D17:D26)-10*COUNTIFS(B17:B26,"",E17:E26,"成立")</f>
        <v>0</v>
      </c>
      <c r="G15" s="36" t="s">
        <v>76</v>
      </c>
      <c r="H15" s="16">
        <f>IF(G17="大企業",IF(O13=1,1,IF(O13=0,0,O13)),O13)</f>
        <v>0</v>
      </c>
      <c r="I15" s="13" t="s">
        <v>140</v>
      </c>
      <c r="J15" s="16" t="str">
        <f>IF(AND($S$25&lt;=K15,K15&lt;$T$25),$U$25,IF(AND($S$24&lt;=K15,K15&lt;$T$24),$U$24,IF(AND($S$23&lt;=K15,K15&lt;$T$23),$U$23,IF(AND($S$22&lt;=K15,K15&lt;$T$22),$U$22,IF(AND($S$21&lt;=K15,K15&lt;$T$21),$U$21,"-")))))</f>
        <v>失望</v>
      </c>
      <c r="K15" s="15">
        <f>10*COUNTIFS(G17:G26,"&lt;&gt;",J17:J26,"成立")+5*SUMIF(J17:J26,"成立",I17:I26)-10*COUNTIFS(G17:G26,"",J17:J26,"成立")</f>
        <v>0</v>
      </c>
      <c r="L15" s="13" t="s">
        <v>32</v>
      </c>
      <c r="M15" s="60" t="s">
        <v>86</v>
      </c>
      <c r="N15" s="60"/>
      <c r="O15" s="15"/>
      <c r="P15" s="15"/>
      <c r="Q15" s="15"/>
      <c r="R15" s="15"/>
      <c r="S15" s="16" t="str">
        <f t="shared" si="4"/>
        <v>-</v>
      </c>
      <c r="T15" s="16">
        <f>COUNTIFS(B:B,S15,E:E,"不成立")</f>
        <v>0</v>
      </c>
      <c r="U15" s="16" t="str">
        <f t="shared" ref="U14:U17" si="5">_xlfn.IFS(T15=0,"高評価",AND(0&lt;T15,T15&lt;=2),"許容範囲",AND(2&lt;T15,T15&lt;=3),"問題視",3&lt;T15,"深刻")</f>
        <v>高評価</v>
      </c>
    </row>
    <row r="16" spans="2:22" ht="20.25" thickTop="1" thickBot="1">
      <c r="B16" s="17" t="s">
        <v>85</v>
      </c>
      <c r="C16" s="17" t="s">
        <v>26</v>
      </c>
      <c r="D16" s="17" t="s">
        <v>27</v>
      </c>
      <c r="E16" s="18" t="s">
        <v>63</v>
      </c>
      <c r="F16" s="15"/>
      <c r="G16" s="17" t="s">
        <v>85</v>
      </c>
      <c r="H16" s="17" t="s">
        <v>26</v>
      </c>
      <c r="I16" s="17" t="s">
        <v>27</v>
      </c>
      <c r="J16" s="18" t="s">
        <v>63</v>
      </c>
      <c r="K16" s="15"/>
      <c r="L16" s="13" t="s">
        <v>32</v>
      </c>
      <c r="M16" s="60"/>
      <c r="N16" s="60"/>
      <c r="O16" s="15"/>
      <c r="P16" s="15"/>
      <c r="Q16" s="15"/>
      <c r="R16" s="15"/>
      <c r="S16" s="16" t="str">
        <f t="shared" si="4"/>
        <v>-</v>
      </c>
      <c r="T16" s="16">
        <f>COUNTIFS(B:B,S16,E:E,"不成立")</f>
        <v>0</v>
      </c>
      <c r="U16" s="16" t="str">
        <f t="shared" si="5"/>
        <v>高評価</v>
      </c>
    </row>
    <row r="17" spans="2:22" ht="19.5" thickTop="1">
      <c r="B17" s="14"/>
      <c r="C17" s="14"/>
      <c r="D17" s="14"/>
      <c r="E17" s="20" t="str">
        <f>IF(F17&gt;=0,"成立","不成立")</f>
        <v>不成立</v>
      </c>
      <c r="F17" s="15">
        <f>C15-1</f>
        <v>-1</v>
      </c>
      <c r="G17" s="14"/>
      <c r="H17" s="14"/>
      <c r="I17" s="14"/>
      <c r="J17" s="20" t="str">
        <f>IF(K17&gt;=0,"成立","不成立")</f>
        <v>不成立</v>
      </c>
      <c r="K17" s="15">
        <f>H15-1</f>
        <v>-1</v>
      </c>
      <c r="L17" s="71" t="s">
        <v>78</v>
      </c>
      <c r="M17" s="71"/>
      <c r="N17" s="71"/>
      <c r="O17" s="71"/>
      <c r="P17" s="71"/>
      <c r="Q17" s="71"/>
      <c r="R17" s="15"/>
      <c r="S17" s="16" t="str">
        <f t="shared" si="4"/>
        <v>-</v>
      </c>
      <c r="T17" s="16">
        <f>COUNTIFS(B:B,S17,E:E,"不成立")</f>
        <v>0</v>
      </c>
      <c r="U17" s="16" t="str">
        <f t="shared" si="5"/>
        <v>高評価</v>
      </c>
      <c r="V17" s="15"/>
    </row>
    <row r="18" spans="2:22" ht="19.5" thickBot="1">
      <c r="B18" s="14"/>
      <c r="C18" s="14"/>
      <c r="D18" s="14"/>
      <c r="E18" s="20" t="str">
        <f t="shared" ref="E18:E26" si="6">IF(F18&gt;=0,"成立","不成立")</f>
        <v>不成立</v>
      </c>
      <c r="F18" s="15">
        <f>F17-1</f>
        <v>-2</v>
      </c>
      <c r="G18" s="14"/>
      <c r="H18" s="14"/>
      <c r="I18" s="14"/>
      <c r="J18" s="20" t="str">
        <f t="shared" ref="J18:J26" si="7">IF(K18&gt;=0,"成立","不成立")</f>
        <v>不成立</v>
      </c>
      <c r="K18" s="15">
        <f>K17-1</f>
        <v>-2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</row>
    <row r="19" spans="2:22" ht="20.25" thickTop="1" thickBot="1">
      <c r="B19" s="14"/>
      <c r="C19" s="14"/>
      <c r="D19" s="14"/>
      <c r="E19" s="20" t="str">
        <f t="shared" si="6"/>
        <v>不成立</v>
      </c>
      <c r="F19" s="15">
        <f t="shared" ref="F19:F26" si="8">F18-1</f>
        <v>-3</v>
      </c>
      <c r="G19" s="14"/>
      <c r="H19" s="14"/>
      <c r="I19" s="14"/>
      <c r="J19" s="20" t="str">
        <f t="shared" si="7"/>
        <v>不成立</v>
      </c>
      <c r="K19" s="15">
        <f t="shared" ref="K19:K26" si="9">K18-1</f>
        <v>-3</v>
      </c>
      <c r="L19" s="15"/>
      <c r="M19" s="15"/>
      <c r="N19" s="15"/>
      <c r="O19" s="15"/>
      <c r="P19" s="15"/>
      <c r="Q19" s="15"/>
      <c r="R19" s="15"/>
      <c r="S19" s="40" t="s">
        <v>141</v>
      </c>
      <c r="T19" s="45"/>
      <c r="U19" s="41"/>
      <c r="V19" s="15"/>
    </row>
    <row r="20" spans="2:22" ht="20.25" thickTop="1" thickBot="1">
      <c r="B20" s="14"/>
      <c r="C20" s="14"/>
      <c r="D20" s="14"/>
      <c r="E20" s="20" t="str">
        <f t="shared" si="6"/>
        <v>不成立</v>
      </c>
      <c r="F20" s="15">
        <f t="shared" si="8"/>
        <v>-4</v>
      </c>
      <c r="G20" s="14"/>
      <c r="H20" s="14"/>
      <c r="I20" s="14"/>
      <c r="J20" s="20" t="str">
        <f t="shared" si="7"/>
        <v>不成立</v>
      </c>
      <c r="K20" s="15">
        <f t="shared" si="9"/>
        <v>-4</v>
      </c>
      <c r="L20" s="15"/>
      <c r="M20" s="15" t="s">
        <v>70</v>
      </c>
      <c r="N20" s="15"/>
      <c r="O20" s="15"/>
      <c r="P20" s="15"/>
      <c r="Q20" s="15"/>
      <c r="R20" s="15"/>
      <c r="S20" s="13" t="s">
        <v>142</v>
      </c>
      <c r="T20" s="13" t="s">
        <v>149</v>
      </c>
      <c r="U20" s="13" t="s">
        <v>143</v>
      </c>
      <c r="V20" s="15"/>
    </row>
    <row r="21" spans="2:22" ht="20.25" thickTop="1" thickBot="1">
      <c r="B21" s="14"/>
      <c r="C21" s="14"/>
      <c r="D21" s="14"/>
      <c r="E21" s="20" t="str">
        <f t="shared" si="6"/>
        <v>不成立</v>
      </c>
      <c r="F21" s="15">
        <f t="shared" si="8"/>
        <v>-5</v>
      </c>
      <c r="G21" s="14"/>
      <c r="H21" s="14"/>
      <c r="I21" s="14"/>
      <c r="J21" s="20" t="str">
        <f t="shared" si="7"/>
        <v>不成立</v>
      </c>
      <c r="K21" s="15">
        <f t="shared" si="9"/>
        <v>-5</v>
      </c>
      <c r="L21" s="15"/>
      <c r="M21" s="15"/>
      <c r="N21" s="15"/>
      <c r="O21" s="15"/>
      <c r="P21" s="15"/>
      <c r="Q21" s="15"/>
      <c r="R21" s="15"/>
      <c r="S21" s="16">
        <v>90</v>
      </c>
      <c r="T21" s="16">
        <v>99999</v>
      </c>
      <c r="U21" s="16" t="s">
        <v>144</v>
      </c>
      <c r="V21" s="15"/>
    </row>
    <row r="22" spans="2:22" ht="20.25" thickTop="1" thickBot="1">
      <c r="B22" s="14"/>
      <c r="C22" s="14"/>
      <c r="D22" s="14"/>
      <c r="E22" s="20" t="str">
        <f t="shared" si="6"/>
        <v>不成立</v>
      </c>
      <c r="F22" s="15">
        <f t="shared" si="8"/>
        <v>-6</v>
      </c>
      <c r="G22" s="14"/>
      <c r="H22" s="14"/>
      <c r="I22" s="14"/>
      <c r="J22" s="20" t="str">
        <f t="shared" si="7"/>
        <v>不成立</v>
      </c>
      <c r="K22" s="15">
        <f t="shared" si="9"/>
        <v>-6</v>
      </c>
      <c r="L22" s="50" t="s">
        <v>82</v>
      </c>
      <c r="M22" s="50"/>
      <c r="N22" s="50"/>
      <c r="O22" s="50"/>
      <c r="P22" s="50"/>
      <c r="Q22" s="50"/>
      <c r="R22" s="15"/>
      <c r="S22" s="16">
        <v>70</v>
      </c>
      <c r="T22" s="16">
        <v>90</v>
      </c>
      <c r="U22" s="16" t="s">
        <v>145</v>
      </c>
      <c r="V22" s="15"/>
    </row>
    <row r="23" spans="2:22" ht="20.25" thickTop="1" thickBot="1">
      <c r="B23" s="14"/>
      <c r="C23" s="14"/>
      <c r="D23" s="14"/>
      <c r="E23" s="20" t="str">
        <f t="shared" si="6"/>
        <v>不成立</v>
      </c>
      <c r="F23" s="15">
        <f t="shared" si="8"/>
        <v>-7</v>
      </c>
      <c r="G23" s="14"/>
      <c r="H23" s="14"/>
      <c r="I23" s="14"/>
      <c r="J23" s="20" t="str">
        <f t="shared" si="7"/>
        <v>不成立</v>
      </c>
      <c r="K23" s="15">
        <f t="shared" si="9"/>
        <v>-7</v>
      </c>
      <c r="L23" s="50" t="s">
        <v>31</v>
      </c>
      <c r="M23" s="50"/>
      <c r="N23" s="50"/>
      <c r="O23" s="50"/>
      <c r="P23" s="50"/>
      <c r="Q23" s="50"/>
      <c r="R23" s="15"/>
      <c r="S23" s="16">
        <v>30</v>
      </c>
      <c r="T23" s="16">
        <v>80</v>
      </c>
      <c r="U23" s="16" t="s">
        <v>146</v>
      </c>
      <c r="V23" s="15"/>
    </row>
    <row r="24" spans="2:22" ht="20.25" thickTop="1" thickBot="1">
      <c r="B24" s="14"/>
      <c r="C24" s="14"/>
      <c r="D24" s="14"/>
      <c r="E24" s="20" t="str">
        <f t="shared" si="6"/>
        <v>不成立</v>
      </c>
      <c r="F24" s="15">
        <f t="shared" si="8"/>
        <v>-8</v>
      </c>
      <c r="G24" s="14"/>
      <c r="H24" s="14"/>
      <c r="I24" s="14"/>
      <c r="J24" s="20" t="str">
        <f t="shared" si="7"/>
        <v>不成立</v>
      </c>
      <c r="K24" s="15">
        <f t="shared" si="9"/>
        <v>-8</v>
      </c>
      <c r="L24" s="24" t="s">
        <v>64</v>
      </c>
      <c r="M24" s="16">
        <f ca="1">LARGE($N$27:$P$27,1)</f>
        <v>0</v>
      </c>
      <c r="N24" s="24" t="s">
        <v>65</v>
      </c>
      <c r="O24" s="16">
        <f ca="1">LARGE($N$27:$P$27,2)</f>
        <v>0</v>
      </c>
      <c r="P24" s="24" t="s">
        <v>66</v>
      </c>
      <c r="Q24" s="16">
        <f ca="1">LARGE($N$27:$P$27,3)</f>
        <v>0</v>
      </c>
      <c r="R24" s="15"/>
      <c r="S24" s="16">
        <v>10</v>
      </c>
      <c r="T24" s="16">
        <v>30</v>
      </c>
      <c r="U24" s="16" t="s">
        <v>147</v>
      </c>
      <c r="V24" s="15"/>
    </row>
    <row r="25" spans="2:22" ht="20.25" thickTop="1" thickBot="1">
      <c r="B25" s="14"/>
      <c r="C25" s="14"/>
      <c r="D25" s="14"/>
      <c r="E25" s="20" t="str">
        <f t="shared" si="6"/>
        <v>不成立</v>
      </c>
      <c r="F25" s="15">
        <f t="shared" si="8"/>
        <v>-9</v>
      </c>
      <c r="G25" s="14"/>
      <c r="H25" s="14"/>
      <c r="I25" s="14"/>
      <c r="J25" s="20" t="str">
        <f t="shared" si="7"/>
        <v>不成立</v>
      </c>
      <c r="K25" s="15">
        <f t="shared" si="9"/>
        <v>-9</v>
      </c>
      <c r="L25" s="23" t="s">
        <v>67</v>
      </c>
      <c r="M25" s="16">
        <f ca="1">LARGE($N$28:$P$28,1)</f>
        <v>1</v>
      </c>
      <c r="N25" s="23" t="s">
        <v>68</v>
      </c>
      <c r="O25" s="16">
        <f ca="1">LARGE($N$28:$P$28,2)</f>
        <v>0</v>
      </c>
      <c r="P25" s="23" t="s">
        <v>69</v>
      </c>
      <c r="Q25" s="16">
        <f ca="1">LARGE($N$28:$P$28,3)</f>
        <v>0</v>
      </c>
      <c r="R25" s="15"/>
      <c r="S25" s="16">
        <v>-99999</v>
      </c>
      <c r="T25" s="16">
        <v>10</v>
      </c>
      <c r="U25" s="16" t="s">
        <v>148</v>
      </c>
      <c r="V25" s="15"/>
    </row>
    <row r="26" spans="2:22" ht="19.5" customHeight="1" thickTop="1" thickBot="1">
      <c r="B26" s="19"/>
      <c r="C26" s="19"/>
      <c r="D26" s="19"/>
      <c r="E26" s="20" t="str">
        <f t="shared" si="6"/>
        <v>不成立</v>
      </c>
      <c r="F26" s="15">
        <f t="shared" si="8"/>
        <v>-10</v>
      </c>
      <c r="G26" s="19"/>
      <c r="H26" s="19"/>
      <c r="I26" s="19"/>
      <c r="J26" s="20" t="str">
        <f t="shared" si="7"/>
        <v>不成立</v>
      </c>
      <c r="K26" s="15">
        <f t="shared" si="9"/>
        <v>-10</v>
      </c>
      <c r="L26" s="15"/>
      <c r="M26" s="15"/>
      <c r="N26" s="25"/>
      <c r="O26" s="15"/>
      <c r="P26" s="15"/>
      <c r="Q26" s="15"/>
      <c r="R26" s="15"/>
      <c r="S26" s="15"/>
      <c r="T26" s="15"/>
      <c r="U26" s="15"/>
      <c r="V26" s="15"/>
    </row>
    <row r="27" spans="2:22" ht="20.25" thickTop="1" thickBot="1">
      <c r="B27" s="34" t="s">
        <v>74</v>
      </c>
      <c r="C27" s="16">
        <f>IF(B29="大企業",IF(Q12=1,1,IF(Q12=0,0,Q12)),Q12)</f>
        <v>0</v>
      </c>
      <c r="D27" s="13" t="s">
        <v>140</v>
      </c>
      <c r="E27" s="16" t="str">
        <f>IF(AND($S$25&lt;=F27,F27&lt;$T$25),$U$25,IF(AND($S$24&lt;=F27,F27&lt;$T$24),$U$24,IF(AND($S$23&lt;=F27,F27&lt;$T$23),$U$23,IF(AND($S$22&lt;=F27,F27&lt;$T$22),$U$22,IF(AND($S$21&lt;=F27,F27&lt;$T$21),$U$21,"-")))))</f>
        <v>失望</v>
      </c>
      <c r="F27" s="15">
        <f>10*COUNTIFS(B29:B38,"&lt;&gt;",E29:E38,"成立")+5*SUMIF(E29:E38,"成立",D29:D38)-10*COUNTIFS(B29:B38,"",E29:E38,"成立")</f>
        <v>0</v>
      </c>
      <c r="G27" s="37" t="s">
        <v>77</v>
      </c>
      <c r="H27" s="16">
        <f>IF(G29="大企業",IF(Q13=1,1,IF(Q13=0,0,Q13)),Q13)</f>
        <v>0</v>
      </c>
      <c r="I27" s="13" t="s">
        <v>140</v>
      </c>
      <c r="J27" s="16" t="str">
        <f>IF(AND($S$25&lt;=K27,K27&lt;$T$25),$U$25,IF(AND($S$24&lt;=K27,K27&lt;$T$24),$U$24,IF(AND($S$23&lt;=K27,K27&lt;$T$23),$U$23,IF(AND($S$22&lt;=K27,K27&lt;$T$22),$U$22,IF(AND($S$21&lt;=K27,K27&lt;$T$21),$U$21,"-")))))</f>
        <v>失望</v>
      </c>
      <c r="K27" s="15">
        <f>10*COUNTIFS(G29:G38,"&lt;&gt;",J29:J38,"成立")+5*SUMIF(J29:J38,"成立",I29:I38)-10*COUNTIFS(G29:G38,"",J29:J38,"成立")</f>
        <v>0</v>
      </c>
      <c r="L27" s="13" t="s">
        <v>83</v>
      </c>
      <c r="M27" s="14">
        <v>0</v>
      </c>
      <c r="N27" s="16">
        <f ca="1">RANDBETWEEN(0,M27)</f>
        <v>0</v>
      </c>
      <c r="O27" s="16">
        <f ca="1">RANDBETWEEN(0,ABS(M27-N27))</f>
        <v>0</v>
      </c>
      <c r="P27" s="16">
        <f ca="1">ABS(M27-N27-O27)</f>
        <v>0</v>
      </c>
      <c r="Q27" s="15"/>
      <c r="R27" s="15"/>
      <c r="S27" s="38" t="s">
        <v>150</v>
      </c>
      <c r="T27" s="15"/>
      <c r="U27" s="15"/>
      <c r="V27" s="15"/>
    </row>
    <row r="28" spans="2:22" ht="20.25" thickTop="1" thickBot="1">
      <c r="B28" s="17" t="s">
        <v>85</v>
      </c>
      <c r="C28" s="17" t="s">
        <v>26</v>
      </c>
      <c r="D28" s="17" t="s">
        <v>27</v>
      </c>
      <c r="E28" s="18" t="s">
        <v>63</v>
      </c>
      <c r="F28" s="15"/>
      <c r="G28" s="17" t="s">
        <v>85</v>
      </c>
      <c r="H28" s="17" t="s">
        <v>26</v>
      </c>
      <c r="I28" s="17" t="s">
        <v>27</v>
      </c>
      <c r="J28" s="18" t="s">
        <v>63</v>
      </c>
      <c r="K28" s="15"/>
      <c r="L28" s="13" t="s">
        <v>84</v>
      </c>
      <c r="M28" s="14">
        <v>1</v>
      </c>
      <c r="N28" s="16">
        <f ca="1">RANDBETWEEN(0,M28)</f>
        <v>1</v>
      </c>
      <c r="O28" s="16">
        <f ca="1">RANDBETWEEN(0,ABS(M28-N28))</f>
        <v>0</v>
      </c>
      <c r="P28" s="16">
        <f ca="1">ABS(M28-N28-O28)</f>
        <v>0</v>
      </c>
      <c r="Q28" s="15"/>
      <c r="R28" s="15"/>
      <c r="V28" s="15"/>
    </row>
    <row r="29" spans="2:22" ht="19.5" thickTop="1">
      <c r="B29" s="14"/>
      <c r="C29" s="14"/>
      <c r="D29" s="14"/>
      <c r="E29" s="20" t="str">
        <f>IF(F29&gt;=0,"成立","不成立")</f>
        <v>不成立</v>
      </c>
      <c r="F29" s="15">
        <f>C27-1</f>
        <v>-1</v>
      </c>
      <c r="G29" s="14"/>
      <c r="H29" s="14"/>
      <c r="I29" s="14"/>
      <c r="J29" s="20" t="str">
        <f>IF(K29&gt;=0,"成立","不成立")</f>
        <v>不成立</v>
      </c>
      <c r="K29" s="15">
        <f>H27-1</f>
        <v>-1</v>
      </c>
      <c r="L29" s="15"/>
      <c r="M29" s="15"/>
      <c r="N29" s="15"/>
      <c r="O29" s="15"/>
      <c r="P29" s="15"/>
      <c r="Q29" s="15"/>
      <c r="R29" s="15"/>
      <c r="V29" s="15"/>
    </row>
    <row r="30" spans="2:22">
      <c r="B30" s="14"/>
      <c r="C30" s="14"/>
      <c r="D30" s="14"/>
      <c r="E30" s="20" t="str">
        <f t="shared" ref="E30:E38" si="10">IF(F30&gt;=0,"成立","不成立")</f>
        <v>不成立</v>
      </c>
      <c r="F30" s="15">
        <f>F29-1</f>
        <v>-2</v>
      </c>
      <c r="G30" s="14"/>
      <c r="H30" s="14"/>
      <c r="I30" s="14"/>
      <c r="J30" s="20" t="str">
        <f t="shared" ref="J30:J38" si="11">IF(K30&gt;=0,"成立","不成立")</f>
        <v>不成立</v>
      </c>
      <c r="K30" s="15">
        <f>K29-1</f>
        <v>-2</v>
      </c>
      <c r="L30" s="15"/>
      <c r="M30" s="15"/>
      <c r="N30" s="15"/>
      <c r="O30" s="15"/>
      <c r="P30" s="15"/>
      <c r="Q30" s="15"/>
      <c r="R30" s="15"/>
      <c r="V30" s="15"/>
    </row>
    <row r="31" spans="2:22">
      <c r="B31" s="14"/>
      <c r="C31" s="14"/>
      <c r="D31" s="14"/>
      <c r="E31" s="20" t="str">
        <f t="shared" si="10"/>
        <v>不成立</v>
      </c>
      <c r="F31" s="15">
        <f t="shared" ref="F31:F38" si="12">F30-1</f>
        <v>-3</v>
      </c>
      <c r="G31" s="14"/>
      <c r="H31" s="14"/>
      <c r="I31" s="14"/>
      <c r="J31" s="20" t="str">
        <f t="shared" si="11"/>
        <v>不成立</v>
      </c>
      <c r="K31" s="15">
        <f t="shared" ref="K31:K38" si="13">K30-1</f>
        <v>-3</v>
      </c>
      <c r="L31" s="15"/>
      <c r="M31" s="15"/>
      <c r="N31" s="15"/>
      <c r="O31" s="15"/>
      <c r="P31" s="15"/>
      <c r="Q31" s="15"/>
      <c r="R31" s="15"/>
      <c r="V31" s="15"/>
    </row>
    <row r="32" spans="2:22">
      <c r="B32" s="14"/>
      <c r="C32" s="14"/>
      <c r="D32" s="14"/>
      <c r="E32" s="20" t="str">
        <f t="shared" si="10"/>
        <v>不成立</v>
      </c>
      <c r="F32" s="15">
        <f t="shared" si="12"/>
        <v>-4</v>
      </c>
      <c r="G32" s="14"/>
      <c r="H32" s="14"/>
      <c r="I32" s="14"/>
      <c r="J32" s="20" t="str">
        <f t="shared" si="11"/>
        <v>不成立</v>
      </c>
      <c r="K32" s="15">
        <f t="shared" si="13"/>
        <v>-4</v>
      </c>
      <c r="L32" s="15"/>
      <c r="M32" s="15"/>
      <c r="N32" s="15"/>
      <c r="O32" s="15"/>
      <c r="P32" s="15"/>
      <c r="Q32" s="15"/>
      <c r="R32" s="15"/>
      <c r="V32" s="15"/>
    </row>
    <row r="33" spans="2:22">
      <c r="B33" s="14"/>
      <c r="C33" s="14"/>
      <c r="D33" s="14"/>
      <c r="E33" s="20" t="str">
        <f t="shared" si="10"/>
        <v>不成立</v>
      </c>
      <c r="F33" s="15">
        <f t="shared" si="12"/>
        <v>-5</v>
      </c>
      <c r="G33" s="14"/>
      <c r="H33" s="14"/>
      <c r="I33" s="14"/>
      <c r="J33" s="20" t="str">
        <f t="shared" si="11"/>
        <v>不成立</v>
      </c>
      <c r="K33" s="15">
        <f t="shared" si="13"/>
        <v>-5</v>
      </c>
      <c r="L33" s="15"/>
      <c r="M33" s="15"/>
      <c r="N33" s="15"/>
      <c r="R33" s="15"/>
      <c r="V33" s="15"/>
    </row>
    <row r="34" spans="2:22">
      <c r="B34" s="14"/>
      <c r="C34" s="14"/>
      <c r="D34" s="14"/>
      <c r="E34" s="20" t="str">
        <f t="shared" si="10"/>
        <v>不成立</v>
      </c>
      <c r="F34" s="15">
        <f t="shared" si="12"/>
        <v>-6</v>
      </c>
      <c r="G34" s="14"/>
      <c r="H34" s="14"/>
      <c r="I34" s="14"/>
      <c r="J34" s="20" t="str">
        <f t="shared" si="11"/>
        <v>不成立</v>
      </c>
      <c r="K34" s="15">
        <f t="shared" si="13"/>
        <v>-6</v>
      </c>
      <c r="L34" s="15"/>
      <c r="M34" s="15"/>
      <c r="N34" s="15"/>
      <c r="R34" s="15"/>
      <c r="V34" s="15"/>
    </row>
    <row r="35" spans="2:22">
      <c r="B35" s="14"/>
      <c r="C35" s="14"/>
      <c r="D35" s="14"/>
      <c r="E35" s="20" t="str">
        <f t="shared" si="10"/>
        <v>不成立</v>
      </c>
      <c r="F35" s="15">
        <f t="shared" si="12"/>
        <v>-7</v>
      </c>
      <c r="G35" s="14"/>
      <c r="H35" s="14"/>
      <c r="I35" s="14"/>
      <c r="J35" s="20" t="str">
        <f t="shared" si="11"/>
        <v>不成立</v>
      </c>
      <c r="K35" s="15">
        <f t="shared" si="13"/>
        <v>-7</v>
      </c>
      <c r="L35" s="15"/>
      <c r="M35" s="15"/>
      <c r="N35" s="15"/>
      <c r="R35" s="15"/>
      <c r="V35" s="15"/>
    </row>
    <row r="36" spans="2:22">
      <c r="B36" s="14"/>
      <c r="C36" s="14"/>
      <c r="D36" s="14"/>
      <c r="E36" s="20" t="str">
        <f t="shared" si="10"/>
        <v>不成立</v>
      </c>
      <c r="F36" s="15">
        <f t="shared" si="12"/>
        <v>-8</v>
      </c>
      <c r="G36" s="14"/>
      <c r="H36" s="14"/>
      <c r="I36" s="14"/>
      <c r="J36" s="20" t="str">
        <f t="shared" si="11"/>
        <v>不成立</v>
      </c>
      <c r="K36" s="15">
        <f t="shared" si="13"/>
        <v>-8</v>
      </c>
      <c r="L36" s="15"/>
      <c r="M36" s="15"/>
      <c r="N36" s="15"/>
      <c r="R36" s="15"/>
      <c r="V36" s="15"/>
    </row>
    <row r="37" spans="2:22">
      <c r="B37" s="14"/>
      <c r="C37" s="14"/>
      <c r="D37" s="14"/>
      <c r="E37" s="20" t="str">
        <f t="shared" si="10"/>
        <v>不成立</v>
      </c>
      <c r="F37" s="15">
        <f t="shared" si="12"/>
        <v>-9</v>
      </c>
      <c r="G37" s="14"/>
      <c r="H37" s="14"/>
      <c r="I37" s="14"/>
      <c r="J37" s="20" t="str">
        <f t="shared" si="11"/>
        <v>不成立</v>
      </c>
      <c r="K37" s="15">
        <f t="shared" si="13"/>
        <v>-9</v>
      </c>
      <c r="L37" s="15"/>
      <c r="M37" s="15"/>
      <c r="N37" s="15"/>
      <c r="R37" s="15"/>
      <c r="V37" s="15"/>
    </row>
    <row r="38" spans="2:22">
      <c r="B38" s="19"/>
      <c r="C38" s="19"/>
      <c r="D38" s="19"/>
      <c r="E38" s="20" t="str">
        <f t="shared" si="10"/>
        <v>不成立</v>
      </c>
      <c r="F38" s="15">
        <f t="shared" si="12"/>
        <v>-10</v>
      </c>
      <c r="G38" s="19"/>
      <c r="H38" s="19"/>
      <c r="I38" s="19"/>
      <c r="J38" s="20" t="str">
        <f t="shared" si="11"/>
        <v>不成立</v>
      </c>
      <c r="K38" s="15">
        <f t="shared" si="13"/>
        <v>-10</v>
      </c>
      <c r="L38" s="15"/>
      <c r="M38" s="15"/>
      <c r="N38" s="15"/>
    </row>
  </sheetData>
  <mergeCells count="18">
    <mergeCell ref="L23:Q23"/>
    <mergeCell ref="L2:N2"/>
    <mergeCell ref="L3:N3"/>
    <mergeCell ref="L4:N4"/>
    <mergeCell ref="L5:N5"/>
    <mergeCell ref="L6:N6"/>
    <mergeCell ref="L7:N7"/>
    <mergeCell ref="L8:N8"/>
    <mergeCell ref="L10:Q10"/>
    <mergeCell ref="L17:Q17"/>
    <mergeCell ref="L11:Q11"/>
    <mergeCell ref="M15:N15"/>
    <mergeCell ref="M16:N16"/>
    <mergeCell ref="S19:U19"/>
    <mergeCell ref="B2:E2"/>
    <mergeCell ref="G2:J2"/>
    <mergeCell ref="L22:Q22"/>
    <mergeCell ref="S11:U11"/>
  </mergeCells>
  <phoneticPr fontId="1"/>
  <dataValidations count="2">
    <dataValidation type="list" allowBlank="1" showInputMessage="1" showErrorMessage="1" sqref="M15:N16" xr:uid="{B4DD1861-DB7A-48A2-86E0-D96124E232A0}">
      <formula1>"成熟大,成熟中,成熟小,成長大,成長中,成長小"</formula1>
    </dataValidation>
    <dataValidation type="list" allowBlank="1" showInputMessage="1" showErrorMessage="1" sqref="G29:G38 G5:G14 B17:B26 B29:B38 G17:G26 B5:B14" xr:uid="{4CD72254-BE58-458C-897A-487228596697}">
      <formula1>$L$3:$L$8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3"/>
  <sheetViews>
    <sheetView zoomScaleNormal="100" zoomScaleSheetLayoutView="100" workbookViewId="0">
      <selection sqref="A1:AR33"/>
    </sheetView>
  </sheetViews>
  <sheetFormatPr defaultColWidth="4.625" defaultRowHeight="26.25" customHeight="1"/>
  <sheetData>
    <row r="1" spans="1:44" ht="26.25" customHeight="1">
      <c r="A1" s="1"/>
      <c r="B1" s="1"/>
      <c r="C1" s="1"/>
      <c r="D1" s="1"/>
      <c r="E1" s="1" t="s">
        <v>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26.2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1"/>
    </row>
    <row r="3" spans="1:44" ht="26.25" customHeight="1">
      <c r="A3" s="1"/>
      <c r="B3" s="2"/>
      <c r="C3" s="3"/>
      <c r="D3" s="3"/>
      <c r="E3" s="3"/>
      <c r="F3" s="3"/>
      <c r="G3" s="3" t="s">
        <v>10</v>
      </c>
      <c r="H3" s="3"/>
      <c r="I3" s="3"/>
      <c r="J3" s="3"/>
      <c r="K3" s="3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 t="s">
        <v>28</v>
      </c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2"/>
      <c r="AQ3" s="2"/>
      <c r="AR3" s="1"/>
    </row>
    <row r="4" spans="1:44" ht="26.25" customHeight="1">
      <c r="A4" s="1"/>
      <c r="B4" s="2"/>
      <c r="C4" s="4"/>
      <c r="D4" s="4"/>
      <c r="E4" s="4"/>
      <c r="F4" s="4"/>
      <c r="G4" s="4" t="s">
        <v>11</v>
      </c>
      <c r="H4" s="4"/>
      <c r="I4" s="4"/>
      <c r="J4" s="4"/>
      <c r="K4" s="4"/>
      <c r="L4" s="2"/>
      <c r="M4" s="4"/>
      <c r="N4" s="4"/>
      <c r="O4" s="4"/>
      <c r="P4" s="4"/>
      <c r="Q4" s="4" t="s">
        <v>9</v>
      </c>
      <c r="R4" s="4"/>
      <c r="S4" s="4"/>
      <c r="T4" s="4"/>
      <c r="U4" s="4"/>
      <c r="V4" s="3"/>
      <c r="W4" s="4"/>
      <c r="X4" s="4"/>
      <c r="Y4" s="4"/>
      <c r="Z4" s="4"/>
      <c r="AA4" s="4" t="s">
        <v>7</v>
      </c>
      <c r="AB4" s="4"/>
      <c r="AC4" s="4"/>
      <c r="AD4" s="4"/>
      <c r="AE4" s="4"/>
      <c r="AF4" s="3"/>
      <c r="AG4" s="4"/>
      <c r="AH4" s="4"/>
      <c r="AI4" s="4"/>
      <c r="AJ4" s="4"/>
      <c r="AK4" s="4" t="s">
        <v>8</v>
      </c>
      <c r="AL4" s="4"/>
      <c r="AM4" s="4"/>
      <c r="AN4" s="4"/>
      <c r="AO4" s="4"/>
      <c r="AP4" s="2"/>
      <c r="AQ4" s="2"/>
      <c r="AR4" s="1"/>
    </row>
    <row r="5" spans="1:44" ht="26.25" customHeight="1">
      <c r="A5" s="1"/>
      <c r="B5" s="2"/>
      <c r="C5" s="1"/>
      <c r="D5" s="1"/>
      <c r="E5" s="1"/>
      <c r="F5" s="1"/>
      <c r="G5" s="5" t="s">
        <v>13</v>
      </c>
      <c r="H5" s="1"/>
      <c r="I5" s="1"/>
      <c r="J5" s="1"/>
      <c r="K5" s="1"/>
      <c r="L5" s="2"/>
      <c r="M5" s="6"/>
      <c r="N5" s="6"/>
      <c r="O5" s="6"/>
      <c r="P5" s="6"/>
      <c r="Q5" s="6"/>
      <c r="R5" s="6"/>
      <c r="S5" s="6"/>
      <c r="T5" s="6"/>
      <c r="U5" s="6"/>
      <c r="V5" s="3"/>
      <c r="W5" s="6"/>
      <c r="X5" s="6"/>
      <c r="Y5" s="6"/>
      <c r="Z5" s="6"/>
      <c r="AA5" s="6"/>
      <c r="AB5" s="6"/>
      <c r="AC5" s="6"/>
      <c r="AD5" s="6"/>
      <c r="AE5" s="6"/>
      <c r="AF5" s="3"/>
      <c r="AG5" s="6"/>
      <c r="AH5" s="6"/>
      <c r="AI5" s="6"/>
      <c r="AJ5" s="6"/>
      <c r="AK5" s="6"/>
      <c r="AL5" s="6"/>
      <c r="AM5" s="6"/>
      <c r="AN5" s="6"/>
      <c r="AO5" s="6"/>
      <c r="AP5" s="2"/>
      <c r="AQ5" s="2"/>
      <c r="AR5" s="1"/>
    </row>
    <row r="6" spans="1:44" ht="26.25" customHeight="1">
      <c r="A6" s="1"/>
      <c r="B6" s="2"/>
      <c r="C6" s="4"/>
      <c r="D6" s="4"/>
      <c r="E6" s="4"/>
      <c r="F6" s="4"/>
      <c r="G6" s="4" t="s">
        <v>12</v>
      </c>
      <c r="H6" s="4"/>
      <c r="I6" s="4"/>
      <c r="J6" s="4"/>
      <c r="K6" s="4"/>
      <c r="L6" s="2"/>
      <c r="M6" s="6"/>
      <c r="N6" s="6"/>
      <c r="O6" s="6"/>
      <c r="P6" s="6"/>
      <c r="Q6" s="6"/>
      <c r="R6" s="6"/>
      <c r="S6" s="6"/>
      <c r="T6" s="6"/>
      <c r="U6" s="6"/>
      <c r="V6" s="3"/>
      <c r="W6" s="6"/>
      <c r="X6" s="6"/>
      <c r="Y6" s="6"/>
      <c r="Z6" s="6"/>
      <c r="AA6" s="6"/>
      <c r="AB6" s="6"/>
      <c r="AC6" s="6"/>
      <c r="AD6" s="6"/>
      <c r="AE6" s="6"/>
      <c r="AF6" s="3"/>
      <c r="AG6" s="6"/>
      <c r="AH6" s="6"/>
      <c r="AI6" s="6"/>
      <c r="AJ6" s="6"/>
      <c r="AK6" s="6"/>
      <c r="AL6" s="6"/>
      <c r="AM6" s="6"/>
      <c r="AN6" s="6"/>
      <c r="AO6" s="6"/>
      <c r="AP6" s="2"/>
      <c r="AQ6" s="2"/>
      <c r="AR6" s="1"/>
    </row>
    <row r="7" spans="1:44" ht="26.25" customHeight="1">
      <c r="A7" s="1"/>
      <c r="B7" s="2"/>
      <c r="C7" s="1"/>
      <c r="D7" s="1"/>
      <c r="E7" s="1"/>
      <c r="F7" s="1"/>
      <c r="G7" s="5" t="s">
        <v>13</v>
      </c>
      <c r="H7" s="1"/>
      <c r="I7" s="1"/>
      <c r="J7" s="1"/>
      <c r="K7" s="1"/>
      <c r="L7" s="2"/>
      <c r="M7" s="6"/>
      <c r="N7" s="6"/>
      <c r="O7" s="6"/>
      <c r="P7" s="6"/>
      <c r="Q7" s="6"/>
      <c r="R7" s="6"/>
      <c r="S7" s="6"/>
      <c r="T7" s="6"/>
      <c r="U7" s="6"/>
      <c r="V7" s="3"/>
      <c r="W7" s="6"/>
      <c r="X7" s="6"/>
      <c r="Y7" s="6"/>
      <c r="Z7" s="6"/>
      <c r="AA7" s="6"/>
      <c r="AB7" s="6"/>
      <c r="AC7" s="6"/>
      <c r="AD7" s="6"/>
      <c r="AE7" s="6"/>
      <c r="AF7" s="3"/>
      <c r="AG7" s="6"/>
      <c r="AH7" s="6"/>
      <c r="AI7" s="6"/>
      <c r="AJ7" s="6"/>
      <c r="AK7" s="6"/>
      <c r="AL7" s="6"/>
      <c r="AM7" s="6"/>
      <c r="AN7" s="6"/>
      <c r="AO7" s="6"/>
      <c r="AP7" s="2"/>
      <c r="AQ7" s="2"/>
      <c r="AR7" s="1"/>
    </row>
    <row r="8" spans="1:44" ht="26.25" customHeight="1">
      <c r="A8" s="1"/>
      <c r="B8" s="2"/>
      <c r="C8" s="4"/>
      <c r="D8" s="4"/>
      <c r="E8" s="4"/>
      <c r="F8" s="4"/>
      <c r="G8" s="4" t="s">
        <v>14</v>
      </c>
      <c r="H8" s="4"/>
      <c r="I8" s="4"/>
      <c r="J8" s="4"/>
      <c r="K8" s="4"/>
      <c r="L8" s="2"/>
      <c r="M8" s="6"/>
      <c r="N8" s="6"/>
      <c r="O8" s="6"/>
      <c r="P8" s="6"/>
      <c r="Q8" s="6"/>
      <c r="R8" s="6"/>
      <c r="S8" s="6"/>
      <c r="T8" s="6"/>
      <c r="U8" s="6"/>
      <c r="V8" s="3"/>
      <c r="W8" s="6"/>
      <c r="X8" s="6"/>
      <c r="Y8" s="6"/>
      <c r="Z8" s="6"/>
      <c r="AA8" s="6"/>
      <c r="AB8" s="6"/>
      <c r="AC8" s="6"/>
      <c r="AD8" s="6"/>
      <c r="AE8" s="6"/>
      <c r="AF8" s="3"/>
      <c r="AG8" s="6"/>
      <c r="AH8" s="6"/>
      <c r="AI8" s="6"/>
      <c r="AJ8" s="6"/>
      <c r="AK8" s="6"/>
      <c r="AL8" s="6"/>
      <c r="AM8" s="6"/>
      <c r="AN8" s="6"/>
      <c r="AO8" s="6"/>
      <c r="AP8" s="2"/>
      <c r="AQ8" s="2"/>
      <c r="AR8" s="1"/>
    </row>
    <row r="9" spans="1:44" ht="26.25" customHeight="1">
      <c r="A9" s="1"/>
      <c r="B9" s="2"/>
      <c r="C9" s="1"/>
      <c r="D9" s="1"/>
      <c r="E9" s="1"/>
      <c r="F9" s="1"/>
      <c r="G9" s="5" t="s">
        <v>13</v>
      </c>
      <c r="H9" s="1"/>
      <c r="I9" s="1"/>
      <c r="J9" s="1"/>
      <c r="K9" s="1"/>
      <c r="L9" s="2"/>
      <c r="M9" s="6"/>
      <c r="N9" s="6"/>
      <c r="O9" s="6"/>
      <c r="P9" s="6"/>
      <c r="Q9" s="6"/>
      <c r="R9" s="6"/>
      <c r="S9" s="6"/>
      <c r="T9" s="6"/>
      <c r="U9" s="6"/>
      <c r="V9" s="3"/>
      <c r="W9" s="6"/>
      <c r="X9" s="6"/>
      <c r="Y9" s="6"/>
      <c r="Z9" s="6"/>
      <c r="AA9" s="6"/>
      <c r="AB9" s="6"/>
      <c r="AC9" s="6"/>
      <c r="AD9" s="6"/>
      <c r="AE9" s="6"/>
      <c r="AF9" s="3"/>
      <c r="AG9" s="6"/>
      <c r="AH9" s="6"/>
      <c r="AI9" s="6"/>
      <c r="AJ9" s="6"/>
      <c r="AK9" s="6"/>
      <c r="AL9" s="6"/>
      <c r="AM9" s="6"/>
      <c r="AN9" s="6"/>
      <c r="AO9" s="6"/>
      <c r="AP9" s="2"/>
      <c r="AQ9" s="2"/>
      <c r="AR9" s="1"/>
    </row>
    <row r="10" spans="1:44" ht="26.25" customHeight="1">
      <c r="A10" s="1"/>
      <c r="B10" s="2"/>
      <c r="C10" s="4"/>
      <c r="D10" s="4"/>
      <c r="E10" s="4"/>
      <c r="F10" s="4"/>
      <c r="G10" s="4" t="s">
        <v>15</v>
      </c>
      <c r="H10" s="4"/>
      <c r="I10" s="4"/>
      <c r="J10" s="4"/>
      <c r="K10" s="4"/>
      <c r="L10" s="2"/>
      <c r="M10" s="6"/>
      <c r="N10" s="6"/>
      <c r="O10" s="6"/>
      <c r="P10" s="6"/>
      <c r="Q10" s="6"/>
      <c r="R10" s="6"/>
      <c r="S10" s="6"/>
      <c r="T10" s="6"/>
      <c r="U10" s="6"/>
      <c r="V10" s="3"/>
      <c r="W10" s="6"/>
      <c r="X10" s="6"/>
      <c r="Y10" s="6"/>
      <c r="Z10" s="6"/>
      <c r="AA10" s="6"/>
      <c r="AB10" s="6"/>
      <c r="AC10" s="6"/>
      <c r="AD10" s="6"/>
      <c r="AE10" s="6"/>
      <c r="AF10" s="3"/>
      <c r="AG10" s="6"/>
      <c r="AH10" s="6"/>
      <c r="AI10" s="6"/>
      <c r="AJ10" s="6"/>
      <c r="AK10" s="6"/>
      <c r="AL10" s="6"/>
      <c r="AM10" s="6"/>
      <c r="AN10" s="6"/>
      <c r="AO10" s="6"/>
      <c r="AP10" s="2"/>
      <c r="AQ10" s="2"/>
      <c r="AR10" s="1"/>
    </row>
    <row r="11" spans="1:44" ht="26.25" customHeight="1">
      <c r="A11" s="1"/>
      <c r="B11" s="2"/>
      <c r="C11" s="7" t="s">
        <v>18</v>
      </c>
      <c r="D11" s="1"/>
      <c r="E11" s="1"/>
      <c r="F11" s="1"/>
      <c r="G11" s="1"/>
      <c r="H11" s="1"/>
      <c r="I11" s="1"/>
      <c r="J11" s="1"/>
      <c r="K11" s="1"/>
      <c r="L11" s="2"/>
      <c r="M11" s="6"/>
      <c r="N11" s="6"/>
      <c r="O11" s="6"/>
      <c r="P11" s="6"/>
      <c r="Q11" s="6"/>
      <c r="R11" s="6"/>
      <c r="S11" s="6"/>
      <c r="T11" s="6"/>
      <c r="U11" s="6"/>
      <c r="V11" s="3"/>
      <c r="W11" s="6"/>
      <c r="X11" s="6"/>
      <c r="Y11" s="6"/>
      <c r="Z11" s="6"/>
      <c r="AA11" s="6"/>
      <c r="AB11" s="6"/>
      <c r="AC11" s="6"/>
      <c r="AD11" s="6"/>
      <c r="AE11" s="6"/>
      <c r="AF11" s="3"/>
      <c r="AG11" s="6"/>
      <c r="AH11" s="6"/>
      <c r="AI11" s="6"/>
      <c r="AJ11" s="6"/>
      <c r="AK11" s="6"/>
      <c r="AL11" s="6"/>
      <c r="AM11" s="6"/>
      <c r="AN11" s="6"/>
      <c r="AO11" s="6"/>
      <c r="AP11" s="2"/>
      <c r="AQ11" s="2"/>
      <c r="AR11" s="1"/>
    </row>
    <row r="12" spans="1:44" ht="26.25" customHeight="1">
      <c r="A12" s="1"/>
      <c r="B12" s="2"/>
      <c r="C12" s="1"/>
      <c r="D12" s="7" t="s">
        <v>24</v>
      </c>
      <c r="E12" s="1"/>
      <c r="F12" s="1"/>
      <c r="G12" s="1"/>
      <c r="H12" s="1"/>
      <c r="I12" s="1"/>
      <c r="J12" s="1"/>
      <c r="K12" s="1"/>
      <c r="L12" s="2"/>
      <c r="M12" s="6"/>
      <c r="N12" s="6"/>
      <c r="O12" s="6"/>
      <c r="P12" s="6"/>
      <c r="Q12" s="6"/>
      <c r="R12" s="6"/>
      <c r="S12" s="6"/>
      <c r="T12" s="6"/>
      <c r="U12" s="6"/>
      <c r="V12" s="3"/>
      <c r="W12" s="6"/>
      <c r="X12" s="6"/>
      <c r="Y12" s="6"/>
      <c r="Z12" s="6"/>
      <c r="AA12" s="6"/>
      <c r="AB12" s="6"/>
      <c r="AC12" s="6"/>
      <c r="AD12" s="6"/>
      <c r="AE12" s="6"/>
      <c r="AF12" s="3"/>
      <c r="AG12" s="8"/>
      <c r="AH12" s="6"/>
      <c r="AI12" s="6"/>
      <c r="AJ12" s="6"/>
      <c r="AK12" s="6"/>
      <c r="AL12" s="6"/>
      <c r="AM12" s="6"/>
      <c r="AN12" s="6"/>
      <c r="AO12" s="9" t="s">
        <v>25</v>
      </c>
      <c r="AP12" s="2"/>
      <c r="AQ12" s="2"/>
      <c r="AR12" s="1"/>
    </row>
    <row r="13" spans="1:44" ht="26.25" customHeight="1">
      <c r="A13" s="1"/>
      <c r="B13" s="2"/>
      <c r="C13" s="1"/>
      <c r="D13" s="10" t="s">
        <v>23</v>
      </c>
      <c r="E13" s="1"/>
      <c r="F13" s="1"/>
      <c r="G13" s="1"/>
      <c r="H13" s="1"/>
      <c r="I13" s="1"/>
      <c r="J13" s="1"/>
      <c r="K13" s="1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1"/>
    </row>
    <row r="14" spans="1:44" ht="26.25" customHeight="1">
      <c r="A14" s="1"/>
      <c r="B14" s="2"/>
      <c r="C14" s="7" t="s">
        <v>19</v>
      </c>
      <c r="D14" s="1"/>
      <c r="E14" s="1"/>
      <c r="F14" s="1"/>
      <c r="G14" s="1"/>
      <c r="H14" s="1"/>
      <c r="I14" s="1"/>
      <c r="J14" s="1"/>
      <c r="K14" s="1"/>
      <c r="L14" s="2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 t="s">
        <v>29</v>
      </c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2"/>
      <c r="AQ14" s="2"/>
      <c r="AR14" s="1"/>
    </row>
    <row r="15" spans="1:44" ht="26.25" customHeight="1">
      <c r="A15" s="1"/>
      <c r="B15" s="2"/>
      <c r="C15" s="7" t="s">
        <v>20</v>
      </c>
      <c r="D15" s="1"/>
      <c r="E15" s="1"/>
      <c r="F15" s="1"/>
      <c r="G15" s="1"/>
      <c r="H15" s="1"/>
      <c r="I15" s="1"/>
      <c r="J15" s="1"/>
      <c r="K15" s="1"/>
      <c r="L15" s="2"/>
      <c r="M15" s="4"/>
      <c r="N15" s="4"/>
      <c r="O15" s="4"/>
      <c r="P15" s="4"/>
      <c r="Q15" s="4" t="s">
        <v>9</v>
      </c>
      <c r="R15" s="4"/>
      <c r="S15" s="4"/>
      <c r="T15" s="4"/>
      <c r="U15" s="4"/>
      <c r="V15" s="3"/>
      <c r="W15" s="4"/>
      <c r="X15" s="4"/>
      <c r="Y15" s="4"/>
      <c r="Z15" s="4"/>
      <c r="AA15" s="4" t="s">
        <v>7</v>
      </c>
      <c r="AB15" s="4"/>
      <c r="AC15" s="4"/>
      <c r="AD15" s="4"/>
      <c r="AE15" s="4"/>
      <c r="AF15" s="3"/>
      <c r="AG15" s="4"/>
      <c r="AH15" s="4"/>
      <c r="AI15" s="4"/>
      <c r="AJ15" s="4"/>
      <c r="AK15" s="4" t="s">
        <v>8</v>
      </c>
      <c r="AL15" s="4"/>
      <c r="AM15" s="4"/>
      <c r="AN15" s="4"/>
      <c r="AO15" s="4"/>
      <c r="AP15" s="2"/>
      <c r="AQ15" s="2"/>
      <c r="AR15" s="1"/>
    </row>
    <row r="16" spans="1:44" ht="26.25" customHeight="1">
      <c r="A16" s="1"/>
      <c r="B16" s="2"/>
      <c r="C16" s="7" t="s">
        <v>22</v>
      </c>
      <c r="D16" s="1"/>
      <c r="E16" s="1"/>
      <c r="F16" s="1"/>
      <c r="G16" s="1"/>
      <c r="H16" s="1"/>
      <c r="I16" s="1"/>
      <c r="J16" s="1"/>
      <c r="K16" s="1"/>
      <c r="L16" s="2"/>
      <c r="M16" s="6"/>
      <c r="N16" s="6"/>
      <c r="O16" s="6"/>
      <c r="P16" s="6"/>
      <c r="Q16" s="6"/>
      <c r="R16" s="6"/>
      <c r="S16" s="6"/>
      <c r="T16" s="6"/>
      <c r="U16" s="6"/>
      <c r="V16" s="3"/>
      <c r="W16" s="6"/>
      <c r="X16" s="6"/>
      <c r="Y16" s="6"/>
      <c r="Z16" s="6"/>
      <c r="AA16" s="6"/>
      <c r="AB16" s="6"/>
      <c r="AC16" s="6"/>
      <c r="AD16" s="6"/>
      <c r="AE16" s="6"/>
      <c r="AF16" s="3"/>
      <c r="AG16" s="6"/>
      <c r="AH16" s="6"/>
      <c r="AI16" s="6"/>
      <c r="AJ16" s="6"/>
      <c r="AK16" s="6"/>
      <c r="AL16" s="6"/>
      <c r="AM16" s="6"/>
      <c r="AN16" s="6"/>
      <c r="AO16" s="6"/>
      <c r="AP16" s="2"/>
      <c r="AQ16" s="2"/>
      <c r="AR16" s="1"/>
    </row>
    <row r="17" spans="1:44" ht="26.25" customHeight="1">
      <c r="A17" s="1"/>
      <c r="B17" s="2"/>
      <c r="C17" s="1"/>
      <c r="D17" s="7" t="s">
        <v>21</v>
      </c>
      <c r="E17" s="1"/>
      <c r="F17" s="1"/>
      <c r="G17" s="1"/>
      <c r="H17" s="1"/>
      <c r="I17" s="1"/>
      <c r="J17" s="1"/>
      <c r="K17" s="1"/>
      <c r="L17" s="2"/>
      <c r="M17" s="6"/>
      <c r="N17" s="6"/>
      <c r="O17" s="6"/>
      <c r="P17" s="6"/>
      <c r="Q17" s="6"/>
      <c r="R17" s="6"/>
      <c r="S17" s="6"/>
      <c r="T17" s="6"/>
      <c r="U17" s="6"/>
      <c r="V17" s="3"/>
      <c r="W17" s="6"/>
      <c r="X17" s="6"/>
      <c r="Y17" s="6"/>
      <c r="Z17" s="6"/>
      <c r="AA17" s="6"/>
      <c r="AB17" s="6"/>
      <c r="AC17" s="6"/>
      <c r="AD17" s="6"/>
      <c r="AE17" s="6"/>
      <c r="AF17" s="3"/>
      <c r="AG17" s="6"/>
      <c r="AH17" s="6"/>
      <c r="AI17" s="6"/>
      <c r="AJ17" s="6"/>
      <c r="AK17" s="6"/>
      <c r="AL17" s="6"/>
      <c r="AM17" s="6"/>
      <c r="AN17" s="6"/>
      <c r="AO17" s="6"/>
      <c r="AP17" s="2"/>
      <c r="AQ17" s="2"/>
      <c r="AR17" s="1"/>
    </row>
    <row r="18" spans="1:44" ht="26.25" customHeight="1">
      <c r="A18" s="1"/>
      <c r="B18" s="2"/>
      <c r="C18" s="1"/>
      <c r="D18" s="1"/>
      <c r="E18" s="1"/>
      <c r="F18" s="1"/>
      <c r="G18" s="5" t="s">
        <v>13</v>
      </c>
      <c r="H18" s="1"/>
      <c r="I18" s="1"/>
      <c r="J18" s="1"/>
      <c r="K18" s="1"/>
      <c r="L18" s="2"/>
      <c r="M18" s="6"/>
      <c r="N18" s="6"/>
      <c r="O18" s="6"/>
      <c r="P18" s="6"/>
      <c r="Q18" s="6"/>
      <c r="R18" s="6"/>
      <c r="S18" s="6"/>
      <c r="T18" s="6"/>
      <c r="U18" s="6"/>
      <c r="V18" s="3"/>
      <c r="W18" s="6"/>
      <c r="X18" s="6"/>
      <c r="Y18" s="6"/>
      <c r="Z18" s="6"/>
      <c r="AA18" s="6"/>
      <c r="AB18" s="6"/>
      <c r="AC18" s="6"/>
      <c r="AD18" s="6"/>
      <c r="AE18" s="6"/>
      <c r="AF18" s="3"/>
      <c r="AG18" s="6"/>
      <c r="AH18" s="6"/>
      <c r="AI18" s="6"/>
      <c r="AJ18" s="6"/>
      <c r="AK18" s="6"/>
      <c r="AL18" s="6"/>
      <c r="AM18" s="6"/>
      <c r="AN18" s="6"/>
      <c r="AO18" s="6"/>
      <c r="AP18" s="2"/>
      <c r="AQ18" s="2"/>
      <c r="AR18" s="1"/>
    </row>
    <row r="19" spans="1:44" ht="26.25" customHeight="1">
      <c r="A19" s="1"/>
      <c r="B19" s="2"/>
      <c r="C19" s="4"/>
      <c r="D19" s="4"/>
      <c r="E19" s="4"/>
      <c r="F19" s="4"/>
      <c r="G19" s="4" t="s">
        <v>16</v>
      </c>
      <c r="H19" s="4"/>
      <c r="I19" s="4"/>
      <c r="J19" s="4"/>
      <c r="K19" s="4"/>
      <c r="L19" s="2"/>
      <c r="M19" s="6"/>
      <c r="N19" s="6"/>
      <c r="O19" s="6"/>
      <c r="P19" s="6"/>
      <c r="Q19" s="6"/>
      <c r="R19" s="6"/>
      <c r="S19" s="6"/>
      <c r="T19" s="6"/>
      <c r="U19" s="6"/>
      <c r="V19" s="3"/>
      <c r="W19" s="6"/>
      <c r="X19" s="6"/>
      <c r="Y19" s="6"/>
      <c r="Z19" s="6"/>
      <c r="AA19" s="6"/>
      <c r="AB19" s="6"/>
      <c r="AC19" s="6"/>
      <c r="AD19" s="6"/>
      <c r="AE19" s="6"/>
      <c r="AF19" s="3"/>
      <c r="AG19" s="6"/>
      <c r="AH19" s="6"/>
      <c r="AI19" s="6"/>
      <c r="AJ19" s="6"/>
      <c r="AK19" s="6"/>
      <c r="AL19" s="6"/>
      <c r="AM19" s="6"/>
      <c r="AN19" s="6"/>
      <c r="AO19" s="6"/>
      <c r="AP19" s="2"/>
      <c r="AQ19" s="2"/>
      <c r="AR19" s="1"/>
    </row>
    <row r="20" spans="1:44" ht="26.25" customHeight="1">
      <c r="A20" s="1"/>
      <c r="B20" s="2"/>
      <c r="C20" s="1"/>
      <c r="D20" s="1"/>
      <c r="E20" s="1"/>
      <c r="F20" s="1"/>
      <c r="G20" s="5" t="s">
        <v>13</v>
      </c>
      <c r="H20" s="1"/>
      <c r="I20" s="1"/>
      <c r="J20" s="1"/>
      <c r="K20" s="1"/>
      <c r="L20" s="2"/>
      <c r="M20" s="6"/>
      <c r="N20" s="6"/>
      <c r="O20" s="6"/>
      <c r="P20" s="6"/>
      <c r="Q20" s="6"/>
      <c r="R20" s="6"/>
      <c r="S20" s="6"/>
      <c r="T20" s="6"/>
      <c r="U20" s="6"/>
      <c r="V20" s="3"/>
      <c r="W20" s="6"/>
      <c r="X20" s="6"/>
      <c r="Y20" s="6"/>
      <c r="Z20" s="6"/>
      <c r="AA20" s="6"/>
      <c r="AB20" s="6"/>
      <c r="AC20" s="6"/>
      <c r="AD20" s="6"/>
      <c r="AE20" s="6"/>
      <c r="AF20" s="3"/>
      <c r="AG20" s="6"/>
      <c r="AH20" s="6"/>
      <c r="AI20" s="6"/>
      <c r="AJ20" s="6"/>
      <c r="AK20" s="6"/>
      <c r="AL20" s="6"/>
      <c r="AM20" s="6"/>
      <c r="AN20" s="6"/>
      <c r="AO20" s="6"/>
      <c r="AP20" s="2"/>
      <c r="AQ20" s="2"/>
      <c r="AR20" s="1"/>
    </row>
    <row r="21" spans="1:44" ht="26.25" customHeight="1">
      <c r="A21" s="1"/>
      <c r="B21" s="2"/>
      <c r="C21" s="4"/>
      <c r="D21" s="4"/>
      <c r="E21" s="4"/>
      <c r="F21" s="4"/>
      <c r="G21" s="4" t="s">
        <v>17</v>
      </c>
      <c r="H21" s="4"/>
      <c r="I21" s="4"/>
      <c r="J21" s="4"/>
      <c r="K21" s="4"/>
      <c r="L21" s="2"/>
      <c r="M21" s="6"/>
      <c r="N21" s="6"/>
      <c r="O21" s="6"/>
      <c r="P21" s="6"/>
      <c r="Q21" s="6"/>
      <c r="R21" s="6"/>
      <c r="S21" s="6"/>
      <c r="T21" s="6"/>
      <c r="U21" s="6"/>
      <c r="V21" s="3"/>
      <c r="W21" s="6"/>
      <c r="X21" s="6"/>
      <c r="Y21" s="6"/>
      <c r="Z21" s="6"/>
      <c r="AA21" s="6"/>
      <c r="AB21" s="6"/>
      <c r="AC21" s="6"/>
      <c r="AD21" s="6"/>
      <c r="AE21" s="6"/>
      <c r="AF21" s="3"/>
      <c r="AG21" s="6"/>
      <c r="AH21" s="6"/>
      <c r="AI21" s="6"/>
      <c r="AJ21" s="6"/>
      <c r="AK21" s="6"/>
      <c r="AL21" s="6"/>
      <c r="AM21" s="6"/>
      <c r="AN21" s="6"/>
      <c r="AO21" s="6"/>
      <c r="AP21" s="2"/>
      <c r="AQ21" s="2"/>
      <c r="AR21" s="1"/>
    </row>
    <row r="22" spans="1:44" ht="26.25" customHeight="1">
      <c r="A22" s="1"/>
      <c r="B22" s="2"/>
      <c r="C22" s="1"/>
      <c r="D22" s="1"/>
      <c r="E22" s="1"/>
      <c r="F22" s="1"/>
      <c r="G22" s="5" t="s">
        <v>13</v>
      </c>
      <c r="H22" s="1"/>
      <c r="I22" s="1"/>
      <c r="J22" s="1"/>
      <c r="K22" s="1"/>
      <c r="L22" s="2"/>
      <c r="M22" s="6"/>
      <c r="N22" s="6"/>
      <c r="O22" s="6"/>
      <c r="P22" s="6"/>
      <c r="Q22" s="6"/>
      <c r="R22" s="6"/>
      <c r="S22" s="6"/>
      <c r="T22" s="6"/>
      <c r="U22" s="6"/>
      <c r="V22" s="3"/>
      <c r="W22" s="6"/>
      <c r="X22" s="6"/>
      <c r="Y22" s="6"/>
      <c r="Z22" s="6"/>
      <c r="AA22" s="6"/>
      <c r="AB22" s="6"/>
      <c r="AC22" s="6"/>
      <c r="AD22" s="6"/>
      <c r="AE22" s="6"/>
      <c r="AF22" s="3"/>
      <c r="AG22" s="6"/>
      <c r="AH22" s="6"/>
      <c r="AI22" s="6"/>
      <c r="AJ22" s="6"/>
      <c r="AK22" s="6"/>
      <c r="AL22" s="6"/>
      <c r="AM22" s="6"/>
      <c r="AN22" s="6"/>
      <c r="AO22" s="6"/>
      <c r="AP22" s="2"/>
      <c r="AQ22" s="2"/>
      <c r="AR22" s="1"/>
    </row>
    <row r="23" spans="1:44" ht="26.25" customHeight="1">
      <c r="A23" s="1"/>
      <c r="B23" s="2"/>
      <c r="C23" s="4"/>
      <c r="D23" s="4"/>
      <c r="E23" s="4"/>
      <c r="F23" s="4"/>
      <c r="G23" s="4" t="s">
        <v>11</v>
      </c>
      <c r="H23" s="4"/>
      <c r="I23" s="4"/>
      <c r="J23" s="4"/>
      <c r="K23" s="4"/>
      <c r="L23" s="2"/>
      <c r="M23" s="6"/>
      <c r="N23" s="6"/>
      <c r="O23" s="6"/>
      <c r="P23" s="6"/>
      <c r="Q23" s="6"/>
      <c r="R23" s="6"/>
      <c r="S23" s="6"/>
      <c r="T23" s="6"/>
      <c r="U23" s="6"/>
      <c r="V23" s="3"/>
      <c r="W23" s="6"/>
      <c r="X23" s="6"/>
      <c r="Y23" s="6"/>
      <c r="Z23" s="6"/>
      <c r="AA23" s="6"/>
      <c r="AB23" s="6"/>
      <c r="AC23" s="6"/>
      <c r="AD23" s="6"/>
      <c r="AE23" s="6"/>
      <c r="AF23" s="3"/>
      <c r="AG23" s="6"/>
      <c r="AH23" s="6"/>
      <c r="AI23" s="6"/>
      <c r="AJ23" s="6"/>
      <c r="AK23" s="6"/>
      <c r="AL23" s="6"/>
      <c r="AM23" s="6"/>
      <c r="AN23" s="6"/>
      <c r="AO23" s="9" t="s">
        <v>25</v>
      </c>
      <c r="AP23" s="2"/>
      <c r="AQ23" s="2"/>
      <c r="AR23" s="1"/>
    </row>
    <row r="24" spans="1:44" ht="26.2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1"/>
    </row>
    <row r="25" spans="1:44" ht="26.25" customHeight="1">
      <c r="A25" s="1"/>
      <c r="B25" s="2"/>
      <c r="C25" s="2"/>
      <c r="D25" s="11"/>
      <c r="E25" s="11"/>
      <c r="F25" s="3" t="s">
        <v>0</v>
      </c>
      <c r="G25" s="11"/>
      <c r="H25" s="11"/>
      <c r="I25" s="2"/>
      <c r="J25" s="2"/>
      <c r="K25" s="2"/>
      <c r="L25" s="2"/>
      <c r="M25" s="11"/>
      <c r="N25" s="11"/>
      <c r="O25" s="3" t="s">
        <v>1</v>
      </c>
      <c r="P25" s="11"/>
      <c r="Q25" s="11"/>
      <c r="R25" s="2"/>
      <c r="S25" s="11"/>
      <c r="T25" s="11"/>
      <c r="U25" s="3" t="s">
        <v>2</v>
      </c>
      <c r="V25" s="11"/>
      <c r="W25" s="11"/>
      <c r="X25" s="2"/>
      <c r="Y25" s="11"/>
      <c r="Z25" s="11"/>
      <c r="AA25" s="3" t="s">
        <v>3</v>
      </c>
      <c r="AB25" s="11"/>
      <c r="AC25" s="11"/>
      <c r="AD25" s="2"/>
      <c r="AE25" s="11"/>
      <c r="AF25" s="11"/>
      <c r="AG25" s="3" t="s">
        <v>4</v>
      </c>
      <c r="AH25" s="11"/>
      <c r="AI25" s="11"/>
      <c r="AJ25" s="2"/>
      <c r="AK25" s="11"/>
      <c r="AL25" s="11"/>
      <c r="AM25" s="3" t="s">
        <v>5</v>
      </c>
      <c r="AN25" s="11"/>
      <c r="AO25" s="11"/>
      <c r="AP25" s="2"/>
      <c r="AQ25" s="2"/>
      <c r="AR25" s="1"/>
    </row>
    <row r="26" spans="1:44" ht="26.25" customHeight="1">
      <c r="A26" s="1"/>
      <c r="B26" s="2"/>
      <c r="C26" s="2"/>
      <c r="D26" s="12"/>
      <c r="E26" s="12"/>
      <c r="F26" s="12"/>
      <c r="G26" s="12"/>
      <c r="H26" s="12"/>
      <c r="I26" s="2"/>
      <c r="J26" s="2"/>
      <c r="K26" s="2"/>
      <c r="L26" s="2"/>
      <c r="M26" s="12"/>
      <c r="N26" s="12"/>
      <c r="O26" s="12"/>
      <c r="P26" s="12"/>
      <c r="Q26" s="12"/>
      <c r="R26" s="2"/>
      <c r="S26" s="12"/>
      <c r="T26" s="12"/>
      <c r="U26" s="12"/>
      <c r="V26" s="12"/>
      <c r="W26" s="12"/>
      <c r="X26" s="2"/>
      <c r="Y26" s="12"/>
      <c r="Z26" s="12"/>
      <c r="AA26" s="12"/>
      <c r="AB26" s="12"/>
      <c r="AC26" s="12"/>
      <c r="AD26" s="2"/>
      <c r="AE26" s="12"/>
      <c r="AF26" s="12"/>
      <c r="AG26" s="12"/>
      <c r="AH26" s="12"/>
      <c r="AI26" s="12"/>
      <c r="AJ26" s="2"/>
      <c r="AK26" s="12"/>
      <c r="AL26" s="12"/>
      <c r="AM26" s="12"/>
      <c r="AN26" s="12"/>
      <c r="AO26" s="12"/>
      <c r="AP26" s="2"/>
      <c r="AQ26" s="2"/>
      <c r="AR26" s="1"/>
    </row>
    <row r="27" spans="1:44" ht="26.25" customHeight="1">
      <c r="A27" s="1"/>
      <c r="B27" s="2"/>
      <c r="C27" s="2"/>
      <c r="D27" s="12"/>
      <c r="E27" s="12"/>
      <c r="F27" s="12"/>
      <c r="G27" s="12"/>
      <c r="H27" s="12"/>
      <c r="I27" s="2"/>
      <c r="J27" s="2"/>
      <c r="K27" s="2"/>
      <c r="L27" s="2"/>
      <c r="M27" s="12"/>
      <c r="N27" s="12"/>
      <c r="O27" s="12"/>
      <c r="P27" s="12"/>
      <c r="Q27" s="12"/>
      <c r="R27" s="2"/>
      <c r="S27" s="12"/>
      <c r="T27" s="12"/>
      <c r="U27" s="12"/>
      <c r="V27" s="12"/>
      <c r="W27" s="12"/>
      <c r="X27" s="2"/>
      <c r="Y27" s="12"/>
      <c r="Z27" s="12"/>
      <c r="AA27" s="12"/>
      <c r="AB27" s="12"/>
      <c r="AC27" s="12"/>
      <c r="AD27" s="2"/>
      <c r="AE27" s="12"/>
      <c r="AF27" s="12"/>
      <c r="AG27" s="12"/>
      <c r="AH27" s="12"/>
      <c r="AI27" s="12"/>
      <c r="AJ27" s="2"/>
      <c r="AK27" s="12"/>
      <c r="AL27" s="12"/>
      <c r="AM27" s="12"/>
      <c r="AN27" s="12"/>
      <c r="AO27" s="12"/>
      <c r="AP27" s="2"/>
      <c r="AQ27" s="2"/>
      <c r="AR27" s="1"/>
    </row>
    <row r="28" spans="1:44" ht="26.25" customHeight="1">
      <c r="A28" s="1"/>
      <c r="B28" s="2"/>
      <c r="C28" s="2"/>
      <c r="D28" s="12"/>
      <c r="E28" s="12"/>
      <c r="F28" s="12"/>
      <c r="G28" s="12"/>
      <c r="H28" s="12"/>
      <c r="I28" s="2"/>
      <c r="J28" s="2"/>
      <c r="K28" s="2"/>
      <c r="L28" s="2"/>
      <c r="M28" s="12"/>
      <c r="N28" s="12"/>
      <c r="O28" s="12"/>
      <c r="P28" s="12"/>
      <c r="Q28" s="12"/>
      <c r="R28" s="2"/>
      <c r="S28" s="12"/>
      <c r="T28" s="12"/>
      <c r="U28" s="12"/>
      <c r="V28" s="12"/>
      <c r="W28" s="12"/>
      <c r="X28" s="2"/>
      <c r="Y28" s="12"/>
      <c r="Z28" s="12"/>
      <c r="AA28" s="12"/>
      <c r="AB28" s="12"/>
      <c r="AC28" s="12"/>
      <c r="AD28" s="2"/>
      <c r="AE28" s="12"/>
      <c r="AF28" s="12"/>
      <c r="AG28" s="12"/>
      <c r="AH28" s="12"/>
      <c r="AI28" s="12"/>
      <c r="AJ28" s="2"/>
      <c r="AK28" s="12"/>
      <c r="AL28" s="12"/>
      <c r="AM28" s="12"/>
      <c r="AN28" s="12"/>
      <c r="AO28" s="12"/>
      <c r="AP28" s="2"/>
      <c r="AQ28" s="2"/>
      <c r="AR28" s="1"/>
    </row>
    <row r="29" spans="1:44" ht="26.25" customHeight="1">
      <c r="A29" s="1"/>
      <c r="B29" s="2"/>
      <c r="C29" s="2"/>
      <c r="D29" s="12"/>
      <c r="E29" s="12"/>
      <c r="F29" s="12"/>
      <c r="G29" s="12"/>
      <c r="H29" s="12"/>
      <c r="I29" s="2"/>
      <c r="J29" s="2"/>
      <c r="K29" s="2"/>
      <c r="L29" s="2"/>
      <c r="M29" s="12"/>
      <c r="N29" s="12"/>
      <c r="O29" s="12"/>
      <c r="P29" s="12"/>
      <c r="Q29" s="12"/>
      <c r="R29" s="2"/>
      <c r="S29" s="12"/>
      <c r="T29" s="12"/>
      <c r="U29" s="12"/>
      <c r="V29" s="12"/>
      <c r="W29" s="12"/>
      <c r="X29" s="2"/>
      <c r="Y29" s="12"/>
      <c r="Z29" s="12"/>
      <c r="AA29" s="12"/>
      <c r="AB29" s="12"/>
      <c r="AC29" s="12"/>
      <c r="AD29" s="2"/>
      <c r="AE29" s="12"/>
      <c r="AF29" s="12"/>
      <c r="AG29" s="12"/>
      <c r="AH29" s="12"/>
      <c r="AI29" s="12"/>
      <c r="AJ29" s="2"/>
      <c r="AK29" s="12"/>
      <c r="AL29" s="12"/>
      <c r="AM29" s="12"/>
      <c r="AN29" s="12"/>
      <c r="AO29" s="12"/>
      <c r="AP29" s="2"/>
      <c r="AQ29" s="2"/>
      <c r="AR29" s="1"/>
    </row>
    <row r="30" spans="1:44" ht="26.25" customHeight="1">
      <c r="A30" s="1"/>
      <c r="B30" s="2"/>
      <c r="C30" s="2"/>
      <c r="D30" s="12"/>
      <c r="E30" s="12"/>
      <c r="F30" s="12"/>
      <c r="G30" s="12"/>
      <c r="H30" s="12"/>
      <c r="I30" s="2"/>
      <c r="J30" s="2"/>
      <c r="K30" s="2"/>
      <c r="L30" s="2"/>
      <c r="M30" s="12"/>
      <c r="N30" s="12"/>
      <c r="O30" s="12"/>
      <c r="P30" s="12"/>
      <c r="Q30" s="12"/>
      <c r="R30" s="2"/>
      <c r="S30" s="12"/>
      <c r="T30" s="12"/>
      <c r="U30" s="12"/>
      <c r="V30" s="12"/>
      <c r="W30" s="12"/>
      <c r="X30" s="2"/>
      <c r="Y30" s="12"/>
      <c r="Z30" s="12"/>
      <c r="AA30" s="12"/>
      <c r="AB30" s="12"/>
      <c r="AC30" s="12"/>
      <c r="AD30" s="2"/>
      <c r="AE30" s="12"/>
      <c r="AF30" s="12"/>
      <c r="AG30" s="12"/>
      <c r="AH30" s="12"/>
      <c r="AI30" s="12"/>
      <c r="AJ30" s="2"/>
      <c r="AK30" s="12"/>
      <c r="AL30" s="12"/>
      <c r="AM30" s="12"/>
      <c r="AN30" s="12"/>
      <c r="AO30" s="12"/>
      <c r="AP30" s="2"/>
      <c r="AQ30" s="2"/>
      <c r="AR30" s="1"/>
    </row>
    <row r="31" spans="1:44" ht="26.25" customHeight="1">
      <c r="A31" s="1"/>
      <c r="B31" s="2"/>
      <c r="C31" s="2"/>
      <c r="D31" s="12"/>
      <c r="E31" s="12"/>
      <c r="F31" s="12"/>
      <c r="G31" s="12"/>
      <c r="H31" s="12"/>
      <c r="I31" s="2"/>
      <c r="J31" s="2"/>
      <c r="K31" s="2"/>
      <c r="L31" s="2"/>
      <c r="M31" s="12"/>
      <c r="N31" s="12"/>
      <c r="O31" s="12"/>
      <c r="P31" s="12"/>
      <c r="Q31" s="12"/>
      <c r="R31" s="2"/>
      <c r="S31" s="12"/>
      <c r="T31" s="12"/>
      <c r="U31" s="12"/>
      <c r="V31" s="12"/>
      <c r="W31" s="12"/>
      <c r="X31" s="2"/>
      <c r="Y31" s="12"/>
      <c r="Z31" s="12"/>
      <c r="AA31" s="12"/>
      <c r="AB31" s="12"/>
      <c r="AC31" s="12"/>
      <c r="AD31" s="2"/>
      <c r="AE31" s="12"/>
      <c r="AF31" s="12"/>
      <c r="AG31" s="12"/>
      <c r="AH31" s="12"/>
      <c r="AI31" s="12"/>
      <c r="AJ31" s="2"/>
      <c r="AK31" s="12"/>
      <c r="AL31" s="12"/>
      <c r="AM31" s="12"/>
      <c r="AN31" s="12"/>
      <c r="AO31" s="12"/>
      <c r="AP31" s="2"/>
      <c r="AQ31" s="2"/>
      <c r="AR31" s="1"/>
    </row>
    <row r="32" spans="1:44" ht="26.2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1"/>
    </row>
    <row r="33" spans="1:44" ht="26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</sheetData>
  <phoneticPr fontId="1"/>
  <pageMargins left="0.7" right="0.7" top="0.75" bottom="0.75" header="0.3" footer="0.3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18958-B7F6-4148-A58F-440C575634A9}">
  <dimension ref="A1:K18"/>
  <sheetViews>
    <sheetView workbookViewId="0">
      <selection activeCell="B3" sqref="B3"/>
    </sheetView>
  </sheetViews>
  <sheetFormatPr defaultRowHeight="18.75"/>
  <cols>
    <col min="1" max="1" width="3.625" style="15" customWidth="1"/>
    <col min="2" max="2" width="15.625" style="15" customWidth="1"/>
    <col min="3" max="3" width="3.625" style="15" customWidth="1"/>
    <col min="4" max="4" width="15.625" style="15" customWidth="1"/>
    <col min="5" max="5" width="3.625" style="15" customWidth="1"/>
    <col min="6" max="6" width="15.625" style="15" customWidth="1"/>
    <col min="7" max="7" width="3.625" style="15" customWidth="1"/>
    <col min="8" max="8" width="15.625" style="15" customWidth="1"/>
    <col min="9" max="9" width="5.625" style="15" customWidth="1"/>
    <col min="10" max="11" width="15.625" style="15" customWidth="1"/>
  </cols>
  <sheetData>
    <row r="1" spans="2:11" ht="19.5" thickBot="1"/>
    <row r="2" spans="2:11" ht="20.25" thickTop="1" thickBot="1">
      <c r="B2" s="13" t="s">
        <v>33</v>
      </c>
      <c r="D2" s="50" t="s">
        <v>54</v>
      </c>
      <c r="E2" s="50"/>
      <c r="F2" s="50"/>
      <c r="H2" s="13" t="s">
        <v>43</v>
      </c>
      <c r="J2" s="40" t="s">
        <v>60</v>
      </c>
      <c r="K2" s="41"/>
    </row>
    <row r="3" spans="2:11" ht="20.25" thickTop="1" thickBot="1">
      <c r="B3" s="14"/>
      <c r="D3" s="13" t="s">
        <v>46</v>
      </c>
      <c r="E3" s="15" t="s">
        <v>55</v>
      </c>
      <c r="F3" s="13" t="s">
        <v>50</v>
      </c>
      <c r="H3" s="30">
        <f>IFERROR(VLOOKUP(B3,$J$13:$K$18,2,FALSE),0)+IFERROR(VLOOKUP(B4,$J$13:$K$18,2,FALSE),0)+IFERROR(VLOOKUP(B5,$J$13:$K$18,2,FALSE),0)+IFERROR(VLOOKUP(B6,$J$13:$K$18,2,FALSE),0)+IFERROR(VLOOKUP(B7,$J$13:$K$18,2,FALSE),0)+B13*100+B16*100+100</f>
        <v>100</v>
      </c>
      <c r="J3" s="72" t="str">
        <f>IFERROR(ROUNDUP(H3/COUNTIF(B3:B7,J13),0),"販売無し")</f>
        <v>販売無し</v>
      </c>
      <c r="K3" s="73"/>
    </row>
    <row r="4" spans="2:11" ht="20.25" thickTop="1" thickBot="1">
      <c r="B4" s="14"/>
      <c r="D4" s="14">
        <v>3</v>
      </c>
      <c r="E4" s="15" t="s">
        <v>56</v>
      </c>
      <c r="F4" s="14">
        <v>0</v>
      </c>
    </row>
    <row r="5" spans="2:11" ht="20.25" thickTop="1" thickBot="1">
      <c r="B5" s="14"/>
      <c r="D5" s="15" t="s">
        <v>13</v>
      </c>
      <c r="E5" s="15" t="s">
        <v>56</v>
      </c>
      <c r="F5" s="15" t="s">
        <v>13</v>
      </c>
      <c r="H5" s="13" t="s">
        <v>44</v>
      </c>
    </row>
    <row r="6" spans="2:11" ht="20.25" thickTop="1" thickBot="1">
      <c r="B6" s="14"/>
      <c r="D6" s="13" t="s">
        <v>47</v>
      </c>
      <c r="E6" s="15" t="s">
        <v>56</v>
      </c>
      <c r="F6" s="13" t="s">
        <v>51</v>
      </c>
      <c r="H6" s="32" t="str">
        <f>IFERROR( ROUNDDOWN(IF(ROUNDUP(J3/100 +1,0)&lt;=B10, J3/100 +1, B10),0), "販売無し")</f>
        <v>販売無し</v>
      </c>
    </row>
    <row r="7" spans="2:11" ht="20.25" thickTop="1" thickBot="1">
      <c r="B7" s="14"/>
      <c r="D7" s="14">
        <v>0</v>
      </c>
      <c r="E7" s="15" t="s">
        <v>56</v>
      </c>
      <c r="F7" s="14">
        <v>0</v>
      </c>
    </row>
    <row r="8" spans="2:11" ht="20.25" thickTop="1" thickBot="1">
      <c r="D8" s="15" t="s">
        <v>13</v>
      </c>
      <c r="E8" s="15" t="s">
        <v>56</v>
      </c>
      <c r="F8" s="15" t="s">
        <v>13</v>
      </c>
      <c r="H8" s="13" t="s">
        <v>45</v>
      </c>
    </row>
    <row r="9" spans="2:11" ht="20.25" thickTop="1" thickBot="1">
      <c r="B9" s="13" t="s">
        <v>34</v>
      </c>
      <c r="D9" s="13" t="s">
        <v>48</v>
      </c>
      <c r="E9" s="15" t="s">
        <v>56</v>
      </c>
      <c r="F9" s="13" t="s">
        <v>52</v>
      </c>
      <c r="H9" s="32" t="str">
        <f>IFERROR(B10-H6, "販売無し")</f>
        <v>販売無し</v>
      </c>
    </row>
    <row r="10" spans="2:11" ht="20.25" thickTop="1" thickBot="1">
      <c r="B10" s="16">
        <f>5+D4+D7+D10+D13+F4+F7+F10+F13</f>
        <v>8</v>
      </c>
      <c r="D10" s="14">
        <v>0</v>
      </c>
      <c r="E10" s="15" t="s">
        <v>56</v>
      </c>
      <c r="F10" s="14">
        <v>0</v>
      </c>
    </row>
    <row r="11" spans="2:11" ht="20.25" thickTop="1" thickBot="1">
      <c r="D11" s="15" t="s">
        <v>13</v>
      </c>
      <c r="E11" s="15" t="s">
        <v>56</v>
      </c>
      <c r="F11" s="15" t="s">
        <v>13</v>
      </c>
      <c r="H11" s="13" t="s">
        <v>58</v>
      </c>
    </row>
    <row r="12" spans="2:11" ht="20.25" thickTop="1" thickBot="1">
      <c r="B12" s="13" t="s">
        <v>35</v>
      </c>
      <c r="D12" s="13" t="s">
        <v>49</v>
      </c>
      <c r="E12" s="15" t="s">
        <v>56</v>
      </c>
      <c r="F12" s="13" t="s">
        <v>53</v>
      </c>
      <c r="H12" s="30" t="str">
        <f>IFERROR(H6*COUNTIF(B3:B7,J13)*100, "販売無し")</f>
        <v>販売無し</v>
      </c>
      <c r="J12" s="50" t="s">
        <v>37</v>
      </c>
      <c r="K12" s="50"/>
    </row>
    <row r="13" spans="2:11" ht="20.25" thickTop="1" thickBot="1">
      <c r="B13" s="14"/>
      <c r="D13" s="14">
        <v>0</v>
      </c>
      <c r="E13" s="15" t="s">
        <v>56</v>
      </c>
      <c r="F13" s="14">
        <v>0</v>
      </c>
      <c r="J13" s="16" t="s">
        <v>38</v>
      </c>
      <c r="K13" s="16">
        <v>100</v>
      </c>
    </row>
    <row r="14" spans="2:11" ht="20.25" thickTop="1" thickBot="1">
      <c r="D14" s="15" t="s">
        <v>13</v>
      </c>
      <c r="E14" s="15" t="s">
        <v>56</v>
      </c>
      <c r="H14" s="13" t="s">
        <v>59</v>
      </c>
      <c r="J14" s="16" t="s">
        <v>39</v>
      </c>
      <c r="K14" s="16">
        <v>300</v>
      </c>
    </row>
    <row r="15" spans="2:11" ht="20.25" thickTop="1" thickBot="1">
      <c r="B15" s="13" t="s">
        <v>36</v>
      </c>
      <c r="D15" s="15" t="s">
        <v>55</v>
      </c>
      <c r="E15" s="15" t="s">
        <v>56</v>
      </c>
      <c r="H15" s="30" t="str">
        <f>IFERROR(H12-H3, "販売無し")</f>
        <v>販売無し</v>
      </c>
      <c r="J15" s="16" t="s">
        <v>40</v>
      </c>
      <c r="K15" s="16">
        <v>500</v>
      </c>
    </row>
    <row r="16" spans="2:11" ht="19.5" thickTop="1">
      <c r="B16" s="14">
        <v>0</v>
      </c>
      <c r="J16" s="16" t="s">
        <v>41</v>
      </c>
      <c r="K16" s="16">
        <v>100</v>
      </c>
    </row>
    <row r="17" spans="10:11">
      <c r="J17" s="16" t="s">
        <v>57</v>
      </c>
      <c r="K17" s="16">
        <v>100</v>
      </c>
    </row>
    <row r="18" spans="10:11">
      <c r="J18" s="16" t="s">
        <v>42</v>
      </c>
      <c r="K18" s="16">
        <v>100</v>
      </c>
    </row>
  </sheetData>
  <mergeCells count="4">
    <mergeCell ref="J12:K12"/>
    <mergeCell ref="D2:F2"/>
    <mergeCell ref="J2:K2"/>
    <mergeCell ref="J3:K3"/>
  </mergeCells>
  <phoneticPr fontId="1"/>
  <dataValidations count="1">
    <dataValidation type="list" allowBlank="1" showInputMessage="1" showErrorMessage="1" sqref="B3:B7" xr:uid="{8BB905E5-8BB3-4A77-9D10-68FBE6146C88}">
      <formula1>$J$13:$J$18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PL用_事業計画書</vt:lpstr>
      <vt:lpstr>GM用_ゲーム管理</vt:lpstr>
      <vt:lpstr>おまけ_盤面</vt:lpstr>
      <vt:lpstr>おまけ_損益分岐点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2024-01-14T13:09:19Z</dcterms:created>
  <dcterms:modified xsi:type="dcterms:W3CDTF">2024-01-20T03:53:51Z</dcterms:modified>
</cp:coreProperties>
</file>