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shana\Desktop\"/>
    </mc:Choice>
  </mc:AlternateContent>
  <xr:revisionPtr revIDLastSave="0" documentId="13_ncr:1_{CA9E127C-AA69-414A-BD2A-A04EFEC3621A}" xr6:coauthVersionLast="47" xr6:coauthVersionMax="47" xr10:uidLastSave="{00000000-0000-0000-0000-000000000000}"/>
  <bookViews>
    <workbookView xWindow="-120" yWindow="-120" windowWidth="29040" windowHeight="1584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21" i="7" l="1"/>
  <c r="AE229" i="7"/>
  <c r="AH232" i="7"/>
  <c r="AC233" i="7"/>
  <c r="AC225" i="7"/>
  <c r="AE233"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D7" i="2" s="1"/>
  <c r="C9" i="3" s="1"/>
  <c r="E9" i="3" s="1"/>
  <c r="N8" i="4"/>
  <c r="B7" i="2"/>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N12" i="4"/>
  <c r="B9" i="2"/>
  <c r="B11" i="3" s="1"/>
  <c r="B12" i="2"/>
  <c r="B14" i="3" s="1"/>
  <c r="Q11" i="4"/>
  <c r="Q10" i="4"/>
  <c r="C12" i="2"/>
  <c r="B24" i="2"/>
  <c r="B26" i="3" s="1"/>
  <c r="H12" i="4"/>
  <c r="C24" i="2"/>
  <c r="D24" i="2" s="1"/>
  <c r="C26" i="3" s="1"/>
  <c r="E26" i="3" s="1"/>
  <c r="AH990" i="7"/>
  <c r="AH994" i="7"/>
  <c r="AH998" i="7"/>
  <c r="K8" i="4"/>
  <c r="K7" i="4"/>
  <c r="C10" i="2"/>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4" i="11"/>
  <c r="C4" i="11"/>
  <c r="D6" i="11"/>
  <c r="C6" i="11"/>
  <c r="D8" i="11"/>
  <c r="C8" i="11"/>
  <c r="D5" i="11"/>
  <c r="C5" i="11"/>
  <c r="D3" i="11"/>
  <c r="C3" i="11"/>
  <c r="D7" i="11"/>
  <c r="C7"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<sst xmlns="http://schemas.openxmlformats.org/spreadsheetml/2006/main" count="2565" uniqueCount="2272">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</sst>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9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NumberFormat="1" applyFont="1" applyBorder="1" applyAlignment="1">
      <alignment horizontal="center" vertical="center"/>
    </xf>
    <xf numFmtId="0" fontId="6" fillId="0" borderId="9" xfId="0" applyNumberFormat="1" applyFont="1" applyFill="1" applyBorder="1" applyAlignment="1">
      <alignment horizontal="center" vertical="center"/>
    </xf>
    <xf numFmtId="0" fontId="6" fillId="0" borderId="9" xfId="0" applyNumberFormat="1" applyFont="1" applyFill="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Fill="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29" fillId="0" borderId="0" xfId="0" applyFont="1"/>
    <xf numFmtId="0" fontId="0" fillId="0" borderId="0" xfId="0"/>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Border="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c:v>
                </c:pt>
                <c:pt idx="1">
                  <c:v>1</c:v>
                </c:pt>
                <c:pt idx="2">
                  <c:v>-1</c:v>
                </c:pt>
                <c:pt idx="3">
                  <c:v>3</c:v>
                </c:pt>
                <c:pt idx="4">
                  <c:v>0</c:v>
                </c:pt>
                <c:pt idx="5">
                  <c:v>-1</c:v>
                </c:pt>
                <c:pt idx="6">
                  <c:v>-2</c:v>
                </c:pt>
                <c:pt idx="7">
                  <c:v>3</c:v>
                </c:pt>
                <c:pt idx="8">
                  <c:v>3</c:v>
                </c:pt>
                <c:pt idx="9">
                  <c:v>-3</c:v>
                </c:pt>
                <c:pt idx="10">
                  <c:v>2</c:v>
                </c:pt>
                <c:pt idx="11">
                  <c:v>2</c:v>
                </c:pt>
                <c:pt idx="12">
                  <c:v>2</c:v>
                </c:pt>
                <c:pt idx="13">
                  <c:v>1</c:v>
                </c:pt>
                <c:pt idx="14">
                  <c:v>-3</c:v>
                </c:pt>
                <c:pt idx="15">
                  <c:v>1</c:v>
                </c:pt>
                <c:pt idx="16">
                  <c:v>3</c:v>
                </c:pt>
                <c:pt idx="17">
                  <c:v>0</c:v>
                </c:pt>
                <c:pt idx="18">
                  <c:v>1</c:v>
                </c:pt>
                <c:pt idx="19">
                  <c:v>2</c:v>
                </c:pt>
                <c:pt idx="20">
                  <c:v>2</c:v>
                </c:pt>
                <c:pt idx="21">
                  <c:v>2</c:v>
                </c:pt>
                <c:pt idx="22">
                  <c:v>2</c:v>
                </c:pt>
                <c:pt idx="23">
                  <c:v>1</c:v>
                </c:pt>
                <c:pt idx="24">
                  <c:v>2.3333333333333335</c:v>
                </c:pt>
                <c:pt idx="25">
                  <c:v>-3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0.43554755212001156</c:v>
                  </c:pt>
                  <c:pt idx="1">
                    <c:v>0</c:v>
                  </c:pt>
                  <c:pt idx="2">
                    <c:v>0</c:v>
                  </c:pt>
                  <c:pt idx="3">
                    <c:v>0</c:v>
                  </c:pt>
                  <c:pt idx="4">
                    <c:v>0</c:v>
                  </c:pt>
                  <c:pt idx="5">
                    <c:v>0</c:v>
                  </c:pt>
                </c:numCache>
              </c:numRef>
            </c:plus>
            <c:minus>
              <c:numRef>
                <c:f>Confidence_Intervals!$M$5:$M$10</c:f>
                <c:numCache>
                  <c:formatCode>General</c:formatCode>
                  <c:ptCount val="6"/>
                  <c:pt idx="0">
                    <c:v>0.43554755212001156</c:v>
                  </c:pt>
                  <c:pt idx="1">
                    <c:v>0</c:v>
                  </c:pt>
                  <c:pt idx="2">
                    <c:v>0</c:v>
                  </c:pt>
                  <c:pt idx="3">
                    <c:v>0</c:v>
                  </c:pt>
                  <c:pt idx="4">
                    <c:v>0</c:v>
                  </c:pt>
                  <c:pt idx="5">
                    <c:v>0</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1.3888888888888891</c:v>
                </c:pt>
                <c:pt idx="1">
                  <c:v>2</c:v>
                </c:pt>
                <c:pt idx="2">
                  <c:v>2.25</c:v>
                </c:pt>
                <c:pt idx="3">
                  <c:v>2.25</c:v>
                </c:pt>
                <c:pt idx="4">
                  <c:v>-0.75</c:v>
                </c:pt>
                <c:pt idx="5">
                  <c:v>-2.5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4"/>
          <c:min val="-4"/>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1.3888888888888891</c:v>
                </c:pt>
                <c:pt idx="1">
                  <c:v>2</c:v>
                </c:pt>
                <c:pt idx="2">
                  <c:v>2.25</c:v>
                </c:pt>
                <c:pt idx="3">
                  <c:v>2.25</c:v>
                </c:pt>
                <c:pt idx="4">
                  <c:v>-0.75</c:v>
                </c:pt>
                <c:pt idx="5">
                  <c:v>-2.5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1.3888888888888891</c:v>
                </c:pt>
                <c:pt idx="1">
                  <c:v>2.1666666666666665</c:v>
                </c:pt>
                <c:pt idx="2">
                  <c:v>-1.625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3</c:v>
                </c:pt>
                <c:pt idx="10">
                  <c:v>0</c:v>
                </c:pt>
                <c:pt idx="11">
                  <c:v>0</c:v>
                </c:pt>
                <c:pt idx="12">
                  <c:v>0</c:v>
                </c:pt>
                <c:pt idx="13">
                  <c:v>0</c:v>
                </c:pt>
                <c:pt idx="14">
                  <c:v>3</c:v>
                </c:pt>
                <c:pt idx="15">
                  <c:v>0</c:v>
                </c:pt>
                <c:pt idx="16">
                  <c:v>0</c:v>
                </c:pt>
                <c:pt idx="17">
                  <c:v>0</c:v>
                </c:pt>
                <c:pt idx="18">
                  <c:v>0</c:v>
                </c:pt>
                <c:pt idx="19">
                  <c:v>0</c:v>
                </c:pt>
                <c:pt idx="20">
                  <c:v>0</c:v>
                </c:pt>
                <c:pt idx="21">
                  <c:v>0</c:v>
                </c:pt>
                <c:pt idx="22">
                  <c:v>0</c:v>
                </c:pt>
                <c:pt idx="23">
                  <c:v>0</c:v>
                </c:pt>
                <c:pt idx="24">
                  <c:v>0</c:v>
                </c:pt>
                <c:pt idx="25">
                  <c:v>3</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3</c:v>
                </c:pt>
                <c:pt idx="3">
                  <c:v>0</c:v>
                </c:pt>
                <c:pt idx="4">
                  <c:v>0</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3</c:v>
                </c:pt>
                <c:pt idx="5">
                  <c:v>0</c:v>
                </c:pt>
                <c:pt idx="6">
                  <c:v>0</c:v>
                </c:pt>
                <c:pt idx="7">
                  <c:v>0</c:v>
                </c:pt>
                <c:pt idx="8">
                  <c:v>0</c:v>
                </c:pt>
                <c:pt idx="9">
                  <c:v>0</c:v>
                </c:pt>
                <c:pt idx="10">
                  <c:v>0</c:v>
                </c:pt>
                <c:pt idx="11">
                  <c:v>0</c:v>
                </c:pt>
                <c:pt idx="12">
                  <c:v>0</c:v>
                </c:pt>
                <c:pt idx="13">
                  <c:v>0</c:v>
                </c:pt>
                <c:pt idx="14">
                  <c:v>0</c:v>
                </c:pt>
                <c:pt idx="15">
                  <c:v>0</c:v>
                </c:pt>
                <c:pt idx="16">
                  <c:v>0</c:v>
                </c:pt>
                <c:pt idx="17">
                  <c:v>3</c:v>
                </c:pt>
                <c:pt idx="18">
                  <c:v>0</c:v>
                </c:pt>
                <c:pt idx="19">
                  <c:v>0</c:v>
                </c:pt>
                <c:pt idx="20">
                  <c:v>0</c:v>
                </c:pt>
                <c:pt idx="21">
                  <c:v>0</c:v>
                </c:pt>
                <c:pt idx="22">
                  <c:v>0</c:v>
                </c:pt>
                <c:pt idx="23">
                  <c:v>2</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3</c:v>
                </c:pt>
                <c:pt idx="1">
                  <c:v>3</c:v>
                </c:pt>
                <c:pt idx="2">
                  <c:v>0</c:v>
                </c:pt>
                <c:pt idx="3">
                  <c:v>0</c:v>
                </c:pt>
                <c:pt idx="4">
                  <c:v>0</c:v>
                </c:pt>
                <c:pt idx="5">
                  <c:v>0</c:v>
                </c:pt>
                <c:pt idx="6">
                  <c:v>0</c:v>
                </c:pt>
                <c:pt idx="7">
                  <c:v>0</c:v>
                </c:pt>
                <c:pt idx="8">
                  <c:v>0</c:v>
                </c:pt>
                <c:pt idx="9">
                  <c:v>0</c:v>
                </c:pt>
                <c:pt idx="10">
                  <c:v>0</c:v>
                </c:pt>
                <c:pt idx="11">
                  <c:v>0</c:v>
                </c:pt>
                <c:pt idx="12">
                  <c:v>0</c:v>
                </c:pt>
                <c:pt idx="13">
                  <c:v>3</c:v>
                </c:pt>
                <c:pt idx="14">
                  <c:v>0</c:v>
                </c:pt>
                <c:pt idx="15">
                  <c:v>3</c:v>
                </c:pt>
                <c:pt idx="16">
                  <c:v>0</c:v>
                </c:pt>
                <c:pt idx="17">
                  <c:v>0</c:v>
                </c:pt>
                <c:pt idx="18">
                  <c:v>3</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0</c:v>
                </c:pt>
                <c:pt idx="2">
                  <c:v>0</c:v>
                </c:pt>
                <c:pt idx="3">
                  <c:v>0</c:v>
                </c:pt>
                <c:pt idx="4">
                  <c:v>0</c:v>
                </c:pt>
                <c:pt idx="5">
                  <c:v>0</c:v>
                </c:pt>
                <c:pt idx="6">
                  <c:v>0</c:v>
                </c:pt>
                <c:pt idx="7">
                  <c:v>0</c:v>
                </c:pt>
                <c:pt idx="8">
                  <c:v>0</c:v>
                </c:pt>
                <c:pt idx="9">
                  <c:v>0</c:v>
                </c:pt>
                <c:pt idx="10">
                  <c:v>3</c:v>
                </c:pt>
                <c:pt idx="11">
                  <c:v>3</c:v>
                </c:pt>
                <c:pt idx="12">
                  <c:v>3</c:v>
                </c:pt>
                <c:pt idx="13">
                  <c:v>0</c:v>
                </c:pt>
                <c:pt idx="14">
                  <c:v>0</c:v>
                </c:pt>
                <c:pt idx="15">
                  <c:v>0</c:v>
                </c:pt>
                <c:pt idx="16">
                  <c:v>0</c:v>
                </c:pt>
                <c:pt idx="17">
                  <c:v>0</c:v>
                </c:pt>
                <c:pt idx="18">
                  <c:v>0</c:v>
                </c:pt>
                <c:pt idx="19">
                  <c:v>3</c:v>
                </c:pt>
                <c:pt idx="20">
                  <c:v>3</c:v>
                </c:pt>
                <c:pt idx="21">
                  <c:v>3</c:v>
                </c:pt>
                <c:pt idx="22">
                  <c:v>3</c:v>
                </c:pt>
                <c:pt idx="23">
                  <c:v>0</c:v>
                </c:pt>
                <c:pt idx="24">
                  <c:v>2</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0</c:v>
                </c:pt>
                <c:pt idx="3">
                  <c:v>3</c:v>
                </c:pt>
                <c:pt idx="4">
                  <c:v>0</c:v>
                </c:pt>
                <c:pt idx="5">
                  <c:v>0</c:v>
                </c:pt>
                <c:pt idx="6">
                  <c:v>0</c:v>
                </c:pt>
                <c:pt idx="7">
                  <c:v>3</c:v>
                </c:pt>
                <c:pt idx="8">
                  <c:v>3</c:v>
                </c:pt>
                <c:pt idx="9">
                  <c:v>0</c:v>
                </c:pt>
                <c:pt idx="10">
                  <c:v>0</c:v>
                </c:pt>
                <c:pt idx="11">
                  <c:v>0</c:v>
                </c:pt>
                <c:pt idx="12">
                  <c:v>0</c:v>
                </c:pt>
                <c:pt idx="13">
                  <c:v>0</c:v>
                </c:pt>
                <c:pt idx="14">
                  <c:v>0</c:v>
                </c:pt>
                <c:pt idx="15">
                  <c:v>0</c:v>
                </c:pt>
                <c:pt idx="16">
                  <c:v>3</c:v>
                </c:pt>
                <c:pt idx="17">
                  <c:v>0</c:v>
                </c:pt>
                <c:pt idx="18">
                  <c:v>0</c:v>
                </c:pt>
                <c:pt idx="19">
                  <c:v>0</c:v>
                </c:pt>
                <c:pt idx="20">
                  <c:v>0</c:v>
                </c:pt>
                <c:pt idx="21">
                  <c:v>0</c:v>
                </c:pt>
                <c:pt idx="22">
                  <c:v>0</c:v>
                </c:pt>
                <c:pt idx="23">
                  <c:v>1</c:v>
                </c:pt>
                <c:pt idx="24">
                  <c:v>1</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1.3888888888888891</c:v>
                </c:pt>
                <c:pt idx="1">
                  <c:v>2</c:v>
                </c:pt>
                <c:pt idx="2">
                  <c:v>2.25</c:v>
                </c:pt>
                <c:pt idx="3">
                  <c:v>2.25</c:v>
                </c:pt>
                <c:pt idx="4">
                  <c:v>-0.75</c:v>
                </c:pt>
                <c:pt idx="5">
                  <c:v>-2.5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0.43554755212001156</c:v>
                  </c:pt>
                  <c:pt idx="1">
                    <c:v>0</c:v>
                  </c:pt>
                  <c:pt idx="2">
                    <c:v>0</c:v>
                  </c:pt>
                  <c:pt idx="3">
                    <c:v>0</c:v>
                  </c:pt>
                  <c:pt idx="4">
                    <c:v>0</c:v>
                  </c:pt>
                  <c:pt idx="5">
                    <c:v>0</c:v>
                  </c:pt>
                </c:numCache>
              </c:numRef>
            </c:plus>
            <c:minus>
              <c:numRef>
                <c:f>Confidence_Intervals!$M$5:$M$10</c:f>
                <c:numCache>
                  <c:formatCode>General</c:formatCode>
                  <c:ptCount val="6"/>
                  <c:pt idx="0">
                    <c:v>0.43554755212001156</c:v>
                  </c:pt>
                  <c:pt idx="1">
                    <c:v>0</c:v>
                  </c:pt>
                  <c:pt idx="2">
                    <c:v>0</c:v>
                  </c:pt>
                  <c:pt idx="3">
                    <c:v>0</c:v>
                  </c:pt>
                  <c:pt idx="4">
                    <c:v>0</c:v>
                  </c:pt>
                  <c:pt idx="5">
                    <c:v>0</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1.3888888888888891</c:v>
                </c:pt>
                <c:pt idx="1">
                  <c:v>2</c:v>
                </c:pt>
                <c:pt idx="2">
                  <c:v>2.25</c:v>
                </c:pt>
                <c:pt idx="3">
                  <c:v>2.25</c:v>
                </c:pt>
                <c:pt idx="4">
                  <c:v>-0.75</c:v>
                </c:pt>
                <c:pt idx="5">
                  <c:v>-2.5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4" workbookViewId="0">
      <selection activeCell="B5" sqref="B5"/>
    </sheetView>
  </sheetViews>
  <sheetFormatPr defaultColWidth="9.140625" defaultRowHeight="15"/>
  <cols>
    <col min="1" max="1" width="35.140625" customWidth="1"/>
    <col min="2" max="2" width="22" customWidth="1"/>
    <col min="3" max="3" width="43" customWidth="1"/>
  </cols>
  <sheetData>
    <row r="1" spans="1:3" s="45" customFormat="1" ht="57" customHeight="1">
      <c r="A1" s="162"/>
      <c r="B1" s="162"/>
      <c r="C1" s="162"/>
    </row>
    <row r="2" spans="1:3" ht="58.9" customHeight="1">
      <c r="A2" s="158" t="s">
        <v>1291</v>
      </c>
      <c r="B2" s="158"/>
      <c r="C2" s="158"/>
    </row>
    <row r="3" spans="1:3" ht="107.25" customHeight="1">
      <c r="A3" s="159" t="s">
        <v>1280</v>
      </c>
      <c r="B3" s="159"/>
      <c r="C3" s="159"/>
    </row>
    <row r="5" spans="1:3" ht="18.75">
      <c r="A5" s="34" t="s">
        <v>818</v>
      </c>
      <c r="B5" s="64" t="s">
        <v>128</v>
      </c>
    </row>
    <row r="7" spans="1:3" ht="30.75" customHeight="1">
      <c r="A7" s="160" t="s">
        <v>1290</v>
      </c>
      <c r="B7" s="160"/>
      <c r="C7" s="160"/>
    </row>
    <row r="9" spans="1:3" ht="406.15" customHeight="1">
      <c r="A9" s="161" t="s">
        <v>1289</v>
      </c>
      <c r="B9" s="161"/>
      <c r="C9" s="16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130" zoomScaleNormal="130" workbookViewId="0">
      <selection activeCell="B6" sqref="B6"/>
    </sheetView>
  </sheetViews>
  <sheetFormatPr defaultColWidth="9.140625" defaultRowHeight="15"/>
  <cols>
    <col min="1" max="26" width="3.7109375" style="1" customWidth="1"/>
  </cols>
  <sheetData>
    <row r="1" spans="1:27" ht="144" customHeight="1">
      <c r="A1" s="163" t="s">
        <v>1281</v>
      </c>
      <c r="B1" s="164"/>
      <c r="C1" s="164"/>
      <c r="D1" s="164"/>
      <c r="E1" s="164"/>
      <c r="F1" s="164"/>
      <c r="G1" s="164"/>
      <c r="H1" s="164"/>
      <c r="I1" s="164"/>
      <c r="J1" s="164"/>
      <c r="K1" s="164"/>
      <c r="L1" s="164"/>
      <c r="M1" s="164"/>
      <c r="N1" s="164"/>
      <c r="O1" s="164"/>
      <c r="P1" s="164"/>
      <c r="Q1" s="164"/>
      <c r="R1" s="164"/>
      <c r="S1" s="164"/>
      <c r="T1" s="164"/>
      <c r="U1" s="164"/>
      <c r="V1" s="164"/>
      <c r="W1" s="164"/>
      <c r="X1" s="164"/>
      <c r="Y1" s="164"/>
      <c r="Z1" s="164"/>
    </row>
    <row r="2" spans="1:27">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row>
    <row r="3" spans="1:27">
      <c r="A3" s="106">
        <v>1</v>
      </c>
      <c r="B3" s="106">
        <v>2</v>
      </c>
      <c r="C3" s="106">
        <v>3</v>
      </c>
      <c r="D3" s="106">
        <v>4</v>
      </c>
      <c r="E3" s="107">
        <v>5</v>
      </c>
      <c r="F3" s="107">
        <v>6</v>
      </c>
      <c r="G3" s="108">
        <v>7</v>
      </c>
      <c r="H3" s="106">
        <v>8</v>
      </c>
      <c r="I3" s="106">
        <v>9</v>
      </c>
      <c r="J3" s="106">
        <v>10</v>
      </c>
      <c r="K3" s="106">
        <v>11</v>
      </c>
      <c r="L3" s="106">
        <v>12</v>
      </c>
      <c r="M3" s="107">
        <v>13</v>
      </c>
      <c r="N3" s="108">
        <v>14</v>
      </c>
      <c r="O3" s="106">
        <v>15</v>
      </c>
      <c r="P3" s="106">
        <v>16</v>
      </c>
      <c r="Q3" s="107">
        <v>17</v>
      </c>
      <c r="R3" s="108">
        <v>18</v>
      </c>
      <c r="S3" s="106">
        <v>19</v>
      </c>
      <c r="T3" s="106">
        <v>20</v>
      </c>
      <c r="U3" s="107">
        <v>21</v>
      </c>
      <c r="V3" s="106">
        <v>22</v>
      </c>
      <c r="W3" s="106">
        <v>23</v>
      </c>
      <c r="X3" s="106">
        <v>24</v>
      </c>
      <c r="Y3" s="106">
        <v>25</v>
      </c>
      <c r="Z3" s="109">
        <v>26</v>
      </c>
      <c r="AA3" s="66"/>
    </row>
    <row r="4" spans="1:27">
      <c r="A4" s="65">
        <v>5</v>
      </c>
      <c r="B4" s="65">
        <v>5</v>
      </c>
      <c r="C4" s="65">
        <v>5</v>
      </c>
      <c r="D4" s="65">
        <v>1</v>
      </c>
      <c r="E4" s="65">
        <v>4</v>
      </c>
      <c r="F4" s="65">
        <v>3</v>
      </c>
      <c r="G4" s="65">
        <v>2</v>
      </c>
      <c r="H4" s="65">
        <v>7</v>
      </c>
      <c r="I4" s="65">
        <v>1</v>
      </c>
      <c r="J4" s="65">
        <v>7</v>
      </c>
      <c r="K4" s="65">
        <v>6</v>
      </c>
      <c r="L4" s="65">
        <v>2</v>
      </c>
      <c r="M4" s="65">
        <v>6</v>
      </c>
      <c r="N4" s="65">
        <v>5</v>
      </c>
      <c r="O4" s="65">
        <v>1</v>
      </c>
      <c r="P4" s="65">
        <v>5</v>
      </c>
      <c r="Q4" s="65">
        <v>1</v>
      </c>
      <c r="R4" s="65">
        <v>4</v>
      </c>
      <c r="S4" s="65">
        <v>3</v>
      </c>
      <c r="T4" s="65">
        <v>6</v>
      </c>
      <c r="U4" s="65">
        <v>2</v>
      </c>
      <c r="V4" s="65">
        <v>6</v>
      </c>
      <c r="W4" s="65">
        <v>2</v>
      </c>
      <c r="X4" s="65">
        <v>4</v>
      </c>
      <c r="Y4" s="65">
        <v>2</v>
      </c>
      <c r="Z4" s="65">
        <v>1</v>
      </c>
    </row>
    <row r="5" spans="1:27">
      <c r="A5" s="65">
        <v>5</v>
      </c>
      <c r="B5" s="65">
        <v>5</v>
      </c>
      <c r="C5" s="65">
        <v>5</v>
      </c>
      <c r="D5" s="65">
        <v>1</v>
      </c>
      <c r="E5" s="65">
        <v>4</v>
      </c>
      <c r="F5" s="65">
        <v>3</v>
      </c>
      <c r="G5" s="65">
        <v>2</v>
      </c>
      <c r="H5" s="65">
        <v>7</v>
      </c>
      <c r="I5" s="65">
        <v>1</v>
      </c>
      <c r="J5" s="65">
        <v>7</v>
      </c>
      <c r="K5" s="65">
        <v>6</v>
      </c>
      <c r="L5" s="65">
        <v>2</v>
      </c>
      <c r="M5" s="65">
        <v>6</v>
      </c>
      <c r="N5" s="65">
        <v>5</v>
      </c>
      <c r="O5" s="65">
        <v>1</v>
      </c>
      <c r="P5" s="65">
        <v>5</v>
      </c>
      <c r="Q5" s="65">
        <v>1</v>
      </c>
      <c r="R5" s="65">
        <v>4</v>
      </c>
      <c r="S5" s="65">
        <v>3</v>
      </c>
      <c r="T5" s="65">
        <v>6</v>
      </c>
      <c r="U5" s="65">
        <v>2</v>
      </c>
      <c r="V5" s="65">
        <v>6</v>
      </c>
      <c r="W5" s="65">
        <v>2</v>
      </c>
      <c r="X5" s="65">
        <v>4</v>
      </c>
      <c r="Y5" s="65">
        <v>2</v>
      </c>
      <c r="Z5" s="65">
        <v>1</v>
      </c>
    </row>
    <row r="6" spans="1:27">
      <c r="A6" s="65">
        <v>5</v>
      </c>
      <c r="B6" s="65">
        <v>5</v>
      </c>
      <c r="C6" s="65">
        <v>5</v>
      </c>
      <c r="D6" s="65">
        <v>1</v>
      </c>
      <c r="E6" s="65">
        <v>4</v>
      </c>
      <c r="F6" s="65">
        <v>3</v>
      </c>
      <c r="G6" s="65">
        <v>2</v>
      </c>
      <c r="H6" s="65">
        <v>7</v>
      </c>
      <c r="I6" s="65">
        <v>1</v>
      </c>
      <c r="J6" s="65">
        <v>7</v>
      </c>
      <c r="K6" s="65">
        <v>6</v>
      </c>
      <c r="L6" s="65">
        <v>2</v>
      </c>
      <c r="M6" s="65">
        <v>6</v>
      </c>
      <c r="N6" s="65">
        <v>5</v>
      </c>
      <c r="O6" s="65">
        <v>1</v>
      </c>
      <c r="P6" s="65">
        <v>5</v>
      </c>
      <c r="Q6" s="65">
        <v>1</v>
      </c>
      <c r="R6" s="65">
        <v>4</v>
      </c>
      <c r="S6" s="65">
        <v>3</v>
      </c>
      <c r="T6" s="65">
        <v>6</v>
      </c>
      <c r="U6" s="65">
        <v>2</v>
      </c>
      <c r="V6" s="65">
        <v>6</v>
      </c>
      <c r="W6" s="65">
        <v>2</v>
      </c>
      <c r="X6" s="65">
        <v>1</v>
      </c>
      <c r="Y6" s="65">
        <v>1</v>
      </c>
      <c r="Z6" s="65">
        <v>1</v>
      </c>
    </row>
    <row r="7" spans="1:27">
      <c r="A7" s="60"/>
      <c r="B7" s="60"/>
      <c r="C7" s="60"/>
      <c r="D7" s="60"/>
      <c r="E7" s="60"/>
      <c r="F7" s="60"/>
      <c r="G7" s="60"/>
      <c r="H7" s="60"/>
      <c r="I7" s="60"/>
      <c r="J7" s="60"/>
      <c r="K7" s="60"/>
      <c r="L7" s="60"/>
      <c r="M7" s="60"/>
      <c r="N7" s="60"/>
      <c r="O7" s="60"/>
      <c r="P7" s="60"/>
      <c r="Q7" s="60"/>
      <c r="R7" s="60"/>
      <c r="S7" s="60"/>
      <c r="T7" s="60"/>
      <c r="U7" s="60"/>
      <c r="V7" s="60"/>
      <c r="W7" s="60"/>
      <c r="X7" s="60"/>
      <c r="Y7" s="60"/>
      <c r="Z7" s="60"/>
    </row>
    <row r="8" spans="1:27">
      <c r="A8" s="60"/>
      <c r="B8" s="60"/>
      <c r="C8" s="60"/>
      <c r="D8" s="60"/>
      <c r="E8" s="60"/>
      <c r="F8" s="60"/>
      <c r="G8" s="60"/>
      <c r="H8" s="60"/>
      <c r="I8" s="60"/>
      <c r="J8" s="60"/>
      <c r="K8" s="60"/>
      <c r="L8" s="60"/>
      <c r="M8" s="60"/>
      <c r="N8" s="60"/>
      <c r="O8" s="60"/>
      <c r="P8" s="60"/>
      <c r="Q8" s="60"/>
      <c r="R8" s="60"/>
      <c r="S8" s="60"/>
      <c r="T8" s="60"/>
      <c r="U8" s="60"/>
      <c r="V8" s="60"/>
      <c r="W8" s="60"/>
      <c r="X8" s="60"/>
      <c r="Y8" s="60"/>
      <c r="Z8" s="60"/>
    </row>
    <row r="9" spans="1:27">
      <c r="A9" s="60"/>
      <c r="B9" s="60"/>
      <c r="C9" s="60"/>
      <c r="D9" s="60"/>
      <c r="E9" s="60"/>
      <c r="F9" s="60"/>
      <c r="G9" s="60"/>
      <c r="H9" s="60"/>
      <c r="I9" s="60"/>
      <c r="J9" s="60"/>
      <c r="K9" s="60"/>
      <c r="L9" s="60"/>
      <c r="M9" s="60"/>
      <c r="N9" s="60"/>
      <c r="O9" s="60"/>
      <c r="P9" s="60"/>
      <c r="Q9" s="60"/>
      <c r="R9" s="60"/>
      <c r="S9" s="60"/>
      <c r="T9" s="60"/>
      <c r="U9" s="60"/>
      <c r="V9" s="60"/>
      <c r="W9" s="60"/>
      <c r="X9" s="60"/>
      <c r="Y9" s="60"/>
      <c r="Z9" s="60"/>
    </row>
    <row r="10" spans="1:27">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row>
    <row r="11" spans="1:27">
      <c r="A11" s="60"/>
      <c r="B11" s="60"/>
      <c r="C11" s="60"/>
      <c r="D11" s="60"/>
      <c r="E11" s="60"/>
      <c r="F11" s="60"/>
      <c r="G11" s="60"/>
      <c r="H11" s="60"/>
      <c r="I11" s="60"/>
      <c r="J11" s="60"/>
      <c r="K11" s="60"/>
      <c r="L11" s="60"/>
      <c r="M11" s="60"/>
      <c r="N11" s="60"/>
      <c r="O11" s="60"/>
      <c r="P11" s="60"/>
      <c r="Q11" s="60"/>
      <c r="R11" s="60"/>
      <c r="S11" s="60"/>
      <c r="T11" s="60"/>
      <c r="U11" s="60"/>
      <c r="V11" s="60"/>
      <c r="W11" s="60"/>
      <c r="X11" s="60"/>
      <c r="Y11" s="60"/>
      <c r="Z11" s="60"/>
    </row>
    <row r="12" spans="1:27">
      <c r="A12" s="60"/>
      <c r="B12" s="60"/>
      <c r="C12" s="60"/>
      <c r="D12" s="60"/>
      <c r="E12" s="60"/>
      <c r="F12" s="60"/>
      <c r="G12" s="60"/>
      <c r="H12" s="60"/>
      <c r="I12" s="60"/>
      <c r="J12" s="60"/>
      <c r="K12" s="60"/>
      <c r="L12" s="60"/>
      <c r="M12" s="60"/>
      <c r="N12" s="60"/>
      <c r="O12" s="60"/>
      <c r="P12" s="60"/>
      <c r="Q12" s="60"/>
      <c r="R12" s="60"/>
      <c r="S12" s="60"/>
      <c r="T12" s="60"/>
      <c r="U12" s="60"/>
      <c r="V12" s="60"/>
      <c r="W12" s="60"/>
      <c r="X12" s="60"/>
      <c r="Y12" s="60"/>
      <c r="Z12" s="60"/>
    </row>
    <row r="13" spans="1:27">
      <c r="A13" s="60"/>
      <c r="B13" s="60"/>
      <c r="C13" s="60"/>
      <c r="D13" s="60"/>
      <c r="E13" s="60"/>
      <c r="F13" s="60"/>
      <c r="G13" s="60"/>
      <c r="H13" s="60"/>
      <c r="I13" s="60"/>
      <c r="J13" s="60"/>
      <c r="K13" s="60"/>
      <c r="L13" s="60"/>
      <c r="M13" s="60"/>
      <c r="N13" s="60"/>
      <c r="O13" s="60"/>
      <c r="P13" s="60"/>
      <c r="Q13" s="60"/>
      <c r="R13" s="60"/>
      <c r="S13" s="60"/>
      <c r="T13" s="60"/>
      <c r="U13" s="60"/>
      <c r="V13" s="60"/>
      <c r="W13" s="60"/>
      <c r="X13" s="60"/>
      <c r="Y13" s="60"/>
      <c r="Z13" s="60"/>
    </row>
    <row r="14" spans="1:27">
      <c r="A14" s="60"/>
      <c r="B14" s="60"/>
      <c r="C14" s="60"/>
      <c r="D14" s="60"/>
      <c r="E14" s="60"/>
      <c r="F14" s="60"/>
      <c r="G14" s="60"/>
      <c r="H14" s="60"/>
      <c r="I14" s="60"/>
      <c r="J14" s="60"/>
      <c r="K14" s="60"/>
      <c r="L14" s="60"/>
      <c r="M14" s="60"/>
      <c r="N14" s="60"/>
      <c r="O14" s="60"/>
      <c r="P14" s="60"/>
      <c r="Q14" s="60"/>
      <c r="R14" s="60"/>
      <c r="S14" s="60"/>
      <c r="T14" s="60"/>
      <c r="U14" s="60"/>
      <c r="V14" s="60"/>
      <c r="W14" s="60"/>
      <c r="X14" s="60"/>
      <c r="Y14" s="60"/>
      <c r="Z14" s="60"/>
    </row>
    <row r="15" spans="1:27">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spans="1:27">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row>
    <row r="17" spans="1:26">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spans="1:26">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row>
    <row r="19" spans="1:26">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spans="1:26">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spans="1:26">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spans="1:26">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spans="1:26">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spans="1:26">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spans="1:26">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spans="1:26">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spans="1:26">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spans="1:26">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spans="1:26">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spans="1:26">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spans="1:26">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spans="1:26">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spans="1:26">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spans="1:26">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spans="1:26">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spans="1:26">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spans="1:26">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spans="1:26">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spans="1:26">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spans="1:26">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spans="1:26">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spans="1:26">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spans="1:26">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spans="1:2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spans="1:26">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spans="1:26">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spans="1:26">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spans="1:26">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spans="1:26">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spans="1:26">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spans="1:26">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spans="1:26">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spans="1:26">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spans="1:2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spans="1:26">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spans="1:26">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spans="1:26">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spans="1:26">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spans="1:26">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spans="1:26">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spans="1:26">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spans="1:26">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spans="1:26">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spans="1:2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spans="1:26">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spans="1:26">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1:26">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1:26">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1:26">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1:26">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1:26">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1:26">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1:26">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1:2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1:26">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1:26">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1:26">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1:26">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1:26">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1:26">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1:26">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1:26">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1:2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1:26">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1:26">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1:26">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1:26">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1:26">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1:26">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1:26">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1:26">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1:26">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1:2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1:26">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1:26">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1:26">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1:26">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1:26">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1:26">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1:26">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1:26">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1:2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1:26">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1:26">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1:26">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1:26">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1:26">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1:26">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1:26">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1:2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1:26">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1:26">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1:26">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1:26">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1:26">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1:26">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1:26">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1:26">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1:26">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1:26">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1:26">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1:26">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1:26">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1:26">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1:26">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1:26">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1:2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1:26">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1:26">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1:26">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1:26">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1:26">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1:26">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1:26">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1:26">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1:2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1:26">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1:26">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1:26">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1:26">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1:26">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1:26">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1:26">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1:26">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1:2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1:26">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1:26">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1:26">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1:26">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1:26">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1:26">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1:26">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1:26">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1:26">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1:2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1:26">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1:26">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1:26">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1:26">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1:26">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1:26">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1:26">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1:26">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1:26">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1:2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1:26">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1:26">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1:26">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1:26">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1:26">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1:26">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1:26">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1:26">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1:2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1:26">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1:26">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1:26">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1:26">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1:26">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1:26">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1:26">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1:26">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1:26">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1:2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1:26">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1:26">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1:26">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1:26">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1:26">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1:26">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1:26">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1:26">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1:26">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1:2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1:26">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1:26">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1:26">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1:26">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1:26">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1:26">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1:2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1:26">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1:26">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1:26">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1:26">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1:26">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1:26">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1:26">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1:26">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26">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1: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1:26">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1:26">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1:26">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1:26">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1:26">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1:26">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1:26">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1:26">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1:26">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1:2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1:26">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1:26">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1:26">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1:26">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1:26">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1:26">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1:26">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1:26">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1:26">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1:2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1:26">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1:26">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1:26">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1:26">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1:26">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1:26">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1:26">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1:26">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1:26">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1:2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1:26">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1:26">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66" t="s">
        <v>819</v>
      </c>
      <c r="B1" s="167"/>
      <c r="C1" s="167"/>
      <c r="D1" s="167"/>
      <c r="E1" s="167"/>
      <c r="F1" s="167"/>
      <c r="G1" s="167"/>
      <c r="H1" s="167"/>
      <c r="I1" s="167"/>
      <c r="J1" s="167"/>
      <c r="K1" s="167"/>
      <c r="L1" s="167"/>
      <c r="M1" s="167"/>
      <c r="N1" s="167"/>
      <c r="O1" s="167"/>
      <c r="P1" s="167"/>
      <c r="Q1" s="167"/>
      <c r="R1" s="167"/>
      <c r="S1" s="167"/>
      <c r="T1" s="167"/>
      <c r="U1" s="167"/>
      <c r="V1" s="167"/>
      <c r="W1" s="167"/>
      <c r="X1" s="167"/>
      <c r="Y1" s="167"/>
      <c r="Z1" s="168"/>
      <c r="AA1" s="15"/>
      <c r="AB1" s="15"/>
      <c r="AC1" s="171"/>
      <c r="AD1" s="171"/>
      <c r="AE1" s="171"/>
      <c r="AF1" s="171"/>
      <c r="AG1" s="171"/>
      <c r="AH1" s="171"/>
    </row>
    <row r="2" spans="1:34">
      <c r="A2" s="169" t="s">
        <v>0</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C2" s="170" t="s">
        <v>1287</v>
      </c>
      <c r="AD2" s="170"/>
      <c r="AE2" s="170"/>
      <c r="AF2" s="170"/>
      <c r="AG2" s="170"/>
      <c r="AH2" s="170"/>
    </row>
    <row r="3" spans="1:34">
      <c r="A3" s="106">
        <v>1</v>
      </c>
      <c r="B3" s="106">
        <v>2</v>
      </c>
      <c r="C3" s="106">
        <v>3</v>
      </c>
      <c r="D3" s="106">
        <v>4</v>
      </c>
      <c r="E3" s="106">
        <v>5</v>
      </c>
      <c r="F3" s="106">
        <v>6</v>
      </c>
      <c r="G3" s="106">
        <v>7</v>
      </c>
      <c r="H3" s="106">
        <v>8</v>
      </c>
      <c r="I3" s="106">
        <v>9</v>
      </c>
      <c r="J3" s="106">
        <v>10</v>
      </c>
      <c r="K3" s="106">
        <v>11</v>
      </c>
      <c r="L3" s="107">
        <v>12</v>
      </c>
      <c r="M3" s="108">
        <v>13</v>
      </c>
      <c r="N3" s="106">
        <v>14</v>
      </c>
      <c r="O3" s="107">
        <v>15</v>
      </c>
      <c r="P3" s="107">
        <v>16</v>
      </c>
      <c r="Q3" s="107">
        <v>17</v>
      </c>
      <c r="R3" s="107">
        <v>18</v>
      </c>
      <c r="S3" s="108">
        <v>19</v>
      </c>
      <c r="T3" s="107">
        <v>20</v>
      </c>
      <c r="U3" s="108">
        <v>21</v>
      </c>
      <c r="V3" s="106">
        <v>22</v>
      </c>
      <c r="W3" s="107">
        <v>23</v>
      </c>
      <c r="X3" s="107">
        <v>24</v>
      </c>
      <c r="Y3" s="107">
        <v>25</v>
      </c>
      <c r="Z3" s="110">
        <v>26</v>
      </c>
      <c r="AA3" s="66"/>
      <c r="AC3" s="111" t="str">
        <f>VLOOKUP(Read_First!B5,Items!A1:BI50,54,FALSE)</f>
        <v>Attractiveness</v>
      </c>
      <c r="AD3" s="112" t="str">
        <f>VLOOKUP(Read_First!B5,Items!A1:BI50,55,FALSE)</f>
        <v>Perspicuity</v>
      </c>
      <c r="AE3" s="113" t="str">
        <f>VLOOKUP(Read_First!B5,Items!A1:BI50,56,FALSE)</f>
        <v>Efficiency</v>
      </c>
      <c r="AF3" s="112" t="str">
        <f>VLOOKUP(Read_First!B5,Items!A1:BI50,57,FALSE)</f>
        <v>Dependability</v>
      </c>
      <c r="AG3" s="113" t="str">
        <f>VLOOKUP(Read_First!B5,Items!A1:BI50,58,FALSE)</f>
        <v>Stimulation</v>
      </c>
      <c r="AH3" s="114" t="str">
        <f>VLOOKUP(Read_First!B5,Items!A1:BI50,59,FALSE)</f>
        <v>Novelty</v>
      </c>
    </row>
    <row r="4" spans="1:34">
      <c r="A4" s="67">
        <f>IF(Data!A4&gt;0,Data!A4-4,"")</f>
        <v>1</v>
      </c>
      <c r="B4" s="67">
        <f>IF(Data!B4&gt;0,Data!B4-4,"")</f>
        <v>1</v>
      </c>
      <c r="C4" s="67">
        <f>IF(Data!C4&gt;0,4-Data!C4,"")</f>
        <v>-1</v>
      </c>
      <c r="D4" s="67">
        <f>IF(Data!D4&gt;0,4-Data!D4,"")</f>
        <v>3</v>
      </c>
      <c r="E4" s="67">
        <f>IF(Data!E4&gt;0,4-Data!E4,"")</f>
        <v>0</v>
      </c>
      <c r="F4" s="67">
        <f>IF(Data!F4&gt;0,Data!F4-4,"")</f>
        <v>-1</v>
      </c>
      <c r="G4" s="67">
        <f>IF(Data!G4&gt;0,Data!G4-4,"")</f>
        <v>-2</v>
      </c>
      <c r="H4" s="67">
        <f>IF(Data!H4&gt;0,Data!H4-4,"")</f>
        <v>3</v>
      </c>
      <c r="I4" s="67">
        <f>IF(Data!I4&gt;0,4-Data!I4,"")</f>
        <v>3</v>
      </c>
      <c r="J4" s="67">
        <f>IF(Data!J4&gt;0,4-Data!J4,"")</f>
        <v>-3</v>
      </c>
      <c r="K4" s="67">
        <f>IF(Data!K4&gt;0,Data!K4-4,"")</f>
        <v>2</v>
      </c>
      <c r="L4" s="67">
        <f>IF(Data!L4&gt;0,4-Data!L4,"")</f>
        <v>2</v>
      </c>
      <c r="M4" s="67">
        <f>IF(Data!M4&gt;0,Data!M4-4,"")</f>
        <v>2</v>
      </c>
      <c r="N4" s="67">
        <f>IF(Data!N4&gt;0,Data!N4-4,"")</f>
        <v>1</v>
      </c>
      <c r="O4" s="67">
        <f>IF(Data!O4&gt;0,Data!O4-4,"")</f>
        <v>-3</v>
      </c>
      <c r="P4" s="67">
        <f>IF(Data!P4&gt;0,Data!P4-4,"")</f>
        <v>1</v>
      </c>
      <c r="Q4" s="67">
        <f>IF(Data!Q4&gt;0,4-Data!Q4,"")</f>
        <v>3</v>
      </c>
      <c r="R4" s="67">
        <f>IF(Data!R4&gt;0,4-Data!R4,"")</f>
        <v>0</v>
      </c>
      <c r="S4" s="67">
        <f>IF(Data!S4&gt;0,4-Data!S4,"")</f>
        <v>1</v>
      </c>
      <c r="T4" s="67">
        <f>IF(Data!T4&gt;0,Data!T4-4,"")</f>
        <v>2</v>
      </c>
      <c r="U4" s="67">
        <f>IF(Data!U4&gt;0,4-Data!U4,"")</f>
        <v>2</v>
      </c>
      <c r="V4" s="67">
        <f>IF(Data!V4&gt;0,Data!V4-4,"")</f>
        <v>2</v>
      </c>
      <c r="W4" s="67">
        <f>IF(Data!W4&gt;0,4-Data!W4,"")</f>
        <v>2</v>
      </c>
      <c r="X4" s="67">
        <f>IF(Data!X4&gt;0,4-Data!X4,"")</f>
        <v>0</v>
      </c>
      <c r="Y4" s="67">
        <f>IF(Data!Y4&gt;0,4-Data!Y4,"")</f>
        <v>2</v>
      </c>
      <c r="Z4" s="67">
        <f>IF(Data!Z4&gt;0,Data!Z4-4,"")</f>
        <v>-3</v>
      </c>
      <c r="AC4" s="68">
        <f t="shared" ref="AC4:AC68" si="0">IF(COUNT(A4,L4,N4,P4,X4,Y4)&gt;0,AVERAGE(A4,L4,N4,P4,X4,Y4),"")</f>
        <v>1.1666666666666667</v>
      </c>
      <c r="AD4" s="68">
        <f>IF(COUNT(B4,D4,M4,U4)&gt;0,AVERAGE(B4,D4,M4,U4),"")</f>
        <v>2</v>
      </c>
      <c r="AE4" s="68">
        <f>IF(COUNT(I4,T4,V4,W4)&gt;0,AVERAGE(I4,T4,V4,W4),"")</f>
        <v>2.25</v>
      </c>
      <c r="AF4" s="68">
        <f>IF(COUNT(H4,K4,Q4,S4)&gt;0,AVERAGE(H4,K4,Q4,S4),"")</f>
        <v>2.25</v>
      </c>
      <c r="AG4" s="68">
        <f>IF(COUNT(E4,F4,G4,R4)&gt;0,AVERAGE(E4,F4,G4,R4),"")</f>
        <v>-0.75</v>
      </c>
      <c r="AH4" s="68">
        <f>IF(COUNT(C4,J4,O4,Z4)&gt;0,AVERAGE(C4,J4,O4,Z4),"")</f>
        <v>-2.5</v>
      </c>
    </row>
    <row r="5" spans="1:34">
      <c r="A5" s="1">
        <f>IF(Data!A5&gt;0,Data!A5-4,"")</f>
        <v>1</v>
      </c>
      <c r="B5" s="1">
        <f>IF(Data!B5&gt;0,Data!B5-4,"")</f>
        <v>1</v>
      </c>
      <c r="C5" s="1">
        <f>IF(Data!C5&gt;0,4-Data!C5,"")</f>
        <v>-1</v>
      </c>
      <c r="D5" s="1">
        <f>IF(Data!D5&gt;0,4-Data!D5,"")</f>
        <v>3</v>
      </c>
      <c r="E5" s="1">
        <f>IF(Data!E5&gt;0,4-Data!E5,"")</f>
        <v>0</v>
      </c>
      <c r="F5" s="1">
        <f>IF(Data!F5&gt;0,Data!F5-4,"")</f>
        <v>-1</v>
      </c>
      <c r="G5" s="1">
        <f>IF(Data!G5&gt;0,Data!G5-4,"")</f>
        <v>-2</v>
      </c>
      <c r="H5" s="1">
        <f>IF(Data!H5&gt;0,Data!H5-4,"")</f>
        <v>3</v>
      </c>
      <c r="I5" s="1">
        <f>IF(Data!I5&gt;0,4-Data!I5,"")</f>
        <v>3</v>
      </c>
      <c r="J5" s="1">
        <f>IF(Data!J5&gt;0,4-Data!J5,"")</f>
        <v>-3</v>
      </c>
      <c r="K5" s="1">
        <f>IF(Data!K5&gt;0,Data!K5-4,"")</f>
        <v>2</v>
      </c>
      <c r="L5" s="1">
        <f>IF(Data!L5&gt;0,4-Data!L5,"")</f>
        <v>2</v>
      </c>
      <c r="M5" s="1">
        <f>IF(Data!M5&gt;0,Data!M5-4,"")</f>
        <v>2</v>
      </c>
      <c r="N5" s="1">
        <f>IF(Data!N5&gt;0,Data!N5-4,"")</f>
        <v>1</v>
      </c>
      <c r="O5" s="1">
        <f>IF(Data!O5&gt;0,Data!O5-4,"")</f>
        <v>-3</v>
      </c>
      <c r="P5" s="1">
        <f>IF(Data!P5&gt;0,Data!P5-4,"")</f>
        <v>1</v>
      </c>
      <c r="Q5" s="1">
        <f>IF(Data!Q5&gt;0,4-Data!Q5,"")</f>
        <v>3</v>
      </c>
      <c r="R5" s="1">
        <f>IF(Data!R5&gt;0,4-Data!R5,"")</f>
        <v>0</v>
      </c>
      <c r="S5" s="1">
        <f>IF(Data!S5&gt;0,4-Data!S5,"")</f>
        <v>1</v>
      </c>
      <c r="T5" s="1">
        <f>IF(Data!T5&gt;0,Data!T5-4,"")</f>
        <v>2</v>
      </c>
      <c r="U5" s="1">
        <f>IF(Data!U5&gt;0,4-Data!U5,"")</f>
        <v>2</v>
      </c>
      <c r="V5" s="1">
        <f>IF(Data!V5&gt;0,Data!V5-4,"")</f>
        <v>2</v>
      </c>
      <c r="W5" s="1">
        <f>IF(Data!W5&gt;0,4-Data!W5,"")</f>
        <v>2</v>
      </c>
      <c r="X5" s="1">
        <f>IF(Data!X5&gt;0,4-Data!X5,"")</f>
        <v>0</v>
      </c>
      <c r="Y5" s="1">
        <f>IF(Data!Y5&gt;0,4-Data!Y5,"")</f>
        <v>2</v>
      </c>
      <c r="Z5" s="1">
        <f>IF(Data!Z5&gt;0,Data!Z5-4,"")</f>
        <v>-3</v>
      </c>
      <c r="AC5" s="7">
        <f t="shared" si="0"/>
        <v>1.1666666666666667</v>
      </c>
      <c r="AD5" s="7">
        <f t="shared" ref="AD5:AD68" si="1">IF(COUNT(B5,D5,M5,U5)&gt;0,AVERAGE(B5,D5,M5,U5),"")</f>
        <v>2</v>
      </c>
      <c r="AE5" s="7">
        <f t="shared" ref="AE5:AE68" si="2">IF(COUNT(I5,T5,V5,W5)&gt;0,AVERAGE(I5,T5,V5,W5),"")</f>
        <v>2.25</v>
      </c>
      <c r="AF5" s="7">
        <f t="shared" ref="AF5:AF68" si="3">IF(COUNT(H5,K5,Q5,S5)&gt;0,AVERAGE(H5,K5,Q5,S5),"")</f>
        <v>2.25</v>
      </c>
      <c r="AG5" s="7">
        <f t="shared" ref="AG5:AG68" si="4">IF(COUNT(E5,F5,G5,R5)&gt;0,AVERAGE(E5,F5,G5,R5),"")</f>
        <v>-0.75</v>
      </c>
      <c r="AH5" s="7">
        <f t="shared" ref="AH5:AH68" si="5">IF(COUNT(C5,J5,O5,Z5)&gt;0,AVERAGE(C5,J5,O5,Z5),"")</f>
        <v>-2.5</v>
      </c>
    </row>
    <row r="6" spans="1:34">
      <c r="A6" s="1">
        <f>IF(Data!A6&gt;0,Data!A6-4,"")</f>
        <v>1</v>
      </c>
      <c r="B6" s="1">
        <f>IF(Data!B6&gt;0,Data!B6-4,"")</f>
        <v>1</v>
      </c>
      <c r="C6" s="1">
        <f>IF(Data!C6&gt;0,4-Data!C6,"")</f>
        <v>-1</v>
      </c>
      <c r="D6" s="1">
        <f>IF(Data!D6&gt;0,4-Data!D6,"")</f>
        <v>3</v>
      </c>
      <c r="E6" s="1">
        <f>IF(Data!E6&gt;0,4-Data!E6,"")</f>
        <v>0</v>
      </c>
      <c r="F6" s="1">
        <f>IF(Data!F6&gt;0,Data!F6-4,"")</f>
        <v>-1</v>
      </c>
      <c r="G6" s="1">
        <f>IF(Data!G6&gt;0,Data!G6-4,"")</f>
        <v>-2</v>
      </c>
      <c r="H6" s="1">
        <f>IF(Data!H6&gt;0,Data!H6-4,"")</f>
        <v>3</v>
      </c>
      <c r="I6" s="1">
        <f>IF(Data!I6&gt;0,4-Data!I6,"")</f>
        <v>3</v>
      </c>
      <c r="J6" s="1">
        <f>IF(Data!J6&gt;0,4-Data!J6,"")</f>
        <v>-3</v>
      </c>
      <c r="K6" s="1">
        <f>IF(Data!K6&gt;0,Data!K6-4,"")</f>
        <v>2</v>
      </c>
      <c r="L6" s="1">
        <f>IF(Data!L6&gt;0,4-Data!L6,"")</f>
        <v>2</v>
      </c>
      <c r="M6" s="1">
        <f>IF(Data!M6&gt;0,Data!M6-4,"")</f>
        <v>2</v>
      </c>
      <c r="N6" s="1">
        <f>IF(Data!N6&gt;0,Data!N6-4,"")</f>
        <v>1</v>
      </c>
      <c r="O6" s="1">
        <f>IF(Data!O6&gt;0,Data!O6-4,"")</f>
        <v>-3</v>
      </c>
      <c r="P6" s="1">
        <f>IF(Data!P6&gt;0,Data!P6-4,"")</f>
        <v>1</v>
      </c>
      <c r="Q6" s="1">
        <f>IF(Data!Q6&gt;0,4-Data!Q6,"")</f>
        <v>3</v>
      </c>
      <c r="R6" s="1">
        <f>IF(Data!R6&gt;0,4-Data!R6,"")</f>
        <v>0</v>
      </c>
      <c r="S6" s="1">
        <f>IF(Data!S6&gt;0,4-Data!S6,"")</f>
        <v>1</v>
      </c>
      <c r="T6" s="1">
        <f>IF(Data!T6&gt;0,Data!T6-4,"")</f>
        <v>2</v>
      </c>
      <c r="U6" s="1">
        <f>IF(Data!U6&gt;0,4-Data!U6,"")</f>
        <v>2</v>
      </c>
      <c r="V6" s="1">
        <f>IF(Data!V6&gt;0,Data!V6-4,"")</f>
        <v>2</v>
      </c>
      <c r="W6" s="1">
        <f>IF(Data!W6&gt;0,4-Data!W6,"")</f>
        <v>2</v>
      </c>
      <c r="X6" s="1">
        <f>IF(Data!X6&gt;0,4-Data!X6,"")</f>
        <v>3</v>
      </c>
      <c r="Y6" s="1">
        <f>IF(Data!Y6&gt;0,4-Data!Y6,"")</f>
        <v>3</v>
      </c>
      <c r="Z6" s="1">
        <f>IF(Data!Z6&gt;0,Data!Z6-4,"")</f>
        <v>-3</v>
      </c>
      <c r="AC6" s="7">
        <f t="shared" si="0"/>
        <v>1.8333333333333333</v>
      </c>
      <c r="AD6" s="7">
        <f t="shared" si="1"/>
        <v>2</v>
      </c>
      <c r="AE6" s="7">
        <f t="shared" si="2"/>
        <v>2.25</v>
      </c>
      <c r="AF6" s="7">
        <f t="shared" si="3"/>
        <v>2.25</v>
      </c>
      <c r="AG6" s="7">
        <f t="shared" si="4"/>
        <v>-0.75</v>
      </c>
      <c r="AH6" s="7">
        <f t="shared" si="5"/>
        <v>-2.5</v>
      </c>
    </row>
    <row r="7" spans="1:34">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7" t="str">
        <f t="shared" si="0"/>
        <v/>
      </c>
      <c r="AD7" s="7" t="str">
        <f t="shared" si="1"/>
        <v/>
      </c>
      <c r="AE7" s="7" t="str">
        <f t="shared" si="2"/>
        <v/>
      </c>
      <c r="AF7" s="7" t="str">
        <f t="shared" si="3"/>
        <v/>
      </c>
      <c r="AG7" s="7" t="str">
        <f t="shared" si="4"/>
        <v/>
      </c>
      <c r="AH7" s="7" t="str">
        <f t="shared" si="5"/>
        <v/>
      </c>
    </row>
    <row r="8" spans="1:34">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7" t="str">
        <f t="shared" si="0"/>
        <v/>
      </c>
      <c r="AD8" s="7" t="str">
        <f t="shared" si="1"/>
        <v/>
      </c>
      <c r="AE8" s="7" t="str">
        <f t="shared" si="2"/>
        <v/>
      </c>
      <c r="AF8" s="7" t="str">
        <f t="shared" si="3"/>
        <v/>
      </c>
      <c r="AG8" s="7" t="str">
        <f t="shared" si="4"/>
        <v/>
      </c>
      <c r="AH8" s="7" t="str">
        <f t="shared" si="5"/>
        <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7" t="str">
        <f t="shared" si="0"/>
        <v/>
      </c>
      <c r="AD9" s="7" t="str">
        <f t="shared" si="1"/>
        <v/>
      </c>
      <c r="AE9" s="7" t="str">
        <f t="shared" si="2"/>
        <v/>
      </c>
      <c r="AF9" s="7" t="str">
        <f t="shared" si="3"/>
        <v/>
      </c>
      <c r="AG9" s="7" t="str">
        <f t="shared" si="4"/>
        <v/>
      </c>
      <c r="AH9" s="7"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7" t="str">
        <f t="shared" si="0"/>
        <v/>
      </c>
      <c r="AD10" s="7" t="str">
        <f t="shared" si="1"/>
        <v/>
      </c>
      <c r="AE10" s="7" t="str">
        <f t="shared" si="2"/>
        <v/>
      </c>
      <c r="AF10" s="7" t="str">
        <f t="shared" si="3"/>
        <v/>
      </c>
      <c r="AG10" s="7" t="str">
        <f t="shared" si="4"/>
        <v/>
      </c>
      <c r="AH10" s="7"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7" t="str">
        <f t="shared" si="0"/>
        <v/>
      </c>
      <c r="AD11" s="7" t="str">
        <f t="shared" si="1"/>
        <v/>
      </c>
      <c r="AE11" s="7" t="str">
        <f t="shared" si="2"/>
        <v/>
      </c>
      <c r="AF11" s="7" t="str">
        <f t="shared" si="3"/>
        <v/>
      </c>
      <c r="AG11" s="7" t="str">
        <f t="shared" si="4"/>
        <v/>
      </c>
      <c r="AH11" s="7"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workbookViewId="0">
      <selection activeCell="R17" sqref="R17"/>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218.25" customHeight="1">
      <c r="A1" s="173" t="s">
        <v>1529</v>
      </c>
      <c r="B1" s="174"/>
      <c r="C1" s="174"/>
      <c r="D1" s="174"/>
      <c r="E1" s="174"/>
      <c r="F1" s="174"/>
      <c r="G1" s="174"/>
      <c r="H1" s="174"/>
      <c r="I1" s="174"/>
      <c r="J1" s="174"/>
      <c r="K1" s="174"/>
      <c r="L1" s="174"/>
      <c r="M1" s="174"/>
      <c r="N1" s="174"/>
    </row>
    <row r="2" spans="1:18">
      <c r="A2" s="76" t="s">
        <v>2</v>
      </c>
      <c r="B2" s="77" t="s">
        <v>106</v>
      </c>
      <c r="C2" s="78" t="s">
        <v>107</v>
      </c>
      <c r="D2" s="79" t="s">
        <v>108</v>
      </c>
      <c r="E2" s="78" t="s">
        <v>109</v>
      </c>
      <c r="F2" s="80" t="s">
        <v>117</v>
      </c>
      <c r="G2" s="81" t="s">
        <v>118</v>
      </c>
      <c r="H2" s="78" t="s">
        <v>110</v>
      </c>
      <c r="I2" s="82"/>
      <c r="K2" s="172" t="s">
        <v>1273</v>
      </c>
      <c r="L2" s="172"/>
      <c r="M2" s="172"/>
    </row>
    <row r="3" spans="1:18">
      <c r="A3" s="70">
        <v>1</v>
      </c>
      <c r="B3" s="71">
        <f>AVERAGE(DT!A4:A1004)</f>
        <v>1</v>
      </c>
      <c r="C3" s="71">
        <f>VAR(DT!A4:A1004)</f>
        <v>0</v>
      </c>
      <c r="D3" s="71">
        <f>SQRT(C3)</f>
        <v>0</v>
      </c>
      <c r="E3" s="72">
        <f>COUNTA(Data!A4:A1004)</f>
        <v>3</v>
      </c>
      <c r="F3" s="73" t="str">
        <f>VLOOKUP(Read_First!B5,Items!A1:BA50,2,FALSE)</f>
        <v>annoying</v>
      </c>
      <c r="G3" s="74" t="str">
        <f>VLOOKUP(Read_First!B5,Items!A1:BA50,3,FALSE)</f>
        <v>enjoyable</v>
      </c>
      <c r="H3" s="75" t="str">
        <f>VLOOKUP(Read_First!B5,Items!A1:BI50,54,FALSE)</f>
        <v>Attractiveness</v>
      </c>
      <c r="I3" s="135"/>
      <c r="K3" s="30" t="str">
        <f>VLOOKUP(Read_First!B5,Items!A1:BI50,54,FALSE)</f>
        <v>Attractiveness</v>
      </c>
      <c r="L3" s="11">
        <f>AVERAGE(DT!AC4:AC1004)</f>
        <v>1.3888888888888891</v>
      </c>
      <c r="M3" s="7">
        <f>VAR(DT!AC4:AC1004)</f>
        <v>0.14814814814814792</v>
      </c>
      <c r="R3" s="5"/>
    </row>
    <row r="4" spans="1:18">
      <c r="A4" s="2">
        <v>2</v>
      </c>
      <c r="B4" s="3">
        <f>AVERAGE(DT!B4:B1004)</f>
        <v>1</v>
      </c>
      <c r="C4" s="3">
        <f>VAR(DT!B4:B1004)</f>
        <v>0</v>
      </c>
      <c r="D4" s="3">
        <f t="shared" ref="D4:D28" si="0">SQRT(C4)</f>
        <v>0</v>
      </c>
      <c r="E4" s="4">
        <f>COUNTA(Data!B4:B1004)</f>
        <v>3</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2</v>
      </c>
      <c r="M4" s="7">
        <f>VAR(DT!AD4:AD1004)</f>
        <v>0</v>
      </c>
    </row>
    <row r="5" spans="1:18">
      <c r="A5" s="2">
        <v>3</v>
      </c>
      <c r="B5" s="3">
        <f>AVERAGE(DT!C4:C1004)</f>
        <v>-1</v>
      </c>
      <c r="C5" s="3">
        <f>VAR(DT!C4:C1004)</f>
        <v>0</v>
      </c>
      <c r="D5" s="3">
        <f t="shared" si="0"/>
        <v>0</v>
      </c>
      <c r="E5" s="4">
        <f>COUNTA(Data!C4:C1004)</f>
        <v>3</v>
      </c>
      <c r="F5" s="22" t="str">
        <f>VLOOKUP(Read_First!B5,Items!A1:BA50,6,FALSE)</f>
        <v>creative</v>
      </c>
      <c r="G5" s="22" t="str">
        <f>VLOOKUP(Read_First!B5,Items!A1:BA50,7,FALSE)</f>
        <v>dull</v>
      </c>
      <c r="H5" s="28" t="str">
        <f>VLOOKUP(Read_First!B5,Items!A1:BI50,59,FALSE)</f>
        <v>Novelty</v>
      </c>
      <c r="I5" s="137"/>
      <c r="K5" s="30" t="str">
        <f>VLOOKUP(Read_First!B5,Items!A1:BI50,56,FALSE)</f>
        <v>Efficiency</v>
      </c>
      <c r="L5" s="11">
        <f>AVERAGE(DT!AE4:AE1004)</f>
        <v>2.25</v>
      </c>
      <c r="M5" s="7">
        <f>VAR(DT!AE4:AE1004)</f>
        <v>0</v>
      </c>
    </row>
    <row r="6" spans="1:18">
      <c r="A6" s="2">
        <v>4</v>
      </c>
      <c r="B6" s="3">
        <f>AVERAGE(DT!D4:D1004)</f>
        <v>3</v>
      </c>
      <c r="C6" s="3">
        <f>VAR(DT!D4:D1004)</f>
        <v>0</v>
      </c>
      <c r="D6" s="3">
        <f t="shared" si="0"/>
        <v>0</v>
      </c>
      <c r="E6" s="4">
        <f>COUNTA(Data!D4:D1004)</f>
        <v>3</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2.25</v>
      </c>
      <c r="M6" s="7">
        <f>VAR(DT!AF4:AF1004)</f>
        <v>0</v>
      </c>
    </row>
    <row r="7" spans="1:18">
      <c r="A7" s="2">
        <v>5</v>
      </c>
      <c r="B7" s="3">
        <f>AVERAGE(DT!E4:E1004)</f>
        <v>0</v>
      </c>
      <c r="C7" s="3">
        <f>VAR(DT!E4:E1004)</f>
        <v>0</v>
      </c>
      <c r="D7" s="3">
        <f t="shared" si="0"/>
        <v>0</v>
      </c>
      <c r="E7" s="4">
        <f>COUNTA(Data!E4:E1004)</f>
        <v>3</v>
      </c>
      <c r="F7" s="22" t="str">
        <f>VLOOKUP(Read_First!B5,Items!A1:BA50,10,FALSE)</f>
        <v>valuable</v>
      </c>
      <c r="G7" s="23" t="str">
        <f>VLOOKUP(Read_First!B5,Items!A1:BA50,11,FALSE)</f>
        <v>inferior</v>
      </c>
      <c r="H7" s="29" t="str">
        <f>VLOOKUP(Read_First!B5,Items!A1:BI50,58,FALSE)</f>
        <v>Stimulation</v>
      </c>
      <c r="I7" s="138"/>
      <c r="K7" s="31" t="str">
        <f>VLOOKUP(Read_First!B5,Items!A1:BI50,58,FALSE)</f>
        <v>Stimulation</v>
      </c>
      <c r="L7" s="11">
        <f>AVERAGE(DT!AG4:AG1004)</f>
        <v>-0.75</v>
      </c>
      <c r="M7" s="7">
        <f>VAR(DT!AG4:AG1004)</f>
        <v>0</v>
      </c>
    </row>
    <row r="8" spans="1:18">
      <c r="A8" s="2">
        <v>6</v>
      </c>
      <c r="B8" s="3">
        <f>AVERAGE(DT!F4:F1004)</f>
        <v>-1</v>
      </c>
      <c r="C8" s="3">
        <f>VAR(DT!F4:F1004)</f>
        <v>0</v>
      </c>
      <c r="D8" s="3">
        <f t="shared" si="0"/>
        <v>0</v>
      </c>
      <c r="E8" s="4">
        <f>COUNTA(Data!F4:F1004)</f>
        <v>3</v>
      </c>
      <c r="F8" s="22" t="str">
        <f>VLOOKUP(Read_First!B5,Items!A1:BA50,12,FALSE)</f>
        <v>boring</v>
      </c>
      <c r="G8" s="23" t="str">
        <f>VLOOKUP(Read_First!B5,Items!A1:BA50,13,FALSE)</f>
        <v>exciting</v>
      </c>
      <c r="H8" s="29" t="str">
        <f>VLOOKUP(Read_First!B5,Items!A1:BI50,58,FALSE)</f>
        <v>Stimulation</v>
      </c>
      <c r="I8" s="138"/>
      <c r="K8" s="30" t="str">
        <f>VLOOKUP(Read_First!B5,Items!A1:BI50,59,FALSE)</f>
        <v>Novelty</v>
      </c>
      <c r="L8" s="11">
        <f>AVERAGE(DT!AH4:AH1004)</f>
        <v>-2.5</v>
      </c>
      <c r="M8" s="7">
        <f>VAR(DT!AH4:AH1004)</f>
        <v>0</v>
      </c>
    </row>
    <row r="9" spans="1:18">
      <c r="A9" s="2">
        <v>7</v>
      </c>
      <c r="B9" s="3">
        <f>AVERAGE(DT!G4:G1004)</f>
        <v>-2</v>
      </c>
      <c r="C9" s="3">
        <f>VAR(DT!G4:G1004)</f>
        <v>0</v>
      </c>
      <c r="D9" s="3">
        <f t="shared" si="0"/>
        <v>0</v>
      </c>
      <c r="E9" s="4">
        <f>COUNTA(Data!G4:G1004)</f>
        <v>3</v>
      </c>
      <c r="F9" s="22" t="str">
        <f>VLOOKUP(Read_First!B5,Items!A1:BA50,14,FALSE)</f>
        <v>not interesting</v>
      </c>
      <c r="G9" s="23" t="str">
        <f>VLOOKUP(Read_First!B5,Items!A1:BA50,15,FALSE)</f>
        <v>interesting</v>
      </c>
      <c r="H9" s="29" t="str">
        <f>VLOOKUP(Read_First!B5,Items!A1:BI50,58,FALSE)</f>
        <v>Stimulation</v>
      </c>
      <c r="I9" s="138"/>
    </row>
    <row r="10" spans="1:18">
      <c r="A10" s="2">
        <v>8</v>
      </c>
      <c r="B10" s="3">
        <f>AVERAGE(DT!H4:H1004)</f>
        <v>3</v>
      </c>
      <c r="C10" s="3">
        <f>VAR(DT!H4:H1004)</f>
        <v>0</v>
      </c>
      <c r="D10" s="3">
        <f t="shared" si="0"/>
        <v>0</v>
      </c>
      <c r="E10" s="4">
        <f>COUNTA(Data!H4:H1004)</f>
        <v>3</v>
      </c>
      <c r="F10" s="22" t="str">
        <f>VLOOKUP(Read_First!B5,Items!A1:BA50,16,FALSE)</f>
        <v>unpredictable</v>
      </c>
      <c r="G10" s="23" t="str">
        <f>VLOOKUP(Read_First!B5,Items!A1:BA50,17,FALSE)</f>
        <v>predictable</v>
      </c>
      <c r="H10" s="28" t="str">
        <f>VLOOKUP(Read_First!B5,Items!A1:BI50,57,FALSE)</f>
        <v>Dependability</v>
      </c>
      <c r="I10" s="140"/>
    </row>
    <row r="11" spans="1:18">
      <c r="A11" s="2">
        <v>9</v>
      </c>
      <c r="B11" s="3">
        <f>AVERAGE(DT!I4:I1004)</f>
        <v>3</v>
      </c>
      <c r="C11" s="3">
        <f>VAR(DT!I4:I1004)</f>
        <v>0</v>
      </c>
      <c r="D11" s="3">
        <f t="shared" si="0"/>
        <v>0</v>
      </c>
      <c r="E11" s="4">
        <f>COUNTA(Data!I4:I1004)</f>
        <v>3</v>
      </c>
      <c r="F11" s="22" t="str">
        <f>VLOOKUP(Read_First!B5,Items!A1:BA50,18,FALSE)</f>
        <v>fast</v>
      </c>
      <c r="G11" s="23" t="str">
        <f>VLOOKUP(Read_First!B5,Items!A1:BA50,19,FALSE)</f>
        <v>slow</v>
      </c>
      <c r="H11" s="28" t="str">
        <f>VLOOKUP(Read_First!B5,Items!A1:BI50,56,FALSE)</f>
        <v>Efficiency</v>
      </c>
      <c r="I11" s="139"/>
    </row>
    <row r="12" spans="1:18">
      <c r="A12" s="2">
        <v>10</v>
      </c>
      <c r="B12" s="3">
        <f>AVERAGE(DT!J4:J1004)</f>
        <v>-3</v>
      </c>
      <c r="C12" s="3">
        <f>VAR(DT!J4:J1004)</f>
        <v>0</v>
      </c>
      <c r="D12" s="3">
        <f t="shared" si="0"/>
        <v>0</v>
      </c>
      <c r="E12" s="4">
        <f>COUNTA(Data!J4:J1004)</f>
        <v>3</v>
      </c>
      <c r="F12" s="22" t="str">
        <f>VLOOKUP(Read_First!B5,Items!A1:BA50,20,FALSE)</f>
        <v>inventive</v>
      </c>
      <c r="G12" s="23" t="str">
        <f>VLOOKUP(Read_First!B5,Items!A1:BA50,21,FALSE)</f>
        <v>conventional</v>
      </c>
      <c r="H12" s="28" t="str">
        <f>VLOOKUP(Read_First!B5,Items!A1:BI50,59,FALSE)</f>
        <v>Novelty</v>
      </c>
      <c r="I12" s="137"/>
    </row>
    <row r="13" spans="1:18">
      <c r="A13" s="2">
        <v>11</v>
      </c>
      <c r="B13" s="3">
        <f>AVERAGE(DT!K4:K1004)</f>
        <v>2</v>
      </c>
      <c r="C13" s="3">
        <f>VAR(DT!K4:K1004)</f>
        <v>0</v>
      </c>
      <c r="D13" s="3">
        <f t="shared" si="0"/>
        <v>0</v>
      </c>
      <c r="E13" s="4">
        <f>COUNTA(Data!K4:K1004)</f>
        <v>3</v>
      </c>
      <c r="F13" s="22" t="str">
        <f>VLOOKUP(Read_First!B5,Items!A1:BA50,22,FALSE)</f>
        <v>obstructive</v>
      </c>
      <c r="G13" s="23" t="str">
        <f>VLOOKUP(Read_First!B5,Items!A1:BA50,23,FALSE)</f>
        <v>supportive</v>
      </c>
      <c r="H13" s="28" t="str">
        <f>VLOOKUP(Read_First!B5,Items!A1:BI50,57,FALSE)</f>
        <v>Dependability</v>
      </c>
      <c r="I13" s="140"/>
    </row>
    <row r="14" spans="1:18">
      <c r="A14" s="2">
        <v>12</v>
      </c>
      <c r="B14" s="3">
        <f>AVERAGE(DT!L4:L1004)</f>
        <v>2</v>
      </c>
      <c r="C14" s="3">
        <f>VAR(DT!L4:L1004)</f>
        <v>0</v>
      </c>
      <c r="D14" s="3">
        <f t="shared" si="0"/>
        <v>0</v>
      </c>
      <c r="E14" s="4">
        <f>COUNTA(Data!L4:L1004)</f>
        <v>3</v>
      </c>
      <c r="F14" s="22" t="str">
        <f>VLOOKUP(Read_First!B5,Items!A1:BA50,24,FALSE)</f>
        <v>good</v>
      </c>
      <c r="G14" s="23" t="str">
        <f>VLOOKUP(Read_First!B5,Items!A1:BA50,25,FALSE)</f>
        <v>bad</v>
      </c>
      <c r="H14" s="28" t="str">
        <f>VLOOKUP(Read_First!B5,Items!A1:BI50,54,FALSE)</f>
        <v>Attractiveness</v>
      </c>
      <c r="I14" s="136"/>
    </row>
    <row r="15" spans="1:18">
      <c r="A15" s="2">
        <v>13</v>
      </c>
      <c r="B15" s="3">
        <f>AVERAGE(DT!M4:M1004)</f>
        <v>2</v>
      </c>
      <c r="C15" s="3">
        <f>VAR(DT!M4:M1004)</f>
        <v>0</v>
      </c>
      <c r="D15" s="3">
        <f t="shared" si="0"/>
        <v>0</v>
      </c>
      <c r="E15" s="4">
        <f>COUNTA(Data!M4:M1004)</f>
        <v>3</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v>
      </c>
      <c r="C16" s="3">
        <f>VAR(DT!N4:N1004)</f>
        <v>0</v>
      </c>
      <c r="D16" s="3">
        <f t="shared" si="0"/>
        <v>0</v>
      </c>
      <c r="E16" s="4">
        <f>COUNTA(Data!N4:N1004)</f>
        <v>3</v>
      </c>
      <c r="F16" s="22" t="str">
        <f>VLOOKUP(Read_First!B5,Items!A1:BA50,28,FALSE)</f>
        <v>unlikable</v>
      </c>
      <c r="G16" s="23" t="str">
        <f>VLOOKUP(Read_First!B5,Items!A1:BA50,29,FALSE)</f>
        <v>pleasing</v>
      </c>
      <c r="H16" s="28" t="str">
        <f>VLOOKUP(Read_First!B5,Items!A1:BI50,54,FALSE)</f>
        <v>Attractiveness</v>
      </c>
      <c r="I16" s="136"/>
    </row>
    <row r="17" spans="1:9">
      <c r="A17" s="2">
        <v>15</v>
      </c>
      <c r="B17" s="3">
        <f>AVERAGE(DT!O4:O1004)</f>
        <v>-3</v>
      </c>
      <c r="C17" s="3">
        <f>VAR(DT!O4:O1004)</f>
        <v>0</v>
      </c>
      <c r="D17" s="3">
        <f t="shared" si="0"/>
        <v>0</v>
      </c>
      <c r="E17" s="4">
        <f>COUNTA(Data!O4:O1004)</f>
        <v>3</v>
      </c>
      <c r="F17" s="22" t="str">
        <f>VLOOKUP(Read_First!B5,Items!A1:BA50,30,FALSE)</f>
        <v>usual</v>
      </c>
      <c r="G17" s="23" t="str">
        <f>VLOOKUP(Read_First!B5,Items!A1:BA50,31,FALSE)</f>
        <v>leading edge</v>
      </c>
      <c r="H17" s="28" t="str">
        <f>VLOOKUP(Read_First!B5,Items!A1:BI50,59,FALSE)</f>
        <v>Novelty</v>
      </c>
      <c r="I17" s="137"/>
    </row>
    <row r="18" spans="1:9">
      <c r="A18" s="2">
        <v>16</v>
      </c>
      <c r="B18" s="3">
        <f>AVERAGE(DT!P4:P1004)</f>
        <v>1</v>
      </c>
      <c r="C18" s="3">
        <f>VAR(DT!P4:P1004)</f>
        <v>0</v>
      </c>
      <c r="D18" s="3">
        <f t="shared" si="0"/>
        <v>0</v>
      </c>
      <c r="E18" s="4">
        <f>COUNTA(Data!P4:P1004)</f>
        <v>3</v>
      </c>
      <c r="F18" s="22" t="str">
        <f>VLOOKUP(Read_First!B5,Items!A1:BA50,32,FALSE)</f>
        <v>unpleasant</v>
      </c>
      <c r="G18" s="23" t="str">
        <f>VLOOKUP(Read_First!B5,Items!A1:BA50,33,FALSE)</f>
        <v>pleasant</v>
      </c>
      <c r="H18" s="28" t="str">
        <f>VLOOKUP(Read_First!B5,Items!A1:BI50,54,FALSE)</f>
        <v>Attractiveness</v>
      </c>
      <c r="I18" s="136"/>
    </row>
    <row r="19" spans="1:9">
      <c r="A19" s="2">
        <v>17</v>
      </c>
      <c r="B19" s="3">
        <f>AVERAGE(DT!Q4:Q1004)</f>
        <v>3</v>
      </c>
      <c r="C19" s="3">
        <f>VAR(DT!Q4:Q1004)</f>
        <v>0</v>
      </c>
      <c r="D19" s="3">
        <f t="shared" si="0"/>
        <v>0</v>
      </c>
      <c r="E19" s="4">
        <f>COUNTA(Data!Q4:Q1004)</f>
        <v>3</v>
      </c>
      <c r="F19" s="22" t="str">
        <f>VLOOKUP(Read_First!B5,Items!A1:BA50,34,FALSE)</f>
        <v>secure</v>
      </c>
      <c r="G19" s="23" t="str">
        <f>VLOOKUP(Read_First!B5,Items!A1:BA50,35,FALSE)</f>
        <v>not secure</v>
      </c>
      <c r="H19" s="28" t="str">
        <f>VLOOKUP(Read_First!B5,Items!A1:BI50,57,FALSE)</f>
        <v>Dependability</v>
      </c>
      <c r="I19" s="140"/>
    </row>
    <row r="20" spans="1:9">
      <c r="A20" s="2">
        <v>18</v>
      </c>
      <c r="B20" s="3">
        <f>AVERAGE(DT!R4:R1004)</f>
        <v>0</v>
      </c>
      <c r="C20" s="3">
        <f>VAR(DT!R4:R1004)</f>
        <v>0</v>
      </c>
      <c r="D20" s="3">
        <f t="shared" si="0"/>
        <v>0</v>
      </c>
      <c r="E20" s="4">
        <f>COUNTA(Data!R4:R1004)</f>
        <v>3</v>
      </c>
      <c r="F20" s="22" t="str">
        <f>VLOOKUP(Read_First!B5,Items!A1:BA50,36,FALSE)</f>
        <v>motivating</v>
      </c>
      <c r="G20" s="23" t="str">
        <f>VLOOKUP(Read_First!B5,Items!A1:BA50,37,FALSE)</f>
        <v>demotivating</v>
      </c>
      <c r="H20" s="29" t="str">
        <f>VLOOKUP(Read_First!B5,Items!A1:BI50,58,FALSE)</f>
        <v>Stimulation</v>
      </c>
      <c r="I20" s="138"/>
    </row>
    <row r="21" spans="1:9">
      <c r="A21" s="2">
        <v>19</v>
      </c>
      <c r="B21" s="3">
        <f>AVERAGE(DT!S4:S1004)</f>
        <v>1</v>
      </c>
      <c r="C21" s="3">
        <f>VAR(DT!S4:S1004)</f>
        <v>0</v>
      </c>
      <c r="D21" s="3">
        <f t="shared" si="0"/>
        <v>0</v>
      </c>
      <c r="E21" s="4">
        <f>COUNTA(Data!S4:S1004)</f>
        <v>3</v>
      </c>
      <c r="F21" s="22" t="str">
        <f>VLOOKUP(Read_First!B5,Items!A1:BA50,38,FALSE)</f>
        <v>meets expectations</v>
      </c>
      <c r="G21" s="23" t="str">
        <f>VLOOKUP(Read_First!B5,Items!A1:BA50,39,FALSE)</f>
        <v>does not meet expectations</v>
      </c>
      <c r="H21" s="28" t="str">
        <f>VLOOKUP(Read_First!B5,Items!A1:BI50,57,FALSE)</f>
        <v>Dependability</v>
      </c>
      <c r="I21" s="140"/>
    </row>
    <row r="22" spans="1:9">
      <c r="A22" s="2">
        <v>20</v>
      </c>
      <c r="B22" s="3">
        <f>AVERAGE(DT!T4:T1004)</f>
        <v>2</v>
      </c>
      <c r="C22" s="3">
        <f>VAR(DT!T4:T1004)</f>
        <v>0</v>
      </c>
      <c r="D22" s="3">
        <f t="shared" si="0"/>
        <v>0</v>
      </c>
      <c r="E22" s="4">
        <f>COUNTA(Data!T4:T1004)</f>
        <v>3</v>
      </c>
      <c r="F22" s="22" t="str">
        <f>VLOOKUP(Read_First!B5,Items!A1:BA50,40,FALSE)</f>
        <v>inefficient</v>
      </c>
      <c r="G22" s="23" t="str">
        <f>VLOOKUP(Read_First!B5,Items!A1:BA50,41,FALSE)</f>
        <v>efficient</v>
      </c>
      <c r="H22" s="28" t="str">
        <f>VLOOKUP(Read_First!B5,Items!A1:BI50,56,FALSE)</f>
        <v>Efficiency</v>
      </c>
      <c r="I22" s="139"/>
    </row>
    <row r="23" spans="1:9">
      <c r="A23" s="6">
        <v>21</v>
      </c>
      <c r="B23" s="3">
        <f>AVERAGE(DT!U4:U1004)</f>
        <v>2</v>
      </c>
      <c r="C23" s="3">
        <f>VAR(DT!U4:U1004)</f>
        <v>0</v>
      </c>
      <c r="D23" s="3">
        <f t="shared" si="0"/>
        <v>0</v>
      </c>
      <c r="E23" s="4">
        <f>COUNTA(Data!U4:U1004)</f>
        <v>3</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2</v>
      </c>
      <c r="C24" s="3">
        <f>VAR(DT!V4:V1004)</f>
        <v>0</v>
      </c>
      <c r="D24" s="3">
        <f t="shared" si="0"/>
        <v>0</v>
      </c>
      <c r="E24" s="4">
        <f>COUNTA(Data!V4:V1004)</f>
        <v>3</v>
      </c>
      <c r="F24" s="22" t="str">
        <f>VLOOKUP(Read_First!B5,Items!A1:BA50,44,FALSE)</f>
        <v>impractical</v>
      </c>
      <c r="G24" s="23" t="str">
        <f>VLOOKUP(Read_First!B5,Items!A1:BA50,45,FALSE)</f>
        <v>practical</v>
      </c>
      <c r="H24" s="28" t="str">
        <f>VLOOKUP(Read_First!B5,Items!A1:BI50,56,FALSE)</f>
        <v>Efficiency</v>
      </c>
      <c r="I24" s="139"/>
    </row>
    <row r="25" spans="1:9">
      <c r="A25" s="6">
        <v>23</v>
      </c>
      <c r="B25" s="3">
        <f>AVERAGE(DT!W4:W1004)</f>
        <v>2</v>
      </c>
      <c r="C25" s="3">
        <f>VAR(DT!W4:W1004)</f>
        <v>0</v>
      </c>
      <c r="D25" s="3">
        <f t="shared" si="0"/>
        <v>0</v>
      </c>
      <c r="E25" s="4">
        <f>COUNTA(Data!W4:W1004)</f>
        <v>3</v>
      </c>
      <c r="F25" s="22" t="str">
        <f>VLOOKUP(Read_First!B5,Items!A1:BA50,46,FALSE)</f>
        <v>organized</v>
      </c>
      <c r="G25" s="23" t="str">
        <f>VLOOKUP(Read_First!B5,Items!A1:BA50,47,FALSE)</f>
        <v>cluttered</v>
      </c>
      <c r="H25" s="28" t="str">
        <f>VLOOKUP(Read_First!B5,Items!A1:BI50,56,FALSE)</f>
        <v>Efficiency</v>
      </c>
      <c r="I25" s="139"/>
    </row>
    <row r="26" spans="1:9">
      <c r="A26" s="6">
        <v>24</v>
      </c>
      <c r="B26" s="3">
        <f>AVERAGE(DT!X4:X1004)</f>
        <v>1</v>
      </c>
      <c r="C26" s="3">
        <f>VAR(DT!X4:X1004)</f>
        <v>3</v>
      </c>
      <c r="D26" s="3">
        <f t="shared" si="0"/>
        <v>1.7320508075688772</v>
      </c>
      <c r="E26" s="4">
        <f>COUNTA(Data!X4:X1004)</f>
        <v>3</v>
      </c>
      <c r="F26" s="22" t="str">
        <f>VLOOKUP(Read_First!B5,Items!A1:BA50,48,FALSE)</f>
        <v>attractive</v>
      </c>
      <c r="G26" s="23" t="str">
        <f>VLOOKUP(Read_First!B5,Items!A1:BA50,49,FALSE)</f>
        <v>unattractive</v>
      </c>
      <c r="H26" s="28" t="str">
        <f>VLOOKUP(Read_First!B5,Items!A1:BI50,54,FALSE)</f>
        <v>Attractiveness</v>
      </c>
      <c r="I26" s="136"/>
    </row>
    <row r="27" spans="1:9">
      <c r="A27" s="6">
        <v>25</v>
      </c>
      <c r="B27" s="3">
        <f>AVERAGE(DT!Y4:Y1004)</f>
        <v>2.3333333333333335</v>
      </c>
      <c r="C27" s="3">
        <f>VAR(DT!Y4:Y1004)</f>
        <v>0.33333333333333393</v>
      </c>
      <c r="D27" s="3">
        <f t="shared" si="0"/>
        <v>0.57735026918962629</v>
      </c>
      <c r="E27" s="4">
        <f>COUNTA(Data!Y4:Y1004)</f>
        <v>3</v>
      </c>
      <c r="F27" s="22" t="str">
        <f>VLOOKUP(Read_First!B5,Items!A1:BA50,50,FALSE)</f>
        <v>friendly</v>
      </c>
      <c r="G27" s="23" t="str">
        <f>VLOOKUP(Read_First!B5,Items!A1:BA50,51,FALSE)</f>
        <v>unfriendly</v>
      </c>
      <c r="H27" s="28" t="str">
        <f>VLOOKUP(Read_First!B5,Items!A1:BI50,54,FALSE)</f>
        <v>Attractiveness</v>
      </c>
      <c r="I27" s="136"/>
    </row>
    <row r="28" spans="1:9">
      <c r="A28" s="6">
        <v>26</v>
      </c>
      <c r="B28" s="3">
        <f>AVERAGE(DT!Z4:Z1004)</f>
        <v>-3</v>
      </c>
      <c r="C28" s="3">
        <f>VAR(DT!Z4:Z1004)</f>
        <v>0</v>
      </c>
      <c r="D28" s="3">
        <f t="shared" si="0"/>
        <v>0</v>
      </c>
      <c r="E28" s="4">
        <f>COUNTA(Data!Z4:Z1004)</f>
        <v>3</v>
      </c>
      <c r="F28" s="22" t="str">
        <f>VLOOKUP(Read_First!B5,Items!A1:BA50,52,FALSE)</f>
        <v>conservative</v>
      </c>
      <c r="G28" s="23" t="str">
        <f>VLOOKUP(Read_First!B5,Items!A1:BA50,53,FALSE)</f>
        <v>innovative</v>
      </c>
      <c r="H28" s="28" t="str">
        <f>VLOOKUP(Read_First!B5,Items!A1:BI50,59,FALSE)</f>
        <v>Novelty</v>
      </c>
      <c r="I28" s="137"/>
    </row>
    <row r="39" spans="11:15">
      <c r="K39" s="172" t="s">
        <v>820</v>
      </c>
      <c r="L39" s="172"/>
    </row>
    <row r="40" spans="11:15">
      <c r="K40" s="42" t="str">
        <f>VLOOKUP(Read_First!B5,Items!A1:BI50,54,FALSE)</f>
        <v>Attractiveness</v>
      </c>
      <c r="L40" s="43">
        <f>AVERAGE(DT!AC4:AC1004)</f>
        <v>1.3888888888888891</v>
      </c>
    </row>
    <row r="41" spans="11:15">
      <c r="K41" s="1" t="str">
        <f>VLOOKUP(Read_First!B5,Items!A1:BI50,60,FALSE)</f>
        <v>Pragmatic Quality</v>
      </c>
      <c r="L41" s="44">
        <f>(L4+L5+L6)/3</f>
        <v>2.1666666666666665</v>
      </c>
    </row>
    <row r="42" spans="11:15">
      <c r="K42" s="1" t="str">
        <f>VLOOKUP(Read_First!B5,Items!A1:BI50,61,FALSE)</f>
        <v>Hedonic Quality</v>
      </c>
      <c r="L42" s="44">
        <f>(L7+L8)/2</f>
        <v>-1.625</v>
      </c>
    </row>
    <row r="44" spans="11:15" ht="102.75" customHeight="1">
      <c r="K44" s="161" t="s">
        <v>821</v>
      </c>
      <c r="L44" s="161"/>
      <c r="M44" s="161"/>
      <c r="N44" s="161"/>
      <c r="O44" s="16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4"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8" t="s">
        <v>1282</v>
      </c>
      <c r="B1" s="179"/>
      <c r="C1" s="179"/>
      <c r="D1" s="179"/>
      <c r="E1" s="179"/>
      <c r="F1" s="179"/>
      <c r="G1" s="179"/>
      <c r="H1" s="179"/>
      <c r="I1" s="179"/>
      <c r="J1" s="179"/>
      <c r="K1" s="179"/>
      <c r="L1" s="179"/>
      <c r="M1" s="179"/>
      <c r="N1" s="179"/>
      <c r="O1" s="179"/>
    </row>
    <row r="3" spans="1:15">
      <c r="A3" s="175" t="s">
        <v>114</v>
      </c>
      <c r="B3" s="175"/>
      <c r="C3" s="175"/>
      <c r="D3" s="175"/>
      <c r="E3" s="175"/>
      <c r="F3" s="175"/>
      <c r="G3" s="175"/>
      <c r="I3" s="175" t="s">
        <v>111</v>
      </c>
      <c r="J3" s="175"/>
      <c r="K3" s="175"/>
      <c r="L3" s="175"/>
      <c r="M3" s="175"/>
      <c r="N3" s="175"/>
      <c r="O3" s="175"/>
    </row>
    <row r="4" spans="1:15">
      <c r="A4" s="115" t="s">
        <v>2</v>
      </c>
      <c r="B4" s="116" t="s">
        <v>106</v>
      </c>
      <c r="C4" s="116" t="s">
        <v>108</v>
      </c>
      <c r="D4" s="117" t="s">
        <v>3</v>
      </c>
      <c r="E4" s="116" t="s">
        <v>112</v>
      </c>
      <c r="F4" s="176" t="s">
        <v>113</v>
      </c>
      <c r="G4" s="177"/>
      <c r="I4" s="118" t="s">
        <v>110</v>
      </c>
      <c r="J4" s="117" t="s">
        <v>106</v>
      </c>
      <c r="K4" s="117" t="s">
        <v>108</v>
      </c>
      <c r="L4" s="117" t="s">
        <v>3</v>
      </c>
      <c r="M4" s="119" t="s">
        <v>112</v>
      </c>
      <c r="N4" s="176" t="s">
        <v>113</v>
      </c>
      <c r="O4" s="177"/>
    </row>
    <row r="5" spans="1:15">
      <c r="A5" s="85">
        <v>1</v>
      </c>
      <c r="B5" s="84">
        <f>Results!B3</f>
        <v>1</v>
      </c>
      <c r="C5" s="84">
        <f>Results!D3</f>
        <v>0</v>
      </c>
      <c r="D5" s="72">
        <f>Results!E3</f>
        <v>3</v>
      </c>
      <c r="E5" s="84" t="e">
        <f t="shared" ref="E5:E24" si="0">CONFIDENCE(0.05, C5, D5)</f>
        <v>#NUM!</v>
      </c>
      <c r="F5" s="84" t="e">
        <f t="shared" ref="F5:F24" si="1">B5-E5</f>
        <v>#NUM!</v>
      </c>
      <c r="G5" s="84" t="e">
        <f t="shared" ref="G5:G24" si="2">B5+E5</f>
        <v>#NUM!</v>
      </c>
      <c r="I5" s="86" t="str">
        <f>VLOOKUP(Read_First!B5,Items!A1:BI50,54,FALSE)</f>
        <v>Attractiveness</v>
      </c>
      <c r="J5" s="84">
        <f>AVERAGE(DT!AC4:AC1004)</f>
        <v>1.3888888888888891</v>
      </c>
      <c r="K5" s="84">
        <f>STDEV(DT!AC4:AC1004)</f>
        <v>0.38490017945975019</v>
      </c>
      <c r="L5" s="72">
        <f>MAX(D5:D24)</f>
        <v>3</v>
      </c>
      <c r="M5" s="84">
        <f>CONFIDENCE(0.05, K5, L5)</f>
        <v>0.43554755212001156</v>
      </c>
      <c r="N5" s="84">
        <f t="shared" ref="N5:N10" si="3">J5-M5</f>
        <v>0.95334133676887745</v>
      </c>
      <c r="O5" s="84">
        <f t="shared" ref="O5:O10" si="4">J5+M5</f>
        <v>1.8244364410089007</v>
      </c>
    </row>
    <row r="6" spans="1:15">
      <c r="A6" s="13">
        <v>2</v>
      </c>
      <c r="B6" s="11">
        <f>Results!B4</f>
        <v>1</v>
      </c>
      <c r="C6" s="11">
        <f>Results!D4</f>
        <v>0</v>
      </c>
      <c r="D6" s="4">
        <f>Results!E4</f>
        <v>3</v>
      </c>
      <c r="E6" s="11" t="e">
        <f t="shared" si="0"/>
        <v>#NUM!</v>
      </c>
      <c r="F6" s="11" t="e">
        <f t="shared" si="1"/>
        <v>#NUM!</v>
      </c>
      <c r="G6" s="11" t="e">
        <f t="shared" si="2"/>
        <v>#NUM!</v>
      </c>
      <c r="I6" s="10" t="str">
        <f>VLOOKUP(Read_First!B5,Items!A1:BI50,55,FALSE)</f>
        <v>Perspicuity</v>
      </c>
      <c r="J6" s="11">
        <f>AVERAGE(DT!AD4:AD1004)</f>
        <v>2</v>
      </c>
      <c r="K6" s="11">
        <f>STDEV(DT!AD4:AD1004)</f>
        <v>0</v>
      </c>
      <c r="L6" s="4">
        <f>L5</f>
        <v>3</v>
      </c>
      <c r="M6" s="11" t="e">
        <f t="shared" ref="M6:M10" si="5">CONFIDENCE(0.05, K6, L6)</f>
        <v>#NUM!</v>
      </c>
      <c r="N6" s="11" t="e">
        <f t="shared" si="3"/>
        <v>#NUM!</v>
      </c>
      <c r="O6" s="11" t="e">
        <f t="shared" si="4"/>
        <v>#NUM!</v>
      </c>
    </row>
    <row r="7" spans="1:15">
      <c r="A7" s="13">
        <v>3</v>
      </c>
      <c r="B7" s="11">
        <f>Results!B5</f>
        <v>-1</v>
      </c>
      <c r="C7" s="11">
        <f>Results!D5</f>
        <v>0</v>
      </c>
      <c r="D7" s="4">
        <f>Results!E5</f>
        <v>3</v>
      </c>
      <c r="E7" s="11" t="e">
        <f t="shared" si="0"/>
        <v>#NUM!</v>
      </c>
      <c r="F7" s="11" t="e">
        <f t="shared" si="1"/>
        <v>#NUM!</v>
      </c>
      <c r="G7" s="11" t="e">
        <f t="shared" si="2"/>
        <v>#NUM!</v>
      </c>
      <c r="I7" s="10" t="str">
        <f>VLOOKUP(Read_First!B5,Items!A1:BI50,56,FALSE)</f>
        <v>Efficiency</v>
      </c>
      <c r="J7" s="11">
        <f>AVERAGE(DT!AE4:AE1004)</f>
        <v>2.25</v>
      </c>
      <c r="K7" s="11">
        <f>STDEV(DT!AE4:AE1004)</f>
        <v>0</v>
      </c>
      <c r="L7" s="4">
        <f>L6</f>
        <v>3</v>
      </c>
      <c r="M7" s="11" t="e">
        <f t="shared" si="5"/>
        <v>#NUM!</v>
      </c>
      <c r="N7" s="11" t="e">
        <f t="shared" si="3"/>
        <v>#NUM!</v>
      </c>
      <c r="O7" s="11" t="e">
        <f t="shared" si="4"/>
        <v>#NUM!</v>
      </c>
    </row>
    <row r="8" spans="1:15">
      <c r="A8" s="13">
        <v>4</v>
      </c>
      <c r="B8" s="11">
        <f>Results!B6</f>
        <v>3</v>
      </c>
      <c r="C8" s="11">
        <f>Results!D6</f>
        <v>0</v>
      </c>
      <c r="D8" s="4">
        <f>Results!E6</f>
        <v>3</v>
      </c>
      <c r="E8" s="11" t="e">
        <f t="shared" si="0"/>
        <v>#NUM!</v>
      </c>
      <c r="F8" s="11" t="e">
        <f t="shared" si="1"/>
        <v>#NUM!</v>
      </c>
      <c r="G8" s="11" t="e">
        <f t="shared" si="2"/>
        <v>#NUM!</v>
      </c>
      <c r="I8" s="12" t="str">
        <f>VLOOKUP(Read_First!B5,Items!A1:BI50,57,FALSE)</f>
        <v>Dependability</v>
      </c>
      <c r="J8" s="11">
        <f>AVERAGE(DT!AF4:AF1004)</f>
        <v>2.25</v>
      </c>
      <c r="K8" s="11">
        <f>STDEV(DT!AF4:AF1004)</f>
        <v>0</v>
      </c>
      <c r="L8" s="4">
        <f>L7</f>
        <v>3</v>
      </c>
      <c r="M8" s="11" t="e">
        <f t="shared" si="5"/>
        <v>#NUM!</v>
      </c>
      <c r="N8" s="11" t="e">
        <f t="shared" si="3"/>
        <v>#NUM!</v>
      </c>
      <c r="O8" s="11" t="e">
        <f t="shared" si="4"/>
        <v>#NUM!</v>
      </c>
    </row>
    <row r="9" spans="1:15">
      <c r="A9" s="13">
        <v>5</v>
      </c>
      <c r="B9" s="11">
        <f>Results!B7</f>
        <v>0</v>
      </c>
      <c r="C9" s="11">
        <f>Results!D7</f>
        <v>0</v>
      </c>
      <c r="D9" s="4">
        <f>Results!E7</f>
        <v>3</v>
      </c>
      <c r="E9" s="11" t="e">
        <f t="shared" si="0"/>
        <v>#NUM!</v>
      </c>
      <c r="F9" s="11" t="e">
        <f t="shared" si="1"/>
        <v>#NUM!</v>
      </c>
      <c r="G9" s="11" t="e">
        <f t="shared" si="2"/>
        <v>#NUM!</v>
      </c>
      <c r="I9" s="12" t="str">
        <f>VLOOKUP(Read_First!B5,Items!A1:BI50,58,FALSE)</f>
        <v>Stimulation</v>
      </c>
      <c r="J9" s="11">
        <f>AVERAGE(DT!AG4:AG1004)</f>
        <v>-0.75</v>
      </c>
      <c r="K9" s="11">
        <f>STDEV(DT!AG4:AG1004)</f>
        <v>0</v>
      </c>
      <c r="L9" s="4">
        <f>L8</f>
        <v>3</v>
      </c>
      <c r="M9" s="11" t="e">
        <f t="shared" si="5"/>
        <v>#NUM!</v>
      </c>
      <c r="N9" s="11" t="e">
        <f t="shared" si="3"/>
        <v>#NUM!</v>
      </c>
      <c r="O9" s="11" t="e">
        <f t="shared" si="4"/>
        <v>#NUM!</v>
      </c>
    </row>
    <row r="10" spans="1:15">
      <c r="A10" s="13">
        <v>6</v>
      </c>
      <c r="B10" s="11">
        <f>Results!B8</f>
        <v>-1</v>
      </c>
      <c r="C10" s="11">
        <f>Results!D8</f>
        <v>0</v>
      </c>
      <c r="D10" s="4">
        <f>Results!E8</f>
        <v>3</v>
      </c>
      <c r="E10" s="11" t="e">
        <f t="shared" si="0"/>
        <v>#NUM!</v>
      </c>
      <c r="F10" s="11" t="e">
        <f t="shared" si="1"/>
        <v>#NUM!</v>
      </c>
      <c r="G10" s="11" t="e">
        <f t="shared" si="2"/>
        <v>#NUM!</v>
      </c>
      <c r="I10" s="10" t="str">
        <f>VLOOKUP(Read_First!B5,Items!A1:BI50,59,FALSE)</f>
        <v>Novelty</v>
      </c>
      <c r="J10" s="11">
        <f>AVERAGE(DT!AH4:AH1004)</f>
        <v>-2.5</v>
      </c>
      <c r="K10" s="11">
        <f>STDEV(DT!AH4:AH1004)</f>
        <v>0</v>
      </c>
      <c r="L10" s="4">
        <f>L9</f>
        <v>3</v>
      </c>
      <c r="M10" s="11" t="e">
        <f t="shared" si="5"/>
        <v>#NUM!</v>
      </c>
      <c r="N10" s="11" t="e">
        <f t="shared" si="3"/>
        <v>#NUM!</v>
      </c>
      <c r="O10" s="11" t="e">
        <f t="shared" si="4"/>
        <v>#NUM!</v>
      </c>
    </row>
    <row r="11" spans="1:15">
      <c r="A11" s="13">
        <v>7</v>
      </c>
      <c r="B11" s="11">
        <f>Results!B9</f>
        <v>-2</v>
      </c>
      <c r="C11" s="11">
        <f>Results!D9</f>
        <v>0</v>
      </c>
      <c r="D11" s="4">
        <f>Results!E9</f>
        <v>3</v>
      </c>
      <c r="E11" s="11" t="e">
        <f t="shared" si="0"/>
        <v>#NUM!</v>
      </c>
      <c r="F11" s="11" t="e">
        <f t="shared" si="1"/>
        <v>#NUM!</v>
      </c>
      <c r="G11" s="11" t="e">
        <f t="shared" si="2"/>
        <v>#NUM!</v>
      </c>
    </row>
    <row r="12" spans="1:15">
      <c r="A12" s="13">
        <v>8</v>
      </c>
      <c r="B12" s="11">
        <f>Results!B10</f>
        <v>3</v>
      </c>
      <c r="C12" s="11">
        <f>Results!D10</f>
        <v>0</v>
      </c>
      <c r="D12" s="4">
        <f>Results!E10</f>
        <v>3</v>
      </c>
      <c r="E12" s="11" t="e">
        <f t="shared" si="0"/>
        <v>#NUM!</v>
      </c>
      <c r="F12" s="11" t="e">
        <f t="shared" si="1"/>
        <v>#NUM!</v>
      </c>
      <c r="G12" s="11" t="e">
        <f t="shared" si="2"/>
        <v>#NUM!</v>
      </c>
    </row>
    <row r="13" spans="1:15">
      <c r="A13" s="13">
        <v>9</v>
      </c>
      <c r="B13" s="11">
        <f>Results!B11</f>
        <v>3</v>
      </c>
      <c r="C13" s="11">
        <f>Results!D11</f>
        <v>0</v>
      </c>
      <c r="D13" s="4">
        <f>Results!E11</f>
        <v>3</v>
      </c>
      <c r="E13" s="11" t="e">
        <f t="shared" si="0"/>
        <v>#NUM!</v>
      </c>
      <c r="F13" s="11" t="e">
        <f t="shared" si="1"/>
        <v>#NUM!</v>
      </c>
      <c r="G13" s="11" t="e">
        <f t="shared" si="2"/>
        <v>#NUM!</v>
      </c>
      <c r="I13" s="15"/>
    </row>
    <row r="14" spans="1:15">
      <c r="A14" s="13">
        <v>10</v>
      </c>
      <c r="B14" s="11">
        <f>Results!B12</f>
        <v>-3</v>
      </c>
      <c r="C14" s="11">
        <f>Results!D12</f>
        <v>0</v>
      </c>
      <c r="D14" s="4">
        <f>Results!E12</f>
        <v>3</v>
      </c>
      <c r="E14" s="11" t="e">
        <f t="shared" si="0"/>
        <v>#NUM!</v>
      </c>
      <c r="F14" s="11" t="e">
        <f t="shared" si="1"/>
        <v>#NUM!</v>
      </c>
      <c r="G14" s="11" t="e">
        <f t="shared" si="2"/>
        <v>#NUM!</v>
      </c>
    </row>
    <row r="15" spans="1:15">
      <c r="A15" s="13">
        <v>11</v>
      </c>
      <c r="B15" s="11">
        <f>Results!B13</f>
        <v>2</v>
      </c>
      <c r="C15" s="11">
        <f>Results!D13</f>
        <v>0</v>
      </c>
      <c r="D15" s="4">
        <f>Results!E13</f>
        <v>3</v>
      </c>
      <c r="E15" s="11" t="e">
        <f t="shared" si="0"/>
        <v>#NUM!</v>
      </c>
      <c r="F15" s="11" t="e">
        <f t="shared" si="1"/>
        <v>#NUM!</v>
      </c>
      <c r="G15" s="11" t="e">
        <f t="shared" si="2"/>
        <v>#NUM!</v>
      </c>
      <c r="J15" s="83"/>
    </row>
    <row r="16" spans="1:15">
      <c r="A16" s="13">
        <v>12</v>
      </c>
      <c r="B16" s="11">
        <f>Results!B14</f>
        <v>2</v>
      </c>
      <c r="C16" s="11">
        <f>Results!D14</f>
        <v>0</v>
      </c>
      <c r="D16" s="4">
        <f>Results!E14</f>
        <v>3</v>
      </c>
      <c r="E16" s="11" t="e">
        <f t="shared" si="0"/>
        <v>#NUM!</v>
      </c>
      <c r="F16" s="11" t="e">
        <f t="shared" si="1"/>
        <v>#NUM!</v>
      </c>
      <c r="G16" s="11" t="e">
        <f t="shared" si="2"/>
        <v>#NUM!</v>
      </c>
    </row>
    <row r="17" spans="1:7">
      <c r="A17" s="13">
        <v>13</v>
      </c>
      <c r="B17" s="11">
        <f>Results!B15</f>
        <v>2</v>
      </c>
      <c r="C17" s="11">
        <f>Results!D15</f>
        <v>0</v>
      </c>
      <c r="D17" s="4">
        <f>Results!E15</f>
        <v>3</v>
      </c>
      <c r="E17" s="11" t="e">
        <f t="shared" si="0"/>
        <v>#NUM!</v>
      </c>
      <c r="F17" s="11" t="e">
        <f t="shared" si="1"/>
        <v>#NUM!</v>
      </c>
      <c r="G17" s="11" t="e">
        <f t="shared" si="2"/>
        <v>#NUM!</v>
      </c>
    </row>
    <row r="18" spans="1:7">
      <c r="A18" s="13">
        <v>14</v>
      </c>
      <c r="B18" s="11">
        <f>Results!B16</f>
        <v>1</v>
      </c>
      <c r="C18" s="11">
        <f>Results!D16</f>
        <v>0</v>
      </c>
      <c r="D18" s="4">
        <f>Results!E16</f>
        <v>3</v>
      </c>
      <c r="E18" s="11" t="e">
        <f t="shared" si="0"/>
        <v>#NUM!</v>
      </c>
      <c r="F18" s="11" t="e">
        <f t="shared" si="1"/>
        <v>#NUM!</v>
      </c>
      <c r="G18" s="11" t="e">
        <f t="shared" si="2"/>
        <v>#NUM!</v>
      </c>
    </row>
    <row r="19" spans="1:7">
      <c r="A19" s="13">
        <v>15</v>
      </c>
      <c r="B19" s="11">
        <f>Results!B17</f>
        <v>-3</v>
      </c>
      <c r="C19" s="11">
        <f>Results!D17</f>
        <v>0</v>
      </c>
      <c r="D19" s="4">
        <f>Results!E17</f>
        <v>3</v>
      </c>
      <c r="E19" s="11" t="e">
        <f t="shared" si="0"/>
        <v>#NUM!</v>
      </c>
      <c r="F19" s="11" t="e">
        <f t="shared" si="1"/>
        <v>#NUM!</v>
      </c>
      <c r="G19" s="11" t="e">
        <f t="shared" si="2"/>
        <v>#NUM!</v>
      </c>
    </row>
    <row r="20" spans="1:7">
      <c r="A20" s="13">
        <v>16</v>
      </c>
      <c r="B20" s="11">
        <f>Results!B18</f>
        <v>1</v>
      </c>
      <c r="C20" s="11">
        <f>Results!D18</f>
        <v>0</v>
      </c>
      <c r="D20" s="4">
        <f>Results!E18</f>
        <v>3</v>
      </c>
      <c r="E20" s="11" t="e">
        <f t="shared" si="0"/>
        <v>#NUM!</v>
      </c>
      <c r="F20" s="11" t="e">
        <f t="shared" si="1"/>
        <v>#NUM!</v>
      </c>
      <c r="G20" s="11" t="e">
        <f t="shared" si="2"/>
        <v>#NUM!</v>
      </c>
    </row>
    <row r="21" spans="1:7">
      <c r="A21" s="13">
        <v>17</v>
      </c>
      <c r="B21" s="11">
        <f>Results!B19</f>
        <v>3</v>
      </c>
      <c r="C21" s="11">
        <f>Results!D19</f>
        <v>0</v>
      </c>
      <c r="D21" s="4">
        <f>Results!E19</f>
        <v>3</v>
      </c>
      <c r="E21" s="11" t="e">
        <f t="shared" si="0"/>
        <v>#NUM!</v>
      </c>
      <c r="F21" s="11" t="e">
        <f t="shared" si="1"/>
        <v>#NUM!</v>
      </c>
      <c r="G21" s="11" t="e">
        <f t="shared" si="2"/>
        <v>#NUM!</v>
      </c>
    </row>
    <row r="22" spans="1:7">
      <c r="A22" s="13">
        <v>18</v>
      </c>
      <c r="B22" s="11">
        <f>Results!B20</f>
        <v>0</v>
      </c>
      <c r="C22" s="11">
        <f>Results!D20</f>
        <v>0</v>
      </c>
      <c r="D22" s="4">
        <f>Results!E20</f>
        <v>3</v>
      </c>
      <c r="E22" s="11" t="e">
        <f t="shared" si="0"/>
        <v>#NUM!</v>
      </c>
      <c r="F22" s="11" t="e">
        <f t="shared" si="1"/>
        <v>#NUM!</v>
      </c>
      <c r="G22" s="11" t="e">
        <f t="shared" si="2"/>
        <v>#NUM!</v>
      </c>
    </row>
    <row r="23" spans="1:7">
      <c r="A23" s="13">
        <v>19</v>
      </c>
      <c r="B23" s="11">
        <f>Results!B21</f>
        <v>1</v>
      </c>
      <c r="C23" s="11">
        <f>Results!D21</f>
        <v>0</v>
      </c>
      <c r="D23" s="4">
        <f>Results!E21</f>
        <v>3</v>
      </c>
      <c r="E23" s="11" t="e">
        <f t="shared" si="0"/>
        <v>#NUM!</v>
      </c>
      <c r="F23" s="11" t="e">
        <f t="shared" si="1"/>
        <v>#NUM!</v>
      </c>
      <c r="G23" s="11" t="e">
        <f t="shared" si="2"/>
        <v>#NUM!</v>
      </c>
    </row>
    <row r="24" spans="1:7">
      <c r="A24" s="13">
        <v>20</v>
      </c>
      <c r="B24" s="11">
        <f>Results!B22</f>
        <v>2</v>
      </c>
      <c r="C24" s="11">
        <f>Results!D22</f>
        <v>0</v>
      </c>
      <c r="D24" s="4">
        <f>Results!E22</f>
        <v>3</v>
      </c>
      <c r="E24" s="11" t="e">
        <f t="shared" si="0"/>
        <v>#NUM!</v>
      </c>
      <c r="F24" s="11" t="e">
        <f t="shared" si="1"/>
        <v>#NUM!</v>
      </c>
      <c r="G24" s="11" t="e">
        <f t="shared" si="2"/>
        <v>#NUM!</v>
      </c>
    </row>
    <row r="25" spans="1:7">
      <c r="A25" s="14">
        <v>21</v>
      </c>
      <c r="B25" s="11">
        <f>Results!B23</f>
        <v>2</v>
      </c>
      <c r="C25" s="11">
        <f>Results!D23</f>
        <v>0</v>
      </c>
      <c r="D25" s="4">
        <f>Results!E23</f>
        <v>3</v>
      </c>
      <c r="E25" s="11" t="e">
        <f t="shared" ref="E25:E30" si="6">CONFIDENCE(0.05, C25, D25)</f>
        <v>#NUM!</v>
      </c>
      <c r="F25" s="11" t="e">
        <f t="shared" ref="F25:F30" si="7">B25-E25</f>
        <v>#NUM!</v>
      </c>
      <c r="G25" s="11" t="e">
        <f t="shared" ref="G25:G30" si="8">B25+E25</f>
        <v>#NUM!</v>
      </c>
    </row>
    <row r="26" spans="1:7">
      <c r="A26" s="14">
        <v>22</v>
      </c>
      <c r="B26" s="11">
        <f>Results!B24</f>
        <v>2</v>
      </c>
      <c r="C26" s="11">
        <f>Results!D24</f>
        <v>0</v>
      </c>
      <c r="D26" s="4">
        <f>Results!E24</f>
        <v>3</v>
      </c>
      <c r="E26" s="11" t="e">
        <f t="shared" si="6"/>
        <v>#NUM!</v>
      </c>
      <c r="F26" s="11" t="e">
        <f t="shared" si="7"/>
        <v>#NUM!</v>
      </c>
      <c r="G26" s="11" t="e">
        <f t="shared" si="8"/>
        <v>#NUM!</v>
      </c>
    </row>
    <row r="27" spans="1:7">
      <c r="A27" s="14">
        <v>23</v>
      </c>
      <c r="B27" s="11">
        <f>Results!B25</f>
        <v>2</v>
      </c>
      <c r="C27" s="11">
        <f>Results!D25</f>
        <v>0</v>
      </c>
      <c r="D27" s="4">
        <f>Results!E25</f>
        <v>3</v>
      </c>
      <c r="E27" s="11" t="e">
        <f t="shared" si="6"/>
        <v>#NUM!</v>
      </c>
      <c r="F27" s="11" t="e">
        <f t="shared" si="7"/>
        <v>#NUM!</v>
      </c>
      <c r="G27" s="11" t="e">
        <f t="shared" si="8"/>
        <v>#NUM!</v>
      </c>
    </row>
    <row r="28" spans="1:7">
      <c r="A28" s="14">
        <v>24</v>
      </c>
      <c r="B28" s="11">
        <f>Results!B26</f>
        <v>1</v>
      </c>
      <c r="C28" s="11">
        <f>Results!D26</f>
        <v>1.7320508075688772</v>
      </c>
      <c r="D28" s="4">
        <f>Results!E26</f>
        <v>3</v>
      </c>
      <c r="E28" s="11">
        <f t="shared" si="6"/>
        <v>1.9599639845400536</v>
      </c>
      <c r="F28" s="11">
        <f t="shared" si="7"/>
        <v>-0.95996398454005361</v>
      </c>
      <c r="G28" s="11">
        <f t="shared" si="8"/>
        <v>2.9599639845400536</v>
      </c>
    </row>
    <row r="29" spans="1:7">
      <c r="A29" s="14">
        <v>25</v>
      </c>
      <c r="B29" s="11">
        <f>Results!B27</f>
        <v>2.3333333333333335</v>
      </c>
      <c r="C29" s="11">
        <f>Results!D27</f>
        <v>0.57735026918962629</v>
      </c>
      <c r="D29" s="4">
        <f>Results!E27</f>
        <v>3</v>
      </c>
      <c r="E29" s="11">
        <f t="shared" si="6"/>
        <v>0.65332132818001853</v>
      </c>
      <c r="F29" s="11">
        <f t="shared" si="7"/>
        <v>1.6800120051533149</v>
      </c>
      <c r="G29" s="11">
        <f t="shared" si="8"/>
        <v>2.9866546615133522</v>
      </c>
    </row>
    <row r="30" spans="1:7">
      <c r="A30" s="14">
        <v>26</v>
      </c>
      <c r="B30" s="11">
        <f>Results!B28</f>
        <v>-3</v>
      </c>
      <c r="C30" s="11">
        <f>Results!D28</f>
        <v>0</v>
      </c>
      <c r="D30" s="4">
        <f>Results!E28</f>
        <v>3</v>
      </c>
      <c r="E30" s="11" t="e">
        <f t="shared" si="6"/>
        <v>#NUM!</v>
      </c>
      <c r="F30" s="11" t="e">
        <f t="shared" si="7"/>
        <v>#NUM!</v>
      </c>
      <c r="G30" s="11" t="e">
        <f t="shared" si="8"/>
        <v>#NUM!</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85546875" defaultRowHeight="15"/>
  <cols>
    <col min="1" max="1" width="8.85546875" style="45"/>
    <col min="2" max="2" width="39.85546875" style="45" customWidth="1"/>
    <col min="3" max="3" width="8.85546875" style="45" customWidth="1"/>
    <col min="4" max="9" width="8.85546875" style="45"/>
    <col min="10" max="10" width="18" style="45" customWidth="1"/>
    <col min="11" max="11" width="5.28515625" style="45" customWidth="1"/>
    <col min="12" max="16384" width="8.85546875" style="45"/>
  </cols>
  <sheetData>
    <row r="1" spans="1:11" ht="82.15" customHeight="1">
      <c r="A1" s="180" t="s">
        <v>1283</v>
      </c>
      <c r="B1" s="174"/>
      <c r="C1" s="174"/>
      <c r="D1" s="174"/>
      <c r="E1" s="174"/>
      <c r="F1" s="174"/>
      <c r="G1" s="174"/>
      <c r="H1" s="174"/>
      <c r="I1" s="174"/>
      <c r="J1" s="174"/>
      <c r="K1" s="174"/>
    </row>
    <row r="2" spans="1:11">
      <c r="A2" s="87" t="s">
        <v>1288</v>
      </c>
      <c r="B2" s="88" t="s">
        <v>2</v>
      </c>
      <c r="C2" s="89">
        <v>1</v>
      </c>
      <c r="D2" s="91">
        <v>2</v>
      </c>
      <c r="E2" s="91">
        <v>3</v>
      </c>
      <c r="F2" s="91">
        <v>4</v>
      </c>
      <c r="G2" s="91">
        <v>5</v>
      </c>
      <c r="H2" s="91">
        <v>6</v>
      </c>
      <c r="I2" s="91">
        <v>7</v>
      </c>
      <c r="J2" s="69"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3</v>
      </c>
      <c r="H3" s="1">
        <f>COUNTIF(DT!A4:A1004,"2")</f>
        <v>0</v>
      </c>
      <c r="I3" s="1">
        <f>COUNTIF(DT!A4:A1004,"3")</f>
        <v>0</v>
      </c>
      <c r="J3" s="28"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3</v>
      </c>
      <c r="H4" s="1">
        <f>COUNTIF(DT!B4:B1004,"2")</f>
        <v>0</v>
      </c>
      <c r="I4" s="1">
        <f>COUNTIF(DT!B4:B1004,"3")</f>
        <v>0</v>
      </c>
      <c r="J4" s="28" t="str">
        <f>Results!H4</f>
        <v>Perspicuity</v>
      </c>
    </row>
    <row r="5" spans="1:11">
      <c r="A5" s="2">
        <v>3</v>
      </c>
      <c r="B5" s="1" t="str">
        <f>_xlfn.CONCAT(Results!G5,"/",Results!F5)</f>
        <v>dull/creative</v>
      </c>
      <c r="C5" s="1">
        <f>COUNTIF(DT!C4:C1004,"-3")</f>
        <v>0</v>
      </c>
      <c r="D5" s="1">
        <f>COUNTIF(DT!C4:C1004,"-2")</f>
        <v>0</v>
      </c>
      <c r="E5" s="1">
        <f>COUNTIF(DT!C4:C1004,"-1")</f>
        <v>3</v>
      </c>
      <c r="F5" s="1">
        <f>COUNTIF(DT!C4:C1004,"0")</f>
        <v>0</v>
      </c>
      <c r="G5" s="1">
        <f>COUNTIF(DT!C4:C1004,"1")</f>
        <v>0</v>
      </c>
      <c r="H5" s="1">
        <f>COUNTIF(DT!C4:C1004,"2")</f>
        <v>0</v>
      </c>
      <c r="I5" s="1">
        <f>COUNTIF(DT!C4:C1004,"3")</f>
        <v>0</v>
      </c>
      <c r="J5" s="28"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0</v>
      </c>
      <c r="I6" s="1">
        <f>COUNTIF(DT!D4:D1004,"3")</f>
        <v>3</v>
      </c>
      <c r="J6" s="28" t="str">
        <f>Results!H6</f>
        <v>Perspicuity</v>
      </c>
    </row>
    <row r="7" spans="1:11">
      <c r="A7" s="2">
        <v>5</v>
      </c>
      <c r="B7" s="1" t="str">
        <f>_xlfn.CONCAT(Results!G7,"/",Results!F7)</f>
        <v>inferior/valuable</v>
      </c>
      <c r="C7" s="1">
        <f>COUNTIF(DT!E4:E1004,"-3")</f>
        <v>0</v>
      </c>
      <c r="D7" s="1">
        <f>COUNTIF(DT!E4:E1004,"-2")</f>
        <v>0</v>
      </c>
      <c r="E7" s="1">
        <f>COUNTIF(DT!E4:E1004,"-1")</f>
        <v>0</v>
      </c>
      <c r="F7" s="1">
        <f>COUNTIF(DT!E4:E1004,"0")</f>
        <v>3</v>
      </c>
      <c r="G7" s="1">
        <f>COUNTIF(DT!E4:E1004,"1")</f>
        <v>0</v>
      </c>
      <c r="H7" s="1">
        <f>COUNTIF(DT!E4:E1004,"2")</f>
        <v>0</v>
      </c>
      <c r="I7" s="1">
        <f>COUNTIF(DT!E4:E1004,"3")</f>
        <v>0</v>
      </c>
      <c r="J7" s="29" t="str">
        <f>Results!H7</f>
        <v>Stimulation</v>
      </c>
    </row>
    <row r="8" spans="1:11">
      <c r="A8" s="2">
        <v>6</v>
      </c>
      <c r="B8" s="1" t="str">
        <f>_xlfn.CONCAT(Results!F8,"/",Results!G8)</f>
        <v>boring/exciting</v>
      </c>
      <c r="C8" s="1">
        <f>COUNTIF(DT!F4:F1004,"-3")</f>
        <v>0</v>
      </c>
      <c r="D8" s="1">
        <f>COUNTIF(DT!F4:F1004,"-2")</f>
        <v>0</v>
      </c>
      <c r="E8" s="1">
        <f>COUNTIF(DT!F4:F1004,"-1")</f>
        <v>3</v>
      </c>
      <c r="F8" s="1">
        <f>COUNTIF(DT!F4:F1004,"0")</f>
        <v>0</v>
      </c>
      <c r="G8" s="1">
        <f>COUNTIF(DT!F4:F1004,"1")</f>
        <v>0</v>
      </c>
      <c r="H8" s="1">
        <f>COUNTIF(DT!F4:F1004,"2")</f>
        <v>0</v>
      </c>
      <c r="I8" s="1">
        <f>COUNTIF(DT!F4:F1004,"3")</f>
        <v>0</v>
      </c>
      <c r="J8" s="29" t="str">
        <f>Results!H8</f>
        <v>Stimulation</v>
      </c>
    </row>
    <row r="9" spans="1:11">
      <c r="A9" s="2">
        <v>7</v>
      </c>
      <c r="B9" s="1" t="str">
        <f>_xlfn.CONCAT(Results!F9,"/",Results!G9)</f>
        <v>not interesting/interesting</v>
      </c>
      <c r="C9" s="1">
        <f>COUNTIF(DT!G4:G1004,"-3")</f>
        <v>0</v>
      </c>
      <c r="D9" s="1">
        <f>COUNTIF(DT!G4:G1004,"-2")</f>
        <v>3</v>
      </c>
      <c r="E9" s="1">
        <f>COUNTIF(DT!G4:G1004,"-1")</f>
        <v>0</v>
      </c>
      <c r="F9" s="1">
        <f>COUNTIF(DT!G4:G1004,"0")</f>
        <v>0</v>
      </c>
      <c r="G9" s="1">
        <f>COUNTIF(DT!G4:G1004,"1")</f>
        <v>0</v>
      </c>
      <c r="H9" s="1">
        <f>COUNTIF(DT!G4:G1004,"2")</f>
        <v>0</v>
      </c>
      <c r="I9" s="1">
        <f>COUNTIF(DT!G4:G1004,"3")</f>
        <v>0</v>
      </c>
      <c r="J9" s="29"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0</v>
      </c>
      <c r="G10" s="1">
        <f>COUNTIF(DT!H4:H1004,"1")</f>
        <v>0</v>
      </c>
      <c r="H10" s="1">
        <f>COUNTIF(DT!H4:H1004,"2")</f>
        <v>0</v>
      </c>
      <c r="I10" s="1">
        <f>COUNTIF(DT!H4:H1004,"3")</f>
        <v>3</v>
      </c>
      <c r="J10" s="28" t="str">
        <f>Results!H10</f>
        <v>Dependability</v>
      </c>
    </row>
    <row r="11" spans="1:11">
      <c r="A11" s="2">
        <v>9</v>
      </c>
      <c r="B11" s="1" t="str">
        <f>_xlfn.CONCAT(Results!G11,"/",Results!F11)</f>
        <v>slow/fast</v>
      </c>
      <c r="C11" s="1">
        <f>COUNTIF(DT!I4:I1004,"-3")</f>
        <v>0</v>
      </c>
      <c r="D11" s="1">
        <f>COUNTIF(DT!I4:I1004,"-2")</f>
        <v>0</v>
      </c>
      <c r="E11" s="1">
        <f>COUNTIF(DT!I4:I1004,"-1")</f>
        <v>0</v>
      </c>
      <c r="F11" s="1">
        <f>COUNTIF(DT!I4:I1004,"0")</f>
        <v>0</v>
      </c>
      <c r="G11" s="1">
        <f>COUNTIF(DT!I4:I1004,"1")</f>
        <v>0</v>
      </c>
      <c r="H11" s="1">
        <f>COUNTIF(DT!I4:I1004,"2")</f>
        <v>0</v>
      </c>
      <c r="I11" s="1">
        <f>COUNTIF(DT!I4:I1004,"3")</f>
        <v>3</v>
      </c>
      <c r="J11" s="28" t="str">
        <f>Results!H11</f>
        <v>Efficiency</v>
      </c>
    </row>
    <row r="12" spans="1:11">
      <c r="A12" s="2">
        <v>10</v>
      </c>
      <c r="B12" s="1" t="str">
        <f>_xlfn.CONCAT(Results!G12,"/",Results!F12)</f>
        <v>conventional/inventive</v>
      </c>
      <c r="C12" s="1">
        <f>COUNTIF(DT!J4:J1004,"-3")</f>
        <v>3</v>
      </c>
      <c r="D12" s="1">
        <f>COUNTIF(DT!J4:J1004,"-2")</f>
        <v>0</v>
      </c>
      <c r="E12" s="1">
        <f>COUNTIF(DT!J4:J1004,"-1")</f>
        <v>0</v>
      </c>
      <c r="F12" s="1">
        <f>COUNTIF(DT!J4:J1004,"0")</f>
        <v>0</v>
      </c>
      <c r="G12" s="1">
        <f>COUNTIF(DT!J4:J1004,"1")</f>
        <v>0</v>
      </c>
      <c r="H12" s="1">
        <f>COUNTIF(DT!J4:J1004,"2")</f>
        <v>0</v>
      </c>
      <c r="I12" s="1">
        <f>COUNTIF(DT!J4:J1004,"3")</f>
        <v>0</v>
      </c>
      <c r="J12" s="28"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3</v>
      </c>
      <c r="I13" s="1">
        <f>COUNTIF(DT!K4:K1004,"3")</f>
        <v>0</v>
      </c>
      <c r="J13" s="28"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3</v>
      </c>
      <c r="I14" s="1">
        <f>COUNTIF(DT!L4:L1004,"3")</f>
        <v>0</v>
      </c>
      <c r="J14" s="28"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3</v>
      </c>
      <c r="I15" s="1">
        <f>COUNTIF(DT!M4:M1004,"3")</f>
        <v>0</v>
      </c>
      <c r="J15" s="28"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3</v>
      </c>
      <c r="H16" s="1">
        <f>COUNTIF(DT!N4:N1004,"2")</f>
        <v>0</v>
      </c>
      <c r="I16" s="1">
        <f>COUNTIF(DT!N4:N1004,"3")</f>
        <v>0</v>
      </c>
      <c r="J16" s="28" t="str">
        <f>Results!H16</f>
        <v>Attractiveness</v>
      </c>
    </row>
    <row r="17" spans="1:10">
      <c r="A17" s="2">
        <v>15</v>
      </c>
      <c r="B17" s="1" t="str">
        <f>_xlfn.CONCAT(Results!F17,"/",Results!G17)</f>
        <v>usual/leading edge</v>
      </c>
      <c r="C17" s="1">
        <f>COUNTIF(DT!O4:O1004,"-3")</f>
        <v>3</v>
      </c>
      <c r="D17" s="1">
        <f>COUNTIF(DT!O4:O1004,"-2")</f>
        <v>0</v>
      </c>
      <c r="E17" s="1">
        <f>COUNTIF(DT!O4:O1004,"-1")</f>
        <v>0</v>
      </c>
      <c r="F17" s="1">
        <f>COUNTIF(DT!O4:O1004,"0")</f>
        <v>0</v>
      </c>
      <c r="G17" s="1">
        <f>COUNTIF(DT!O4:O1004,"1")</f>
        <v>0</v>
      </c>
      <c r="H17" s="1">
        <f>COUNTIF(DT!O4:O1004,"2")</f>
        <v>0</v>
      </c>
      <c r="I17" s="1">
        <f>COUNTIF(DT!O4:O1004,"3")</f>
        <v>0</v>
      </c>
      <c r="J17" s="28"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3</v>
      </c>
      <c r="H18" s="1">
        <f>COUNTIF(DT!P4:P1004,"2")</f>
        <v>0</v>
      </c>
      <c r="I18" s="1">
        <f>COUNTIF(DT!P4:P1004,"3")</f>
        <v>0</v>
      </c>
      <c r="J18" s="28"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0</v>
      </c>
      <c r="I19" s="1">
        <f>COUNTIF(DT!Q4:Q1004,"3")</f>
        <v>3</v>
      </c>
      <c r="J19" s="28"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3</v>
      </c>
      <c r="G20" s="1">
        <f>COUNTIF(DT!R4:R1004,"1")</f>
        <v>0</v>
      </c>
      <c r="H20" s="1">
        <f>COUNTIF(DT!R4:R1004,"2")</f>
        <v>0</v>
      </c>
      <c r="I20" s="1">
        <f>COUNTIF(DT!R4:R1004,"3")</f>
        <v>0</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3</v>
      </c>
      <c r="H21" s="1">
        <f>COUNTIF(DT!S4:S1004,"2")</f>
        <v>0</v>
      </c>
      <c r="I21" s="1">
        <f>COUNTIF(DT!S4:S1004,"3")</f>
        <v>0</v>
      </c>
      <c r="J21" s="28"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3</v>
      </c>
      <c r="I22" s="1">
        <f>COUNTIF(DT!T4:T1004,"3")</f>
        <v>0</v>
      </c>
      <c r="J22" s="28" t="str">
        <f>Results!H22</f>
        <v>Efficiency</v>
      </c>
    </row>
    <row r="23" spans="1:10">
      <c r="A23" s="6">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3</v>
      </c>
      <c r="I23" s="1">
        <f>COUNTIF(DT!U4:U1004,"3")</f>
        <v>0</v>
      </c>
      <c r="J23" s="28" t="str">
        <f>Results!H23</f>
        <v>Perspicuity</v>
      </c>
    </row>
    <row r="24" spans="1:10">
      <c r="A24" s="6">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3</v>
      </c>
      <c r="I24" s="1">
        <f>COUNTIF(DT!V4:V1004,"3")</f>
        <v>0</v>
      </c>
      <c r="J24" s="28" t="str">
        <f>Results!H24</f>
        <v>Efficiency</v>
      </c>
    </row>
    <row r="25" spans="1:10">
      <c r="A25" s="6">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3</v>
      </c>
      <c r="I25" s="1">
        <f>COUNTIF(DT!W4:W1004,"3")</f>
        <v>0</v>
      </c>
      <c r="J25" s="28" t="str">
        <f>Results!H25</f>
        <v>Efficiency</v>
      </c>
    </row>
    <row r="26" spans="1:10">
      <c r="A26" s="6">
        <v>24</v>
      </c>
      <c r="B26" s="1" t="str">
        <f>_xlfn.CONCAT(Results!G26,"/",Results!F26)</f>
        <v>unattractive/attractive</v>
      </c>
      <c r="C26" s="1">
        <f>COUNTIF(DT!X4:X1004,"-3")</f>
        <v>0</v>
      </c>
      <c r="D26" s="1">
        <f>COUNTIF(DT!X4:X1004,"-2")</f>
        <v>0</v>
      </c>
      <c r="E26" s="1">
        <f>COUNTIF(DT!X4:X1004,"-1")</f>
        <v>0</v>
      </c>
      <c r="F26" s="1">
        <f>COUNTIF(DT!X4:X1004,"0")</f>
        <v>2</v>
      </c>
      <c r="G26" s="1">
        <f>COUNTIF(DT!X4:X1004,"1")</f>
        <v>0</v>
      </c>
      <c r="H26" s="1">
        <f>COUNTIF(DT!X4:X1004,"2")</f>
        <v>0</v>
      </c>
      <c r="I26" s="1">
        <f>COUNTIF(DT!X4:X1004,"3")</f>
        <v>1</v>
      </c>
      <c r="J26" s="28" t="str">
        <f>Results!H26</f>
        <v>Attractiveness</v>
      </c>
    </row>
    <row r="27" spans="1:10">
      <c r="A27" s="6">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2</v>
      </c>
      <c r="I27" s="1">
        <f>COUNTIF(DT!Y4:Y1004,"3")</f>
        <v>1</v>
      </c>
      <c r="J27" s="28" t="str">
        <f>Results!H27</f>
        <v>Attractiveness</v>
      </c>
    </row>
    <row r="28" spans="1:10">
      <c r="A28" s="6">
        <v>26</v>
      </c>
      <c r="B28" s="1" t="str">
        <f>_xlfn.CONCAT(Results!F28,"/",Results!G28)</f>
        <v>conservative/innovative</v>
      </c>
      <c r="C28" s="1">
        <f>COUNTIF(DT!Z4:Z1004,"-3")</f>
        <v>3</v>
      </c>
      <c r="D28" s="1">
        <f>COUNTIF(DT!Z4:Z1004,"-2")</f>
        <v>0</v>
      </c>
      <c r="E28" s="1">
        <f>COUNTIF(DT!Z4:Z1004,"-1")</f>
        <v>0</v>
      </c>
      <c r="F28" s="1">
        <f>COUNTIF(DT!Z4:Z1004,"0")</f>
        <v>0</v>
      </c>
      <c r="G28" s="1">
        <f>COUNTIF(DT!Z4:Z1004,"1")</f>
        <v>0</v>
      </c>
      <c r="H28" s="1">
        <f>COUNTIF(DT!Z4:Z1004,"2")</f>
        <v>0</v>
      </c>
      <c r="I28" s="1">
        <f>COUNTIF(DT!Z4:Z1004,"3")</f>
        <v>0</v>
      </c>
      <c r="J28" s="28"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61" t="s">
        <v>1278</v>
      </c>
      <c r="B1" s="181"/>
      <c r="C1" s="181"/>
      <c r="D1" s="181"/>
      <c r="E1" s="181"/>
      <c r="F1" s="181"/>
      <c r="G1" s="181"/>
      <c r="H1" s="181"/>
      <c r="I1" s="181"/>
      <c r="J1" s="181"/>
      <c r="K1" s="181"/>
      <c r="L1" s="181"/>
      <c r="M1" s="181"/>
      <c r="N1" s="181"/>
      <c r="O1" s="181"/>
      <c r="P1" s="181"/>
      <c r="Q1" s="181"/>
      <c r="R1" s="181"/>
    </row>
    <row r="2" spans="1:18" s="45" customFormat="1" ht="18.600000000000001" customHeight="1">
      <c r="A2" s="54"/>
      <c r="B2" s="55"/>
      <c r="C2" s="55"/>
      <c r="D2" s="55"/>
      <c r="E2" s="55"/>
      <c r="F2" s="55"/>
      <c r="G2" s="55"/>
      <c r="H2" s="55"/>
      <c r="I2" s="55"/>
      <c r="J2" s="55"/>
      <c r="K2" s="55"/>
      <c r="L2" s="55"/>
      <c r="M2" s="55"/>
      <c r="N2" s="55"/>
      <c r="O2" s="55"/>
      <c r="P2" s="55"/>
      <c r="Q2" s="55"/>
      <c r="R2" s="55"/>
    </row>
    <row r="3" spans="1:18" s="45" customFormat="1" ht="172.9" customHeight="1">
      <c r="A3" s="182" t="s">
        <v>1463</v>
      </c>
      <c r="B3" s="180"/>
      <c r="C3" s="180"/>
      <c r="D3" s="180"/>
      <c r="E3" s="180"/>
      <c r="F3" s="180"/>
      <c r="G3" s="180"/>
      <c r="H3" s="180"/>
      <c r="I3" s="180"/>
      <c r="J3" s="180"/>
      <c r="K3" s="180"/>
      <c r="L3" s="180"/>
      <c r="M3" s="180"/>
      <c r="N3" s="180"/>
      <c r="O3" s="180"/>
      <c r="P3" s="180"/>
      <c r="Q3" s="180"/>
      <c r="R3" s="55"/>
    </row>
    <row r="5" spans="1:18">
      <c r="A5" s="165" t="str">
        <f>VLOOKUP(Read_First!B5,Items!A1:BI50,54,FALSE)</f>
        <v>Attractiveness</v>
      </c>
      <c r="B5" s="165"/>
      <c r="D5" s="169" t="str">
        <f>VLOOKUP(Read_First!B5,Items!A1:BI50,55,FALSE)</f>
        <v>Perspicuity</v>
      </c>
      <c r="E5" s="169"/>
      <c r="G5" s="169" t="str">
        <f>VLOOKUP(Read_First!B5,Items!A1:BI50,56,FALSE)</f>
        <v>Efficiency</v>
      </c>
      <c r="H5" s="169"/>
      <c r="J5" s="169" t="str">
        <f>VLOOKUP(Read_First!B5,Items!A1:BI50,57,FALSE)</f>
        <v>Dependability</v>
      </c>
      <c r="K5" s="169"/>
      <c r="M5" s="169" t="str">
        <f>VLOOKUP(Read_First!B5,Items!A1:BI50,58,FALSE)</f>
        <v>Stimulation</v>
      </c>
      <c r="N5" s="169"/>
      <c r="P5" s="169" t="str">
        <f>VLOOKUP(Read_First!B5,Items!A1:BI50,59,FALSE)</f>
        <v>Novelty</v>
      </c>
      <c r="Q5" s="169"/>
    </row>
    <row r="6" spans="1:18">
      <c r="A6" s="120" t="s">
        <v>0</v>
      </c>
      <c r="B6" s="121" t="s">
        <v>115</v>
      </c>
      <c r="D6" s="120" t="s">
        <v>0</v>
      </c>
      <c r="E6" s="122" t="s">
        <v>115</v>
      </c>
      <c r="G6" s="116" t="s">
        <v>0</v>
      </c>
      <c r="H6" s="122" t="s">
        <v>115</v>
      </c>
      <c r="J6" s="118" t="s">
        <v>0</v>
      </c>
      <c r="K6" s="122" t="s">
        <v>115</v>
      </c>
      <c r="M6" s="120" t="s">
        <v>0</v>
      </c>
      <c r="N6" s="122" t="s">
        <v>115</v>
      </c>
      <c r="P6" s="120" t="s">
        <v>0</v>
      </c>
      <c r="Q6" s="122" t="s">
        <v>115</v>
      </c>
    </row>
    <row r="7" spans="1:18">
      <c r="A7" s="93" t="s">
        <v>36</v>
      </c>
      <c r="B7" s="94" t="e">
        <f>CORREL(DT!A4:A1004,DT!L4:L1004)</f>
        <v>#DIV/0!</v>
      </c>
      <c r="D7" s="93" t="s">
        <v>5</v>
      </c>
      <c r="E7" s="94" t="e">
        <f>CORREL(DT!B4:B1004,DT!D4:D1004)</f>
        <v>#DIV/0!</v>
      </c>
      <c r="G7" s="93" t="s">
        <v>11</v>
      </c>
      <c r="H7" s="94" t="e">
        <f>CORREL(DT!I4:I1004,DT!T4:T1004)</f>
        <v>#DIV/0!</v>
      </c>
      <c r="J7" s="93" t="s">
        <v>17</v>
      </c>
      <c r="K7" s="94" t="e">
        <f>CORREL(DT!H4:H1004,DT!K4:K1004)</f>
        <v>#DIV/0!</v>
      </c>
      <c r="M7" s="93" t="s">
        <v>24</v>
      </c>
      <c r="N7" s="94" t="e">
        <f>CORREL(DT!E4:E1004,DT!F4:F1004)</f>
        <v>#DIV/0!</v>
      </c>
      <c r="P7" s="93" t="s">
        <v>34</v>
      </c>
      <c r="Q7" s="94" t="e">
        <f>CORREL(DT!C4:C1004,DT!J4:J1004)</f>
        <v>#DIV/0!</v>
      </c>
    </row>
    <row r="8" spans="1:18">
      <c r="A8" s="39" t="s">
        <v>37</v>
      </c>
      <c r="B8" s="40" t="e">
        <f>CORREL(DT!A4:A1004,DT!N4:N1004)</f>
        <v>#DIV/0!</v>
      </c>
      <c r="D8" s="39" t="s">
        <v>6</v>
      </c>
      <c r="E8" s="40" t="e">
        <f>CORREL(DT!B4:B1004,DT!M4:M1004)</f>
        <v>#DIV/0!</v>
      </c>
      <c r="G8" s="39" t="s">
        <v>12</v>
      </c>
      <c r="H8" s="40" t="e">
        <f>CORREL(DT!I4:I1004,DT!V4:V1004)</f>
        <v>#DIV/0!</v>
      </c>
      <c r="J8" s="39" t="s">
        <v>18</v>
      </c>
      <c r="K8" s="40" t="e">
        <f>CORREL(DT!H4:H1004,DT!Q4:Q1004)</f>
        <v>#DIV/0!</v>
      </c>
      <c r="M8" s="39" t="s">
        <v>25</v>
      </c>
      <c r="N8" s="40" t="e">
        <f>CORREL(DT!E4:E1004,DT!G4:G1004)</f>
        <v>#DIV/0!</v>
      </c>
      <c r="P8" s="39" t="s">
        <v>33</v>
      </c>
      <c r="Q8" s="40" t="e">
        <f>CORREL(DT!C4:C1004,DT!O4:O1004)</f>
        <v>#DIV/0!</v>
      </c>
    </row>
    <row r="9" spans="1:18">
      <c r="A9" s="39" t="s">
        <v>38</v>
      </c>
      <c r="B9" s="40" t="e">
        <f>CORREL(DT!A4:A1004,DT!P4:P1004)</f>
        <v>#DIV/0!</v>
      </c>
      <c r="D9" s="39" t="s">
        <v>7</v>
      </c>
      <c r="E9" s="40" t="e">
        <f>CORREL(DT!B4:B1004,DT!U4:U1004)</f>
        <v>#DIV/0!</v>
      </c>
      <c r="G9" s="39" t="s">
        <v>13</v>
      </c>
      <c r="H9" s="40" t="e">
        <f>CORREL(DT!I4:I1004,DT!W4:W1004)</f>
        <v>#DIV/0!</v>
      </c>
      <c r="J9" s="39" t="s">
        <v>19</v>
      </c>
      <c r="K9" s="40" t="e">
        <f>CORREL(DT!H4:H1004,DT!S4:S1004)</f>
        <v>#DIV/0!</v>
      </c>
      <c r="M9" s="39" t="s">
        <v>26</v>
      </c>
      <c r="N9" s="40" t="e">
        <f>CORREL(DT!E4:E1004,DT!R4:R1004)</f>
        <v>#DIV/0!</v>
      </c>
      <c r="P9" s="39" t="s">
        <v>32</v>
      </c>
      <c r="Q9" s="40" t="e">
        <f>CORREL(DT!C4:C1004,DT!Z4:Z1004)</f>
        <v>#DIV/0!</v>
      </c>
    </row>
    <row r="10" spans="1:18">
      <c r="A10" s="39" t="s">
        <v>39</v>
      </c>
      <c r="B10" s="40" t="e">
        <f>CORREL(DT!A4:A1004,DT!X4:X1004)</f>
        <v>#DIV/0!</v>
      </c>
      <c r="D10" s="39" t="s">
        <v>8</v>
      </c>
      <c r="E10" s="40" t="e">
        <f>CORREL(DT!D4:D1004,DT!M4:M1004)</f>
        <v>#DIV/0!</v>
      </c>
      <c r="G10" s="39" t="s">
        <v>14</v>
      </c>
      <c r="H10" s="40" t="e">
        <f>CORREL(DT!T4:T1004,DT!V4:V1004)</f>
        <v>#DIV/0!</v>
      </c>
      <c r="J10" s="39" t="s">
        <v>20</v>
      </c>
      <c r="K10" s="40" t="e">
        <f>CORREL(DT!K4:K1004,DT!Q4:Q1004)</f>
        <v>#DIV/0!</v>
      </c>
      <c r="M10" s="39" t="s">
        <v>27</v>
      </c>
      <c r="N10" s="40" t="e">
        <f>CORREL(DT!F4:F1004,DT!G4:G1004)</f>
        <v>#DIV/0!</v>
      </c>
      <c r="P10" s="39" t="s">
        <v>31</v>
      </c>
      <c r="Q10" s="40" t="e">
        <f>CORREL(DT!J4:J1004,DT!O4:O1004)</f>
        <v>#DIV/0!</v>
      </c>
    </row>
    <row r="11" spans="1:18">
      <c r="A11" s="39" t="s">
        <v>40</v>
      </c>
      <c r="B11" s="40" t="e">
        <f>CORREL(DT!A4:A1004,DT!Y4:Y1004)</f>
        <v>#DIV/0!</v>
      </c>
      <c r="D11" s="39" t="s">
        <v>9</v>
      </c>
      <c r="E11" s="40" t="e">
        <f>CORREL(DT!D4:D1004,DT!U4:U1004)</f>
        <v>#DIV/0!</v>
      </c>
      <c r="G11" s="39" t="s">
        <v>15</v>
      </c>
      <c r="H11" s="40" t="e">
        <f>CORREL(DT!T4:T1004,DT!W4:W1004)</f>
        <v>#DIV/0!</v>
      </c>
      <c r="J11" s="39" t="s">
        <v>21</v>
      </c>
      <c r="K11" s="40" t="e">
        <f>CORREL(DT!K4:K1004,DT!S4:S1004)</f>
        <v>#DIV/0!</v>
      </c>
      <c r="M11" s="39" t="s">
        <v>28</v>
      </c>
      <c r="N11" s="40" t="e">
        <f>CORREL(DT!F4:F1004,DT!R4:R1004)</f>
        <v>#DIV/0!</v>
      </c>
      <c r="P11" s="39" t="s">
        <v>30</v>
      </c>
      <c r="Q11" s="40" t="e">
        <f>CORREL(DT!J4:J1004,DT!Z4:Z1004)</f>
        <v>#DIV/0!</v>
      </c>
    </row>
    <row r="12" spans="1:18">
      <c r="A12" s="39" t="s">
        <v>41</v>
      </c>
      <c r="B12" s="40" t="e">
        <f>CORREL(DT!L4:L1004,DT!N4:N1004)</f>
        <v>#DIV/0!</v>
      </c>
      <c r="D12" s="39" t="s">
        <v>10</v>
      </c>
      <c r="E12" s="40" t="e">
        <f>CORREL(DT!M4:M1004,DT!U4:U1004)</f>
        <v>#DIV/0!</v>
      </c>
      <c r="G12" s="39" t="s">
        <v>16</v>
      </c>
      <c r="H12" s="40" t="e">
        <f>CORREL(DT!V4:V1004,DT!W4:W1004)</f>
        <v>#DIV/0!</v>
      </c>
      <c r="J12" s="39" t="s">
        <v>22</v>
      </c>
      <c r="K12" s="40" t="e">
        <f>CORREL(DT!Q4:Q1004,DT!S4:S1004)</f>
        <v>#DIV/0!</v>
      </c>
      <c r="M12" s="39" t="s">
        <v>23</v>
      </c>
      <c r="N12" s="40" t="e">
        <f>CORREL(DT!G4:G1004,DT!R4:R1004)</f>
        <v>#DIV/0!</v>
      </c>
      <c r="P12" s="39" t="s">
        <v>29</v>
      </c>
      <c r="Q12" s="40" t="e">
        <f>CORREL(DT!O4:O1004,DT!Z4:Z1004)</f>
        <v>#DIV/0!</v>
      </c>
    </row>
    <row r="13" spans="1:18">
      <c r="A13" s="39" t="s">
        <v>42</v>
      </c>
      <c r="B13" s="40" t="e">
        <f>CORREL(DT!L4:L1004,DT!P4:P1004)</f>
        <v>#DIV/0!</v>
      </c>
      <c r="D13" s="41" t="s">
        <v>826</v>
      </c>
      <c r="E13" s="40" t="e">
        <f>AVERAGE(E7:E12)</f>
        <v>#DIV/0!</v>
      </c>
      <c r="G13" s="41" t="s">
        <v>826</v>
      </c>
      <c r="H13" s="40" t="e">
        <f>AVERAGE(H7:H12)</f>
        <v>#DIV/0!</v>
      </c>
      <c r="J13" s="41" t="s">
        <v>826</v>
      </c>
      <c r="K13" s="40" t="e">
        <f>AVERAGE(K7:K12)</f>
        <v>#DIV/0!</v>
      </c>
      <c r="M13" s="41" t="s">
        <v>826</v>
      </c>
      <c r="N13" s="40" t="e">
        <f>AVERAGE(N7:N12)</f>
        <v>#DIV/0!</v>
      </c>
      <c r="P13" s="41" t="s">
        <v>826</v>
      </c>
      <c r="Q13" s="40" t="e">
        <f>AVERAGE(Q7:Q12)</f>
        <v>#DIV/0!</v>
      </c>
    </row>
    <row r="14" spans="1:18">
      <c r="A14" s="39" t="s">
        <v>43</v>
      </c>
      <c r="B14" s="40" t="e">
        <f>CORREL(DT!L4:L1004,DT!X4:X1004)</f>
        <v>#DIV/0!</v>
      </c>
      <c r="C14" s="8"/>
      <c r="D14" s="56" t="s">
        <v>4</v>
      </c>
      <c r="E14" s="57" t="e">
        <f>(4*E13)/(1+(3*E13))</f>
        <v>#DIV/0!</v>
      </c>
      <c r="F14" s="59"/>
      <c r="G14" s="56" t="s">
        <v>4</v>
      </c>
      <c r="H14" s="57" t="e">
        <f>(4*H13)/(1+(3*H13))</f>
        <v>#DIV/0!</v>
      </c>
      <c r="I14" s="59"/>
      <c r="J14" s="56" t="s">
        <v>4</v>
      </c>
      <c r="K14" s="57" t="e">
        <f>(4*K13)/(1+(3*K13))</f>
        <v>#DIV/0!</v>
      </c>
      <c r="L14" s="59"/>
      <c r="M14" s="56" t="s">
        <v>4</v>
      </c>
      <c r="N14" s="57" t="e">
        <f>(4*N13)/(1+(3*N13))</f>
        <v>#DIV/0!</v>
      </c>
      <c r="O14" s="58"/>
      <c r="P14" s="56" t="s">
        <v>4</v>
      </c>
      <c r="Q14" s="57" t="e">
        <f>(4*Q13)/(1+(3*Q13))</f>
        <v>#DIV/0!</v>
      </c>
    </row>
    <row r="15" spans="1:18">
      <c r="A15" s="39" t="s">
        <v>44</v>
      </c>
      <c r="B15" s="40" t="e">
        <f>CORREL(DT!L4:L1004,DT!Y4:Y1004)</f>
        <v>#DIV/0!</v>
      </c>
      <c r="D15" s="186" t="s">
        <v>1462</v>
      </c>
      <c r="E15" s="145" t="e">
        <f>1-EXP(LN(1-E14)+1.96*SQRT(8/(3*(Results!E3-2))))</f>
        <v>#DIV/0!</v>
      </c>
      <c r="F15" s="45"/>
      <c r="G15" s="186" t="s">
        <v>1462</v>
      </c>
      <c r="H15" s="145" t="e">
        <f>1-EXP(LN(1-H14)+1.96*SQRT(8/(3*(Results!E3-2))))</f>
        <v>#DIV/0!</v>
      </c>
      <c r="I15" s="45"/>
      <c r="J15" s="186" t="s">
        <v>1462</v>
      </c>
      <c r="K15" s="145" t="e">
        <f>1-EXP(LN(1-K14)+1.96*SQRT(8/(3*(Results!E3-2))))</f>
        <v>#DIV/0!</v>
      </c>
      <c r="L15" s="45"/>
      <c r="M15" s="186" t="s">
        <v>1462</v>
      </c>
      <c r="N15" s="145" t="e">
        <f>1-EXP(LN(1-N14)+1.96*SQRT(8/(3*(Results!E3-2))))</f>
        <v>#DIV/0!</v>
      </c>
      <c r="O15" s="45"/>
      <c r="P15" s="186" t="s">
        <v>1462</v>
      </c>
      <c r="Q15" s="145" t="e">
        <f>1-EXP(LN(1-Q14)+1.96*SQRT(8/(3*(Results!E3-2))))</f>
        <v>#DIV/0!</v>
      </c>
    </row>
    <row r="16" spans="1:18">
      <c r="A16" s="39" t="s">
        <v>45</v>
      </c>
      <c r="B16" s="40" t="e">
        <f>CORREL(DT!N4:N1004,DT!P4:P1004)</f>
        <v>#DIV/0!</v>
      </c>
      <c r="D16" s="187"/>
      <c r="E16" s="145" t="e">
        <f>1-EXP(LN(1-E14)-1.96*SQRT(8/(3*(Results!E3-2))))</f>
        <v>#DIV/0!</v>
      </c>
      <c r="G16" s="187"/>
      <c r="H16" s="145" t="e">
        <f>1-EXP(LN(1-H14)-1.96*SQRT(8/(3*(Results!E3-2))))</f>
        <v>#DIV/0!</v>
      </c>
      <c r="J16" s="187"/>
      <c r="K16" s="145" t="e">
        <f>1-EXP(LN(1-K14)-1.96*SQRT(8/(3*(Results!E3-2))))</f>
        <v>#DIV/0!</v>
      </c>
      <c r="M16" s="187"/>
      <c r="N16" s="145" t="e">
        <f>1-EXP(LN(1-N14)-1.96*SQRT(8/(3*(Results!E3-2))))</f>
        <v>#DIV/0!</v>
      </c>
      <c r="P16" s="187"/>
      <c r="Q16" s="145" t="e">
        <f>1-EXP(LN(1-Q14)-1.96*SQRT(8/(3*(Results!E3-2))))</f>
        <v>#DIV/0!</v>
      </c>
    </row>
    <row r="17" spans="1:18">
      <c r="A17" s="39" t="s">
        <v>46</v>
      </c>
      <c r="B17" s="40" t="e">
        <f>CORREL(DT!N4:N1004,DT!X4:X1004)</f>
        <v>#DIV/0!</v>
      </c>
    </row>
    <row r="18" spans="1:18">
      <c r="A18" s="39" t="s">
        <v>47</v>
      </c>
      <c r="B18" s="40" t="e">
        <f>CORREL(DT!N4:N1004,DT!Y4:Y1004)</f>
        <v>#DIV/0!</v>
      </c>
    </row>
    <row r="19" spans="1:18">
      <c r="A19" s="39" t="s">
        <v>48</v>
      </c>
      <c r="B19" s="40" t="e">
        <f>CORREL(DT!P4:P1004,DT!X4:X1004)</f>
        <v>#DIV/0!</v>
      </c>
    </row>
    <row r="20" spans="1:18">
      <c r="A20" s="39" t="s">
        <v>116</v>
      </c>
      <c r="B20" s="40" t="e">
        <f>CORREL(DT!P4:P1004,DT!Y4:Y1004)</f>
        <v>#DIV/0!</v>
      </c>
    </row>
    <row r="21" spans="1:18">
      <c r="A21" s="39" t="s">
        <v>35</v>
      </c>
      <c r="B21" s="40">
        <f>CORREL(DT!X4:X1004,DT!Y4:Y1004)</f>
        <v>0.99999999999999978</v>
      </c>
    </row>
    <row r="22" spans="1:18">
      <c r="A22" s="41" t="s">
        <v>826</v>
      </c>
      <c r="B22" s="40" t="e">
        <f>AVERAGE(B7:B21)</f>
        <v>#DIV/0!</v>
      </c>
    </row>
    <row r="23" spans="1:18">
      <c r="A23" s="56" t="s">
        <v>4</v>
      </c>
      <c r="B23" s="57" t="e">
        <f>(6*B22)/(1+(5*B22))</f>
        <v>#DIV/0!</v>
      </c>
    </row>
    <row r="24" spans="1:18">
      <c r="A24" s="186" t="s">
        <v>1462</v>
      </c>
      <c r="B24" s="145" t="e">
        <f>1-EXP(LN(1-B23)+1.96*SQRT(12/(5*(Results!E3-2))))</f>
        <v>#DIV/0!</v>
      </c>
    </row>
    <row r="25" spans="1:18" s="141" customFormat="1">
      <c r="A25" s="187"/>
      <c r="B25" s="145" t="e">
        <f>1-EXP(LN(1-B23)-1.96*SQRT(12/(5*(Results!E3-2))))</f>
        <v>#DIV/0!</v>
      </c>
    </row>
    <row r="26" spans="1:18">
      <c r="A26" s="45"/>
      <c r="B26" s="45"/>
    </row>
    <row r="27" spans="1:18" ht="66.599999999999994" customHeight="1">
      <c r="A27" s="183" t="s">
        <v>1279</v>
      </c>
      <c r="B27" s="184"/>
      <c r="C27" s="184"/>
      <c r="D27" s="184"/>
      <c r="E27" s="184"/>
      <c r="F27" s="184"/>
      <c r="G27" s="184"/>
      <c r="H27" s="184"/>
      <c r="I27" s="184"/>
      <c r="J27" s="184"/>
      <c r="K27" s="184"/>
      <c r="L27" s="184"/>
      <c r="M27" s="184"/>
      <c r="N27" s="184"/>
      <c r="O27" s="184"/>
      <c r="P27" s="184"/>
      <c r="Q27" s="184"/>
      <c r="R27" s="184"/>
    </row>
    <row r="29" spans="1:18">
      <c r="A29" s="185" t="str">
        <f>VLOOKUP(Read_First!B5,Items!A1:BI50,54,FALSE)</f>
        <v>Attractiveness</v>
      </c>
      <c r="B29" s="185"/>
      <c r="C29" s="45"/>
      <c r="D29" s="185" t="str">
        <f>VLOOKUP(Read_First!B5,Items!A1:BI50,55,FALSE)</f>
        <v>Perspicuity</v>
      </c>
      <c r="E29" s="185"/>
      <c r="F29" s="45"/>
      <c r="G29" s="185" t="str">
        <f>VLOOKUP(Read_First!B5,Items!A1:BI50,56,FALSE)</f>
        <v>Efficiency</v>
      </c>
      <c r="H29" s="185"/>
      <c r="I29" s="45"/>
      <c r="J29" s="185" t="str">
        <f>VLOOKUP(Read_First!B5,Items!A1:BI50,57,FALSE)</f>
        <v>Dependability</v>
      </c>
      <c r="K29" s="185"/>
      <c r="L29" s="45"/>
      <c r="M29" s="185" t="str">
        <f>VLOOKUP(Read_First!B5,Items!A1:BI5,58,FALSE)</f>
        <v>Stimulation</v>
      </c>
      <c r="N29" s="185"/>
      <c r="O29" s="45"/>
      <c r="P29" s="185" t="str">
        <f>VLOOKUP(Read_First!B5,Items!A1:BI55,59,FALSE)</f>
        <v>Novelty</v>
      </c>
      <c r="Q29" s="185"/>
    </row>
    <row r="30" spans="1:18">
      <c r="A30" s="52" t="s">
        <v>1277</v>
      </c>
      <c r="B30" s="52">
        <f>1-((Results!C3+Results!C14+Results!C16+Results!C18+Results!C26+Results!C27)/(36*(Results!M3)))</f>
        <v>0.37499999999999889</v>
      </c>
      <c r="C30" s="45"/>
      <c r="D30" s="52" t="s">
        <v>1277</v>
      </c>
      <c r="E30" s="52" t="e">
        <f>1-((Results!C4+Results!C6+Results!C15+Results!C23)/(16*(Results!M4)))</f>
        <v>#DIV/0!</v>
      </c>
      <c r="F30" s="45"/>
      <c r="G30" s="52" t="s">
        <v>1277</v>
      </c>
      <c r="H30" s="52" t="e">
        <f>1-((Results!C11+Results!C22+Results!C24+Results!C25)/(16*(Results!M5)))</f>
        <v>#DIV/0!</v>
      </c>
      <c r="I30" s="45"/>
      <c r="J30" s="52" t="s">
        <v>1277</v>
      </c>
      <c r="K30" s="52" t="e">
        <f>1-((Results!C10+Results!C13+Results!C19+Results!C21)/(16*(Results!M6)))</f>
        <v>#DIV/0!</v>
      </c>
      <c r="L30" s="45"/>
      <c r="M30" s="52" t="s">
        <v>1277</v>
      </c>
      <c r="N30" s="52" t="e">
        <f>1-((Results!C7+Results!C8+Results!C9+Results!C20)/(16*(Results!M7)))</f>
        <v>#DIV/0!</v>
      </c>
      <c r="O30" s="45"/>
      <c r="P30" s="52" t="s">
        <v>1277</v>
      </c>
      <c r="Q30" s="52" t="e">
        <f>1-((Results!C5+Results!C12+Results!C17+Results!C28)/(16*(Results!M8)))</f>
        <v>#DIV/0!</v>
      </c>
    </row>
    <row r="32" spans="1:18">
      <c r="A32" s="96" t="s">
        <v>0</v>
      </c>
      <c r="B32" s="69" t="s">
        <v>1274</v>
      </c>
      <c r="D32" s="96" t="s">
        <v>0</v>
      </c>
      <c r="E32" s="69" t="s">
        <v>1274</v>
      </c>
      <c r="G32" s="96" t="s">
        <v>0</v>
      </c>
      <c r="H32" s="69" t="s">
        <v>1274</v>
      </c>
      <c r="J32" s="96" t="s">
        <v>0</v>
      </c>
      <c r="K32" s="69" t="s">
        <v>1274</v>
      </c>
      <c r="M32" s="96" t="s">
        <v>0</v>
      </c>
      <c r="N32" s="69" t="s">
        <v>1274</v>
      </c>
      <c r="P32" s="92" t="s">
        <v>0</v>
      </c>
      <c r="Q32" s="95" t="s">
        <v>1274</v>
      </c>
    </row>
    <row r="33" spans="1:17">
      <c r="A33" s="39" t="s">
        <v>36</v>
      </c>
      <c r="B33" s="40">
        <f>COVAR(DT!A4:A1004,DT!L4:L1004)^2</f>
        <v>0</v>
      </c>
      <c r="D33" s="39" t="s">
        <v>5</v>
      </c>
      <c r="E33" s="40">
        <f>_xlfn.COVARIANCE.S(DT!B4:B1004,DT!D4:D1004)^2</f>
        <v>0</v>
      </c>
      <c r="G33" s="39" t="s">
        <v>11</v>
      </c>
      <c r="H33" s="40">
        <f>COVAR(DT!I4:I1004,DT!T4:T1004)^2</f>
        <v>0</v>
      </c>
      <c r="J33" s="39" t="s">
        <v>17</v>
      </c>
      <c r="K33" s="40">
        <f>COVAR(DT!H4:H1004,DT!K4:K1004)^2</f>
        <v>0</v>
      </c>
      <c r="M33" s="39" t="s">
        <v>24</v>
      </c>
      <c r="N33" s="40">
        <f>COVAR(DT!E4:E1004,DT!F4:F1004)^2</f>
        <v>0</v>
      </c>
      <c r="P33" s="39" t="s">
        <v>34</v>
      </c>
      <c r="Q33" s="40">
        <f>COVAR(DT!C4:C1004,DT!J4:J1004)^2</f>
        <v>0</v>
      </c>
    </row>
    <row r="34" spans="1:17">
      <c r="A34" s="39" t="s">
        <v>37</v>
      </c>
      <c r="B34" s="40">
        <f>COVAR(DT!A4:A1004,DT!N4:N1004)^2</f>
        <v>0</v>
      </c>
      <c r="D34" s="39" t="s">
        <v>6</v>
      </c>
      <c r="E34" s="40">
        <f>_xlfn.COVARIANCE.S(DT!B4:B1004,DT!M4:M1004)^2</f>
        <v>0</v>
      </c>
      <c r="G34" s="39" t="s">
        <v>12</v>
      </c>
      <c r="H34" s="40">
        <f>COVAR(DT!I4:I1004,DT!V4:V1004)^2</f>
        <v>0</v>
      </c>
      <c r="J34" s="39" t="s">
        <v>18</v>
      </c>
      <c r="K34" s="40">
        <f>COVAR(DT!H4:H1004,DT!Q4:Q1004)^2</f>
        <v>0</v>
      </c>
      <c r="M34" s="39" t="s">
        <v>25</v>
      </c>
      <c r="N34" s="40">
        <f>COVAR(DT!E4:E1004,DT!G4:G1004)^2</f>
        <v>0</v>
      </c>
      <c r="P34" s="39" t="s">
        <v>33</v>
      </c>
      <c r="Q34" s="40">
        <f>COVAR(DT!C4:C1004,DT!O4:O1004)^2</f>
        <v>0</v>
      </c>
    </row>
    <row r="35" spans="1:17">
      <c r="A35" s="39" t="s">
        <v>38</v>
      </c>
      <c r="B35" s="40">
        <f>COVAR(DT!A4:A1004,DT!P4:P1004)^2</f>
        <v>0</v>
      </c>
      <c r="D35" s="39" t="s">
        <v>7</v>
      </c>
      <c r="E35" s="40">
        <f>_xlfn.COVARIANCE.S(DT!B4:B1004,DT!U4:U1004)^2</f>
        <v>0</v>
      </c>
      <c r="G35" s="39" t="s">
        <v>13</v>
      </c>
      <c r="H35" s="40">
        <f>COVAR(DT!I4:I1004,DT!W4:W1004)^2</f>
        <v>0</v>
      </c>
      <c r="J35" s="39" t="s">
        <v>19</v>
      </c>
      <c r="K35" s="40">
        <f>COVAR(DT!H4:H1004,DT!S4:S1004)^2</f>
        <v>0</v>
      </c>
      <c r="M35" s="39" t="s">
        <v>26</v>
      </c>
      <c r="N35" s="40">
        <f>COVAR(DT!E4:E1004,DT!R4:R1004)^2</f>
        <v>0</v>
      </c>
      <c r="P35" s="39" t="s">
        <v>32</v>
      </c>
      <c r="Q35" s="40">
        <f>COVAR(DT!C4:C1004,DT!Z4:Z1004)^2</f>
        <v>0</v>
      </c>
    </row>
    <row r="36" spans="1:17">
      <c r="A36" s="39" t="s">
        <v>39</v>
      </c>
      <c r="B36" s="40">
        <f>COVAR(DT!A4:A1004,DT!X4:X1004)^2</f>
        <v>0</v>
      </c>
      <c r="D36" s="39" t="s">
        <v>8</v>
      </c>
      <c r="E36" s="40">
        <f>_xlfn.COVARIANCE.S(DT!D4:D1004,DT!M4:M1004)^2</f>
        <v>0</v>
      </c>
      <c r="G36" s="39" t="s">
        <v>14</v>
      </c>
      <c r="H36" s="40">
        <f>COVAR(DT!T4:T1004,DT!V4:V1004)^2</f>
        <v>0</v>
      </c>
      <c r="J36" s="39" t="s">
        <v>20</v>
      </c>
      <c r="K36" s="40">
        <f>COVAR(DT!K4:K1004,DT!Q4:Q1004)^2</f>
        <v>0</v>
      </c>
      <c r="M36" s="39" t="s">
        <v>27</v>
      </c>
      <c r="N36" s="40">
        <f>COVAR(DT!F4:F1004,DT!G4:G1004)^2</f>
        <v>0</v>
      </c>
      <c r="P36" s="39" t="s">
        <v>31</v>
      </c>
      <c r="Q36" s="40">
        <f>COVAR(DT!J4:J1004,DT!O4:O1004)^2</f>
        <v>0</v>
      </c>
    </row>
    <row r="37" spans="1:17">
      <c r="A37" s="39" t="s">
        <v>40</v>
      </c>
      <c r="B37" s="40">
        <f>COVAR(DT!A4:A1004,DT!Y4:Y1004)^2</f>
        <v>0</v>
      </c>
      <c r="D37" s="39" t="s">
        <v>9</v>
      </c>
      <c r="E37" s="40">
        <f>_xlfn.COVARIANCE.S(DT!D4:D1004,DT!U4:U1004)^2</f>
        <v>0</v>
      </c>
      <c r="G37" s="39" t="s">
        <v>15</v>
      </c>
      <c r="H37" s="40">
        <f>COVAR(DT!T4:T1004,DT!W4:W1004)^2</f>
        <v>0</v>
      </c>
      <c r="J37" s="39" t="s">
        <v>21</v>
      </c>
      <c r="K37" s="40">
        <f>COVAR(DT!K4:K1004,DT!S4:S1004)^2</f>
        <v>0</v>
      </c>
      <c r="M37" s="39" t="s">
        <v>28</v>
      </c>
      <c r="N37" s="40">
        <f>COVAR(DT!F4:F1004,DT!R4:R1004)^2</f>
        <v>0</v>
      </c>
      <c r="P37" s="39" t="s">
        <v>30</v>
      </c>
      <c r="Q37" s="40">
        <f>COVAR(DT!J4:J1004,DT!Z4:Z1004)^2</f>
        <v>0</v>
      </c>
    </row>
    <row r="38" spans="1:17">
      <c r="A38" s="39" t="s">
        <v>41</v>
      </c>
      <c r="B38" s="40">
        <f>COVAR(DT!L4:L1004,DT!N4:N1004)^2</f>
        <v>0</v>
      </c>
      <c r="D38" s="39" t="s">
        <v>10</v>
      </c>
      <c r="E38" s="40">
        <f>_xlfn.COVARIANCE.S(DT!M4:M1004,DT!U4:U1004)^2</f>
        <v>0</v>
      </c>
      <c r="G38" s="39" t="s">
        <v>16</v>
      </c>
      <c r="H38" s="40">
        <f>COVAR(DT!V4:V1004,DT!W4:W1004)^2</f>
        <v>0</v>
      </c>
      <c r="J38" s="39" t="s">
        <v>22</v>
      </c>
      <c r="K38" s="40">
        <f>COVAR(DT!Q4:Q1004,DT!S4:S1004)^2</f>
        <v>0</v>
      </c>
      <c r="M38" s="39" t="s">
        <v>23</v>
      </c>
      <c r="N38" s="40">
        <f>COVAR(DT!G4:G1004,DT!R4:R1004)^2</f>
        <v>0</v>
      </c>
      <c r="P38" s="39" t="s">
        <v>29</v>
      </c>
      <c r="Q38" s="40">
        <f>COVAR(DT!O4:O1004,DT!Z4:Z1004)^2</f>
        <v>0</v>
      </c>
    </row>
    <row r="39" spans="1:17">
      <c r="A39" s="39" t="s">
        <v>42</v>
      </c>
      <c r="B39" s="40">
        <f>COVAR(DT!L4:L1004,DT!P4:P1004)^2</f>
        <v>0</v>
      </c>
      <c r="D39" s="39" t="s">
        <v>1275</v>
      </c>
      <c r="E39" s="53">
        <f>SUM(E33:E38)</f>
        <v>0</v>
      </c>
      <c r="G39" s="39" t="s">
        <v>1275</v>
      </c>
      <c r="H39" s="53">
        <f>SUM(H33:H38)</f>
        <v>0</v>
      </c>
      <c r="J39" s="39" t="s">
        <v>1275</v>
      </c>
      <c r="K39" s="53">
        <f>SUM(K33:K38)</f>
        <v>0</v>
      </c>
      <c r="M39" s="39" t="s">
        <v>1275</v>
      </c>
      <c r="N39" s="53">
        <f>SUM(N33:N38)</f>
        <v>0</v>
      </c>
      <c r="P39" s="39" t="s">
        <v>1275</v>
      </c>
      <c r="Q39" s="53">
        <f>SUM(Q33:Q38)</f>
        <v>0</v>
      </c>
    </row>
    <row r="40" spans="1:17">
      <c r="A40" s="39" t="s">
        <v>43</v>
      </c>
      <c r="B40" s="40">
        <f>COVAR(DT!L4:L1004,DT!X4:X1004)^2</f>
        <v>0</v>
      </c>
      <c r="D40" s="41" t="s">
        <v>1276</v>
      </c>
      <c r="E40" s="51" t="e">
        <f>E30+SQRT((4/3)*2*E39)/(16*(Results!M4))</f>
        <v>#DIV/0!</v>
      </c>
      <c r="G40" s="41" t="s">
        <v>1276</v>
      </c>
      <c r="H40" s="51" t="e">
        <f>H30+SQRT((4/3)*2*H39)/(16*(Results!M5))</f>
        <v>#DIV/0!</v>
      </c>
      <c r="J40" s="41" t="s">
        <v>1276</v>
      </c>
      <c r="K40" s="51" t="e">
        <f>K30+SQRT((4/3)*2*K39)/(16*(Results!M6))</f>
        <v>#DIV/0!</v>
      </c>
      <c r="M40" s="41" t="s">
        <v>1276</v>
      </c>
      <c r="N40" s="51" t="e">
        <f>N30+SQRT((4/3)*2*N39)/(16*(Results!M7))</f>
        <v>#DIV/0!</v>
      </c>
      <c r="P40" s="41" t="s">
        <v>1276</v>
      </c>
      <c r="Q40" s="51" t="e">
        <f>Q30+SQRT((4/3)*2*Q39)/(16*(Results!M8))</f>
        <v>#DIV/0!</v>
      </c>
    </row>
    <row r="41" spans="1:17">
      <c r="A41" s="39" t="s">
        <v>44</v>
      </c>
      <c r="B41" s="40">
        <f>COVAR(DT!L4:L1004,DT!Y4:Y1004)^2</f>
        <v>0</v>
      </c>
    </row>
    <row r="42" spans="1:17">
      <c r="A42" s="39" t="s">
        <v>45</v>
      </c>
      <c r="B42" s="40">
        <f>COVAR(DT!N4:N1004,DT!P4:P1004)^2</f>
        <v>0</v>
      </c>
    </row>
    <row r="43" spans="1:17">
      <c r="A43" s="39" t="s">
        <v>46</v>
      </c>
      <c r="B43" s="40">
        <f>COVAR(DT!N4:N1004,DT!X4:X1004)^2</f>
        <v>0</v>
      </c>
    </row>
    <row r="44" spans="1:17">
      <c r="A44" s="39" t="s">
        <v>47</v>
      </c>
      <c r="B44" s="40">
        <f>COVAR(DT!N4:N1004,DT!Y4:Y1004)^2</f>
        <v>0</v>
      </c>
    </row>
    <row r="45" spans="1:17">
      <c r="A45" s="39" t="s">
        <v>48</v>
      </c>
      <c r="B45" s="40">
        <f>COVAR(DT!P4:P1004,DT!X4:X1004)^2</f>
        <v>0</v>
      </c>
    </row>
    <row r="46" spans="1:17">
      <c r="A46" s="39" t="s">
        <v>116</v>
      </c>
      <c r="B46" s="40">
        <f>COVAR(DT!P4:P1004,DT!Y4:Y1004)^2</f>
        <v>0</v>
      </c>
    </row>
    <row r="47" spans="1:17">
      <c r="A47" s="39" t="s">
        <v>35</v>
      </c>
      <c r="B47" s="40">
        <f>COVAR(DT!X4:X1004,DT!Y4:Y1004)^2</f>
        <v>0.44444444444444442</v>
      </c>
    </row>
    <row r="48" spans="1:17">
      <c r="A48" s="39" t="s">
        <v>1275</v>
      </c>
      <c r="B48" s="53">
        <f>SUM(B33:B47)</f>
        <v>0.44444444444444442</v>
      </c>
    </row>
    <row r="49" spans="1:2">
      <c r="A49" s="41" t="s">
        <v>1276</v>
      </c>
      <c r="B49" s="51">
        <f>B30+SQRT((6/5)*2*B48)/(36*(Results!M3))</f>
        <v>0.56864916731036996</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82" t="s">
        <v>2211</v>
      </c>
      <c r="B1" s="188"/>
      <c r="C1" s="188"/>
      <c r="D1" s="188"/>
      <c r="E1" s="188"/>
      <c r="F1" s="188"/>
      <c r="G1" s="188"/>
      <c r="H1" s="188"/>
    </row>
    <row r="2" spans="1:8">
      <c r="A2" s="123" t="s">
        <v>110</v>
      </c>
      <c r="B2" s="124" t="s">
        <v>106</v>
      </c>
      <c r="C2" s="124" t="s">
        <v>120</v>
      </c>
      <c r="D2" s="124" t="s">
        <v>121</v>
      </c>
    </row>
    <row r="3" spans="1:8">
      <c r="A3" s="17" t="str">
        <f>VLOOKUP(Read_First!B5,Items!A1:BI50,54,FALSE)</f>
        <v>Attractiveness</v>
      </c>
      <c r="B3" s="62">
        <f>Results!L3</f>
        <v>1.3888888888888891</v>
      </c>
      <c r="C3" s="16" t="str">
        <f>IF(B3&gt;E37,"Excellent",IF(B3&gt;D37,"Good",IF(B3&gt;C37,"Above average",IF(B3&gt;B37,"Below average","Bad"))))</f>
        <v>Above average</v>
      </c>
      <c r="D3" s="15" t="str">
        <f t="shared" ref="D3:D8" si="0">IF(B3&gt;E37,"In the range of the 10% best results",IF(B3&gt;D37,"10% of results better, 75% of results worse",IF(B3&gt;C37,"25% of results better, 50% of results worse",IF(B3&gt;B37,"50% of results better, 25% of results worse","In the range of the 25% worst results"))))</f>
        <v>25% of results better, 50% of results worse</v>
      </c>
    </row>
    <row r="4" spans="1:8">
      <c r="A4" s="17" t="str">
        <f>VLOOKUP(Read_First!B5,Items!A1:BI50,55,FALSE)</f>
        <v>Perspicuity</v>
      </c>
      <c r="B4" s="62">
        <f>Results!L4</f>
        <v>2</v>
      </c>
      <c r="C4" s="16" t="str">
        <f>IF(B4&gt;E38,"Excellent",IF(B4&gt;D38,"Good",IF(B4&gt;C38,"Above Average",IF(B4&gt;B38,"Below Average","Bad"))))</f>
        <v>Good</v>
      </c>
      <c r="D4" s="15" t="str">
        <f t="shared" si="0"/>
        <v>10% of results better, 75% of results worse</v>
      </c>
    </row>
    <row r="5" spans="1:8">
      <c r="A5" s="17" t="str">
        <f>VLOOKUP(Read_First!B5,Items!A1:BI50,56,FALSE)</f>
        <v>Efficiency</v>
      </c>
      <c r="B5" s="62">
        <f>Results!L5</f>
        <v>2.25</v>
      </c>
      <c r="C5" s="16" t="str">
        <f>IF(B5&gt;E39,"Excellent",IF(B5&gt;D39,"Good",IF(B5&gt;C39,"Above Average",IF(B5&gt;B39,"Below Average","Bad"))))</f>
        <v>Excellent</v>
      </c>
      <c r="D5" s="15" t="str">
        <f t="shared" si="0"/>
        <v>In the range of the 10% best results</v>
      </c>
    </row>
    <row r="6" spans="1:8">
      <c r="A6" s="18" t="str">
        <f>VLOOKUP(Read_First!B5,Items!A1:BI50,57,FALSE)</f>
        <v>Dependability</v>
      </c>
      <c r="B6" s="62">
        <f>Results!L6</f>
        <v>2.25</v>
      </c>
      <c r="C6" s="16" t="str">
        <f>IF(B6&gt;E40,"Excellent",IF(B6&gt;D40,"Good",IF(B6&gt;C40,"Above Average",IF(B6&gt;B40,"Below Average","Bad"))))</f>
        <v>Excellent</v>
      </c>
      <c r="D6" s="15" t="str">
        <f t="shared" si="0"/>
        <v>In the range of the 10% best results</v>
      </c>
    </row>
    <row r="7" spans="1:8">
      <c r="A7" s="18" t="str">
        <f>VLOOKUP(Read_First!B5,Items!A1:BI50,58,FALSE)</f>
        <v>Stimulation</v>
      </c>
      <c r="B7" s="62">
        <f>Results!L7</f>
        <v>-0.75</v>
      </c>
      <c r="C7" s="16" t="str">
        <f>IF(B7&gt;E41,"Excellent",IF(B7&gt;D41,"Good",IF(B7&gt;C41,"Above Average",IF(B7&gt;B41,"Below Average","Bad"))))</f>
        <v>Bad</v>
      </c>
      <c r="D7" s="15" t="str">
        <f t="shared" si="0"/>
        <v>In the range of the 25% worst results</v>
      </c>
    </row>
    <row r="8" spans="1:8">
      <c r="A8" s="17" t="str">
        <f>VLOOKUP(Read_First!B5,Items!A1:BI50,59,FALSE)</f>
        <v>Novelty</v>
      </c>
      <c r="B8" s="62">
        <f>Results!L8</f>
        <v>-2.5</v>
      </c>
      <c r="C8" s="16" t="str">
        <f>IF(B8&gt;E42,"Excellent",IF(B8&gt;D42,"Good",IF(B8&gt;C42,"Above Average",IF(B8&gt;B42,"Below Average","Bad"))))</f>
        <v>Bad</v>
      </c>
      <c r="D8" s="15" t="str">
        <f t="shared" si="0"/>
        <v>In the range of the 25% worst results</v>
      </c>
    </row>
    <row r="26" spans="1:8">
      <c r="A26" s="189" t="s">
        <v>822</v>
      </c>
      <c r="B26" s="189"/>
      <c r="C26" s="189"/>
      <c r="D26" s="189"/>
      <c r="E26" s="189"/>
      <c r="F26" s="189"/>
      <c r="G26" s="189"/>
      <c r="H26" s="189"/>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f>B37</f>
        <v>0.69</v>
      </c>
      <c r="D28" s="36">
        <f>C37-B37</f>
        <v>0.49</v>
      </c>
      <c r="E28" s="36">
        <f>D37-C37</f>
        <v>0.40000000000000013</v>
      </c>
      <c r="F28" s="36">
        <f>E37-D37</f>
        <v>0.26</v>
      </c>
      <c r="G28" s="36">
        <f>2.5-E37</f>
        <v>0.65999999999999992</v>
      </c>
      <c r="H28" s="63">
        <f>Results!L3</f>
        <v>1.3888888888888891</v>
      </c>
    </row>
    <row r="29" spans="1:8">
      <c r="A29" s="17" t="str">
        <f>VLOOKUP(Read_First!B5,Items!A1:BI50,55,FALSE)</f>
        <v>Perspicuity</v>
      </c>
      <c r="B29" s="35">
        <v>-1</v>
      </c>
      <c r="C29" s="150">
        <f t="shared" ref="C29:C33" si="1">B38</f>
        <v>0.72</v>
      </c>
      <c r="D29" s="150">
        <f t="shared" ref="D29:D33" si="2">C38-B38</f>
        <v>0.48</v>
      </c>
      <c r="E29" s="150">
        <f t="shared" ref="E29:E33" si="3">D38-C38</f>
        <v>0.53</v>
      </c>
      <c r="F29" s="150">
        <f t="shared" ref="F29:F33" si="4">E38-D38</f>
        <v>0.27</v>
      </c>
      <c r="G29" s="150">
        <f t="shared" ref="G29:G33" si="5">2.5-E38</f>
        <v>0.5</v>
      </c>
      <c r="H29" s="63">
        <f>Results!L4</f>
        <v>2</v>
      </c>
    </row>
    <row r="30" spans="1:8">
      <c r="A30" s="17" t="str">
        <f>VLOOKUP(Read_First!B5,Items!A1:BI50,56,FALSE)</f>
        <v>Efficiency</v>
      </c>
      <c r="B30" s="35">
        <v>-1</v>
      </c>
      <c r="C30" s="150">
        <f t="shared" si="1"/>
        <v>0.6</v>
      </c>
      <c r="D30" s="150">
        <f t="shared" si="2"/>
        <v>0.45000000000000007</v>
      </c>
      <c r="E30" s="150">
        <f t="shared" si="3"/>
        <v>0.44999999999999996</v>
      </c>
      <c r="F30" s="150">
        <f t="shared" si="4"/>
        <v>0.37999999999999989</v>
      </c>
      <c r="G30" s="150">
        <f t="shared" si="5"/>
        <v>0.62000000000000011</v>
      </c>
      <c r="H30" s="63">
        <f>Results!L5</f>
        <v>2.25</v>
      </c>
    </row>
    <row r="31" spans="1:8">
      <c r="A31" s="18" t="str">
        <f>VLOOKUP(Read_First!B5,Items!A1:BI50,57,FALSE)</f>
        <v>Dependability</v>
      </c>
      <c r="B31" s="35">
        <v>-1</v>
      </c>
      <c r="C31" s="150">
        <f t="shared" si="1"/>
        <v>0.78</v>
      </c>
      <c r="D31" s="150">
        <f t="shared" si="2"/>
        <v>0.35999999999999988</v>
      </c>
      <c r="E31" s="150">
        <f t="shared" si="3"/>
        <v>0.34000000000000008</v>
      </c>
      <c r="F31" s="150">
        <f t="shared" si="4"/>
        <v>0.21999999999999997</v>
      </c>
      <c r="G31" s="150">
        <f t="shared" si="5"/>
        <v>0.8</v>
      </c>
      <c r="H31" s="63">
        <f>Results!L6</f>
        <v>2.25</v>
      </c>
    </row>
    <row r="32" spans="1:8">
      <c r="A32" s="18" t="str">
        <f>VLOOKUP(Read_First!B5,Items!A1:BI50,58,FALSE)</f>
        <v>Stimulation</v>
      </c>
      <c r="B32" s="35">
        <v>-1</v>
      </c>
      <c r="C32" s="150">
        <f t="shared" si="1"/>
        <v>0.5</v>
      </c>
      <c r="D32" s="150">
        <f t="shared" si="2"/>
        <v>0.5</v>
      </c>
      <c r="E32" s="150">
        <f t="shared" si="3"/>
        <v>0.35000000000000009</v>
      </c>
      <c r="F32" s="150">
        <f t="shared" si="4"/>
        <v>0.34999999999999987</v>
      </c>
      <c r="G32" s="150">
        <f t="shared" si="5"/>
        <v>0.8</v>
      </c>
      <c r="H32" s="63">
        <f>Results!L7</f>
        <v>-0.75</v>
      </c>
    </row>
    <row r="33" spans="1:8">
      <c r="A33" s="17" t="str">
        <f>VLOOKUP(Read_First!B5,Items!A1:BI50,59,FALSE)</f>
        <v>Novelty</v>
      </c>
      <c r="B33" s="35">
        <v>-1</v>
      </c>
      <c r="C33" s="150">
        <f t="shared" si="1"/>
        <v>0.16</v>
      </c>
      <c r="D33" s="150">
        <f t="shared" si="2"/>
        <v>0.53999999999999992</v>
      </c>
      <c r="E33" s="150">
        <f t="shared" si="3"/>
        <v>0.42000000000000015</v>
      </c>
      <c r="F33" s="150">
        <f t="shared" si="4"/>
        <v>0.48</v>
      </c>
      <c r="G33" s="150">
        <f t="shared" si="5"/>
        <v>0.89999999999999991</v>
      </c>
      <c r="H33" s="63">
        <f>Results!L8</f>
        <v>-2.5</v>
      </c>
    </row>
    <row r="35" spans="1:8">
      <c r="A35" s="189" t="s">
        <v>2150</v>
      </c>
      <c r="B35" s="189"/>
      <c r="C35" s="189"/>
      <c r="D35" s="189"/>
      <c r="E35" s="189"/>
    </row>
    <row r="36" spans="1:8">
      <c r="A36" s="151" t="s">
        <v>110</v>
      </c>
      <c r="B36" s="152">
        <v>0.25</v>
      </c>
      <c r="C36" s="152">
        <v>0.5</v>
      </c>
      <c r="D36" s="152">
        <v>0.75</v>
      </c>
      <c r="E36" s="152">
        <v>0.9</v>
      </c>
    </row>
    <row r="37" spans="1:8">
      <c r="A37" s="151" t="str">
        <f>VLOOKUP(Read_First!B5,Items!A1:BI50,54,FALSE)</f>
        <v>Attractiveness</v>
      </c>
      <c r="B37">
        <v>0.69</v>
      </c>
      <c r="C37">
        <v>1.18</v>
      </c>
      <c r="D37">
        <v>1.58</v>
      </c>
      <c r="E37">
        <v>1.84</v>
      </c>
    </row>
    <row r="38" spans="1:8">
      <c r="A38" s="151" t="str">
        <f>VLOOKUP(Read_First!B5,Items!A1:BI50,55,FALSE)</f>
        <v>Perspicuity</v>
      </c>
      <c r="B38">
        <v>0.72</v>
      </c>
      <c r="C38">
        <v>1.2</v>
      </c>
      <c r="D38">
        <v>1.73</v>
      </c>
      <c r="E38">
        <v>2</v>
      </c>
    </row>
    <row r="39" spans="1:8">
      <c r="A39" s="151" t="str">
        <f>VLOOKUP(Read_First!B5,Items!A1:BI50,56,FALSE)</f>
        <v>Efficiency</v>
      </c>
      <c r="B39">
        <v>0.6</v>
      </c>
      <c r="C39">
        <v>1.05</v>
      </c>
      <c r="D39">
        <v>1.5</v>
      </c>
      <c r="E39">
        <v>1.88</v>
      </c>
    </row>
    <row r="40" spans="1:8">
      <c r="A40" s="151" t="str">
        <f>VLOOKUP(Read_First!B5,Items!A1:BI50,57,FALSE)</f>
        <v>Dependability</v>
      </c>
      <c r="B40">
        <v>0.78</v>
      </c>
      <c r="C40">
        <v>1.1399999999999999</v>
      </c>
      <c r="D40">
        <v>1.48</v>
      </c>
      <c r="E40">
        <v>1.7</v>
      </c>
    </row>
    <row r="41" spans="1:8">
      <c r="A41" s="151" t="str">
        <f>VLOOKUP(Read_First!B5,Items!A1:BI50,58,FALSE)</f>
        <v>Stimulation</v>
      </c>
      <c r="B41">
        <v>0.5</v>
      </c>
      <c r="C41">
        <v>1</v>
      </c>
      <c r="D41">
        <v>1.35</v>
      </c>
      <c r="E41">
        <v>1.7</v>
      </c>
    </row>
    <row r="42" spans="1:8">
      <c r="A42" s="151"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56" customWidth="1"/>
  </cols>
  <sheetData>
    <row r="1" spans="1:37" ht="170.65" customHeight="1">
      <c r="A1" s="190" t="s">
        <v>2214</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37"/>
      <c r="AH1" s="38"/>
      <c r="AI1" s="1" t="s">
        <v>825</v>
      </c>
    </row>
    <row r="2" spans="1:37">
      <c r="A2" s="169" t="s">
        <v>0</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C2" s="165" t="s">
        <v>823</v>
      </c>
      <c r="AD2" s="165"/>
      <c r="AE2" s="165"/>
      <c r="AF2" s="165"/>
      <c r="AG2" s="165"/>
      <c r="AH2" s="165"/>
      <c r="AI2" s="165"/>
      <c r="AK2" s="155" t="s">
        <v>2212</v>
      </c>
    </row>
    <row r="3" spans="1:37">
      <c r="A3" s="106">
        <v>1</v>
      </c>
      <c r="B3" s="106">
        <v>2</v>
      </c>
      <c r="C3" s="106">
        <v>3</v>
      </c>
      <c r="D3" s="107">
        <v>4</v>
      </c>
      <c r="E3" s="108">
        <v>5</v>
      </c>
      <c r="F3" s="106">
        <v>6</v>
      </c>
      <c r="G3" s="107">
        <v>7</v>
      </c>
      <c r="H3" s="108">
        <v>8</v>
      </c>
      <c r="I3" s="106">
        <v>9</v>
      </c>
      <c r="J3" s="106">
        <v>10</v>
      </c>
      <c r="K3" s="106">
        <v>11</v>
      </c>
      <c r="L3" s="106">
        <v>12</v>
      </c>
      <c r="M3" s="107">
        <v>13</v>
      </c>
      <c r="N3" s="108">
        <v>14</v>
      </c>
      <c r="O3" s="107">
        <v>15</v>
      </c>
      <c r="P3" s="108">
        <v>16</v>
      </c>
      <c r="Q3" s="106">
        <v>17</v>
      </c>
      <c r="R3" s="106">
        <v>18</v>
      </c>
      <c r="S3" s="106">
        <v>19</v>
      </c>
      <c r="T3" s="106">
        <v>20</v>
      </c>
      <c r="U3" s="106">
        <v>21</v>
      </c>
      <c r="V3" s="106">
        <v>22</v>
      </c>
      <c r="W3" s="106">
        <v>23</v>
      </c>
      <c r="X3" s="107">
        <v>24</v>
      </c>
      <c r="Y3" s="108">
        <v>25</v>
      </c>
      <c r="Z3" s="109">
        <v>26</v>
      </c>
      <c r="AA3" s="66"/>
      <c r="AC3" s="111" t="str">
        <f>VLOOKUP(Read_First!B5,Items!A1:BI50,54,FALSE)</f>
        <v>Attractiveness</v>
      </c>
      <c r="AD3" s="112" t="str">
        <f>VLOOKUP(Read_First!B5,Items!A1:BI50,55,FALSE)</f>
        <v>Perspicuity</v>
      </c>
      <c r="AE3" s="112" t="str">
        <f>VLOOKUP(Read_First!B5,Items!A1:BI50,56,FALSE)</f>
        <v>Efficiency</v>
      </c>
      <c r="AF3" s="113" t="str">
        <f>VLOOKUP(Read_First!B5,Items!A1:BI50,57,FALSE)</f>
        <v>Dependability</v>
      </c>
      <c r="AG3" s="113" t="str">
        <f>VLOOKUP(Read_First!B5,Items!A1:BI50,58,FALSE)</f>
        <v>Stimulation</v>
      </c>
      <c r="AH3" s="113" t="str">
        <f>VLOOKUP(Read_First!B5,Items!A1:BI50,59,FALSE)</f>
        <v>Novelty</v>
      </c>
      <c r="AI3" s="125" t="s">
        <v>824</v>
      </c>
      <c r="AK3" s="155" t="s">
        <v>2213</v>
      </c>
    </row>
    <row r="4" spans="1:37">
      <c r="A4" s="67">
        <f>IF(Data!A4&gt;0,Data!A4-4,"")</f>
        <v>1</v>
      </c>
      <c r="B4" s="67">
        <f>IF(Data!B4&gt;0,Data!B4-4,"")</f>
        <v>1</v>
      </c>
      <c r="C4" s="67">
        <f>IF(Data!C4&gt;0,4-Data!C4,"")</f>
        <v>-1</v>
      </c>
      <c r="D4" s="67">
        <f>IF(Data!D4&gt;0,4-Data!D4,"")</f>
        <v>3</v>
      </c>
      <c r="E4" s="67">
        <f>IF(Data!E4&gt;0,4-Data!E4,"")</f>
        <v>0</v>
      </c>
      <c r="F4" s="67">
        <f>IF(Data!F4&gt;0,Data!F4-4,"")</f>
        <v>-1</v>
      </c>
      <c r="G4" s="67">
        <f>IF(Data!G4&gt;0,Data!G4-4,"")</f>
        <v>-2</v>
      </c>
      <c r="H4" s="67">
        <f>IF(Data!H4&gt;0,Data!H4-4,"")</f>
        <v>3</v>
      </c>
      <c r="I4" s="67">
        <f>IF(Data!I4&gt;0,4-Data!I4,"")</f>
        <v>3</v>
      </c>
      <c r="J4" s="67">
        <f>IF(Data!J4&gt;0,4-Data!J4,"")</f>
        <v>-3</v>
      </c>
      <c r="K4" s="67">
        <f>IF(Data!K4&gt;0,Data!K4-4,"")</f>
        <v>2</v>
      </c>
      <c r="L4" s="67">
        <f>IF(Data!L4&gt;0,4-Data!L4,"")</f>
        <v>2</v>
      </c>
      <c r="M4" s="67">
        <f>IF(Data!M4&gt;0,Data!M4-4,"")</f>
        <v>2</v>
      </c>
      <c r="N4" s="67">
        <f>IF(Data!N4&gt;0,Data!N4-4,"")</f>
        <v>1</v>
      </c>
      <c r="O4" s="67">
        <f>IF(Data!O4&gt;0,Data!O4-4,"")</f>
        <v>-3</v>
      </c>
      <c r="P4" s="67">
        <f>IF(Data!P4&gt;0,Data!P4-4,"")</f>
        <v>1</v>
      </c>
      <c r="Q4" s="67">
        <f>IF(Data!Q4&gt;0,4-Data!Q4,"")</f>
        <v>3</v>
      </c>
      <c r="R4" s="1">
        <f>IF(Data!R4&gt;0,4-Data!R4,"")</f>
        <v>0</v>
      </c>
      <c r="S4" s="67">
        <f>IF(Data!S4&gt;0,4-Data!S4,"")</f>
        <v>1</v>
      </c>
      <c r="T4" s="67">
        <f>IF(Data!T4&gt;0,Data!T4-4,"")</f>
        <v>2</v>
      </c>
      <c r="U4" s="67">
        <f>IF(Data!U4&gt;0,4-Data!U4,"")</f>
        <v>2</v>
      </c>
      <c r="V4" s="67">
        <f>IF(Data!V4&gt;0,Data!V4-4,"")</f>
        <v>2</v>
      </c>
      <c r="W4" s="67">
        <f>IF(Data!W4&gt;0,4-Data!W4,"")</f>
        <v>2</v>
      </c>
      <c r="X4" s="67">
        <f>IF(Data!X4&gt;0,4-Data!X4,"")</f>
        <v>0</v>
      </c>
      <c r="Y4" s="67">
        <f>IF(Data!Y4&gt;0,4-Data!Y4,"")</f>
        <v>2</v>
      </c>
      <c r="Z4" s="67">
        <f>IF(Data!Z4&gt;0,Data!Z4-4,"")</f>
        <v>-3</v>
      </c>
      <c r="AC4" s="72" t="str">
        <f>IF((MAX(A4,L4,N4,P4,X4,Y4)-MIN(A4,L4,N4,P4,X4,Y4))&gt;3,1,"")</f>
        <v/>
      </c>
      <c r="AD4" s="72" t="str">
        <f t="shared" ref="AD4" si="0">IF((MAX(B4,D4,M4,U4)-MIN(B4,D4,M4,U4))&gt;3,1,"")</f>
        <v/>
      </c>
      <c r="AE4" s="72" t="str">
        <f t="shared" ref="AE4" si="1">IF((MAX(I4,T4,V4,W4)-MIN(I4,T4,V4,W4))&gt;3,1,"")</f>
        <v/>
      </c>
      <c r="AF4" s="72" t="str">
        <f t="shared" ref="AF4" si="2">IF((MAX(H4,K4,Q4,S4)-MIN(H4,K4,Q4,S4))&gt;3,1,"")</f>
        <v/>
      </c>
      <c r="AG4" s="72" t="str">
        <f>IF((MAX(E4,F4,G4,R4)-MIN(E4,F4,G4,R4))&gt;3,1,"")</f>
        <v/>
      </c>
      <c r="AH4" s="72" t="str">
        <f t="shared" ref="AH4" si="3">IF((MAX(C4,J4,O4,Z4)-MIN(C4,J4,O4,Z4))&gt;3,1,"")</f>
        <v/>
      </c>
      <c r="AI4" s="70">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5</v>
      </c>
    </row>
    <row r="5" spans="1:37">
      <c r="A5" s="1">
        <f>IF(Data!A5&gt;0,Data!A5-4,"")</f>
        <v>1</v>
      </c>
      <c r="B5" s="1">
        <f>IF(Data!B5&gt;0,Data!B5-4,"")</f>
        <v>1</v>
      </c>
      <c r="C5" s="1">
        <f>IF(Data!C5&gt;0,4-Data!C5,"")</f>
        <v>-1</v>
      </c>
      <c r="D5" s="1">
        <f>IF(Data!D5&gt;0,4-Data!D5,"")</f>
        <v>3</v>
      </c>
      <c r="E5" s="1">
        <f>IF(Data!E5&gt;0,4-Data!E5,"")</f>
        <v>0</v>
      </c>
      <c r="F5" s="1">
        <f>IF(Data!F5&gt;0,Data!F5-4,"")</f>
        <v>-1</v>
      </c>
      <c r="G5" s="1">
        <f>IF(Data!G5&gt;0,Data!G5-4,"")</f>
        <v>-2</v>
      </c>
      <c r="H5" s="1">
        <f>IF(Data!H5&gt;0,Data!H5-4,"")</f>
        <v>3</v>
      </c>
      <c r="I5" s="1">
        <f>IF(Data!I5&gt;0,4-Data!I5,"")</f>
        <v>3</v>
      </c>
      <c r="J5" s="1">
        <f>IF(Data!J5&gt;0,4-Data!J5,"")</f>
        <v>-3</v>
      </c>
      <c r="K5" s="1">
        <f>IF(Data!K5&gt;0,Data!K5-4,"")</f>
        <v>2</v>
      </c>
      <c r="L5" s="1">
        <f>IF(Data!L5&gt;0,4-Data!L5,"")</f>
        <v>2</v>
      </c>
      <c r="M5" s="1">
        <f>IF(Data!M5&gt;0,Data!M5-4,"")</f>
        <v>2</v>
      </c>
      <c r="N5" s="1">
        <f>IF(Data!N5&gt;0,Data!N5-4,"")</f>
        <v>1</v>
      </c>
      <c r="O5" s="1">
        <f>IF(Data!O5&gt;0,Data!O5-4,"")</f>
        <v>-3</v>
      </c>
      <c r="P5" s="1">
        <f>IF(Data!P5&gt;0,Data!P5-4,"")</f>
        <v>1</v>
      </c>
      <c r="Q5" s="1">
        <f>IF(Data!Q5&gt;0,4-Data!Q5,"")</f>
        <v>3</v>
      </c>
      <c r="R5" s="1">
        <f>IF(Data!R5&gt;0,4-Data!R5,"")</f>
        <v>0</v>
      </c>
      <c r="S5" s="1">
        <f>IF(Data!S5&gt;0,4-Data!S5,"")</f>
        <v>1</v>
      </c>
      <c r="T5" s="1">
        <f>IF(Data!T5&gt;0,Data!T5-4,"")</f>
        <v>2</v>
      </c>
      <c r="U5" s="1">
        <f>IF(Data!U5&gt;0,4-Data!U5,"")</f>
        <v>2</v>
      </c>
      <c r="V5" s="1">
        <f>IF(Data!V5&gt;0,Data!V5-4,"")</f>
        <v>2</v>
      </c>
      <c r="W5" s="1">
        <f>IF(Data!W5&gt;0,4-Data!W5,"")</f>
        <v>2</v>
      </c>
      <c r="X5" s="1">
        <f>IF(Data!X5&gt;0,4-Data!X5,"")</f>
        <v>0</v>
      </c>
      <c r="Y5" s="1">
        <f>IF(Data!Y5&gt;0,4-Data!Y5,"")</f>
        <v>2</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5</v>
      </c>
    </row>
    <row r="6" spans="1:37">
      <c r="A6" s="1">
        <f>IF(Data!A6&gt;0,Data!A6-4,"")</f>
        <v>1</v>
      </c>
      <c r="B6" s="1">
        <f>IF(Data!B6&gt;0,Data!B6-4,"")</f>
        <v>1</v>
      </c>
      <c r="C6" s="1">
        <f>IF(Data!C6&gt;0,4-Data!C6,"")</f>
        <v>-1</v>
      </c>
      <c r="D6" s="1">
        <f>IF(Data!D6&gt;0,4-Data!D6,"")</f>
        <v>3</v>
      </c>
      <c r="E6" s="1">
        <f>IF(Data!E6&gt;0,4-Data!E6,"")</f>
        <v>0</v>
      </c>
      <c r="F6" s="1">
        <f>IF(Data!F6&gt;0,Data!F6-4,"")</f>
        <v>-1</v>
      </c>
      <c r="G6" s="1">
        <f>IF(Data!G6&gt;0,Data!G6-4,"")</f>
        <v>-2</v>
      </c>
      <c r="H6" s="1">
        <f>IF(Data!H6&gt;0,Data!H6-4,"")</f>
        <v>3</v>
      </c>
      <c r="I6" s="1">
        <f>IF(Data!I6&gt;0,4-Data!I6,"")</f>
        <v>3</v>
      </c>
      <c r="J6" s="1">
        <f>IF(Data!J6&gt;0,4-Data!J6,"")</f>
        <v>-3</v>
      </c>
      <c r="K6" s="1">
        <f>IF(Data!K6&gt;0,Data!K6-4,"")</f>
        <v>2</v>
      </c>
      <c r="L6" s="1">
        <f>IF(Data!L6&gt;0,4-Data!L6,"")</f>
        <v>2</v>
      </c>
      <c r="M6" s="1">
        <f>IF(Data!M6&gt;0,Data!M6-4,"")</f>
        <v>2</v>
      </c>
      <c r="N6" s="1">
        <f>IF(Data!N6&gt;0,Data!N6-4,"")</f>
        <v>1</v>
      </c>
      <c r="O6" s="1">
        <f>IF(Data!O6&gt;0,Data!O6-4,"")</f>
        <v>-3</v>
      </c>
      <c r="P6" s="1">
        <f>IF(Data!P6&gt;0,Data!P6-4,"")</f>
        <v>1</v>
      </c>
      <c r="Q6" s="1">
        <f>IF(Data!Q6&gt;0,4-Data!Q6,"")</f>
        <v>3</v>
      </c>
      <c r="R6" s="1">
        <f>IF(Data!R6&gt;0,4-Data!R6,"")</f>
        <v>0</v>
      </c>
      <c r="S6" s="1">
        <f>IF(Data!S6&gt;0,4-Data!S6,"")</f>
        <v>1</v>
      </c>
      <c r="T6" s="1">
        <f>IF(Data!T6&gt;0,Data!T6-4,"")</f>
        <v>2</v>
      </c>
      <c r="U6" s="1">
        <f>IF(Data!U6&gt;0,4-Data!U6,"")</f>
        <v>2</v>
      </c>
      <c r="V6" s="1">
        <f>IF(Data!V6&gt;0,Data!V6-4,"")</f>
        <v>2</v>
      </c>
      <c r="W6" s="1">
        <f>IF(Data!W6&gt;0,4-Data!W6,"")</f>
        <v>2</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c r="AK6" s="2">
        <f>IF(MAX(COUNTIF(Data!A6:Z6,1),COUNTIF(Data!A6:Z6,2),COUNTIF(Data!A6:Z6,3),COUNTIF(Data!A6:Z6,4),COUNTIF(Data!A6:Z6,5),COUNTIF(Data!A6:Z6,6),COUNTIF(Data!A6:Z6,7))&gt;0,MAX(COUNTIF(Data!A6:Z6,1),COUNTIF(Data!A6:Z6,2),COUNTIF(Data!A6:Z6,3),COUNTIF(Data!A6:Z6,4),COUNTIF(Data!A6:Z6,5),COUNTIF(Data!A6:Z6,6),COUNTIF(Data!A6:Z6,7)),"")</f>
        <v>7</v>
      </c>
    </row>
    <row r="7" spans="1:37">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4" t="str">
        <f t="shared" si="4"/>
        <v/>
      </c>
      <c r="AD7" s="4" t="str">
        <f t="shared" si="5"/>
        <v/>
      </c>
      <c r="AE7" s="4" t="str">
        <f t="shared" si="6"/>
        <v/>
      </c>
      <c r="AF7" s="4" t="str">
        <f t="shared" si="7"/>
        <v/>
      </c>
      <c r="AG7" s="4" t="str">
        <f t="shared" si="8"/>
        <v/>
      </c>
      <c r="AH7" s="4" t="str">
        <f t="shared" si="9"/>
        <v/>
      </c>
      <c r="AI7" s="2" t="str">
        <f t="shared" si="10"/>
        <v/>
      </c>
      <c r="AK7" s="2" t="str">
        <f>IF(MAX(COUNTIF(Data!A7:Z7,1),COUNTIF(Data!A7:Z7,2),COUNTIF(Data!A7:Z7,3),COUNTIF(Data!A7:Z7,4),COUNTIF(Data!A7:Z7,5),COUNTIF(Data!A7:Z7,6),COUNTIF(Data!A7:Z7,7))&gt;0,MAX(COUNTIF(Data!A7:Z7,1),COUNTIF(Data!A7:Z7,2),COUNTIF(Data!A7:Z7,3),COUNTIF(Data!A7:Z7,4),COUNTIF(Data!A7:Z7,5),COUNTIF(Data!A7:Z7,6),COUNTIF(Data!A7:Z7,7)),"")</f>
        <v/>
      </c>
    </row>
    <row r="8" spans="1:37">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4" t="str">
        <f t="shared" si="4"/>
        <v/>
      </c>
      <c r="AD8" s="4" t="str">
        <f t="shared" si="5"/>
        <v/>
      </c>
      <c r="AE8" s="4" t="str">
        <f t="shared" si="6"/>
        <v/>
      </c>
      <c r="AF8" s="4" t="str">
        <f t="shared" si="7"/>
        <v/>
      </c>
      <c r="AG8" s="4" t="str">
        <f t="shared" si="8"/>
        <v/>
      </c>
      <c r="AH8" s="4" t="str">
        <f t="shared" si="9"/>
        <v/>
      </c>
      <c r="AI8" s="2" t="str">
        <f t="shared" si="10"/>
        <v/>
      </c>
      <c r="AK8" s="2" t="str">
        <f>IF(MAX(COUNTIF(Data!A8:Z8,1),COUNTIF(Data!A8:Z8,2),COUNTIF(Data!A8:Z8,3),COUNTIF(Data!A8:Z8,4),COUNTIF(Data!A8:Z8,5),COUNTIF(Data!A8:Z8,6),COUNTIF(Data!A8:Z8,7))&gt;0,MAX(COUNTIF(Data!A8:Z8,1),COUNTIF(Data!A8:Z8,2),COUNTIF(Data!A8:Z8,3),COUNTIF(Data!A8:Z8,4),COUNTIF(Data!A8:Z8,5),COUNTIF(Data!A8:Z8,6),COUNTIF(Data!A8:Z8,7)),"")</f>
        <v/>
      </c>
    </row>
    <row r="9" spans="1:37">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c r="AK9" s="2" t="str">
        <f>IF(MAX(COUNTIF(Data!A9:Z9,1),COUNTIF(Data!A9:Z9,2),COUNTIF(Data!A9:Z9,3),COUNTIF(Data!A9:Z9,4),COUNTIF(Data!A9:Z9,5),COUNTIF(Data!A9:Z9,6),COUNTIF(Data!A9:Z9,7))&gt;0,MAX(COUNTIF(Data!A9:Z9,1),COUNTIF(Data!A9:Z9,2),COUNTIF(Data!A9:Z9,3),COUNTIF(Data!A9:Z9,4),COUNTIF(Data!A9:Z9,5),COUNTIF(Data!A9:Z9,6),COUNTIF(Data!A9:Z9,7)),"")</f>
        <v/>
      </c>
    </row>
    <row r="10" spans="1:37">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c r="AK10" s="2" t="str">
        <f>IF(MAX(COUNTIF(Data!A10:Z10,1),COUNTIF(Data!A10:Z10,2),COUNTIF(Data!A10:Z10,3),COUNTIF(Data!A10:Z10,4),COUNTIF(Data!A10:Z10,5),COUNTIF(Data!A10:Z10,6),COUNTIF(Data!A10:Z10,7))&gt;0,MAX(COUNTIF(Data!A10:Z10,1),COUNTIF(Data!A10:Z10,2),COUNTIF(Data!A10:Z10,3),COUNTIF(Data!A10:Z10,4),COUNTIF(Data!A10:Z10,5),COUNTIF(Data!A10:Z10,6),COUNTIF(Data!A10:Z10,7)),"")</f>
        <v/>
      </c>
    </row>
    <row r="11" spans="1:37">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c r="AK11" s="2" t="str">
        <f>IF(MAX(COUNTIF(Data!A11:Z11,1),COUNTIF(Data!A11:Z11,2),COUNTIF(Data!A11:Z11,3),COUNTIF(Data!A11:Z11,4),COUNTIF(Data!A11:Z11,5),COUNTIF(Data!A11:Z11,6),COUNTIF(Data!A11:Z11,7))&gt;0,MAX(COUNTIF(Data!A11:Z11,1),COUNTIF(Data!A11:Z11,2),COUNTIF(Data!A11:Z11,3),COUNTIF(Data!A11:Z11,4),COUNTIF(Data!A11:Z11,5),COUNTIF(Data!A11:Z11,6),COUNTIF(Data!A11:Z11,7)),"")</f>
        <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C2:AH1048576 AG1:AH1">
    <cfRule type="cellIs" dxfId="2" priority="5" operator="equal">
      <formula>1</formula>
    </cfRule>
  </conditionalFormatting>
  <conditionalFormatting sqref="AK4:AK1004">
    <cfRule type="cellIs" dxfId="1" priority="3" operator="between">
      <formula>16</formula>
      <formula>26</formula>
    </cfRule>
  </conditionalFormatting>
  <conditionalFormatting sqref="AI4:AI1004">
    <cfRule type="cellIs" dxfId="0" priority="1" operator="between">
      <formula>3</formula>
      <formula>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92" t="s">
        <v>829</v>
      </c>
      <c r="B1" s="192"/>
      <c r="C1" s="192"/>
      <c r="D1" s="192"/>
      <c r="E1" s="192"/>
      <c r="F1" s="192"/>
      <c r="G1" s="192"/>
    </row>
    <row r="2" spans="1:7" ht="184.9" customHeight="1">
      <c r="A2" s="180" t="s">
        <v>830</v>
      </c>
      <c r="B2" s="180"/>
      <c r="C2" s="180"/>
      <c r="D2" s="180"/>
      <c r="E2" s="180"/>
      <c r="F2" s="180"/>
      <c r="G2" s="180"/>
    </row>
    <row r="3" spans="1:7">
      <c r="A3" s="97" t="s">
        <v>110</v>
      </c>
      <c r="B3" s="90" t="s">
        <v>827</v>
      </c>
    </row>
    <row r="4" spans="1:7">
      <c r="A4" s="30" t="str">
        <f>VLOOKUP(Read_First!B5,Items!A1:BI50,54,FALSE)</f>
        <v>Attractiveness</v>
      </c>
      <c r="B4" s="7">
        <f>SQRT(VAR(DT!AC4:AC1004))</f>
        <v>0.38490017945975019</v>
      </c>
    </row>
    <row r="5" spans="1:7">
      <c r="A5" s="30" t="str">
        <f>VLOOKUP(Read_First!B5,Items!A1:BI50,55,FALSE)</f>
        <v>Perspicuity</v>
      </c>
      <c r="B5" s="7">
        <f>SQRT(VAR(DT!AD4:AD1004))</f>
        <v>0</v>
      </c>
    </row>
    <row r="6" spans="1:7">
      <c r="A6" s="30" t="str">
        <f>VLOOKUP(Read_First!B5,Items!A1:BI50,56,FALSE)</f>
        <v>Efficiency</v>
      </c>
      <c r="B6" s="7">
        <f>SQRT(VAR(DT!AE4:AE1004))</f>
        <v>0</v>
      </c>
    </row>
    <row r="7" spans="1:7">
      <c r="A7" s="30" t="str">
        <f>VLOOKUP(Read_First!B5,Items!A1:BI50,57,FALSE)</f>
        <v>Dependability</v>
      </c>
      <c r="B7" s="7">
        <f>SQRT(VAR(DT!AF4:AF1004))</f>
        <v>0</v>
      </c>
    </row>
    <row r="8" spans="1:7">
      <c r="A8" s="30" t="str">
        <f>VLOOKUP(Read_First!B5,Items!A1:BI50,58,FALSE)</f>
        <v>Stimulation</v>
      </c>
      <c r="B8" s="7">
        <f>SQRT(VAR(DT!AG4:AG1004))</f>
        <v>0</v>
      </c>
    </row>
    <row r="9" spans="1:7">
      <c r="A9" s="30" t="str">
        <f>VLOOKUP(Read_First!B5,Items!A1:BI50,59,FALSE)</f>
        <v>Novelty</v>
      </c>
      <c r="B9" s="7">
        <f>SQRT(VAR(DT!AH4:AH1004))</f>
        <v>0</v>
      </c>
    </row>
    <row r="11" spans="1:7">
      <c r="A11" s="102" t="s">
        <v>828</v>
      </c>
      <c r="B11" s="98" t="str">
        <f>VLOOKUP(Read_First!B5,Items!A1:BI50,54,FALSE)</f>
        <v>Attractiveness</v>
      </c>
      <c r="C11" s="100" t="str">
        <f>VLOOKUP(Read_First!B5,Items!A1:BI50,55,FALSE)</f>
        <v>Perspicuity</v>
      </c>
      <c r="D11" s="100" t="str">
        <f>VLOOKUP(Read_First!B5,Items!A1:BI50,56,FALSE)</f>
        <v>Efficiency</v>
      </c>
      <c r="E11" s="101" t="str">
        <f>VLOOKUP(Read_First!B5,Items!A1:BI50,57,FALSE)</f>
        <v>Dependability</v>
      </c>
      <c r="F11" s="98" t="str">
        <f>VLOOKUP(Read_First!B5,Items!A1:BI50,58,FALSE)</f>
        <v>Stimulation</v>
      </c>
      <c r="G11" s="99" t="str">
        <f>VLOOKUP(Read_First!B5,Items!A1:BI50,59,FALSE)</f>
        <v>Novelty</v>
      </c>
    </row>
    <row r="12" spans="1:7">
      <c r="A12" s="104" t="s">
        <v>831</v>
      </c>
      <c r="B12" s="4">
        <f>POWER((1.65*B4)/0.5,2)</f>
        <v>1.6133333333333304</v>
      </c>
      <c r="C12" s="4">
        <f>POWER((1.65*B5)/0.5,2)</f>
        <v>0</v>
      </c>
      <c r="D12" s="4">
        <f>POWER((1.65*B6)/0.5,2)</f>
        <v>0</v>
      </c>
      <c r="E12" s="4">
        <f>POWER((1.65*B7)/0.5,2)</f>
        <v>0</v>
      </c>
      <c r="F12" s="4">
        <f>POWER((1.65*B8)/0.5,2)</f>
        <v>0</v>
      </c>
      <c r="G12" s="4">
        <f>POWER((1.65*B9)/0.5,2)</f>
        <v>0</v>
      </c>
    </row>
    <row r="13" spans="1:7">
      <c r="A13" s="104" t="s">
        <v>832</v>
      </c>
      <c r="B13" s="4">
        <f>POWER((1.96*B4)/0.5,2)</f>
        <v>2.2765037037036997</v>
      </c>
      <c r="C13" s="4">
        <f>POWER((1.96*B5)/0.5,2)</f>
        <v>0</v>
      </c>
      <c r="D13" s="4">
        <f>POWER((1.96*B6)/0.5,2)</f>
        <v>0</v>
      </c>
      <c r="E13" s="4">
        <f>POWER((1.96*B7)/0.5,2)</f>
        <v>0</v>
      </c>
      <c r="F13" s="4">
        <f>POWER((1.96*B8)/0.5,2)</f>
        <v>0</v>
      </c>
      <c r="G13" s="4">
        <f>POWER((1.96*B9)/0.5,2)</f>
        <v>0</v>
      </c>
    </row>
    <row r="14" spans="1:7">
      <c r="A14" s="104" t="s">
        <v>833</v>
      </c>
      <c r="B14" s="4">
        <f>POWER((2.58*B4)/0.5,2)</f>
        <v>3.944533333333327</v>
      </c>
      <c r="C14" s="4">
        <f>POWER((2.58*B5)/0.5,2)</f>
        <v>0</v>
      </c>
      <c r="D14" s="4">
        <f>POWER((2.58*B6)/0.5,2)</f>
        <v>0</v>
      </c>
      <c r="E14" s="4">
        <f>POWER((2.58*B7)/0.5,2)</f>
        <v>0</v>
      </c>
      <c r="F14" s="4">
        <f>POWER((2.58*B8)/0.5,2)</f>
        <v>0</v>
      </c>
      <c r="G14" s="4">
        <f>POWER((2.58*B9)/0.5,2)</f>
        <v>0</v>
      </c>
    </row>
    <row r="15" spans="1:7">
      <c r="A15" s="104" t="s">
        <v>834</v>
      </c>
      <c r="B15" s="4">
        <f>POWER((1.65*B4)/0.25,2)</f>
        <v>6.4533333333333216</v>
      </c>
      <c r="C15" s="4">
        <f>POWER((1.65*B5)/0.25,2)</f>
        <v>0</v>
      </c>
      <c r="D15" s="4">
        <f>POWER((1.65*B6)/0.25,2)</f>
        <v>0</v>
      </c>
      <c r="E15" s="4">
        <f>POWER((1.65*B7)/0.25,2)</f>
        <v>0</v>
      </c>
      <c r="F15" s="4">
        <f>POWER((1.65*B8)/0.25,2)</f>
        <v>0</v>
      </c>
      <c r="G15" s="4">
        <f>POWER((1.65*B9)/0.25,2)</f>
        <v>0</v>
      </c>
    </row>
    <row r="16" spans="1:7">
      <c r="A16" s="104" t="s">
        <v>835</v>
      </c>
      <c r="B16" s="4">
        <f>POWER((1.96*B4)/0.25,2)</f>
        <v>9.1060148148147988</v>
      </c>
      <c r="C16" s="4">
        <f>POWER((1.96*B5)/0.25,2)</f>
        <v>0</v>
      </c>
      <c r="D16" s="4">
        <f>POWER((1.96*B6)/0.25,2)</f>
        <v>0</v>
      </c>
      <c r="E16" s="4">
        <f>POWER((1.96*B7)/0.25,2)</f>
        <v>0</v>
      </c>
      <c r="F16" s="4">
        <f>POWER((1.96*B8)/0.25,2)</f>
        <v>0</v>
      </c>
      <c r="G16" s="4">
        <f>POWER((1.96*B9)/0.25,2)</f>
        <v>0</v>
      </c>
    </row>
    <row r="17" spans="1:7">
      <c r="A17" s="104" t="s">
        <v>836</v>
      </c>
      <c r="B17" s="4">
        <f>POWER((2.58*B4)/0.25,2)</f>
        <v>15.778133333333308</v>
      </c>
      <c r="C17" s="4">
        <f>POWER((2.58*B5)/0.25,2)</f>
        <v>0</v>
      </c>
      <c r="D17" s="4">
        <f>POWER((2.58*B6)/0.25,2)</f>
        <v>0</v>
      </c>
      <c r="E17" s="4">
        <f>POWER((2.58*B7)/0.25,2)</f>
        <v>0</v>
      </c>
      <c r="F17" s="4">
        <f>POWER((2.58*B8)/0.25,2)</f>
        <v>0</v>
      </c>
      <c r="G17" s="4">
        <f>POWER((2.58*B9)/0.25,2)</f>
        <v>0</v>
      </c>
    </row>
    <row r="18" spans="1:7">
      <c r="A18" s="104" t="s">
        <v>837</v>
      </c>
      <c r="B18" s="4">
        <f>POWER((1.65*B4)/0.1,2)</f>
        <v>40.333333333333258</v>
      </c>
      <c r="C18" s="4">
        <f>POWER((1.65*B5)/0.1,2)</f>
        <v>0</v>
      </c>
      <c r="D18" s="4">
        <f>POWER((1.65*B6)/0.1,2)</f>
        <v>0</v>
      </c>
      <c r="E18" s="4">
        <f>POWER((1.65*B7)/0.1,2)</f>
        <v>0</v>
      </c>
      <c r="F18" s="4">
        <f>POWER((1.65*B8)/0.1,2)</f>
        <v>0</v>
      </c>
      <c r="G18" s="4">
        <f>POWER((1.65*B9)/0.1,2)</f>
        <v>0</v>
      </c>
    </row>
    <row r="19" spans="1:7">
      <c r="A19" s="104" t="s">
        <v>838</v>
      </c>
      <c r="B19" s="4">
        <f>POWER((1.96*B4)/0.1,2)</f>
        <v>56.912592592592482</v>
      </c>
      <c r="C19" s="4">
        <f>POWER((1.96*B5)/0.1,2)</f>
        <v>0</v>
      </c>
      <c r="D19" s="4">
        <f>POWER((1.96*B6)/0.1,2)</f>
        <v>0</v>
      </c>
      <c r="E19" s="4">
        <f>POWER((1.96*B7)/0.1,2)</f>
        <v>0</v>
      </c>
      <c r="F19" s="4">
        <f>POWER((1.96*B8)/0.1,2)</f>
        <v>0</v>
      </c>
      <c r="G19" s="4">
        <f>POWER((1.96*B9)/0.1,2)</f>
        <v>0</v>
      </c>
    </row>
    <row r="20" spans="1:7">
      <c r="A20" s="105" t="s">
        <v>839</v>
      </c>
      <c r="B20" s="4">
        <f>POWER((2.58*B4)/0.1,2)</f>
        <v>98.613333333333173</v>
      </c>
      <c r="C20" s="4">
        <f>POWER((2.58*B5)/0.1,2)</f>
        <v>0</v>
      </c>
      <c r="D20" s="4">
        <f>POWER((2.58*B6)/0.1,2)</f>
        <v>0</v>
      </c>
      <c r="E20" s="4">
        <f>POWER((2.58*B7)/0.1,2)</f>
        <v>0</v>
      </c>
      <c r="F20" s="4">
        <f>POWER((2.58*B8)/0.1,2)</f>
        <v>0</v>
      </c>
      <c r="G20" s="4">
        <f>POWER((2.58*B9)/0.1,2)</f>
        <v>0</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style="4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5" customFormat="1" ht="133.15" customHeight="1">
      <c r="A1" s="180" t="s">
        <v>1285</v>
      </c>
      <c r="B1" s="174"/>
      <c r="C1" s="174"/>
      <c r="D1" s="174"/>
      <c r="E1" s="174"/>
      <c r="F1" s="174"/>
      <c r="H1" s="61"/>
      <c r="I1" s="133" t="s">
        <v>1272</v>
      </c>
      <c r="J1" s="128" t="e">
        <f>AVERAGE(O4:O1004)</f>
        <v>#VALUE!</v>
      </c>
      <c r="K1" s="129" t="s">
        <v>1284</v>
      </c>
      <c r="L1" s="130" t="e">
        <f>STDEV(O4:O1004)</f>
        <v>#VALUE!</v>
      </c>
      <c r="M1" s="131" t="s">
        <v>1286</v>
      </c>
      <c r="N1" s="132" t="e">
        <f>CONFIDENCE(0.05,L1,Results!E3)</f>
        <v>#VALUE!</v>
      </c>
      <c r="O1" s="134"/>
    </row>
    <row r="2" spans="1:23">
      <c r="A2" s="193" t="s">
        <v>1269</v>
      </c>
      <c r="B2" s="193"/>
      <c r="C2" s="193"/>
      <c r="D2" s="193"/>
      <c r="E2" s="193"/>
      <c r="F2" s="193"/>
      <c r="G2" s="50"/>
      <c r="I2" s="193" t="s">
        <v>1270</v>
      </c>
      <c r="J2" s="193"/>
      <c r="K2" s="193"/>
      <c r="L2" s="193"/>
      <c r="M2" s="193"/>
      <c r="N2" s="193"/>
      <c r="O2" s="1"/>
      <c r="P2" s="15"/>
      <c r="Q2" s="194" t="s">
        <v>1528</v>
      </c>
      <c r="R2" s="194"/>
      <c r="S2" s="194"/>
      <c r="T2" s="194"/>
      <c r="U2" s="194"/>
      <c r="V2" s="194"/>
      <c r="W2" s="194"/>
    </row>
    <row r="3" spans="1:23">
      <c r="A3" s="97" t="str">
        <f>VLOOKUP(Read_First!B5,Items!A1:BI50,54,FALSE)</f>
        <v>Attractiveness</v>
      </c>
      <c r="B3" s="91" t="str">
        <f>VLOOKUP(Read_First!B5,Items!A1:BI50,55,FALSE)</f>
        <v>Perspicuity</v>
      </c>
      <c r="C3" s="91" t="str">
        <f>VLOOKUP(Read_First!B5,Items!A1:BI50,56,FALSE)</f>
        <v>Efficiency</v>
      </c>
      <c r="D3" s="91" t="str">
        <f>VLOOKUP(Read_First!B5,Items!A1:BI50,57,FALSE)</f>
        <v>Dependability</v>
      </c>
      <c r="E3" s="91" t="str">
        <f>VLOOKUP(Read_First!B5,Items!A1:BI50,58,FALSE)</f>
        <v>Stimulation</v>
      </c>
      <c r="F3" s="91" t="str">
        <f>VLOOKUP(Read_First!B5,Items!A1:BI50,59,FALSE)</f>
        <v>Novelty</v>
      </c>
      <c r="G3" s="90" t="s">
        <v>1271</v>
      </c>
      <c r="I3" s="126" t="str">
        <f>VLOOKUP(Read_First!B5,Items!A1:BI50,54,FALSE)</f>
        <v>Attractiveness</v>
      </c>
      <c r="J3" s="89" t="str">
        <f>VLOOKUP(Read_First!B5,Items!A1:BI50,55,FALSE)</f>
        <v>Perspicuity</v>
      </c>
      <c r="K3" s="88" t="str">
        <f>VLOOKUP(Read_First!B5,Items!A1:BI50,56,FALSE)</f>
        <v>Efficiency</v>
      </c>
      <c r="L3" s="88" t="str">
        <f>VLOOKUP(Read_First!B5,Items!A1:BI50,57,FALSE)</f>
        <v>Dependability</v>
      </c>
      <c r="M3" s="88" t="str">
        <f>VLOOKUP(Read_First!B5,Items!A1:BI50,58,FALSE)</f>
        <v>Stimulation</v>
      </c>
      <c r="N3" s="88" t="str">
        <f>VLOOKUP(Read_First!B5,Items!A1:BI50,59,FALSE)</f>
        <v>Novelty</v>
      </c>
      <c r="O3" s="127" t="s">
        <v>1272</v>
      </c>
      <c r="P3" s="15"/>
      <c r="Q3" s="147" t="s">
        <v>1525</v>
      </c>
      <c r="R3" s="147" t="s">
        <v>106</v>
      </c>
      <c r="S3" s="147" t="s">
        <v>1526</v>
      </c>
      <c r="T3" s="147" t="s">
        <v>3</v>
      </c>
      <c r="U3" s="147" t="s">
        <v>112</v>
      </c>
      <c r="V3" s="185" t="s">
        <v>1527</v>
      </c>
      <c r="W3" s="185"/>
    </row>
    <row r="4" spans="1:23">
      <c r="A4" s="65">
        <v>5</v>
      </c>
      <c r="B4" s="65">
        <v>5</v>
      </c>
      <c r="C4" s="65">
        <v>7</v>
      </c>
      <c r="D4" s="65">
        <v>6</v>
      </c>
      <c r="E4" s="65">
        <v>6</v>
      </c>
      <c r="F4" s="65">
        <v>5</v>
      </c>
      <c r="G4" s="67">
        <f>SUM(A4:F4)</f>
        <v>34</v>
      </c>
      <c r="I4" s="68">
        <f t="shared" ref="I4:I49" si="0">IF(G4&gt;0,A4/G4,"")</f>
        <v>0.14705882352941177</v>
      </c>
      <c r="J4" s="68">
        <f t="shared" ref="J4:J49" si="1">IF(G4&gt;0,B4/G4,"")</f>
        <v>0.14705882352941177</v>
      </c>
      <c r="K4" s="68">
        <f t="shared" ref="K4:K49" si="2">IF(G4&gt;0,C4/G4,"")</f>
        <v>0.20588235294117646</v>
      </c>
      <c r="L4" s="68">
        <f t="shared" ref="L4:L49" si="3">IF(G4&gt;0,D4/G4,"")</f>
        <v>0.17647058823529413</v>
      </c>
      <c r="M4" s="68">
        <f t="shared" ref="M4:M49" si="4">IF(G4&gt;0,E4/G4,"")</f>
        <v>0.17647058823529413</v>
      </c>
      <c r="N4" s="68">
        <f t="shared" ref="N4:N49" si="5">IF(G4&gt;0,F4/G4,"")</f>
        <v>0.14705882352941177</v>
      </c>
      <c r="O4" s="103">
        <f>IF(G4&gt;0,DT!AC4*I4+DT!AD4*J4+DT!AE4*K4+DT!AF4*L4+DT!AG4*M4+DT!AH4*N4,"")</f>
        <v>0.82598039215686292</v>
      </c>
      <c r="P4" s="15"/>
      <c r="Q4" s="148"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0">
        <v>7</v>
      </c>
      <c r="B5" s="60">
        <v>7</v>
      </c>
      <c r="C5" s="60">
        <v>7</v>
      </c>
      <c r="D5" s="60">
        <v>7</v>
      </c>
      <c r="E5" s="60">
        <v>7</v>
      </c>
      <c r="F5" s="60">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1">
        <f>IF(G5&gt;0,DT!AC5*I5+DT!AD5*J5+DT!AE5*K5+DT!AF5*L5+DT!AG5*M5+DT!AH5*N5,"")</f>
        <v>0.73611111111111105</v>
      </c>
      <c r="P5" s="15"/>
      <c r="Q5" s="148"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0">
        <v>6</v>
      </c>
      <c r="B6" s="60">
        <v>5</v>
      </c>
      <c r="C6" s="60">
        <v>7</v>
      </c>
      <c r="D6" s="60">
        <v>6</v>
      </c>
      <c r="E6" s="60">
        <v>6</v>
      </c>
      <c r="F6" s="60">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1">
        <f>IF(G6&gt;0,DT!AC6*I6+DT!AD6*J6+DT!AE6*K6+DT!AF6*L6+DT!AG6*M6+DT!AH6*N6,"")</f>
        <v>0.95000000000000007</v>
      </c>
      <c r="P6" s="15"/>
      <c r="Q6" s="148"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0">
        <v>5</v>
      </c>
      <c r="B7" s="60">
        <v>5</v>
      </c>
      <c r="C7" s="60">
        <v>6</v>
      </c>
      <c r="D7" s="60">
        <v>6</v>
      </c>
      <c r="E7" s="60">
        <v>4</v>
      </c>
      <c r="F7" s="60">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1" t="e">
        <f>IF(G7&gt;0,DT!AC7*I7+DT!AD7*J7+DT!AE7*K7+DT!AF7*L7+DT!AG7*M7+DT!AH7*N7,"")</f>
        <v>#VALUE!</v>
      </c>
      <c r="P7" s="15"/>
      <c r="Q7" s="148"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0">
        <v>6</v>
      </c>
      <c r="B8" s="60">
        <v>6</v>
      </c>
      <c r="C8" s="60">
        <v>7</v>
      </c>
      <c r="D8" s="60">
        <v>7</v>
      </c>
      <c r="E8" s="60">
        <v>5</v>
      </c>
      <c r="F8" s="60">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1" t="e">
        <f>IF(G8&gt;0,DT!AC8*I8+DT!AD8*J8+DT!AE8*K8+DT!AF8*L8+DT!AG8*M8+DT!AH8*N8,"")</f>
        <v>#VALUE!</v>
      </c>
      <c r="P8" s="15"/>
      <c r="Q8" s="148"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0">
        <v>2</v>
      </c>
      <c r="B9" s="60">
        <v>7</v>
      </c>
      <c r="C9" s="60">
        <v>7</v>
      </c>
      <c r="D9" s="60">
        <v>7</v>
      </c>
      <c r="E9" s="60">
        <v>2</v>
      </c>
      <c r="F9" s="60">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1" t="e">
        <f>IF(G9&gt;0,DT!AC9*I9+DT!AD9*J9+DT!AE9*K9+DT!AF9*L9+DT!AG9*M9+DT!AH9*N9,"")</f>
        <v>#VALUE!</v>
      </c>
      <c r="P9" s="15"/>
      <c r="Q9" s="148"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0">
        <v>7</v>
      </c>
      <c r="B10" s="60">
        <v>7</v>
      </c>
      <c r="C10" s="60">
        <v>7</v>
      </c>
      <c r="D10" s="60">
        <v>7</v>
      </c>
      <c r="E10" s="60">
        <v>3</v>
      </c>
      <c r="F10" s="60">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1" t="e">
        <f>IF(G10&gt;0,DT!AC10*I10+DT!AD10*J10+DT!AE10*K10+DT!AF10*L10+DT!AG10*M10+DT!AH10*N10,"")</f>
        <v>#VALUE!</v>
      </c>
      <c r="P10" s="15"/>
    </row>
    <row r="11" spans="1:23">
      <c r="A11" s="60">
        <v>5</v>
      </c>
      <c r="B11" s="60">
        <v>5</v>
      </c>
      <c r="C11" s="60">
        <v>6</v>
      </c>
      <c r="D11" s="60">
        <v>7</v>
      </c>
      <c r="E11" s="60">
        <v>3</v>
      </c>
      <c r="F11" s="60">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1" t="e">
        <f>IF(G11&gt;0,DT!AC11*I11+DT!AD11*J11+DT!AE11*K11+DT!AF11*L11+DT!AG11*M11+DT!AH11*N11,"")</f>
        <v>#VALUE!</v>
      </c>
      <c r="P11" s="15"/>
    </row>
    <row r="12" spans="1:23">
      <c r="A12" s="60">
        <v>7</v>
      </c>
      <c r="B12" s="60">
        <v>6</v>
      </c>
      <c r="C12" s="60">
        <v>6</v>
      </c>
      <c r="D12" s="60">
        <v>7</v>
      </c>
      <c r="E12" s="60">
        <v>5</v>
      </c>
      <c r="F12" s="60">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1" t="e">
        <f>IF(G12&gt;0,DT!AC12*I12+DT!AD12*J12+DT!AE12*K12+DT!AF12*L12+DT!AG12*M12+DT!AH12*N12,"")</f>
        <v>#VALUE!</v>
      </c>
      <c r="P12" s="15"/>
    </row>
    <row r="13" spans="1:23">
      <c r="A13" s="60">
        <v>7</v>
      </c>
      <c r="B13" s="60">
        <v>6</v>
      </c>
      <c r="C13" s="60">
        <v>7</v>
      </c>
      <c r="D13" s="60">
        <v>7</v>
      </c>
      <c r="E13" s="60">
        <v>6</v>
      </c>
      <c r="F13" s="60">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1" t="e">
        <f>IF(G13&gt;0,DT!AC13*I13+DT!AD13*J13+DT!AE13*K13+DT!AF13*L13+DT!AG13*M13+DT!AH13*N13,"")</f>
        <v>#VALUE!</v>
      </c>
      <c r="P13" s="15"/>
    </row>
    <row r="14" spans="1:23">
      <c r="A14" s="60">
        <v>7</v>
      </c>
      <c r="B14" s="60">
        <v>7</v>
      </c>
      <c r="C14" s="60">
        <v>7</v>
      </c>
      <c r="D14" s="60">
        <v>6</v>
      </c>
      <c r="E14" s="60">
        <v>5</v>
      </c>
      <c r="F14" s="60">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1" t="e">
        <f>IF(G14&gt;0,DT!AC14*I14+DT!AD14*J14+DT!AE14*K14+DT!AF14*L14+DT!AG14*M14+DT!AH14*N14,"")</f>
        <v>#VALUE!</v>
      </c>
      <c r="P14" s="15"/>
    </row>
    <row r="15" spans="1:23">
      <c r="A15" s="60">
        <v>5</v>
      </c>
      <c r="B15" s="60">
        <v>5</v>
      </c>
      <c r="C15" s="60">
        <v>5</v>
      </c>
      <c r="D15" s="60">
        <v>5</v>
      </c>
      <c r="E15" s="60">
        <v>5</v>
      </c>
      <c r="F15" s="60">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1" t="e">
        <f>IF(G15&gt;0,DT!AC15*I15+DT!AD15*J15+DT!AE15*K15+DT!AF15*L15+DT!AG15*M15+DT!AH15*N15,"")</f>
        <v>#VALUE!</v>
      </c>
      <c r="P15" s="15"/>
    </row>
    <row r="16" spans="1:23">
      <c r="A16" s="60">
        <v>5</v>
      </c>
      <c r="B16" s="60">
        <v>6</v>
      </c>
      <c r="C16" s="60">
        <v>5</v>
      </c>
      <c r="D16" s="60">
        <v>5</v>
      </c>
      <c r="E16" s="60">
        <v>5</v>
      </c>
      <c r="F16" s="60">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1" t="e">
        <f>IF(G16&gt;0,DT!AC16*I16+DT!AD16*J16+DT!AE16*K16+DT!AF16*L16+DT!AG16*M16+DT!AH16*N16,"")</f>
        <v>#VALUE!</v>
      </c>
      <c r="P16" s="15"/>
    </row>
    <row r="17" spans="1:16">
      <c r="A17" s="60">
        <v>7</v>
      </c>
      <c r="B17" s="60">
        <v>7</v>
      </c>
      <c r="C17" s="60">
        <v>7</v>
      </c>
      <c r="D17" s="60">
        <v>7</v>
      </c>
      <c r="E17" s="60">
        <v>6</v>
      </c>
      <c r="F17" s="60">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1" t="e">
        <f>IF(G17&gt;0,DT!AC17*I17+DT!AD17*J17+DT!AE17*K17+DT!AF17*L17+DT!AG17*M17+DT!AH17*N17,"")</f>
        <v>#VALUE!</v>
      </c>
      <c r="P17" s="15"/>
    </row>
    <row r="18" spans="1:16">
      <c r="A18" s="60">
        <v>7</v>
      </c>
      <c r="B18" s="60">
        <v>7</v>
      </c>
      <c r="C18" s="60">
        <v>7</v>
      </c>
      <c r="D18" s="60">
        <v>7</v>
      </c>
      <c r="E18" s="60">
        <v>1</v>
      </c>
      <c r="F18" s="60">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1" t="e">
        <f>IF(G18&gt;0,DT!AC18*I18+DT!AD18*J18+DT!AE18*K18+DT!AF18*L18+DT!AG18*M18+DT!AH18*N18,"")</f>
        <v>#VALUE!</v>
      </c>
      <c r="P18" s="15"/>
    </row>
    <row r="19" spans="1:16">
      <c r="A19" s="60">
        <v>6</v>
      </c>
      <c r="B19" s="60">
        <v>7</v>
      </c>
      <c r="C19" s="60">
        <v>7</v>
      </c>
      <c r="D19" s="60">
        <v>7</v>
      </c>
      <c r="E19" s="60">
        <v>7</v>
      </c>
      <c r="F19" s="60">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1" t="e">
        <f>IF(G19&gt;0,DT!AC19*I19+DT!AD19*J19+DT!AE19*K19+DT!AF19*L19+DT!AG19*M19+DT!AH19*N19,"")</f>
        <v>#VALUE!</v>
      </c>
      <c r="P19" s="15"/>
    </row>
    <row r="20" spans="1:16">
      <c r="A20" s="60">
        <v>2</v>
      </c>
      <c r="B20" s="60">
        <v>6</v>
      </c>
      <c r="C20" s="60">
        <v>6</v>
      </c>
      <c r="D20" s="60">
        <v>7</v>
      </c>
      <c r="E20" s="60">
        <v>4</v>
      </c>
      <c r="F20" s="60">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1" t="e">
        <f>IF(G20&gt;0,DT!AC20*I20+DT!AD20*J20+DT!AE20*K20+DT!AF20*L20+DT!AG20*M20+DT!AH20*N20,"")</f>
        <v>#VALUE!</v>
      </c>
      <c r="P20" s="15"/>
    </row>
    <row r="21" spans="1:16">
      <c r="A21" s="60">
        <v>7</v>
      </c>
      <c r="B21" s="60">
        <v>6</v>
      </c>
      <c r="C21" s="60">
        <v>6</v>
      </c>
      <c r="D21" s="60">
        <v>5</v>
      </c>
      <c r="E21" s="60">
        <v>6</v>
      </c>
      <c r="F21" s="60">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1" t="e">
        <f>IF(G21&gt;0,DT!AC21*I21+DT!AD21*J21+DT!AE21*K21+DT!AF21*L21+DT!AG21*M21+DT!AH21*N21,"")</f>
        <v>#VALUE!</v>
      </c>
      <c r="P21" s="15"/>
    </row>
    <row r="22" spans="1:16">
      <c r="A22" s="60">
        <v>6</v>
      </c>
      <c r="B22" s="60">
        <v>6</v>
      </c>
      <c r="C22" s="60">
        <v>7</v>
      </c>
      <c r="D22" s="60">
        <v>7</v>
      </c>
      <c r="E22" s="60">
        <v>6</v>
      </c>
      <c r="F22" s="60">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1" t="e">
        <f>IF(G22&gt;0,DT!AC22*I22+DT!AD22*J22+DT!AE22*K22+DT!AF22*L22+DT!AG22*M22+DT!AH22*N22,"")</f>
        <v>#VALUE!</v>
      </c>
      <c r="P22" s="15"/>
    </row>
    <row r="23" spans="1:16">
      <c r="A23" s="60">
        <v>6</v>
      </c>
      <c r="B23" s="60">
        <v>7</v>
      </c>
      <c r="C23" s="60">
        <v>7</v>
      </c>
      <c r="D23" s="60">
        <v>7</v>
      </c>
      <c r="E23" s="60">
        <v>6</v>
      </c>
      <c r="F23" s="60">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1" t="e">
        <f>IF(G23&gt;0,DT!AC23*I23+DT!AD23*J23+DT!AE23*K23+DT!AF23*L23+DT!AG23*M23+DT!AH23*N23,"")</f>
        <v>#VALUE!</v>
      </c>
      <c r="P23" s="15"/>
    </row>
    <row r="24" spans="1:16">
      <c r="A24" s="60">
        <v>5</v>
      </c>
      <c r="B24" s="60">
        <v>6</v>
      </c>
      <c r="C24" s="60">
        <v>6</v>
      </c>
      <c r="D24" s="60">
        <v>5</v>
      </c>
      <c r="E24" s="60">
        <v>6</v>
      </c>
      <c r="F24" s="60">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1" t="e">
        <f>IF(G24&gt;0,DT!AC24*I24+DT!AD24*J24+DT!AE24*K24+DT!AF24*L24+DT!AG24*M24+DT!AH24*N24,"")</f>
        <v>#VALUE!</v>
      </c>
      <c r="P24" s="15"/>
    </row>
    <row r="25" spans="1:16">
      <c r="A25" s="60">
        <v>6</v>
      </c>
      <c r="B25" s="60">
        <v>7</v>
      </c>
      <c r="C25" s="60">
        <v>6</v>
      </c>
      <c r="D25" s="60">
        <v>6</v>
      </c>
      <c r="E25" s="60">
        <v>6</v>
      </c>
      <c r="F25" s="60">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1" t="e">
        <f>IF(G25&gt;0,DT!AC25*I25+DT!AD25*J25+DT!AE25*K25+DT!AF25*L25+DT!AG25*M25+DT!AH25*N25,"")</f>
        <v>#VALUE!</v>
      </c>
      <c r="P25" s="15"/>
    </row>
    <row r="26" spans="1:16">
      <c r="A26" s="60">
        <v>6</v>
      </c>
      <c r="B26" s="60">
        <v>6</v>
      </c>
      <c r="C26" s="60">
        <v>5</v>
      </c>
      <c r="D26" s="60">
        <v>7</v>
      </c>
      <c r="E26" s="60">
        <v>5</v>
      </c>
      <c r="F26" s="60">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1" t="e">
        <f>IF(G26&gt;0,DT!AC26*I26+DT!AD26*J26+DT!AE26*K26+DT!AF26*L26+DT!AG26*M26+DT!AH26*N26,"")</f>
        <v>#VALUE!</v>
      </c>
      <c r="P26" s="15"/>
    </row>
    <row r="27" spans="1:16">
      <c r="A27" s="60">
        <v>6</v>
      </c>
      <c r="B27" s="60">
        <v>6</v>
      </c>
      <c r="C27" s="60">
        <v>7</v>
      </c>
      <c r="D27" s="60">
        <v>7</v>
      </c>
      <c r="E27" s="60">
        <v>5</v>
      </c>
      <c r="F27" s="60">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1" t="e">
        <f>IF(G27&gt;0,DT!AC27*I27+DT!AD27*J27+DT!AE27*K27+DT!AF27*L27+DT!AG27*M27+DT!AH27*N27,"")</f>
        <v>#VALUE!</v>
      </c>
      <c r="P27" s="15"/>
    </row>
    <row r="28" spans="1:16">
      <c r="A28" s="60">
        <v>6</v>
      </c>
      <c r="B28" s="60">
        <v>6</v>
      </c>
      <c r="C28" s="60">
        <v>6</v>
      </c>
      <c r="D28" s="60">
        <v>7</v>
      </c>
      <c r="E28" s="60">
        <v>7</v>
      </c>
      <c r="F28" s="60">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1" t="e">
        <f>IF(G28&gt;0,DT!AC28*I28+DT!AD28*J28+DT!AE28*K28+DT!AF28*L28+DT!AG28*M28+DT!AH28*N28,"")</f>
        <v>#VALUE!</v>
      </c>
      <c r="P28" s="15"/>
    </row>
    <row r="29" spans="1:16">
      <c r="A29" s="60">
        <v>5</v>
      </c>
      <c r="B29" s="60">
        <v>5</v>
      </c>
      <c r="C29" s="60">
        <v>6</v>
      </c>
      <c r="D29" s="60">
        <v>6</v>
      </c>
      <c r="E29" s="60">
        <v>5</v>
      </c>
      <c r="F29" s="60">
        <v>5</v>
      </c>
      <c r="G29" s="1">
        <f t="shared" si="7"/>
        <v>32</v>
      </c>
      <c r="I29" s="7">
        <f t="shared" si="0"/>
        <v>0.15625</v>
      </c>
      <c r="J29" s="7">
        <f t="shared" si="1"/>
        <v>0.15625</v>
      </c>
      <c r="K29" s="7">
        <f t="shared" si="2"/>
        <v>0.1875</v>
      </c>
      <c r="L29" s="7">
        <f t="shared" si="3"/>
        <v>0.1875</v>
      </c>
      <c r="M29" s="7">
        <f t="shared" si="4"/>
        <v>0.15625</v>
      </c>
      <c r="N29" s="7">
        <f t="shared" si="5"/>
        <v>0.15625</v>
      </c>
      <c r="O29" s="51" t="e">
        <f>IF(G29&gt;0,DT!AC29*I29+DT!AD29*J29+DT!AE29*K29+DT!AF29*L29+DT!AG29*M29+DT!AH29*N29,"")</f>
        <v>#VALUE!</v>
      </c>
      <c r="P29" s="15"/>
    </row>
    <row r="30" spans="1:16">
      <c r="A30" s="60">
        <v>5</v>
      </c>
      <c r="B30" s="60">
        <v>1</v>
      </c>
      <c r="C30" s="60">
        <v>7</v>
      </c>
      <c r="D30" s="60">
        <v>7</v>
      </c>
      <c r="E30" s="60">
        <v>2</v>
      </c>
      <c r="F30" s="60">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1" t="e">
        <f>IF(G30&gt;0,DT!AC30*I30+DT!AD30*J30+DT!AE30*K30+DT!AF30*L30+DT!AG30*M30+DT!AH30*N30,"")</f>
        <v>#VALUE!</v>
      </c>
      <c r="P30" s="15"/>
    </row>
    <row r="31" spans="1:16">
      <c r="A31" s="60">
        <v>7</v>
      </c>
      <c r="B31" s="60">
        <v>5</v>
      </c>
      <c r="C31" s="60">
        <v>7</v>
      </c>
      <c r="D31" s="60">
        <v>7</v>
      </c>
      <c r="E31" s="60">
        <v>7</v>
      </c>
      <c r="F31" s="60">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1" t="e">
        <f>IF(G31&gt;0,DT!AC31*I31+DT!AD31*J31+DT!AE31*K31+DT!AF31*L31+DT!AG31*M31+DT!AH31*N31,"")</f>
        <v>#VALUE!</v>
      </c>
      <c r="P31" s="15"/>
    </row>
    <row r="32" spans="1:16">
      <c r="A32" s="60">
        <v>7</v>
      </c>
      <c r="B32" s="60">
        <v>7</v>
      </c>
      <c r="C32" s="60">
        <v>7</v>
      </c>
      <c r="D32" s="60">
        <v>5</v>
      </c>
      <c r="E32" s="60">
        <v>7</v>
      </c>
      <c r="F32" s="60">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1" t="e">
        <f>IF(G32&gt;0,DT!AC32*I32+DT!AD32*J32+DT!AE32*K32+DT!AF32*L32+DT!AG32*M32+DT!AH32*N32,"")</f>
        <v>#VALUE!</v>
      </c>
      <c r="P32" s="15"/>
    </row>
    <row r="33" spans="1:16">
      <c r="A33" s="60">
        <v>6</v>
      </c>
      <c r="B33" s="60">
        <v>7</v>
      </c>
      <c r="C33" s="60">
        <v>7</v>
      </c>
      <c r="D33" s="60">
        <v>7</v>
      </c>
      <c r="E33" s="60">
        <v>6</v>
      </c>
      <c r="F33" s="60">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1" t="e">
        <f>IF(G33&gt;0,DT!AC33*I33+DT!AD33*J33+DT!AE33*K33+DT!AF33*L33+DT!AG33*M33+DT!AH33*N33,"")</f>
        <v>#VALUE!</v>
      </c>
      <c r="P33" s="15"/>
    </row>
    <row r="34" spans="1:16">
      <c r="A34" s="60">
        <v>6</v>
      </c>
      <c r="B34" s="60">
        <v>6</v>
      </c>
      <c r="C34" s="60">
        <v>6</v>
      </c>
      <c r="D34" s="60">
        <v>7</v>
      </c>
      <c r="E34" s="60">
        <v>6</v>
      </c>
      <c r="F34" s="60">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1" t="e">
        <f>IF(G34&gt;0,DT!AC34*I34+DT!AD34*J34+DT!AE34*K34+DT!AF34*L34+DT!AG34*M34+DT!AH34*N34,"")</f>
        <v>#VALUE!</v>
      </c>
      <c r="P34" s="15"/>
    </row>
    <row r="35" spans="1:16">
      <c r="A35" s="60">
        <v>7</v>
      </c>
      <c r="B35" s="60">
        <v>5</v>
      </c>
      <c r="C35" s="60">
        <v>6</v>
      </c>
      <c r="D35" s="60">
        <v>5</v>
      </c>
      <c r="E35" s="60">
        <v>4</v>
      </c>
      <c r="F35" s="60">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1" t="e">
        <f>IF(G35&gt;0,DT!AC35*I35+DT!AD35*J35+DT!AE35*K35+DT!AF35*L35+DT!AG35*M35+DT!AH35*N35,"")</f>
        <v>#VALUE!</v>
      </c>
      <c r="P35" s="15"/>
    </row>
    <row r="36" spans="1:16">
      <c r="A36" s="60">
        <v>7</v>
      </c>
      <c r="B36" s="60">
        <v>7</v>
      </c>
      <c r="C36" s="60">
        <v>7</v>
      </c>
      <c r="D36" s="60">
        <v>7</v>
      </c>
      <c r="E36" s="60">
        <v>7</v>
      </c>
      <c r="F36" s="60">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1" t="e">
        <f>IF(G36&gt;0,DT!AC36*I36+DT!AD36*J36+DT!AE36*K36+DT!AF36*L36+DT!AG36*M36+DT!AH36*N36,"")</f>
        <v>#VALUE!</v>
      </c>
      <c r="P36" s="15"/>
    </row>
    <row r="37" spans="1:16">
      <c r="A37" s="60">
        <v>7</v>
      </c>
      <c r="B37" s="60">
        <v>7</v>
      </c>
      <c r="C37" s="60">
        <v>7</v>
      </c>
      <c r="D37" s="60">
        <v>7</v>
      </c>
      <c r="E37" s="60">
        <v>7</v>
      </c>
      <c r="F37" s="60">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1" t="e">
        <f>IF(G37&gt;0,DT!AC37*I37+DT!AD37*J37+DT!AE37*K37+DT!AF37*L37+DT!AG37*M37+DT!AH37*N37,"")</f>
        <v>#VALUE!</v>
      </c>
      <c r="P37" s="15"/>
    </row>
    <row r="38" spans="1:16">
      <c r="A38" s="60">
        <v>6</v>
      </c>
      <c r="B38" s="60">
        <v>7</v>
      </c>
      <c r="C38" s="60">
        <v>7</v>
      </c>
      <c r="D38" s="60">
        <v>7</v>
      </c>
      <c r="E38" s="60">
        <v>5</v>
      </c>
      <c r="F38" s="60">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1" t="e">
        <f>IF(G38&gt;0,DT!AC38*I38+DT!AD38*J38+DT!AE38*K38+DT!AF38*L38+DT!AG38*M38+DT!AH38*N38,"")</f>
        <v>#VALUE!</v>
      </c>
      <c r="P38" s="15"/>
    </row>
    <row r="39" spans="1:16">
      <c r="A39" s="60">
        <v>6</v>
      </c>
      <c r="B39" s="60">
        <v>7</v>
      </c>
      <c r="C39" s="60">
        <v>7</v>
      </c>
      <c r="D39" s="60">
        <v>7</v>
      </c>
      <c r="E39" s="60">
        <v>7</v>
      </c>
      <c r="F39" s="60">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1" t="e">
        <f>IF(G39&gt;0,DT!AC39*I39+DT!AD39*J39+DT!AE39*K39+DT!AF39*L39+DT!AG39*M39+DT!AH39*N39,"")</f>
        <v>#VALUE!</v>
      </c>
      <c r="P39" s="15"/>
    </row>
    <row r="40" spans="1:16">
      <c r="A40" s="60">
        <v>6</v>
      </c>
      <c r="B40" s="60">
        <v>6</v>
      </c>
      <c r="C40" s="60">
        <v>7</v>
      </c>
      <c r="D40" s="60">
        <v>7</v>
      </c>
      <c r="E40" s="60">
        <v>5</v>
      </c>
      <c r="F40" s="60">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1" t="e">
        <f>IF(G40&gt;0,DT!AC40*I40+DT!AD40*J40+DT!AE40*K40+DT!AF40*L40+DT!AG40*M40+DT!AH40*N40,"")</f>
        <v>#VALUE!</v>
      </c>
      <c r="P40" s="15"/>
    </row>
    <row r="41" spans="1:16">
      <c r="A41" s="60">
        <v>5</v>
      </c>
      <c r="B41" s="60">
        <v>5</v>
      </c>
      <c r="C41" s="60">
        <v>7</v>
      </c>
      <c r="D41" s="60">
        <v>7</v>
      </c>
      <c r="E41" s="60">
        <v>5</v>
      </c>
      <c r="F41" s="60">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1" t="e">
        <f>IF(G41&gt;0,DT!AC41*I41+DT!AD41*J41+DT!AE41*K41+DT!AF41*L41+DT!AG41*M41+DT!AH41*N41,"")</f>
        <v>#VALUE!</v>
      </c>
      <c r="P41" s="15"/>
    </row>
    <row r="42" spans="1:16">
      <c r="A42" s="60">
        <v>7</v>
      </c>
      <c r="B42" s="60">
        <v>7</v>
      </c>
      <c r="C42" s="60">
        <v>7</v>
      </c>
      <c r="D42" s="60">
        <v>7</v>
      </c>
      <c r="E42" s="60">
        <v>7</v>
      </c>
      <c r="F42" s="60">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1" t="e">
        <f>IF(G42&gt;0,DT!AC42*I42+DT!AD42*J42+DT!AE42*K42+DT!AF42*L42+DT!AG42*M42+DT!AH42*N42,"")</f>
        <v>#VALUE!</v>
      </c>
      <c r="P42" s="15"/>
    </row>
    <row r="43" spans="1:16">
      <c r="A43" s="60">
        <v>5</v>
      </c>
      <c r="B43" s="60">
        <v>6</v>
      </c>
      <c r="C43" s="60">
        <v>6</v>
      </c>
      <c r="D43" s="60">
        <v>6</v>
      </c>
      <c r="E43" s="60">
        <v>6</v>
      </c>
      <c r="F43" s="60">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1" t="e">
        <f>IF(G43&gt;0,DT!AC43*I43+DT!AD43*J43+DT!AE43*K43+DT!AF43*L43+DT!AG43*M43+DT!AH43*N43,"")</f>
        <v>#VALUE!</v>
      </c>
      <c r="P43" s="15"/>
    </row>
    <row r="44" spans="1:16">
      <c r="A44" s="60">
        <v>5</v>
      </c>
      <c r="B44" s="60">
        <v>5</v>
      </c>
      <c r="C44" s="60">
        <v>5</v>
      </c>
      <c r="D44" s="60">
        <v>5</v>
      </c>
      <c r="E44" s="60">
        <v>5</v>
      </c>
      <c r="F44" s="60">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1" t="e">
        <f>IF(G44&gt;0,DT!AC44*I44+DT!AD44*J44+DT!AE44*K44+DT!AF44*L44+DT!AG44*M44+DT!AH44*N44,"")</f>
        <v>#VALUE!</v>
      </c>
      <c r="P44" s="15"/>
    </row>
    <row r="45" spans="1:16">
      <c r="A45" s="60">
        <v>7</v>
      </c>
      <c r="B45" s="60">
        <v>7</v>
      </c>
      <c r="C45" s="60">
        <v>7</v>
      </c>
      <c r="D45" s="60">
        <v>7</v>
      </c>
      <c r="E45" s="60">
        <v>7</v>
      </c>
      <c r="F45" s="60">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1" t="e">
        <f>IF(G45&gt;0,DT!AC45*I45+DT!AD45*J45+DT!AE45*K45+DT!AF45*L45+DT!AG45*M45+DT!AH45*N45,"")</f>
        <v>#VALUE!</v>
      </c>
      <c r="P45" s="15"/>
    </row>
    <row r="46" spans="1:16">
      <c r="A46" s="60">
        <v>7</v>
      </c>
      <c r="B46" s="60">
        <v>6</v>
      </c>
      <c r="C46" s="60">
        <v>7</v>
      </c>
      <c r="D46" s="60">
        <v>5</v>
      </c>
      <c r="E46" s="60">
        <v>6</v>
      </c>
      <c r="F46" s="60">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1" t="e">
        <f>IF(G46&gt;0,DT!AC46*I46+DT!AD46*J46+DT!AE46*K46+DT!AF46*L46+DT!AG46*M46+DT!AH46*N46,"")</f>
        <v>#VALUE!</v>
      </c>
      <c r="P46" s="15"/>
    </row>
    <row r="47" spans="1:16">
      <c r="A47" s="60">
        <v>7</v>
      </c>
      <c r="B47" s="60">
        <v>7</v>
      </c>
      <c r="C47" s="60">
        <v>7</v>
      </c>
      <c r="D47" s="60">
        <v>7</v>
      </c>
      <c r="E47" s="60">
        <v>7</v>
      </c>
      <c r="F47" s="60">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1" t="e">
        <f>IF(G47&gt;0,DT!AC47*I47+DT!AD47*J47+DT!AE47*K47+DT!AF47*L47+DT!AG47*M47+DT!AH47*N47,"")</f>
        <v>#VALUE!</v>
      </c>
      <c r="P47" s="15"/>
    </row>
    <row r="48" spans="1:16">
      <c r="A48" s="60">
        <v>7</v>
      </c>
      <c r="B48" s="60">
        <v>7</v>
      </c>
      <c r="C48" s="60">
        <v>7</v>
      </c>
      <c r="D48" s="60">
        <v>7</v>
      </c>
      <c r="E48" s="60">
        <v>7</v>
      </c>
      <c r="F48" s="60">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1" t="e">
        <f>IF(G48&gt;0,DT!AC48*I48+DT!AD48*J48+DT!AE48*K48+DT!AF48*L48+DT!AG48*M48+DT!AH48*N48,"")</f>
        <v>#VALUE!</v>
      </c>
      <c r="P48" s="15"/>
    </row>
    <row r="49" spans="1:16">
      <c r="A49" s="60">
        <v>7</v>
      </c>
      <c r="B49" s="60">
        <v>6</v>
      </c>
      <c r="C49" s="60">
        <v>6</v>
      </c>
      <c r="D49" s="60">
        <v>6</v>
      </c>
      <c r="E49" s="60">
        <v>5</v>
      </c>
      <c r="F49" s="60">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1" t="e">
        <f>IF(G49&gt;0,DT!AC49*I49+DT!AD49*J49+DT!AE49*K49+DT!AF49*L49+DT!AG49*M49+DT!AH49*N49,"")</f>
        <v>#VALUE!</v>
      </c>
      <c r="P49" s="15"/>
    </row>
    <row r="50" spans="1:16">
      <c r="A50" s="60">
        <v>6</v>
      </c>
      <c r="B50" s="60">
        <v>7</v>
      </c>
      <c r="C50" s="60">
        <v>7</v>
      </c>
      <c r="D50" s="60">
        <v>6</v>
      </c>
      <c r="E50" s="60">
        <v>6</v>
      </c>
      <c r="F50" s="60">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1" t="e">
        <f>IF(G50&gt;0,DT!AC50*I50+DT!AD50*J50+DT!AE50*K50+DT!AF50*L50+DT!AG50*M50+DT!AH50*N50,"")</f>
        <v>#VALUE!</v>
      </c>
      <c r="P50" s="15"/>
    </row>
    <row r="51" spans="1:16">
      <c r="A51" s="60">
        <v>5</v>
      </c>
      <c r="B51" s="60">
        <v>7</v>
      </c>
      <c r="C51" s="60">
        <v>6</v>
      </c>
      <c r="D51" s="60">
        <v>7</v>
      </c>
      <c r="E51" s="60">
        <v>4</v>
      </c>
      <c r="F51" s="60">
        <v>3</v>
      </c>
      <c r="G51" s="1">
        <f t="shared" si="7"/>
        <v>32</v>
      </c>
      <c r="I51" s="7">
        <f>IF(G51&gt;0,A51/G51,"")</f>
        <v>0.15625</v>
      </c>
      <c r="J51" s="7">
        <f>IF(G51&gt;0,B51/G51,"")</f>
        <v>0.21875</v>
      </c>
      <c r="K51" s="7">
        <f>IF(G51&gt;0,C51/G51,"")</f>
        <v>0.1875</v>
      </c>
      <c r="L51" s="7">
        <f>IF(G51&gt;0,D51/G51,"")</f>
        <v>0.21875</v>
      </c>
      <c r="M51" s="7">
        <f>IF(G51&gt;0,E51/G51,"")</f>
        <v>0.125</v>
      </c>
      <c r="N51" s="7">
        <f>IF(G51&gt;0,F51/G51,"")</f>
        <v>9.375E-2</v>
      </c>
      <c r="O51" s="51" t="e">
        <f>IF(G51&gt;0,DT!AC51*I51+DT!AD51*J51+DT!AE51*K51+DT!AF51*L51+DT!AG51*M51+DT!AH51*N51,"")</f>
        <v>#VALUE!</v>
      </c>
      <c r="P51" s="15"/>
    </row>
    <row r="52" spans="1:16">
      <c r="A52" s="60">
        <v>6</v>
      </c>
      <c r="B52" s="60">
        <v>7</v>
      </c>
      <c r="C52" s="60">
        <v>7</v>
      </c>
      <c r="D52" s="60">
        <v>6</v>
      </c>
      <c r="E52" s="60">
        <v>7</v>
      </c>
      <c r="F52" s="60">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1" t="e">
        <f>IF(G52&gt;0,DT!AC52*I52+DT!AD52*J52+DT!AE52*K52+DT!AF52*L52+DT!AG52*M52+DT!AH52*N52,"")</f>
        <v>#VALUE!</v>
      </c>
      <c r="P52" s="15"/>
    </row>
    <row r="53" spans="1:16">
      <c r="A53" s="60">
        <v>4</v>
      </c>
      <c r="B53" s="60">
        <v>4</v>
      </c>
      <c r="C53" s="60">
        <v>4</v>
      </c>
      <c r="D53" s="60">
        <v>5</v>
      </c>
      <c r="E53" s="60">
        <v>5</v>
      </c>
      <c r="F53" s="60">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1" t="e">
        <f>IF(G53&gt;0,DT!AC53*I53+DT!AD53*J53+DT!AE53*K53+DT!AF53*L53+DT!AG53*M53+DT!AH53*N53,"")</f>
        <v>#VALUE!</v>
      </c>
      <c r="P53" s="15"/>
    </row>
    <row r="54" spans="1:16">
      <c r="A54" s="60">
        <v>4</v>
      </c>
      <c r="B54" s="60">
        <v>5</v>
      </c>
      <c r="C54" s="60">
        <v>3</v>
      </c>
      <c r="D54" s="60">
        <v>5</v>
      </c>
      <c r="E54" s="60">
        <v>4</v>
      </c>
      <c r="F54" s="60">
        <v>4</v>
      </c>
      <c r="G54" s="1">
        <f t="shared" si="7"/>
        <v>25</v>
      </c>
      <c r="I54" s="7">
        <f t="shared" si="10"/>
        <v>0.16</v>
      </c>
      <c r="J54" s="7">
        <f t="shared" si="11"/>
        <v>0.2</v>
      </c>
      <c r="K54" s="7">
        <f t="shared" si="12"/>
        <v>0.12</v>
      </c>
      <c r="L54" s="7">
        <f t="shared" si="13"/>
        <v>0.2</v>
      </c>
      <c r="M54" s="7">
        <f t="shared" si="14"/>
        <v>0.16</v>
      </c>
      <c r="N54" s="7">
        <f t="shared" si="15"/>
        <v>0.16</v>
      </c>
      <c r="O54" s="51" t="e">
        <f>IF(G54&gt;0,DT!AC54*I54+DT!AD54*J54+DT!AE54*K54+DT!AF54*L54+DT!AG54*M54+DT!AH54*N54,"")</f>
        <v>#VALUE!</v>
      </c>
      <c r="P54" s="15"/>
    </row>
    <row r="55" spans="1:16">
      <c r="A55" s="60">
        <v>6</v>
      </c>
      <c r="B55" s="60">
        <v>6</v>
      </c>
      <c r="C55" s="60">
        <v>7</v>
      </c>
      <c r="D55" s="60">
        <v>6</v>
      </c>
      <c r="E55" s="60">
        <v>6</v>
      </c>
      <c r="F55" s="60">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1" t="e">
        <f>IF(G55&gt;0,DT!AC55*I55+DT!AD55*J55+DT!AE55*K55+DT!AF55*L55+DT!AG55*M55+DT!AH55*N55,"")</f>
        <v>#VALUE!</v>
      </c>
      <c r="P55" s="15"/>
    </row>
    <row r="56" spans="1:16">
      <c r="A56" s="60">
        <v>7</v>
      </c>
      <c r="B56" s="60">
        <v>7</v>
      </c>
      <c r="C56" s="60">
        <v>7</v>
      </c>
      <c r="D56" s="60">
        <v>6</v>
      </c>
      <c r="E56" s="60">
        <v>7</v>
      </c>
      <c r="F56" s="60">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1" t="e">
        <f>IF(G56&gt;0,DT!AC56*I56+DT!AD56*J56+DT!AE56*K56+DT!AF56*L56+DT!AG56*M56+DT!AH56*N56,"")</f>
        <v>#VALUE!</v>
      </c>
      <c r="P56" s="15"/>
    </row>
    <row r="57" spans="1:16">
      <c r="A57" s="60">
        <v>6</v>
      </c>
      <c r="B57" s="60">
        <v>7</v>
      </c>
      <c r="C57" s="60">
        <v>7</v>
      </c>
      <c r="D57" s="60">
        <v>7</v>
      </c>
      <c r="E57" s="60">
        <v>6</v>
      </c>
      <c r="F57" s="60">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1" t="e">
        <f>IF(G57&gt;0,DT!AC57*I57+DT!AD57*J57+DT!AE57*K57+DT!AF57*L57+DT!AG57*M57+DT!AH57*N57,"")</f>
        <v>#VALUE!</v>
      </c>
      <c r="P57" s="15"/>
    </row>
    <row r="58" spans="1:16">
      <c r="A58" s="60">
        <v>7</v>
      </c>
      <c r="B58" s="60">
        <v>7</v>
      </c>
      <c r="C58" s="60">
        <v>7</v>
      </c>
      <c r="D58" s="60">
        <v>7</v>
      </c>
      <c r="E58" s="60">
        <v>7</v>
      </c>
      <c r="F58" s="60">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1" t="e">
        <f>IF(G58&gt;0,DT!AC58*I58+DT!AD58*J58+DT!AE58*K58+DT!AF58*L58+DT!AG58*M58+DT!AH58*N58,"")</f>
        <v>#VALUE!</v>
      </c>
      <c r="P58" s="15"/>
    </row>
    <row r="59" spans="1:16">
      <c r="A59" s="60">
        <v>6</v>
      </c>
      <c r="B59" s="60">
        <v>7</v>
      </c>
      <c r="C59" s="60">
        <v>7</v>
      </c>
      <c r="D59" s="60">
        <v>6</v>
      </c>
      <c r="E59" s="60">
        <v>4</v>
      </c>
      <c r="F59" s="60">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1" t="e">
        <f>IF(G59&gt;0,DT!AC59*I59+DT!AD59*J59+DT!AE59*K59+DT!AF59*L59+DT!AG59*M59+DT!AH59*N59,"")</f>
        <v>#VALUE!</v>
      </c>
      <c r="P59" s="15"/>
    </row>
    <row r="60" spans="1:16">
      <c r="A60" s="60">
        <v>6</v>
      </c>
      <c r="B60" s="60">
        <v>7</v>
      </c>
      <c r="C60" s="60">
        <v>6</v>
      </c>
      <c r="D60" s="60">
        <v>7</v>
      </c>
      <c r="E60" s="60">
        <v>5</v>
      </c>
      <c r="F60" s="60">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1" t="e">
        <f>IF(G60&gt;0,DT!AC60*I60+DT!AD60*J60+DT!AE60*K60+DT!AF60*L60+DT!AG60*M60+DT!AH60*N60,"")</f>
        <v>#VALUE!</v>
      </c>
      <c r="P60" s="15"/>
    </row>
    <row r="61" spans="1:16">
      <c r="A61" s="60">
        <v>6</v>
      </c>
      <c r="B61" s="60">
        <v>6</v>
      </c>
      <c r="C61" s="60">
        <v>4</v>
      </c>
      <c r="D61" s="60">
        <v>7</v>
      </c>
      <c r="E61" s="60">
        <v>5</v>
      </c>
      <c r="F61" s="60">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1" t="e">
        <f>IF(G61&gt;0,DT!AC61*I61+DT!AD61*J61+DT!AE61*K61+DT!AF61*L61+DT!AG61*M61+DT!AH61*N61,"")</f>
        <v>#VALUE!</v>
      </c>
      <c r="P61" s="15"/>
    </row>
    <row r="62" spans="1:16">
      <c r="A62" s="60">
        <v>7</v>
      </c>
      <c r="B62" s="60">
        <v>7</v>
      </c>
      <c r="C62" s="60">
        <v>7</v>
      </c>
      <c r="D62" s="60">
        <v>7</v>
      </c>
      <c r="E62" s="60">
        <v>7</v>
      </c>
      <c r="F62" s="60">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1" t="e">
        <f>IF(G62&gt;0,DT!AC62*I62+DT!AD62*J62+DT!AE62*K62+DT!AF62*L62+DT!AG62*M62+DT!AH62*N62,"")</f>
        <v>#VALUE!</v>
      </c>
      <c r="P62" s="15"/>
    </row>
    <row r="63" spans="1:16">
      <c r="A63" s="60">
        <v>7</v>
      </c>
      <c r="B63" s="60">
        <v>7</v>
      </c>
      <c r="C63" s="60">
        <v>7</v>
      </c>
      <c r="D63" s="60">
        <v>7</v>
      </c>
      <c r="E63" s="60">
        <v>6</v>
      </c>
      <c r="F63" s="60">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1" t="e">
        <f>IF(G63&gt;0,DT!AC63*I63+DT!AD63*J63+DT!AE63*K63+DT!AF63*L63+DT!AG63*M63+DT!AH63*N63,"")</f>
        <v>#VALUE!</v>
      </c>
      <c r="P63" s="15"/>
    </row>
    <row r="64" spans="1:16">
      <c r="A64" s="60">
        <v>6</v>
      </c>
      <c r="B64" s="60">
        <v>7</v>
      </c>
      <c r="C64" s="60">
        <v>7</v>
      </c>
      <c r="D64" s="60">
        <v>7</v>
      </c>
      <c r="E64" s="60">
        <v>6</v>
      </c>
      <c r="F64" s="60">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1" t="e">
        <f>IF(G64&gt;0,DT!AC64*I64+DT!AD64*J64+DT!AE64*K64+DT!AF64*L64+DT!AG64*M64+DT!AH64*N64,"")</f>
        <v>#VALUE!</v>
      </c>
      <c r="P64" s="15"/>
    </row>
    <row r="65" spans="1:16">
      <c r="A65" s="60">
        <v>6</v>
      </c>
      <c r="B65" s="60">
        <v>7</v>
      </c>
      <c r="C65" s="60">
        <v>7</v>
      </c>
      <c r="D65" s="60">
        <v>7</v>
      </c>
      <c r="E65" s="60">
        <v>5</v>
      </c>
      <c r="F65" s="60">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1" t="e">
        <f>IF(G65&gt;0,DT!AC65*I65+DT!AD65*J65+DT!AE65*K65+DT!AF65*L65+DT!AG65*M65+DT!AH65*N65,"")</f>
        <v>#VALUE!</v>
      </c>
      <c r="P65" s="15"/>
    </row>
    <row r="66" spans="1:16">
      <c r="A66" s="60">
        <v>5</v>
      </c>
      <c r="B66" s="60">
        <v>5</v>
      </c>
      <c r="C66" s="60">
        <v>4</v>
      </c>
      <c r="D66" s="60">
        <v>4</v>
      </c>
      <c r="E66" s="60">
        <v>4</v>
      </c>
      <c r="F66" s="60">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1" t="e">
        <f>IF(G66&gt;0,DT!AC66*I66+DT!AD66*J66+DT!AE66*K66+DT!AF66*L66+DT!AG66*M66+DT!AH66*N66,"")</f>
        <v>#VALUE!</v>
      </c>
      <c r="P66" s="15"/>
    </row>
    <row r="67" spans="1:16">
      <c r="A67" s="60">
        <v>6</v>
      </c>
      <c r="B67" s="60">
        <v>7</v>
      </c>
      <c r="C67" s="60">
        <v>6</v>
      </c>
      <c r="D67" s="60">
        <v>5</v>
      </c>
      <c r="E67" s="60">
        <v>6</v>
      </c>
      <c r="F67" s="60">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1" t="e">
        <f>IF(G67&gt;0,DT!AC67*I67+DT!AD67*J67+DT!AE67*K67+DT!AF67*L67+DT!AG67*M67+DT!AH67*N67,"")</f>
        <v>#VALUE!</v>
      </c>
      <c r="P67" s="15"/>
    </row>
    <row r="68" spans="1:16">
      <c r="A68" s="60">
        <v>4</v>
      </c>
      <c r="B68" s="60">
        <v>7</v>
      </c>
      <c r="C68" s="60">
        <v>7</v>
      </c>
      <c r="D68" s="60">
        <v>7</v>
      </c>
      <c r="E68" s="60">
        <v>6</v>
      </c>
      <c r="F68" s="60">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1" t="e">
        <f>IF(G68&gt;0,DT!AC68*I68+DT!AD68*J68+DT!AE68*K68+DT!AF68*L68+DT!AG68*M68+DT!AH68*N68,"")</f>
        <v>#VALUE!</v>
      </c>
      <c r="P68" s="15"/>
    </row>
    <row r="69" spans="1:16">
      <c r="A69" s="60">
        <v>4</v>
      </c>
      <c r="B69" s="60">
        <v>7</v>
      </c>
      <c r="C69" s="60">
        <v>7</v>
      </c>
      <c r="D69" s="60">
        <v>6</v>
      </c>
      <c r="E69" s="60">
        <v>4</v>
      </c>
      <c r="F69" s="60">
        <v>4</v>
      </c>
      <c r="G69" s="1">
        <f t="shared" ref="G69:G132" si="16">SUM(A69:F69)</f>
        <v>32</v>
      </c>
      <c r="I69" s="7">
        <f t="shared" si="10"/>
        <v>0.125</v>
      </c>
      <c r="J69" s="7">
        <f t="shared" si="11"/>
        <v>0.21875</v>
      </c>
      <c r="K69" s="7">
        <f t="shared" si="12"/>
        <v>0.21875</v>
      </c>
      <c r="L69" s="7">
        <f t="shared" si="13"/>
        <v>0.1875</v>
      </c>
      <c r="M69" s="7">
        <f t="shared" si="14"/>
        <v>0.125</v>
      </c>
      <c r="N69" s="7">
        <f t="shared" si="15"/>
        <v>0.125</v>
      </c>
      <c r="O69" s="51" t="e">
        <f>IF(G69&gt;0,DT!AC69*I69+DT!AD69*J69+DT!AE69*K69+DT!AF69*L69+DT!AG69*M69+DT!AH69*N69,"")</f>
        <v>#VALUE!</v>
      </c>
      <c r="P69" s="15"/>
    </row>
    <row r="70" spans="1:16">
      <c r="A70" s="60">
        <v>2</v>
      </c>
      <c r="B70" s="60">
        <v>5</v>
      </c>
      <c r="C70" s="60">
        <v>6</v>
      </c>
      <c r="D70" s="60">
        <v>5</v>
      </c>
      <c r="E70" s="60">
        <v>5</v>
      </c>
      <c r="F70" s="60">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1" t="e">
        <f>IF(G70&gt;0,DT!AC70*I70+DT!AD70*J70+DT!AE70*K70+DT!AF70*L70+DT!AG70*M70+DT!AH70*N70,"")</f>
        <v>#VALUE!</v>
      </c>
      <c r="P70" s="15"/>
    </row>
    <row r="71" spans="1:16">
      <c r="A71" s="60">
        <v>3</v>
      </c>
      <c r="B71" s="60">
        <v>7</v>
      </c>
      <c r="C71" s="60">
        <v>7</v>
      </c>
      <c r="D71" s="60">
        <v>7</v>
      </c>
      <c r="E71" s="60">
        <v>1</v>
      </c>
      <c r="F71" s="60">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1" t="e">
        <f>IF(G71&gt;0,DT!AC71*I71+DT!AD71*J71+DT!AE71*K71+DT!AF71*L71+DT!AG71*M71+DT!AH71*N71,"")</f>
        <v>#VALUE!</v>
      </c>
      <c r="P71" s="15"/>
    </row>
    <row r="72" spans="1:16">
      <c r="A72" s="60">
        <v>2</v>
      </c>
      <c r="B72" s="60">
        <v>5</v>
      </c>
      <c r="C72" s="60">
        <v>4</v>
      </c>
      <c r="D72" s="60">
        <v>3</v>
      </c>
      <c r="E72" s="60">
        <v>2</v>
      </c>
      <c r="F72" s="60">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1" t="e">
        <f>IF(G72&gt;0,DT!AC72*I72+DT!AD72*J72+DT!AE72*K72+DT!AF72*L72+DT!AG72*M72+DT!AH72*N72,"")</f>
        <v>#VALUE!</v>
      </c>
      <c r="P72" s="15"/>
    </row>
    <row r="73" spans="1:16">
      <c r="A73" s="60">
        <v>5</v>
      </c>
      <c r="B73" s="60">
        <v>5</v>
      </c>
      <c r="C73" s="60">
        <v>6</v>
      </c>
      <c r="D73" s="60">
        <v>3</v>
      </c>
      <c r="E73" s="60">
        <v>4</v>
      </c>
      <c r="F73" s="60">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1" t="e">
        <f>IF(G73&gt;0,DT!AC73*I73+DT!AD73*J73+DT!AE73*K73+DT!AF73*L73+DT!AG73*M73+DT!AH73*N73,"")</f>
        <v>#VALUE!</v>
      </c>
      <c r="P73" s="15"/>
    </row>
    <row r="74" spans="1:16">
      <c r="A74" s="60">
        <v>6</v>
      </c>
      <c r="B74" s="60">
        <v>6</v>
      </c>
      <c r="C74" s="60">
        <v>7</v>
      </c>
      <c r="D74" s="60">
        <v>7</v>
      </c>
      <c r="E74" s="60">
        <v>6</v>
      </c>
      <c r="F74" s="60">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1" t="e">
        <f>IF(G74&gt;0,DT!AC74*I74+DT!AD74*J74+DT!AE74*K74+DT!AF74*L74+DT!AG74*M74+DT!AH74*N74,"")</f>
        <v>#VALUE!</v>
      </c>
      <c r="P74" s="15"/>
    </row>
    <row r="75" spans="1:16">
      <c r="A75" s="60">
        <v>5</v>
      </c>
      <c r="B75" s="60">
        <v>7</v>
      </c>
      <c r="C75" s="60">
        <v>7</v>
      </c>
      <c r="D75" s="60">
        <v>7</v>
      </c>
      <c r="E75" s="60">
        <v>6</v>
      </c>
      <c r="F75" s="60">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1" t="e">
        <f>IF(G75&gt;0,DT!AC75*I75+DT!AD75*J75+DT!AE75*K75+DT!AF75*L75+DT!AG75*M75+DT!AH75*N75,"")</f>
        <v>#VALUE!</v>
      </c>
      <c r="P75" s="15"/>
    </row>
    <row r="76" spans="1:16">
      <c r="A76" s="60">
        <v>5</v>
      </c>
      <c r="B76" s="60">
        <v>5</v>
      </c>
      <c r="C76" s="60">
        <v>7</v>
      </c>
      <c r="D76" s="60">
        <v>7</v>
      </c>
      <c r="E76" s="60">
        <v>5</v>
      </c>
      <c r="F76" s="60">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1" t="e">
        <f>IF(G76&gt;0,DT!AC76*I76+DT!AD76*J76+DT!AE76*K76+DT!AF76*L76+DT!AG76*M76+DT!AH76*N76,"")</f>
        <v>#VALUE!</v>
      </c>
      <c r="P76" s="15"/>
    </row>
    <row r="77" spans="1:16">
      <c r="A77" s="60">
        <v>7</v>
      </c>
      <c r="B77" s="60">
        <v>6</v>
      </c>
      <c r="C77" s="60">
        <v>7</v>
      </c>
      <c r="D77" s="60">
        <v>6</v>
      </c>
      <c r="E77" s="60">
        <v>6</v>
      </c>
      <c r="F77" s="60">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1" t="e">
        <f>IF(G77&gt;0,DT!AC77*I77+DT!AD77*J77+DT!AE77*K77+DT!AF77*L77+DT!AG77*M77+DT!AH77*N77,"")</f>
        <v>#VALUE!</v>
      </c>
      <c r="P77" s="15"/>
    </row>
    <row r="78" spans="1:16">
      <c r="A78" s="60">
        <v>6</v>
      </c>
      <c r="B78" s="60">
        <v>6</v>
      </c>
      <c r="C78" s="60">
        <v>7</v>
      </c>
      <c r="D78" s="60">
        <v>5</v>
      </c>
      <c r="E78" s="60">
        <v>3</v>
      </c>
      <c r="F78" s="60">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1" t="e">
        <f>IF(G78&gt;0,DT!AC78*I78+DT!AD78*J78+DT!AE78*K78+DT!AF78*L78+DT!AG78*M78+DT!AH78*N78,"")</f>
        <v>#VALUE!</v>
      </c>
      <c r="P78" s="15"/>
    </row>
    <row r="79" spans="1:16">
      <c r="A79" s="60">
        <v>7</v>
      </c>
      <c r="B79" s="60">
        <v>7</v>
      </c>
      <c r="C79" s="60">
        <v>7</v>
      </c>
      <c r="D79" s="60">
        <v>7</v>
      </c>
      <c r="E79" s="60">
        <v>7</v>
      </c>
      <c r="F79" s="60">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1" t="e">
        <f>IF(G79&gt;0,DT!AC79*I79+DT!AD79*J79+DT!AE79*K79+DT!AF79*L79+DT!AG79*M79+DT!AH79*N79,"")</f>
        <v>#VALUE!</v>
      </c>
      <c r="P79" s="15"/>
    </row>
    <row r="80" spans="1:16">
      <c r="A80" s="60">
        <v>5</v>
      </c>
      <c r="B80" s="60">
        <v>6</v>
      </c>
      <c r="C80" s="60">
        <v>7</v>
      </c>
      <c r="D80" s="60">
        <v>5</v>
      </c>
      <c r="E80" s="60">
        <v>5</v>
      </c>
      <c r="F80" s="60">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1" t="e">
        <f>IF(G80&gt;0,DT!AC80*I80+DT!AD80*J80+DT!AE80*K80+DT!AF80*L80+DT!AG80*M80+DT!AH80*N80,"")</f>
        <v>#VALUE!</v>
      </c>
      <c r="P80" s="15"/>
    </row>
    <row r="81" spans="1:16">
      <c r="A81" s="60">
        <v>7</v>
      </c>
      <c r="B81" s="60">
        <v>7</v>
      </c>
      <c r="C81" s="60">
        <v>6</v>
      </c>
      <c r="D81" s="60">
        <v>7</v>
      </c>
      <c r="E81" s="60">
        <v>7</v>
      </c>
      <c r="F81" s="60">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1" t="e">
        <f>IF(G81&gt;0,DT!AC81*I81+DT!AD81*J81+DT!AE81*K81+DT!AF81*L81+DT!AG81*M81+DT!AH81*N81,"")</f>
        <v>#VALUE!</v>
      </c>
      <c r="P81" s="15"/>
    </row>
    <row r="82" spans="1:16">
      <c r="A82" s="60">
        <v>6</v>
      </c>
      <c r="B82" s="60">
        <v>6</v>
      </c>
      <c r="C82" s="60">
        <v>7</v>
      </c>
      <c r="D82" s="60">
        <v>7</v>
      </c>
      <c r="E82" s="60">
        <v>5</v>
      </c>
      <c r="F82" s="60">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1" t="e">
        <f>IF(G82&gt;0,DT!AC82*I82+DT!AD82*J82+DT!AE82*K82+DT!AF82*L82+DT!AG82*M82+DT!AH82*N82,"")</f>
        <v>#VALUE!</v>
      </c>
      <c r="P82" s="15"/>
    </row>
    <row r="83" spans="1:16">
      <c r="A83" s="60">
        <v>5</v>
      </c>
      <c r="B83" s="60">
        <v>4</v>
      </c>
      <c r="C83" s="60">
        <v>6</v>
      </c>
      <c r="D83" s="60">
        <v>6</v>
      </c>
      <c r="E83" s="60">
        <v>4</v>
      </c>
      <c r="F83" s="60">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1" t="e">
        <f>IF(G83&gt;0,DT!AC83*I83+DT!AD83*J83+DT!AE83*K83+DT!AF83*L83+DT!AG83*M83+DT!AH83*N83,"")</f>
        <v>#VALUE!</v>
      </c>
      <c r="P83" s="15"/>
    </row>
    <row r="84" spans="1:16">
      <c r="A84" s="60">
        <v>7</v>
      </c>
      <c r="B84" s="60">
        <v>7</v>
      </c>
      <c r="C84" s="60">
        <v>7</v>
      </c>
      <c r="D84" s="60">
        <v>7</v>
      </c>
      <c r="E84" s="60">
        <v>7</v>
      </c>
      <c r="F84" s="60">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1" t="e">
        <f>IF(G84&gt;0,DT!AC84*I84+DT!AD84*J84+DT!AE84*K84+DT!AF84*L84+DT!AG84*M84+DT!AH84*N84,"")</f>
        <v>#VALUE!</v>
      </c>
      <c r="P84" s="15"/>
    </row>
    <row r="85" spans="1:16">
      <c r="A85" s="60">
        <v>7</v>
      </c>
      <c r="B85" s="60">
        <v>7</v>
      </c>
      <c r="C85" s="60">
        <v>7</v>
      </c>
      <c r="D85" s="60">
        <v>7</v>
      </c>
      <c r="E85" s="60">
        <v>7</v>
      </c>
      <c r="F85" s="60">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1" t="e">
        <f>IF(G85&gt;0,DT!AC85*I85+DT!AD85*J85+DT!AE85*K85+DT!AF85*L85+DT!AG85*M85+DT!AH85*N85,"")</f>
        <v>#VALUE!</v>
      </c>
      <c r="P85" s="15"/>
    </row>
    <row r="86" spans="1:16">
      <c r="A86" s="60">
        <v>7</v>
      </c>
      <c r="B86" s="60">
        <v>6</v>
      </c>
      <c r="C86" s="60">
        <v>6</v>
      </c>
      <c r="D86" s="60">
        <v>7</v>
      </c>
      <c r="E86" s="60">
        <v>5</v>
      </c>
      <c r="F86" s="60">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1" t="e">
        <f>IF(G86&gt;0,DT!AC86*I86+DT!AD86*J86+DT!AE86*K86+DT!AF86*L86+DT!AG86*M86+DT!AH86*N86,"")</f>
        <v>#VALUE!</v>
      </c>
      <c r="P86" s="15"/>
    </row>
    <row r="87" spans="1:16">
      <c r="A87" s="60">
        <v>6</v>
      </c>
      <c r="B87" s="60">
        <v>6</v>
      </c>
      <c r="C87" s="60">
        <v>7</v>
      </c>
      <c r="D87" s="60">
        <v>6</v>
      </c>
      <c r="E87" s="60">
        <v>7</v>
      </c>
      <c r="F87" s="60">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1" t="e">
        <f>IF(G87&gt;0,DT!AC87*I87+DT!AD87*J87+DT!AE87*K87+DT!AF87*L87+DT!AG87*M87+DT!AH87*N87,"")</f>
        <v>#VALUE!</v>
      </c>
      <c r="P87" s="15"/>
    </row>
    <row r="88" spans="1:16">
      <c r="A88" s="60">
        <v>6</v>
      </c>
      <c r="B88" s="60">
        <v>5</v>
      </c>
      <c r="C88" s="60">
        <v>6</v>
      </c>
      <c r="D88" s="60">
        <v>6</v>
      </c>
      <c r="E88" s="60">
        <v>5</v>
      </c>
      <c r="F88" s="60">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1" t="e">
        <f>IF(G88&gt;0,DT!AC88*I88+DT!AD88*J88+DT!AE88*K88+DT!AF88*L88+DT!AG88*M88+DT!AH88*N88,"")</f>
        <v>#VALUE!</v>
      </c>
      <c r="P88" s="15"/>
    </row>
    <row r="89" spans="1:16">
      <c r="A89" s="60">
        <v>7</v>
      </c>
      <c r="B89" s="60">
        <v>7</v>
      </c>
      <c r="C89" s="60">
        <v>7</v>
      </c>
      <c r="D89" s="60">
        <v>7</v>
      </c>
      <c r="E89" s="60">
        <v>7</v>
      </c>
      <c r="F89" s="60">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1" t="e">
        <f>IF(G89&gt;0,DT!AC89*I89+DT!AD89*J89+DT!AE89*K89+DT!AF89*L89+DT!AG89*M89+DT!AH89*N89,"")</f>
        <v>#VALUE!</v>
      </c>
      <c r="P89" s="15"/>
    </row>
    <row r="90" spans="1:16">
      <c r="A90" s="60">
        <v>3</v>
      </c>
      <c r="B90" s="60">
        <v>7</v>
      </c>
      <c r="C90" s="60">
        <v>7</v>
      </c>
      <c r="D90" s="60">
        <v>7</v>
      </c>
      <c r="E90" s="60">
        <v>4</v>
      </c>
      <c r="F90" s="60">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1" t="e">
        <f>IF(G90&gt;0,DT!AC90*I90+DT!AD90*J90+DT!AE90*K90+DT!AF90*L90+DT!AG90*M90+DT!AH90*N90,"")</f>
        <v>#VALUE!</v>
      </c>
      <c r="P90" s="15"/>
    </row>
    <row r="91" spans="1:16">
      <c r="A91" s="60">
        <v>6</v>
      </c>
      <c r="B91" s="60">
        <v>7</v>
      </c>
      <c r="C91" s="60">
        <v>7</v>
      </c>
      <c r="D91" s="60">
        <v>7</v>
      </c>
      <c r="E91" s="60">
        <v>5</v>
      </c>
      <c r="F91" s="60">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1" t="e">
        <f>IF(G91&gt;0,DT!AC91*I91+DT!AD91*J91+DT!AE91*K91+DT!AF91*L91+DT!AG91*M91+DT!AH91*N91,"")</f>
        <v>#VALUE!</v>
      </c>
      <c r="P91" s="15"/>
    </row>
    <row r="92" spans="1:16">
      <c r="A92" s="60">
        <v>7</v>
      </c>
      <c r="B92" s="60">
        <v>7</v>
      </c>
      <c r="C92" s="60">
        <v>7</v>
      </c>
      <c r="D92" s="60">
        <v>7</v>
      </c>
      <c r="E92" s="60">
        <v>5</v>
      </c>
      <c r="F92" s="60">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1" t="e">
        <f>IF(G92&gt;0,DT!AC92*I92+DT!AD92*J92+DT!AE92*K92+DT!AF92*L92+DT!AG92*M92+DT!AH92*N92,"")</f>
        <v>#VALUE!</v>
      </c>
      <c r="P92" s="15"/>
    </row>
    <row r="93" spans="1:16">
      <c r="A93" s="60">
        <v>7</v>
      </c>
      <c r="B93" s="60">
        <v>7</v>
      </c>
      <c r="C93" s="60">
        <v>7</v>
      </c>
      <c r="D93" s="60">
        <v>7</v>
      </c>
      <c r="E93" s="60">
        <v>5</v>
      </c>
      <c r="F93" s="60">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1" t="e">
        <f>IF(G93&gt;0,DT!AC93*I93+DT!AD93*J93+DT!AE93*K93+DT!AF93*L93+DT!AG93*M93+DT!AH93*N93,"")</f>
        <v>#VALUE!</v>
      </c>
      <c r="P93" s="15"/>
    </row>
    <row r="94" spans="1:16">
      <c r="A94" s="60">
        <v>3</v>
      </c>
      <c r="B94" s="60">
        <v>6</v>
      </c>
      <c r="C94" s="60">
        <v>7</v>
      </c>
      <c r="D94" s="60">
        <v>7</v>
      </c>
      <c r="E94" s="60">
        <v>3</v>
      </c>
      <c r="F94" s="60">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1" t="e">
        <f>IF(G94&gt;0,DT!AC94*I94+DT!AD94*J94+DT!AE94*K94+DT!AF94*L94+DT!AG94*M94+DT!AH94*N94,"")</f>
        <v>#VALUE!</v>
      </c>
      <c r="P94" s="15"/>
    </row>
    <row r="95" spans="1:16">
      <c r="A95" s="60">
        <v>7</v>
      </c>
      <c r="B95" s="60">
        <v>7</v>
      </c>
      <c r="C95" s="60">
        <v>7</v>
      </c>
      <c r="D95" s="60">
        <v>7</v>
      </c>
      <c r="E95" s="60">
        <v>7</v>
      </c>
      <c r="F95" s="60">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1" t="e">
        <f>IF(G95&gt;0,DT!AC95*I95+DT!AD95*J95+DT!AE95*K95+DT!AF95*L95+DT!AG95*M95+DT!AH95*N95,"")</f>
        <v>#VALUE!</v>
      </c>
      <c r="P95" s="15"/>
    </row>
    <row r="96" spans="1:16">
      <c r="A96" s="60">
        <v>3</v>
      </c>
      <c r="B96" s="60">
        <v>6</v>
      </c>
      <c r="C96" s="60">
        <v>7</v>
      </c>
      <c r="D96" s="60">
        <v>6</v>
      </c>
      <c r="E96" s="60">
        <v>2</v>
      </c>
      <c r="F96" s="60">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1" t="e">
        <f>IF(G96&gt;0,DT!AC96*I96+DT!AD96*J96+DT!AE96*K96+DT!AF96*L96+DT!AG96*M96+DT!AH96*N96,"")</f>
        <v>#VALUE!</v>
      </c>
      <c r="P96" s="15"/>
    </row>
    <row r="97" spans="1:16">
      <c r="A97" s="60">
        <v>6</v>
      </c>
      <c r="B97" s="60">
        <v>7</v>
      </c>
      <c r="C97" s="60">
        <v>7</v>
      </c>
      <c r="D97" s="60">
        <v>6</v>
      </c>
      <c r="E97" s="60">
        <v>6</v>
      </c>
      <c r="F97" s="60">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1" t="e">
        <f>IF(G97&gt;0,DT!AC97*I97+DT!AD97*J97+DT!AE97*K97+DT!AF97*L97+DT!AG97*M97+DT!AH97*N97,"")</f>
        <v>#VALUE!</v>
      </c>
      <c r="P97" s="15"/>
    </row>
    <row r="98" spans="1:16">
      <c r="A98" s="60">
        <v>7</v>
      </c>
      <c r="B98" s="60">
        <v>7</v>
      </c>
      <c r="C98" s="60">
        <v>7</v>
      </c>
      <c r="D98" s="60">
        <v>7</v>
      </c>
      <c r="E98" s="60">
        <v>4</v>
      </c>
      <c r="F98" s="60">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1" t="e">
        <f>IF(G98&gt;0,DT!AC98*I98+DT!AD98*J98+DT!AE98*K98+DT!AF98*L98+DT!AG98*M98+DT!AH98*N98,"")</f>
        <v>#VALUE!</v>
      </c>
      <c r="P98" s="15"/>
    </row>
    <row r="99" spans="1:16">
      <c r="A99" s="60">
        <v>7</v>
      </c>
      <c r="B99" s="60">
        <v>7</v>
      </c>
      <c r="C99" s="60">
        <v>6</v>
      </c>
      <c r="D99" s="60">
        <v>4</v>
      </c>
      <c r="E99" s="60">
        <v>4</v>
      </c>
      <c r="F99" s="60">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1" t="e">
        <f>IF(G99&gt;0,DT!AC99*I99+DT!AD99*J99+DT!AE99*K99+DT!AF99*L99+DT!AG99*M99+DT!AH99*N99,"")</f>
        <v>#VALUE!</v>
      </c>
      <c r="P99" s="15"/>
    </row>
    <row r="100" spans="1:16">
      <c r="A100" s="60">
        <v>5</v>
      </c>
      <c r="B100" s="60">
        <v>7</v>
      </c>
      <c r="C100" s="60">
        <v>6</v>
      </c>
      <c r="D100" s="60">
        <v>7</v>
      </c>
      <c r="E100" s="60">
        <v>4</v>
      </c>
      <c r="F100" s="60">
        <v>3</v>
      </c>
      <c r="G100" s="1">
        <f t="shared" si="16"/>
        <v>32</v>
      </c>
      <c r="I100" s="7">
        <f t="shared" si="10"/>
        <v>0.15625</v>
      </c>
      <c r="J100" s="7">
        <f t="shared" si="11"/>
        <v>0.21875</v>
      </c>
      <c r="K100" s="7">
        <f t="shared" si="12"/>
        <v>0.1875</v>
      </c>
      <c r="L100" s="7">
        <f t="shared" si="13"/>
        <v>0.21875</v>
      </c>
      <c r="M100" s="7">
        <f t="shared" si="14"/>
        <v>0.125</v>
      </c>
      <c r="N100" s="7">
        <f t="shared" si="15"/>
        <v>9.375E-2</v>
      </c>
      <c r="O100" s="51" t="e">
        <f>IF(G100&gt;0,DT!AC100*I100+DT!AD100*J100+DT!AE100*K100+DT!AF100*L100+DT!AG100*M100+DT!AH100*N100,"")</f>
        <v>#VALUE!</v>
      </c>
      <c r="P100" s="15"/>
    </row>
    <row r="101" spans="1:16">
      <c r="A101" s="60">
        <v>5</v>
      </c>
      <c r="B101" s="60">
        <v>7</v>
      </c>
      <c r="C101" s="60">
        <v>6</v>
      </c>
      <c r="D101" s="60">
        <v>7</v>
      </c>
      <c r="E101" s="60">
        <v>4</v>
      </c>
      <c r="F101" s="60">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1" t="e">
        <f>IF(G101&gt;0,DT!AC101*I101+DT!AD101*J101+DT!AE101*K101+DT!AF101*L101+DT!AG101*M101+DT!AH101*N101,"")</f>
        <v>#VALUE!</v>
      </c>
      <c r="P101" s="15"/>
    </row>
    <row r="102" spans="1:16">
      <c r="A102" s="60">
        <v>6</v>
      </c>
      <c r="B102" s="60">
        <v>3</v>
      </c>
      <c r="C102" s="60">
        <v>7</v>
      </c>
      <c r="D102" s="60">
        <v>5</v>
      </c>
      <c r="E102" s="60">
        <v>6</v>
      </c>
      <c r="F102" s="60">
        <v>5</v>
      </c>
      <c r="G102" s="1">
        <f t="shared" si="16"/>
        <v>32</v>
      </c>
      <c r="I102" s="7">
        <f t="shared" si="10"/>
        <v>0.1875</v>
      </c>
      <c r="J102" s="7">
        <f t="shared" si="11"/>
        <v>9.375E-2</v>
      </c>
      <c r="K102" s="7">
        <f t="shared" si="12"/>
        <v>0.21875</v>
      </c>
      <c r="L102" s="7">
        <f t="shared" si="13"/>
        <v>0.15625</v>
      </c>
      <c r="M102" s="7">
        <f t="shared" si="14"/>
        <v>0.1875</v>
      </c>
      <c r="N102" s="7">
        <f t="shared" si="15"/>
        <v>0.15625</v>
      </c>
      <c r="O102" s="51" t="e">
        <f>IF(G102&gt;0,DT!AC102*I102+DT!AD102*J102+DT!AE102*K102+DT!AF102*L102+DT!AG102*M102+DT!AH102*N102,"")</f>
        <v>#VALUE!</v>
      </c>
      <c r="P102" s="15"/>
    </row>
    <row r="103" spans="1:16">
      <c r="A103" s="60">
        <v>6</v>
      </c>
      <c r="B103" s="60">
        <v>7</v>
      </c>
      <c r="C103" s="60">
        <v>6</v>
      </c>
      <c r="D103" s="60">
        <v>7</v>
      </c>
      <c r="E103" s="60">
        <v>5</v>
      </c>
      <c r="F103" s="60">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1" t="e">
        <f>IF(G103&gt;0,DT!AC103*I103+DT!AD103*J103+DT!AE103*K103+DT!AF103*L103+DT!AG103*M103+DT!AH103*N103,"")</f>
        <v>#VALUE!</v>
      </c>
      <c r="P103" s="15"/>
    </row>
    <row r="104" spans="1:16">
      <c r="A104" s="60">
        <v>5</v>
      </c>
      <c r="B104" s="60">
        <v>7</v>
      </c>
      <c r="C104" s="60">
        <v>7</v>
      </c>
      <c r="D104" s="60">
        <v>7</v>
      </c>
      <c r="E104" s="60">
        <v>3</v>
      </c>
      <c r="F104" s="60">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1" t="e">
        <f>IF(G104&gt;0,DT!AC104*I104+DT!AD104*J104+DT!AE104*K104+DT!AF104*L104+DT!AG104*M104+DT!AH104*N104,"")</f>
        <v>#VALUE!</v>
      </c>
      <c r="P104" s="15"/>
    </row>
    <row r="105" spans="1:16">
      <c r="A105" s="60">
        <v>7</v>
      </c>
      <c r="B105" s="60">
        <v>7</v>
      </c>
      <c r="C105" s="60">
        <v>7</v>
      </c>
      <c r="D105" s="60">
        <v>7</v>
      </c>
      <c r="E105" s="60">
        <v>7</v>
      </c>
      <c r="F105" s="60">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1" t="e">
        <f>IF(G105&gt;0,DT!AC105*I105+DT!AD105*J105+DT!AE105*K105+DT!AF105*L105+DT!AG105*M105+DT!AH105*N105,"")</f>
        <v>#VALUE!</v>
      </c>
      <c r="P105" s="15"/>
    </row>
    <row r="106" spans="1:16">
      <c r="A106" s="60">
        <v>7</v>
      </c>
      <c r="B106" s="60">
        <v>7</v>
      </c>
      <c r="C106" s="60">
        <v>7</v>
      </c>
      <c r="D106" s="60">
        <v>7</v>
      </c>
      <c r="E106" s="60">
        <v>7</v>
      </c>
      <c r="F106" s="60">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1" t="e">
        <f>IF(G106&gt;0,DT!AC106*I106+DT!AD106*J106+DT!AE106*K106+DT!AF106*L106+DT!AG106*M106+DT!AH106*N106,"")</f>
        <v>#VALUE!</v>
      </c>
      <c r="P106" s="15"/>
    </row>
    <row r="107" spans="1:16">
      <c r="A107" s="60">
        <v>6</v>
      </c>
      <c r="B107" s="60">
        <v>7</v>
      </c>
      <c r="C107" s="60">
        <v>7</v>
      </c>
      <c r="D107" s="60">
        <v>6</v>
      </c>
      <c r="E107" s="60">
        <v>5</v>
      </c>
      <c r="F107" s="60">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1" t="e">
        <f>IF(G107&gt;0,DT!AC107*I107+DT!AD107*J107+DT!AE107*K107+DT!AF107*L107+DT!AG107*M107+DT!AH107*N107,"")</f>
        <v>#VALUE!</v>
      </c>
      <c r="P107" s="15"/>
    </row>
    <row r="108" spans="1:16">
      <c r="A108" s="60">
        <v>5</v>
      </c>
      <c r="B108" s="60">
        <v>7</v>
      </c>
      <c r="C108" s="60">
        <v>7</v>
      </c>
      <c r="D108" s="60">
        <v>5</v>
      </c>
      <c r="E108" s="60">
        <v>4</v>
      </c>
      <c r="F108" s="60">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1" t="e">
        <f>IF(G108&gt;0,DT!AC108*I108+DT!AD108*J108+DT!AE108*K108+DT!AF108*L108+DT!AG108*M108+DT!AH108*N108,"")</f>
        <v>#VALUE!</v>
      </c>
      <c r="P108" s="15"/>
    </row>
    <row r="109" spans="1:16">
      <c r="A109" s="60">
        <v>5</v>
      </c>
      <c r="B109" s="60">
        <v>7</v>
      </c>
      <c r="C109" s="60">
        <v>6</v>
      </c>
      <c r="D109" s="60">
        <v>7</v>
      </c>
      <c r="E109" s="60">
        <v>6</v>
      </c>
      <c r="F109" s="60">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1" t="e">
        <f>IF(G109&gt;0,DT!AC109*I109+DT!AD109*J109+DT!AE109*K109+DT!AF109*L109+DT!AG109*M109+DT!AH109*N109,"")</f>
        <v>#VALUE!</v>
      </c>
      <c r="P109" s="15"/>
    </row>
    <row r="110" spans="1:16">
      <c r="A110" s="60">
        <v>2</v>
      </c>
      <c r="B110" s="60">
        <v>7</v>
      </c>
      <c r="C110" s="60">
        <v>7</v>
      </c>
      <c r="D110" s="60">
        <v>7</v>
      </c>
      <c r="E110" s="60">
        <v>5</v>
      </c>
      <c r="F110" s="60">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1" t="e">
        <f>IF(G110&gt;0,DT!AC110*I110+DT!AD110*J110+DT!AE110*K110+DT!AF110*L110+DT!AG110*M110+DT!AH110*N110,"")</f>
        <v>#VALUE!</v>
      </c>
      <c r="P110" s="15"/>
    </row>
    <row r="111" spans="1:16">
      <c r="A111" s="60">
        <v>3</v>
      </c>
      <c r="B111" s="60">
        <v>7</v>
      </c>
      <c r="C111" s="60">
        <v>7</v>
      </c>
      <c r="D111" s="60">
        <v>5</v>
      </c>
      <c r="E111" s="60">
        <v>4</v>
      </c>
      <c r="F111" s="60">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1" t="e">
        <f>IF(G111&gt;0,DT!AC111*I111+DT!AD111*J111+DT!AE111*K111+DT!AF111*L111+DT!AG111*M111+DT!AH111*N111,"")</f>
        <v>#VALUE!</v>
      </c>
      <c r="P111" s="15"/>
    </row>
    <row r="112" spans="1:16">
      <c r="A112" s="60">
        <v>6</v>
      </c>
      <c r="B112" s="60">
        <v>7</v>
      </c>
      <c r="C112" s="60">
        <v>7</v>
      </c>
      <c r="D112" s="60">
        <v>6</v>
      </c>
      <c r="E112" s="60">
        <v>5</v>
      </c>
      <c r="F112" s="60">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1" t="e">
        <f>IF(G112&gt;0,DT!AC112*I112+DT!AD112*J112+DT!AE112*K112+DT!AF112*L112+DT!AG112*M112+DT!AH112*N112,"")</f>
        <v>#VALUE!</v>
      </c>
      <c r="P112" s="15"/>
    </row>
    <row r="113" spans="1:16">
      <c r="A113" s="60">
        <v>6</v>
      </c>
      <c r="B113" s="60">
        <v>6</v>
      </c>
      <c r="C113" s="60">
        <v>6</v>
      </c>
      <c r="D113" s="60">
        <v>5</v>
      </c>
      <c r="E113" s="60">
        <v>6</v>
      </c>
      <c r="F113" s="60">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1" t="e">
        <f>IF(G113&gt;0,DT!AC113*I113+DT!AD113*J113+DT!AE113*K113+DT!AF113*L113+DT!AG113*M113+DT!AH113*N113,"")</f>
        <v>#VALUE!</v>
      </c>
      <c r="P113" s="15"/>
    </row>
    <row r="114" spans="1:16">
      <c r="A114" s="60">
        <v>7</v>
      </c>
      <c r="B114" s="60">
        <v>5</v>
      </c>
      <c r="C114" s="60">
        <v>7</v>
      </c>
      <c r="D114" s="60">
        <v>7</v>
      </c>
      <c r="E114" s="60">
        <v>7</v>
      </c>
      <c r="F114" s="60">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1" t="e">
        <f>IF(G114&gt;0,DT!AC114*I114+DT!AD114*J114+DT!AE114*K114+DT!AF114*L114+DT!AG114*M114+DT!AH114*N114,"")</f>
        <v>#VALUE!</v>
      </c>
      <c r="P114" s="15"/>
    </row>
    <row r="115" spans="1:16">
      <c r="A115" s="60">
        <v>7</v>
      </c>
      <c r="B115" s="60">
        <v>5</v>
      </c>
      <c r="C115" s="60">
        <v>7</v>
      </c>
      <c r="D115" s="60">
        <v>7</v>
      </c>
      <c r="E115" s="60">
        <v>7</v>
      </c>
      <c r="F115" s="60">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1" t="e">
        <f>IF(G115&gt;0,DT!AC115*I115+DT!AD115*J115+DT!AE115*K115+DT!AF115*L115+DT!AG115*M115+DT!AH115*N115,"")</f>
        <v>#VALUE!</v>
      </c>
      <c r="P115" s="15"/>
    </row>
    <row r="116" spans="1:16">
      <c r="A116" s="60">
        <v>5</v>
      </c>
      <c r="B116" s="60">
        <v>7</v>
      </c>
      <c r="C116" s="60">
        <v>7</v>
      </c>
      <c r="D116" s="60">
        <v>6</v>
      </c>
      <c r="E116" s="60">
        <v>2</v>
      </c>
      <c r="F116" s="60">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1" t="e">
        <f>IF(G116&gt;0,DT!AC116*I116+DT!AD116*J116+DT!AE116*K116+DT!AF116*L116+DT!AG116*M116+DT!AH116*N116,"")</f>
        <v>#VALUE!</v>
      </c>
      <c r="P116" s="15"/>
    </row>
    <row r="117" spans="1:16">
      <c r="A117" s="60">
        <v>6</v>
      </c>
      <c r="B117" s="60">
        <v>7</v>
      </c>
      <c r="C117" s="60">
        <v>7</v>
      </c>
      <c r="D117" s="60">
        <v>7</v>
      </c>
      <c r="E117" s="60">
        <v>6</v>
      </c>
      <c r="F117" s="60">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1" t="e">
        <f>IF(G117&gt;0,DT!AC117*I117+DT!AD117*J117+DT!AE117*K117+DT!AF117*L117+DT!AG117*M117+DT!AH117*N117,"")</f>
        <v>#VALUE!</v>
      </c>
      <c r="P117" s="15"/>
    </row>
    <row r="118" spans="1:16">
      <c r="A118" s="60">
        <v>4</v>
      </c>
      <c r="B118" s="60">
        <v>5</v>
      </c>
      <c r="C118" s="60">
        <v>5</v>
      </c>
      <c r="D118" s="60">
        <v>4</v>
      </c>
      <c r="E118" s="60">
        <v>3</v>
      </c>
      <c r="F118" s="60">
        <v>4</v>
      </c>
      <c r="G118" s="1">
        <f t="shared" si="16"/>
        <v>25</v>
      </c>
      <c r="I118" s="7">
        <f t="shared" si="17"/>
        <v>0.16</v>
      </c>
      <c r="J118" s="7">
        <f t="shared" si="18"/>
        <v>0.2</v>
      </c>
      <c r="K118" s="7">
        <f t="shared" si="19"/>
        <v>0.2</v>
      </c>
      <c r="L118" s="7">
        <f t="shared" si="20"/>
        <v>0.16</v>
      </c>
      <c r="M118" s="7">
        <f t="shared" si="21"/>
        <v>0.12</v>
      </c>
      <c r="N118" s="7">
        <f t="shared" si="22"/>
        <v>0.16</v>
      </c>
      <c r="O118" s="51" t="e">
        <f>IF(G118&gt;0,DT!AC118*I118+DT!AD118*J118+DT!AE118*K118+DT!AF118*L118+DT!AG118*M118+DT!AH118*N118,"")</f>
        <v>#VALUE!</v>
      </c>
      <c r="P118" s="15"/>
    </row>
    <row r="119" spans="1:16">
      <c r="A119" s="60">
        <v>5</v>
      </c>
      <c r="B119" s="60">
        <v>7</v>
      </c>
      <c r="C119" s="60">
        <v>7</v>
      </c>
      <c r="D119" s="60">
        <v>5</v>
      </c>
      <c r="E119" s="60">
        <v>3</v>
      </c>
      <c r="F119" s="60">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1" t="e">
        <f>IF(G119&gt;0,DT!AC119*I119+DT!AD119*J119+DT!AE119*K119+DT!AF119*L119+DT!AG119*M119+DT!AH119*N119,"")</f>
        <v>#VALUE!</v>
      </c>
      <c r="P119" s="15"/>
    </row>
    <row r="120" spans="1:16">
      <c r="A120" s="60">
        <v>5</v>
      </c>
      <c r="B120" s="60">
        <v>6</v>
      </c>
      <c r="C120" s="60">
        <v>6</v>
      </c>
      <c r="D120" s="60">
        <v>6</v>
      </c>
      <c r="E120" s="60">
        <v>5</v>
      </c>
      <c r="F120" s="60">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1" t="e">
        <f>IF(G120&gt;0,DT!AC120*I120+DT!AD120*J120+DT!AE120*K120+DT!AF120*L120+DT!AG120*M120+DT!AH120*N120,"")</f>
        <v>#VALUE!</v>
      </c>
      <c r="P120" s="15"/>
    </row>
    <row r="121" spans="1:16">
      <c r="A121" s="60">
        <v>7</v>
      </c>
      <c r="B121" s="60">
        <v>7</v>
      </c>
      <c r="C121" s="60">
        <v>7</v>
      </c>
      <c r="D121" s="60">
        <v>7</v>
      </c>
      <c r="E121" s="60">
        <v>7</v>
      </c>
      <c r="F121" s="60">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1" t="e">
        <f>IF(G121&gt;0,DT!AC121*I121+DT!AD121*J121+DT!AE121*K121+DT!AF121*L121+DT!AG121*M121+DT!AH121*N121,"")</f>
        <v>#VALUE!</v>
      </c>
      <c r="P121" s="15"/>
    </row>
    <row r="122" spans="1:16">
      <c r="A122" s="60">
        <v>6</v>
      </c>
      <c r="B122" s="60">
        <v>5</v>
      </c>
      <c r="C122" s="60">
        <v>6</v>
      </c>
      <c r="D122" s="60">
        <v>6</v>
      </c>
      <c r="E122" s="60">
        <v>6</v>
      </c>
      <c r="F122" s="60">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1" t="e">
        <f>IF(G122&gt;0,DT!AC122*I122+DT!AD122*J122+DT!AE122*K122+DT!AF122*L122+DT!AG122*M122+DT!AH122*N122,"")</f>
        <v>#VALUE!</v>
      </c>
      <c r="P122" s="15"/>
    </row>
    <row r="123" spans="1:16">
      <c r="A123" s="60">
        <v>5</v>
      </c>
      <c r="B123" s="60">
        <v>5</v>
      </c>
      <c r="C123" s="60">
        <v>6</v>
      </c>
      <c r="D123" s="60">
        <v>5</v>
      </c>
      <c r="E123" s="60">
        <v>4</v>
      </c>
      <c r="F123" s="60">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1" t="e">
        <f>IF(G123&gt;0,DT!AC123*I123+DT!AD123*J123+DT!AE123*K123+DT!AF123*L123+DT!AG123*M123+DT!AH123*N123,"")</f>
        <v>#VALUE!</v>
      </c>
      <c r="P123" s="15"/>
    </row>
    <row r="124" spans="1:16">
      <c r="A124" s="60">
        <v>6</v>
      </c>
      <c r="B124" s="60">
        <v>6</v>
      </c>
      <c r="C124" s="60">
        <v>7</v>
      </c>
      <c r="D124" s="60">
        <v>6</v>
      </c>
      <c r="E124" s="60">
        <v>6</v>
      </c>
      <c r="F124" s="60">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1" t="e">
        <f>IF(G124&gt;0,DT!AC124*I124+DT!AD124*J124+DT!AE124*K124+DT!AF124*L124+DT!AG124*M124+DT!AH124*N124,"")</f>
        <v>#VALUE!</v>
      </c>
      <c r="P124" s="15"/>
    </row>
    <row r="125" spans="1:16">
      <c r="A125" s="60">
        <v>5</v>
      </c>
      <c r="B125" s="60">
        <v>7</v>
      </c>
      <c r="C125" s="60">
        <v>7</v>
      </c>
      <c r="D125" s="60">
        <v>7</v>
      </c>
      <c r="E125" s="60">
        <v>4</v>
      </c>
      <c r="F125" s="60">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1" t="e">
        <f>IF(G125&gt;0,DT!AC125*I125+DT!AD125*J125+DT!AE125*K125+DT!AF125*L125+DT!AG125*M125+DT!AH125*N125,"")</f>
        <v>#VALUE!</v>
      </c>
      <c r="P125" s="15"/>
    </row>
    <row r="126" spans="1:16">
      <c r="A126" s="60">
        <v>7</v>
      </c>
      <c r="B126" s="60">
        <v>7</v>
      </c>
      <c r="C126" s="60">
        <v>7</v>
      </c>
      <c r="D126" s="60">
        <v>5</v>
      </c>
      <c r="E126" s="60">
        <v>7</v>
      </c>
      <c r="F126" s="60">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1" t="e">
        <f>IF(G126&gt;0,DT!AC126*I126+DT!AD126*J126+DT!AE126*K126+DT!AF126*L126+DT!AG126*M126+DT!AH126*N126,"")</f>
        <v>#VALUE!</v>
      </c>
      <c r="P126" s="15"/>
    </row>
    <row r="127" spans="1:16">
      <c r="A127" s="60">
        <v>5</v>
      </c>
      <c r="B127" s="60">
        <v>7</v>
      </c>
      <c r="C127" s="60">
        <v>4</v>
      </c>
      <c r="D127" s="60">
        <v>7</v>
      </c>
      <c r="E127" s="60">
        <v>3</v>
      </c>
      <c r="F127" s="60">
        <v>6</v>
      </c>
      <c r="G127" s="1">
        <f t="shared" si="16"/>
        <v>32</v>
      </c>
      <c r="I127" s="7">
        <f t="shared" si="17"/>
        <v>0.15625</v>
      </c>
      <c r="J127" s="7">
        <f t="shared" si="18"/>
        <v>0.21875</v>
      </c>
      <c r="K127" s="7">
        <f t="shared" si="19"/>
        <v>0.125</v>
      </c>
      <c r="L127" s="7">
        <f t="shared" si="20"/>
        <v>0.21875</v>
      </c>
      <c r="M127" s="7">
        <f t="shared" si="21"/>
        <v>9.375E-2</v>
      </c>
      <c r="N127" s="7">
        <f t="shared" si="22"/>
        <v>0.1875</v>
      </c>
      <c r="O127" s="51" t="e">
        <f>IF(G127&gt;0,DT!AC127*I127+DT!AD127*J127+DT!AE127*K127+DT!AF127*L127+DT!AG127*M127+DT!AH127*N127,"")</f>
        <v>#VALUE!</v>
      </c>
      <c r="P127" s="15"/>
    </row>
    <row r="128" spans="1:16">
      <c r="A128" s="60">
        <v>5</v>
      </c>
      <c r="B128" s="60">
        <v>6</v>
      </c>
      <c r="C128" s="60">
        <v>5</v>
      </c>
      <c r="D128" s="60">
        <v>6</v>
      </c>
      <c r="E128" s="60">
        <v>4</v>
      </c>
      <c r="F128" s="60">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1" t="e">
        <f>IF(G128&gt;0,DT!AC128*I128+DT!AD128*J128+DT!AE128*K128+DT!AF128*L128+DT!AG128*M128+DT!AH128*N128,"")</f>
        <v>#VALUE!</v>
      </c>
      <c r="P128" s="15"/>
    </row>
    <row r="129" spans="1:16">
      <c r="A129" s="60">
        <v>5</v>
      </c>
      <c r="B129" s="60">
        <v>7</v>
      </c>
      <c r="C129" s="60">
        <v>7</v>
      </c>
      <c r="D129" s="60">
        <v>7</v>
      </c>
      <c r="E129" s="60">
        <v>3</v>
      </c>
      <c r="F129" s="60">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1" t="e">
        <f>IF(G129&gt;0,DT!AC129*I129+DT!AD129*J129+DT!AE129*K129+DT!AF129*L129+DT!AG129*M129+DT!AH129*N129,"")</f>
        <v>#VALUE!</v>
      </c>
      <c r="P129" s="15"/>
    </row>
    <row r="130" spans="1:16">
      <c r="A130" s="60">
        <v>7</v>
      </c>
      <c r="B130" s="60">
        <v>7</v>
      </c>
      <c r="C130" s="60">
        <v>4</v>
      </c>
      <c r="D130" s="60">
        <v>5</v>
      </c>
      <c r="E130" s="60">
        <v>3</v>
      </c>
      <c r="F130" s="60">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1" t="e">
        <f>IF(G130&gt;0,DT!AC130*I130+DT!AD130*J130+DT!AE130*K130+DT!AF130*L130+DT!AG130*M130+DT!AH130*N130,"")</f>
        <v>#VALUE!</v>
      </c>
      <c r="P130" s="15"/>
    </row>
    <row r="131" spans="1:16">
      <c r="A131" s="60">
        <v>4</v>
      </c>
      <c r="B131" s="60">
        <v>3</v>
      </c>
      <c r="C131" s="60">
        <v>6</v>
      </c>
      <c r="D131" s="60">
        <v>5</v>
      </c>
      <c r="E131" s="60">
        <v>5</v>
      </c>
      <c r="F131" s="60">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1" t="e">
        <f>IF(G131&gt;0,DT!AC131*I131+DT!AD131*J131+DT!AE131*K131+DT!AF131*L131+DT!AG131*M131+DT!AH131*N131,"")</f>
        <v>#VALUE!</v>
      </c>
      <c r="P131" s="15"/>
    </row>
    <row r="132" spans="1:16">
      <c r="A132" s="60">
        <v>5</v>
      </c>
      <c r="B132" s="60">
        <v>7</v>
      </c>
      <c r="C132" s="60">
        <v>7</v>
      </c>
      <c r="D132" s="60">
        <v>7</v>
      </c>
      <c r="E132" s="60">
        <v>6</v>
      </c>
      <c r="F132" s="60">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1" t="e">
        <f>IF(G132&gt;0,DT!AC132*I132+DT!AD132*J132+DT!AE132*K132+DT!AF132*L132+DT!AG132*M132+DT!AH132*N132,"")</f>
        <v>#VALUE!</v>
      </c>
      <c r="P132" s="15"/>
    </row>
    <row r="133" spans="1:16">
      <c r="A133" s="60">
        <v>7</v>
      </c>
      <c r="B133" s="60">
        <v>7</v>
      </c>
      <c r="C133" s="60">
        <v>7</v>
      </c>
      <c r="D133" s="60">
        <v>7</v>
      </c>
      <c r="E133" s="60">
        <v>3</v>
      </c>
      <c r="F133" s="60">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1" t="e">
        <f>IF(G133&gt;0,DT!AC133*I133+DT!AD133*J133+DT!AE133*K133+DT!AF133*L133+DT!AG133*M133+DT!AH133*N133,"")</f>
        <v>#VALUE!</v>
      </c>
      <c r="P133" s="15"/>
    </row>
    <row r="134" spans="1:16">
      <c r="A134" s="60">
        <v>5</v>
      </c>
      <c r="B134" s="60">
        <v>5</v>
      </c>
      <c r="C134" s="60">
        <v>6</v>
      </c>
      <c r="D134" s="60">
        <v>7</v>
      </c>
      <c r="E134" s="60">
        <v>5</v>
      </c>
      <c r="F134" s="60">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1" t="e">
        <f>IF(G134&gt;0,DT!AC134*I134+DT!AD134*J134+DT!AE134*K134+DT!AF134*L134+DT!AG134*M134+DT!AH134*N134,"")</f>
        <v>#VALUE!</v>
      </c>
      <c r="P134" s="15"/>
    </row>
    <row r="135" spans="1:16">
      <c r="A135" s="60">
        <v>5</v>
      </c>
      <c r="B135" s="60">
        <v>6</v>
      </c>
      <c r="C135" s="60">
        <v>5</v>
      </c>
      <c r="D135" s="60">
        <v>5</v>
      </c>
      <c r="E135" s="60">
        <v>6</v>
      </c>
      <c r="F135" s="60">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1" t="e">
        <f>IF(G135&gt;0,DT!AC135*I135+DT!AD135*J135+DT!AE135*K135+DT!AF135*L135+DT!AG135*M135+DT!AH135*N135,"")</f>
        <v>#VALUE!</v>
      </c>
      <c r="P135" s="15"/>
    </row>
    <row r="136" spans="1:16">
      <c r="A136" s="60">
        <v>3</v>
      </c>
      <c r="B136" s="60">
        <v>6</v>
      </c>
      <c r="C136" s="60">
        <v>6</v>
      </c>
      <c r="D136" s="60">
        <v>6</v>
      </c>
      <c r="E136" s="60">
        <v>3</v>
      </c>
      <c r="F136" s="60">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1" t="e">
        <f>IF(G136&gt;0,DT!AC136*I136+DT!AD136*J136+DT!AE136*K136+DT!AF136*L136+DT!AG136*M136+DT!AH136*N136,"")</f>
        <v>#VALUE!</v>
      </c>
      <c r="P136" s="15"/>
    </row>
    <row r="137" spans="1:16">
      <c r="A137" s="60">
        <v>7</v>
      </c>
      <c r="B137" s="60">
        <v>7</v>
      </c>
      <c r="C137" s="60">
        <v>7</v>
      </c>
      <c r="D137" s="60">
        <v>7</v>
      </c>
      <c r="E137" s="60">
        <v>5</v>
      </c>
      <c r="F137" s="60">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1" t="e">
        <f>IF(G137&gt;0,DT!AC137*I137+DT!AD137*J137+DT!AE137*K137+DT!AF137*L137+DT!AG137*M137+DT!AH137*N137,"")</f>
        <v>#VALUE!</v>
      </c>
      <c r="P137" s="15"/>
    </row>
    <row r="138" spans="1:16">
      <c r="A138" s="60">
        <v>6</v>
      </c>
      <c r="B138" s="60">
        <v>7</v>
      </c>
      <c r="C138" s="60">
        <v>7</v>
      </c>
      <c r="D138" s="60">
        <v>6</v>
      </c>
      <c r="E138" s="60">
        <v>5</v>
      </c>
      <c r="F138" s="60">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1" t="e">
        <f>IF(G138&gt;0,DT!AC138*I138+DT!AD138*J138+DT!AE138*K138+DT!AF138*L138+DT!AG138*M138+DT!AH138*N138,"")</f>
        <v>#VALUE!</v>
      </c>
      <c r="P138" s="15"/>
    </row>
    <row r="139" spans="1:16">
      <c r="A139" s="60">
        <v>5</v>
      </c>
      <c r="B139" s="60">
        <v>6</v>
      </c>
      <c r="C139" s="60">
        <v>6</v>
      </c>
      <c r="D139" s="60">
        <v>7</v>
      </c>
      <c r="E139" s="60">
        <v>4</v>
      </c>
      <c r="F139" s="60">
        <v>4</v>
      </c>
      <c r="G139" s="1">
        <f t="shared" si="23"/>
        <v>32</v>
      </c>
      <c r="I139" s="7">
        <f t="shared" si="17"/>
        <v>0.15625</v>
      </c>
      <c r="J139" s="7">
        <f t="shared" si="18"/>
        <v>0.1875</v>
      </c>
      <c r="K139" s="7">
        <f t="shared" si="19"/>
        <v>0.1875</v>
      </c>
      <c r="L139" s="7">
        <f t="shared" si="20"/>
        <v>0.21875</v>
      </c>
      <c r="M139" s="7">
        <f t="shared" si="21"/>
        <v>0.125</v>
      </c>
      <c r="N139" s="7">
        <f t="shared" si="22"/>
        <v>0.125</v>
      </c>
      <c r="O139" s="51" t="e">
        <f>IF(G139&gt;0,DT!AC139*I139+DT!AD139*J139+DT!AE139*K139+DT!AF139*L139+DT!AG139*M139+DT!AH139*N139,"")</f>
        <v>#VALUE!</v>
      </c>
      <c r="P139" s="15"/>
    </row>
    <row r="140" spans="1:16">
      <c r="A140" s="60">
        <v>5</v>
      </c>
      <c r="B140" s="60">
        <v>5</v>
      </c>
      <c r="C140" s="60">
        <v>6</v>
      </c>
      <c r="D140" s="60">
        <v>4</v>
      </c>
      <c r="E140" s="60">
        <v>5</v>
      </c>
      <c r="F140" s="60">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1" t="e">
        <f>IF(G140&gt;0,DT!AC140*I140+DT!AD140*J140+DT!AE140*K140+DT!AF140*L140+DT!AG140*M140+DT!AH140*N140,"")</f>
        <v>#VALUE!</v>
      </c>
      <c r="P140" s="15"/>
    </row>
    <row r="141" spans="1:16">
      <c r="A141" s="60">
        <v>6</v>
      </c>
      <c r="B141" s="60">
        <v>7</v>
      </c>
      <c r="C141" s="60">
        <v>7</v>
      </c>
      <c r="D141" s="60">
        <v>6</v>
      </c>
      <c r="E141" s="60">
        <v>5</v>
      </c>
      <c r="F141" s="60">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1" t="e">
        <f>IF(G141&gt;0,DT!AC141*I141+DT!AD141*J141+DT!AE141*K141+DT!AF141*L141+DT!AG141*M141+DT!AH141*N141,"")</f>
        <v>#VALUE!</v>
      </c>
      <c r="P141" s="15"/>
    </row>
    <row r="142" spans="1:16">
      <c r="A142" s="60">
        <v>7</v>
      </c>
      <c r="B142" s="60">
        <v>4</v>
      </c>
      <c r="C142" s="60">
        <v>7</v>
      </c>
      <c r="D142" s="60">
        <v>5</v>
      </c>
      <c r="E142" s="60">
        <v>5</v>
      </c>
      <c r="F142" s="60">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1" t="e">
        <f>IF(G142&gt;0,DT!AC142*I142+DT!AD142*J142+DT!AE142*K142+DT!AF142*L142+DT!AG142*M142+DT!AH142*N142,"")</f>
        <v>#VALUE!</v>
      </c>
      <c r="P142" s="15"/>
    </row>
    <row r="143" spans="1:16">
      <c r="A143" s="60">
        <v>5</v>
      </c>
      <c r="B143" s="60">
        <v>6</v>
      </c>
      <c r="C143" s="60">
        <v>7</v>
      </c>
      <c r="D143" s="60">
        <v>7</v>
      </c>
      <c r="E143" s="60">
        <v>5</v>
      </c>
      <c r="F143" s="60">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1" t="e">
        <f>IF(G143&gt;0,DT!AC143*I143+DT!AD143*J143+DT!AE143*K143+DT!AF143*L143+DT!AG143*M143+DT!AH143*N143,"")</f>
        <v>#VALUE!</v>
      </c>
      <c r="P143" s="15"/>
    </row>
    <row r="144" spans="1:16">
      <c r="A144" s="60">
        <v>6</v>
      </c>
      <c r="B144" s="60">
        <v>7</v>
      </c>
      <c r="C144" s="60">
        <v>6</v>
      </c>
      <c r="D144" s="60">
        <v>6</v>
      </c>
      <c r="E144" s="60">
        <v>6</v>
      </c>
      <c r="F144" s="60">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1" t="e">
        <f>IF(G144&gt;0,DT!AC144*I144+DT!AD144*J144+DT!AE144*K144+DT!AF144*L144+DT!AG144*M144+DT!AH144*N144,"")</f>
        <v>#VALUE!</v>
      </c>
      <c r="P144" s="15"/>
    </row>
    <row r="145" spans="1:16">
      <c r="A145" s="60">
        <v>6</v>
      </c>
      <c r="B145" s="60">
        <v>4</v>
      </c>
      <c r="C145" s="60">
        <v>6</v>
      </c>
      <c r="D145" s="60">
        <v>6</v>
      </c>
      <c r="E145" s="60">
        <v>5</v>
      </c>
      <c r="F145" s="60">
        <v>5</v>
      </c>
      <c r="G145" s="1">
        <f t="shared" si="23"/>
        <v>32</v>
      </c>
      <c r="I145" s="7">
        <f t="shared" si="17"/>
        <v>0.1875</v>
      </c>
      <c r="J145" s="7">
        <f t="shared" si="18"/>
        <v>0.125</v>
      </c>
      <c r="K145" s="7">
        <f t="shared" si="19"/>
        <v>0.1875</v>
      </c>
      <c r="L145" s="7">
        <f t="shared" si="20"/>
        <v>0.1875</v>
      </c>
      <c r="M145" s="7">
        <f t="shared" si="21"/>
        <v>0.15625</v>
      </c>
      <c r="N145" s="7">
        <f t="shared" si="22"/>
        <v>0.15625</v>
      </c>
      <c r="O145" s="51" t="e">
        <f>IF(G145&gt;0,DT!AC145*I145+DT!AD145*J145+DT!AE145*K145+DT!AF145*L145+DT!AG145*M145+DT!AH145*N145,"")</f>
        <v>#VALUE!</v>
      </c>
      <c r="P145" s="15"/>
    </row>
    <row r="146" spans="1:16">
      <c r="A146" s="60">
        <v>6</v>
      </c>
      <c r="B146" s="60">
        <v>5</v>
      </c>
      <c r="C146" s="60">
        <v>6</v>
      </c>
      <c r="D146" s="60">
        <v>4</v>
      </c>
      <c r="E146" s="60">
        <v>6</v>
      </c>
      <c r="F146" s="60">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1" t="e">
        <f>IF(G146&gt;0,DT!AC146*I146+DT!AD146*J146+DT!AE146*K146+DT!AF146*L146+DT!AG146*M146+DT!AH146*N146,"")</f>
        <v>#VALUE!</v>
      </c>
      <c r="P146" s="15"/>
    </row>
    <row r="147" spans="1:16">
      <c r="A147" s="60">
        <v>7</v>
      </c>
      <c r="B147" s="60">
        <v>6</v>
      </c>
      <c r="C147" s="60">
        <v>7</v>
      </c>
      <c r="D147" s="60">
        <v>7</v>
      </c>
      <c r="E147" s="60">
        <v>1</v>
      </c>
      <c r="F147" s="60">
        <v>4</v>
      </c>
      <c r="G147" s="1">
        <f t="shared" si="23"/>
        <v>32</v>
      </c>
      <c r="I147" s="7">
        <f t="shared" si="17"/>
        <v>0.21875</v>
      </c>
      <c r="J147" s="7">
        <f t="shared" si="18"/>
        <v>0.1875</v>
      </c>
      <c r="K147" s="7">
        <f t="shared" si="19"/>
        <v>0.21875</v>
      </c>
      <c r="L147" s="7">
        <f t="shared" si="20"/>
        <v>0.21875</v>
      </c>
      <c r="M147" s="7">
        <f t="shared" si="21"/>
        <v>3.125E-2</v>
      </c>
      <c r="N147" s="7">
        <f t="shared" si="22"/>
        <v>0.125</v>
      </c>
      <c r="O147" s="51" t="e">
        <f>IF(G147&gt;0,DT!AC147*I147+DT!AD147*J147+DT!AE147*K147+DT!AF147*L147+DT!AG147*M147+DT!AH147*N147,"")</f>
        <v>#VALUE!</v>
      </c>
      <c r="P147" s="15"/>
    </row>
    <row r="148" spans="1:16">
      <c r="A148" s="60">
        <v>6</v>
      </c>
      <c r="B148" s="60">
        <v>6</v>
      </c>
      <c r="C148" s="60">
        <v>7</v>
      </c>
      <c r="D148" s="60">
        <v>6</v>
      </c>
      <c r="E148" s="60">
        <v>4</v>
      </c>
      <c r="F148" s="60">
        <v>3</v>
      </c>
      <c r="G148" s="1">
        <f t="shared" si="23"/>
        <v>32</v>
      </c>
      <c r="I148" s="7">
        <f t="shared" si="17"/>
        <v>0.1875</v>
      </c>
      <c r="J148" s="7">
        <f t="shared" si="18"/>
        <v>0.1875</v>
      </c>
      <c r="K148" s="7">
        <f t="shared" si="19"/>
        <v>0.21875</v>
      </c>
      <c r="L148" s="7">
        <f t="shared" si="20"/>
        <v>0.1875</v>
      </c>
      <c r="M148" s="7">
        <f t="shared" si="21"/>
        <v>0.125</v>
      </c>
      <c r="N148" s="7">
        <f t="shared" si="22"/>
        <v>9.375E-2</v>
      </c>
      <c r="O148" s="51" t="e">
        <f>IF(G148&gt;0,DT!AC148*I148+DT!AD148*J148+DT!AE148*K148+DT!AF148*L148+DT!AG148*M148+DT!AH148*N148,"")</f>
        <v>#VALUE!</v>
      </c>
      <c r="P148" s="15"/>
    </row>
    <row r="149" spans="1:16">
      <c r="A149" s="60">
        <v>6</v>
      </c>
      <c r="B149" s="60">
        <v>6</v>
      </c>
      <c r="C149" s="60">
        <v>7</v>
      </c>
      <c r="D149" s="60">
        <v>7</v>
      </c>
      <c r="E149" s="60">
        <v>5</v>
      </c>
      <c r="F149" s="60">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1" t="e">
        <f>IF(G149&gt;0,DT!AC149*I149+DT!AD149*J149+DT!AE149*K149+DT!AF149*L149+DT!AG149*M149+DT!AH149*N149,"")</f>
        <v>#VALUE!</v>
      </c>
      <c r="P149" s="15"/>
    </row>
    <row r="150" spans="1:16">
      <c r="A150" s="60">
        <v>5</v>
      </c>
      <c r="B150" s="60">
        <v>7</v>
      </c>
      <c r="C150" s="60">
        <v>7</v>
      </c>
      <c r="D150" s="60">
        <v>7</v>
      </c>
      <c r="E150" s="60">
        <v>5</v>
      </c>
      <c r="F150" s="60">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1" t="e">
        <f>IF(G150&gt;0,DT!AC150*I150+DT!AD150*J150+DT!AE150*K150+DT!AF150*L150+DT!AG150*M150+DT!AH150*N150,"")</f>
        <v>#VALUE!</v>
      </c>
      <c r="P150" s="15"/>
    </row>
    <row r="151" spans="1:16">
      <c r="A151" s="60">
        <v>6</v>
      </c>
      <c r="B151" s="60">
        <v>7</v>
      </c>
      <c r="C151" s="60">
        <v>7</v>
      </c>
      <c r="D151" s="60">
        <v>5</v>
      </c>
      <c r="E151" s="60">
        <v>6</v>
      </c>
      <c r="F151" s="60">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1" t="e">
        <f>IF(G151&gt;0,DT!AC151*I151+DT!AD151*J151+DT!AE151*K151+DT!AF151*L151+DT!AG151*M151+DT!AH151*N151,"")</f>
        <v>#VALUE!</v>
      </c>
      <c r="P151" s="15"/>
    </row>
    <row r="152" spans="1:16">
      <c r="A152" s="60">
        <v>6</v>
      </c>
      <c r="B152" s="60">
        <v>6</v>
      </c>
      <c r="C152" s="60">
        <v>6</v>
      </c>
      <c r="D152" s="60">
        <v>7</v>
      </c>
      <c r="E152" s="60">
        <v>5</v>
      </c>
      <c r="F152" s="60">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1" t="e">
        <f>IF(G152&gt;0,DT!AC152*I152+DT!AD152*J152+DT!AE152*K152+DT!AF152*L152+DT!AG152*M152+DT!AH152*N152,"")</f>
        <v>#VALUE!</v>
      </c>
      <c r="P152" s="15"/>
    </row>
    <row r="153" spans="1:16">
      <c r="A153" s="60">
        <v>6</v>
      </c>
      <c r="B153" s="60">
        <v>7</v>
      </c>
      <c r="C153" s="60">
        <v>6</v>
      </c>
      <c r="D153" s="60">
        <v>6</v>
      </c>
      <c r="E153" s="60">
        <v>6</v>
      </c>
      <c r="F153" s="60">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1" t="e">
        <f>IF(G153&gt;0,DT!AC153*I153+DT!AD153*J153+DT!AE153*K153+DT!AF153*L153+DT!AG153*M153+DT!AH153*N153,"")</f>
        <v>#VALUE!</v>
      </c>
      <c r="P153" s="15"/>
    </row>
    <row r="154" spans="1:16">
      <c r="A154" s="60">
        <v>4</v>
      </c>
      <c r="B154" s="60">
        <v>6</v>
      </c>
      <c r="C154" s="60">
        <v>6</v>
      </c>
      <c r="D154" s="60">
        <v>6</v>
      </c>
      <c r="E154" s="60">
        <v>4</v>
      </c>
      <c r="F154" s="60">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1" t="e">
        <f>IF(G154&gt;0,DT!AC154*I154+DT!AD154*J154+DT!AE154*K154+DT!AF154*L154+DT!AG154*M154+DT!AH154*N154,"")</f>
        <v>#VALUE!</v>
      </c>
      <c r="P154" s="15"/>
    </row>
    <row r="155" spans="1:16">
      <c r="A155" s="60">
        <v>5</v>
      </c>
      <c r="B155" s="60">
        <v>5</v>
      </c>
      <c r="C155" s="60">
        <v>6</v>
      </c>
      <c r="D155" s="60">
        <v>5</v>
      </c>
      <c r="E155" s="60">
        <v>4</v>
      </c>
      <c r="F155" s="60">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1" t="e">
        <f>IF(G155&gt;0,DT!AC155*I155+DT!AD155*J155+DT!AE155*K155+DT!AF155*L155+DT!AG155*M155+DT!AH155*N155,"")</f>
        <v>#VALUE!</v>
      </c>
      <c r="P155" s="15"/>
    </row>
    <row r="156" spans="1:16">
      <c r="A156" s="60">
        <v>6</v>
      </c>
      <c r="B156" s="60">
        <v>6</v>
      </c>
      <c r="C156" s="60">
        <v>6</v>
      </c>
      <c r="D156" s="60">
        <v>5</v>
      </c>
      <c r="E156" s="60">
        <v>4</v>
      </c>
      <c r="F156" s="60">
        <v>5</v>
      </c>
      <c r="G156" s="1">
        <f t="shared" si="23"/>
        <v>32</v>
      </c>
      <c r="I156" s="7">
        <f t="shared" si="17"/>
        <v>0.1875</v>
      </c>
      <c r="J156" s="7">
        <f t="shared" si="18"/>
        <v>0.1875</v>
      </c>
      <c r="K156" s="7">
        <f t="shared" si="19"/>
        <v>0.1875</v>
      </c>
      <c r="L156" s="7">
        <f t="shared" si="20"/>
        <v>0.15625</v>
      </c>
      <c r="M156" s="7">
        <f t="shared" si="21"/>
        <v>0.125</v>
      </c>
      <c r="N156" s="7">
        <f t="shared" si="22"/>
        <v>0.15625</v>
      </c>
      <c r="O156" s="51" t="e">
        <f>IF(G156&gt;0,DT!AC156*I156+DT!AD156*J156+DT!AE156*K156+DT!AF156*L156+DT!AG156*M156+DT!AH156*N156,"")</f>
        <v>#VALUE!</v>
      </c>
      <c r="P156" s="15"/>
    </row>
    <row r="157" spans="1:16">
      <c r="A157" s="60">
        <v>2</v>
      </c>
      <c r="B157" s="60">
        <v>7</v>
      </c>
      <c r="C157" s="60">
        <v>7</v>
      </c>
      <c r="D157" s="60">
        <v>6</v>
      </c>
      <c r="E157" s="60">
        <v>3</v>
      </c>
      <c r="F157" s="60">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1" t="e">
        <f>IF(G157&gt;0,DT!AC157*I157+DT!AD157*J157+DT!AE157*K157+DT!AF157*L157+DT!AG157*M157+DT!AH157*N157,"")</f>
        <v>#VALUE!</v>
      </c>
      <c r="P157" s="15"/>
    </row>
    <row r="158" spans="1:16">
      <c r="A158" s="60">
        <v>5</v>
      </c>
      <c r="B158" s="60">
        <v>4</v>
      </c>
      <c r="C158" s="60">
        <v>5</v>
      </c>
      <c r="D158" s="60">
        <v>5</v>
      </c>
      <c r="E158" s="60">
        <v>6</v>
      </c>
      <c r="F158" s="60">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1" t="e">
        <f>IF(G158&gt;0,DT!AC158*I158+DT!AD158*J158+DT!AE158*K158+DT!AF158*L158+DT!AG158*M158+DT!AH158*N158,"")</f>
        <v>#VALUE!</v>
      </c>
      <c r="P158" s="15"/>
    </row>
    <row r="159" spans="1:16">
      <c r="A159" s="60">
        <v>4</v>
      </c>
      <c r="B159" s="60">
        <v>5</v>
      </c>
      <c r="C159" s="60">
        <v>6</v>
      </c>
      <c r="D159" s="60">
        <v>6</v>
      </c>
      <c r="E159" s="60">
        <v>4</v>
      </c>
      <c r="F159" s="60">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1" t="e">
        <f>IF(G159&gt;0,DT!AC159*I159+DT!AD159*J159+DT!AE159*K159+DT!AF159*L159+DT!AG159*M159+DT!AH159*N159,"")</f>
        <v>#VALUE!</v>
      </c>
      <c r="P159" s="15"/>
    </row>
    <row r="160" spans="1:16">
      <c r="A160" s="60">
        <v>7</v>
      </c>
      <c r="B160" s="60">
        <v>7</v>
      </c>
      <c r="C160" s="60">
        <v>7</v>
      </c>
      <c r="D160" s="60">
        <v>5</v>
      </c>
      <c r="E160" s="60">
        <v>6</v>
      </c>
      <c r="F160" s="60">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1" t="e">
        <f>IF(G160&gt;0,DT!AC160*I160+DT!AD160*J160+DT!AE160*K160+DT!AF160*L160+DT!AG160*M160+DT!AH160*N160,"")</f>
        <v>#VALUE!</v>
      </c>
      <c r="P160" s="15"/>
    </row>
    <row r="161" spans="1:16">
      <c r="A161" s="60">
        <v>5</v>
      </c>
      <c r="B161" s="60">
        <v>7</v>
      </c>
      <c r="C161" s="60">
        <v>7</v>
      </c>
      <c r="D161" s="60">
        <v>7</v>
      </c>
      <c r="E161" s="60">
        <v>4</v>
      </c>
      <c r="F161" s="60">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1" t="e">
        <f>IF(G161&gt;0,DT!AC161*I161+DT!AD161*J161+DT!AE161*K161+DT!AF161*L161+DT!AG161*M161+DT!AH161*N161,"")</f>
        <v>#VALUE!</v>
      </c>
      <c r="P161" s="15"/>
    </row>
    <row r="162" spans="1:16">
      <c r="A162" s="60">
        <v>7</v>
      </c>
      <c r="B162" s="60">
        <v>7</v>
      </c>
      <c r="C162" s="60">
        <v>7</v>
      </c>
      <c r="D162" s="60">
        <v>7</v>
      </c>
      <c r="E162" s="60">
        <v>7</v>
      </c>
      <c r="F162" s="60">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1" t="e">
        <f>IF(G162&gt;0,DT!AC162*I162+DT!AD162*J162+DT!AE162*K162+DT!AF162*L162+DT!AG162*M162+DT!AH162*N162,"")</f>
        <v>#VALUE!</v>
      </c>
      <c r="P162" s="15"/>
    </row>
    <row r="163" spans="1:16">
      <c r="A163" s="60">
        <v>7</v>
      </c>
      <c r="B163" s="60">
        <v>6</v>
      </c>
      <c r="C163" s="60">
        <v>6</v>
      </c>
      <c r="D163" s="60">
        <v>6</v>
      </c>
      <c r="E163" s="60">
        <v>7</v>
      </c>
      <c r="F163" s="60">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1" t="e">
        <f>IF(G163&gt;0,DT!AC163*I163+DT!AD163*J163+DT!AE163*K163+DT!AF163*L163+DT!AG163*M163+DT!AH163*N163,"")</f>
        <v>#VALUE!</v>
      </c>
      <c r="P163" s="15"/>
    </row>
    <row r="164" spans="1:16">
      <c r="A164" s="60">
        <v>5</v>
      </c>
      <c r="B164" s="60">
        <v>5</v>
      </c>
      <c r="C164" s="60">
        <v>7</v>
      </c>
      <c r="D164" s="60">
        <v>6</v>
      </c>
      <c r="E164" s="60">
        <v>6</v>
      </c>
      <c r="F164" s="60">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1" t="e">
        <f>IF(G164&gt;0,DT!AC164*I164+DT!AD164*J164+DT!AE164*K164+DT!AF164*L164+DT!AG164*M164+DT!AH164*N164,"")</f>
        <v>#VALUE!</v>
      </c>
      <c r="P164" s="15"/>
    </row>
    <row r="165" spans="1:16">
      <c r="A165" s="60">
        <v>7</v>
      </c>
      <c r="B165" s="60">
        <v>6</v>
      </c>
      <c r="C165" s="60">
        <v>7</v>
      </c>
      <c r="D165" s="60">
        <v>7</v>
      </c>
      <c r="E165" s="60">
        <v>7</v>
      </c>
      <c r="F165" s="60">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1" t="e">
        <f>IF(G165&gt;0,DT!AC165*I165+DT!AD165*J165+DT!AE165*K165+DT!AF165*L165+DT!AG165*M165+DT!AH165*N165,"")</f>
        <v>#VALUE!</v>
      </c>
      <c r="P165" s="15"/>
    </row>
    <row r="166" spans="1:16">
      <c r="A166" s="60">
        <v>6</v>
      </c>
      <c r="B166" s="60">
        <v>5</v>
      </c>
      <c r="C166" s="60">
        <v>7</v>
      </c>
      <c r="D166" s="60">
        <v>5</v>
      </c>
      <c r="E166" s="60">
        <v>6</v>
      </c>
      <c r="F166" s="60">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1" t="e">
        <f>IF(G166&gt;0,DT!AC166*I166+DT!AD166*J166+DT!AE166*K166+DT!AF166*L166+DT!AG166*M166+DT!AH166*N166,"")</f>
        <v>#VALUE!</v>
      </c>
      <c r="P166" s="15"/>
    </row>
    <row r="167" spans="1:16">
      <c r="A167" s="60">
        <v>7</v>
      </c>
      <c r="B167" s="60">
        <v>7</v>
      </c>
      <c r="C167" s="60">
        <v>6</v>
      </c>
      <c r="D167" s="60">
        <v>6</v>
      </c>
      <c r="E167" s="60">
        <v>6</v>
      </c>
      <c r="F167" s="60">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1" t="e">
        <f>IF(G167&gt;0,DT!AC167*I167+DT!AD167*J167+DT!AE167*K167+DT!AF167*L167+DT!AG167*M167+DT!AH167*N167,"")</f>
        <v>#VALUE!</v>
      </c>
      <c r="P167" s="15"/>
    </row>
    <row r="168" spans="1:16">
      <c r="A168" s="60">
        <v>6</v>
      </c>
      <c r="B168" s="60">
        <v>5</v>
      </c>
      <c r="C168" s="60">
        <v>6</v>
      </c>
      <c r="D168" s="60">
        <v>6</v>
      </c>
      <c r="E168" s="60">
        <v>6</v>
      </c>
      <c r="F168" s="60">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1" t="e">
        <f>IF(G168&gt;0,DT!AC168*I168+DT!AD168*J168+DT!AE168*K168+DT!AF168*L168+DT!AG168*M168+DT!AH168*N168,"")</f>
        <v>#VALUE!</v>
      </c>
      <c r="P168" s="15"/>
    </row>
    <row r="169" spans="1:16">
      <c r="A169" s="60">
        <v>6</v>
      </c>
      <c r="B169" s="60">
        <v>5</v>
      </c>
      <c r="C169" s="60">
        <v>6</v>
      </c>
      <c r="D169" s="60">
        <v>5</v>
      </c>
      <c r="E169" s="60">
        <v>4</v>
      </c>
      <c r="F169" s="60">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1" t="e">
        <f>IF(G169&gt;0,DT!AC169*I169+DT!AD169*J169+DT!AE169*K169+DT!AF169*L169+DT!AG169*M169+DT!AH169*N169,"")</f>
        <v>#VALUE!</v>
      </c>
      <c r="P169" s="15"/>
    </row>
    <row r="170" spans="1:16">
      <c r="A170" s="60">
        <v>5</v>
      </c>
      <c r="B170" s="60">
        <v>6</v>
      </c>
      <c r="C170" s="60">
        <v>7</v>
      </c>
      <c r="D170" s="60">
        <v>6</v>
      </c>
      <c r="E170" s="60">
        <v>7</v>
      </c>
      <c r="F170" s="60">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1" t="e">
        <f>IF(G170&gt;0,DT!AC170*I170+DT!AD170*J170+DT!AE170*K170+DT!AF170*L170+DT!AG170*M170+DT!AH170*N170,"")</f>
        <v>#VALUE!</v>
      </c>
      <c r="P170" s="15"/>
    </row>
    <row r="171" spans="1:16">
      <c r="A171" s="60">
        <v>7</v>
      </c>
      <c r="B171" s="60">
        <v>7</v>
      </c>
      <c r="C171" s="60">
        <v>7</v>
      </c>
      <c r="D171" s="60">
        <v>7</v>
      </c>
      <c r="E171" s="60">
        <v>7</v>
      </c>
      <c r="F171" s="60">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1" t="e">
        <f>IF(G171&gt;0,DT!AC171*I171+DT!AD171*J171+DT!AE171*K171+DT!AF171*L171+DT!AG171*M171+DT!AH171*N171,"")</f>
        <v>#VALUE!</v>
      </c>
      <c r="P171" s="15"/>
    </row>
    <row r="172" spans="1:16">
      <c r="A172" s="60">
        <v>3</v>
      </c>
      <c r="B172" s="60">
        <v>5</v>
      </c>
      <c r="C172" s="60">
        <v>5</v>
      </c>
      <c r="D172" s="60">
        <v>4</v>
      </c>
      <c r="E172" s="60">
        <v>4</v>
      </c>
      <c r="F172" s="60">
        <v>4</v>
      </c>
      <c r="G172" s="1">
        <f t="shared" si="23"/>
        <v>25</v>
      </c>
      <c r="I172" s="7">
        <f t="shared" si="17"/>
        <v>0.12</v>
      </c>
      <c r="J172" s="7">
        <f t="shared" si="18"/>
        <v>0.2</v>
      </c>
      <c r="K172" s="7">
        <f t="shared" si="19"/>
        <v>0.2</v>
      </c>
      <c r="L172" s="7">
        <f t="shared" si="20"/>
        <v>0.16</v>
      </c>
      <c r="M172" s="7">
        <f t="shared" si="21"/>
        <v>0.16</v>
      </c>
      <c r="N172" s="7">
        <f t="shared" si="22"/>
        <v>0.16</v>
      </c>
      <c r="O172" s="51" t="e">
        <f>IF(G172&gt;0,DT!AC172*I172+DT!AD172*J172+DT!AE172*K172+DT!AF172*L172+DT!AG172*M172+DT!AH172*N172,"")</f>
        <v>#VALUE!</v>
      </c>
      <c r="P172" s="15"/>
    </row>
    <row r="173" spans="1:16">
      <c r="A173" s="60">
        <v>6</v>
      </c>
      <c r="B173" s="60">
        <v>6</v>
      </c>
      <c r="C173" s="60">
        <v>6</v>
      </c>
      <c r="D173" s="60">
        <v>5</v>
      </c>
      <c r="E173" s="60">
        <v>4</v>
      </c>
      <c r="F173" s="60">
        <v>5</v>
      </c>
      <c r="G173" s="1">
        <f t="shared" si="23"/>
        <v>32</v>
      </c>
      <c r="I173" s="7">
        <f t="shared" si="17"/>
        <v>0.1875</v>
      </c>
      <c r="J173" s="7">
        <f t="shared" si="18"/>
        <v>0.1875</v>
      </c>
      <c r="K173" s="7">
        <f t="shared" si="19"/>
        <v>0.1875</v>
      </c>
      <c r="L173" s="7">
        <f t="shared" si="20"/>
        <v>0.15625</v>
      </c>
      <c r="M173" s="7">
        <f t="shared" si="21"/>
        <v>0.125</v>
      </c>
      <c r="N173" s="7">
        <f t="shared" si="22"/>
        <v>0.15625</v>
      </c>
      <c r="O173" s="51" t="e">
        <f>IF(G173&gt;0,DT!AC173*I173+DT!AD173*J173+DT!AE173*K173+DT!AF173*L173+DT!AG173*M173+DT!AH173*N173,"")</f>
        <v>#VALUE!</v>
      </c>
      <c r="P173" s="15"/>
    </row>
    <row r="174" spans="1:16">
      <c r="A174" s="60">
        <v>5</v>
      </c>
      <c r="B174" s="60">
        <v>6</v>
      </c>
      <c r="C174" s="60">
        <v>6</v>
      </c>
      <c r="D174" s="60">
        <v>7</v>
      </c>
      <c r="E174" s="60">
        <v>5</v>
      </c>
      <c r="F174" s="60">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1" t="e">
        <f>IF(G174&gt;0,DT!AC174*I174+DT!AD174*J174+DT!AE174*K174+DT!AF174*L174+DT!AG174*M174+DT!AH174*N174,"")</f>
        <v>#VALUE!</v>
      </c>
      <c r="P174" s="15"/>
    </row>
    <row r="175" spans="1:16">
      <c r="A175" s="60">
        <v>5</v>
      </c>
      <c r="B175" s="60">
        <v>5</v>
      </c>
      <c r="C175" s="60">
        <v>6</v>
      </c>
      <c r="D175" s="60">
        <v>7</v>
      </c>
      <c r="E175" s="60">
        <v>4</v>
      </c>
      <c r="F175" s="60">
        <v>5</v>
      </c>
      <c r="G175" s="1">
        <f t="shared" si="23"/>
        <v>32</v>
      </c>
      <c r="I175" s="7">
        <f t="shared" si="17"/>
        <v>0.15625</v>
      </c>
      <c r="J175" s="7">
        <f t="shared" si="18"/>
        <v>0.15625</v>
      </c>
      <c r="K175" s="7">
        <f t="shared" si="19"/>
        <v>0.1875</v>
      </c>
      <c r="L175" s="7">
        <f t="shared" si="20"/>
        <v>0.21875</v>
      </c>
      <c r="M175" s="7">
        <f t="shared" si="21"/>
        <v>0.125</v>
      </c>
      <c r="N175" s="7">
        <f t="shared" si="22"/>
        <v>0.15625</v>
      </c>
      <c r="O175" s="51" t="e">
        <f>IF(G175&gt;0,DT!AC175*I175+DT!AD175*J175+DT!AE175*K175+DT!AF175*L175+DT!AG175*M175+DT!AH175*N175,"")</f>
        <v>#VALUE!</v>
      </c>
      <c r="P175" s="15"/>
    </row>
    <row r="176" spans="1:16">
      <c r="A176" s="60">
        <v>4</v>
      </c>
      <c r="B176" s="60">
        <v>5</v>
      </c>
      <c r="C176" s="60">
        <v>4</v>
      </c>
      <c r="D176" s="60">
        <v>4</v>
      </c>
      <c r="E176" s="60">
        <v>4</v>
      </c>
      <c r="F176" s="60">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1" t="e">
        <f>IF(G176&gt;0,DT!AC176*I176+DT!AD176*J176+DT!AE176*K176+DT!AF176*L176+DT!AG176*M176+DT!AH176*N176,"")</f>
        <v>#VALUE!</v>
      </c>
      <c r="P176" s="15"/>
    </row>
    <row r="177" spans="1:16">
      <c r="A177" s="60">
        <v>3</v>
      </c>
      <c r="B177" s="60">
        <v>5</v>
      </c>
      <c r="C177" s="60">
        <v>5</v>
      </c>
      <c r="D177" s="60">
        <v>5</v>
      </c>
      <c r="E177" s="60">
        <v>2</v>
      </c>
      <c r="F177" s="60">
        <v>5</v>
      </c>
      <c r="G177" s="1">
        <f t="shared" si="23"/>
        <v>25</v>
      </c>
      <c r="I177" s="7">
        <f t="shared" si="17"/>
        <v>0.12</v>
      </c>
      <c r="J177" s="7">
        <f t="shared" si="18"/>
        <v>0.2</v>
      </c>
      <c r="K177" s="7">
        <f t="shared" si="19"/>
        <v>0.2</v>
      </c>
      <c r="L177" s="7">
        <f t="shared" si="20"/>
        <v>0.2</v>
      </c>
      <c r="M177" s="7">
        <f t="shared" si="21"/>
        <v>0.08</v>
      </c>
      <c r="N177" s="7">
        <f t="shared" si="22"/>
        <v>0.2</v>
      </c>
      <c r="O177" s="51" t="e">
        <f>IF(G177&gt;0,DT!AC177*I177+DT!AD177*J177+DT!AE177*K177+DT!AF177*L177+DT!AG177*M177+DT!AH177*N177,"")</f>
        <v>#VALUE!</v>
      </c>
      <c r="P177" s="15"/>
    </row>
    <row r="178" spans="1:16">
      <c r="A178" s="60">
        <v>6</v>
      </c>
      <c r="B178" s="60">
        <v>6</v>
      </c>
      <c r="C178" s="60">
        <v>7</v>
      </c>
      <c r="D178" s="60">
        <v>5</v>
      </c>
      <c r="E178" s="60">
        <v>3</v>
      </c>
      <c r="F178" s="60">
        <v>5</v>
      </c>
      <c r="G178" s="1">
        <f t="shared" si="23"/>
        <v>32</v>
      </c>
      <c r="I178" s="7">
        <f t="shared" si="17"/>
        <v>0.1875</v>
      </c>
      <c r="J178" s="7">
        <f t="shared" si="18"/>
        <v>0.1875</v>
      </c>
      <c r="K178" s="7">
        <f t="shared" si="19"/>
        <v>0.21875</v>
      </c>
      <c r="L178" s="7">
        <f t="shared" si="20"/>
        <v>0.15625</v>
      </c>
      <c r="M178" s="7">
        <f t="shared" si="21"/>
        <v>9.375E-2</v>
      </c>
      <c r="N178" s="7">
        <f t="shared" si="22"/>
        <v>0.15625</v>
      </c>
      <c r="O178" s="51" t="e">
        <f>IF(G178&gt;0,DT!AC178*I178+DT!AD178*J178+DT!AE178*K178+DT!AF178*L178+DT!AG178*M178+DT!AH178*N178,"")</f>
        <v>#VALUE!</v>
      </c>
      <c r="P178" s="15"/>
    </row>
    <row r="179" spans="1:16">
      <c r="A179" s="60">
        <v>7</v>
      </c>
      <c r="B179" s="60">
        <v>7</v>
      </c>
      <c r="C179" s="60">
        <v>7</v>
      </c>
      <c r="D179" s="60">
        <v>7</v>
      </c>
      <c r="E179" s="60">
        <v>7</v>
      </c>
      <c r="F179" s="60">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1" t="e">
        <f>IF(G179&gt;0,DT!AC179*I179+DT!AD179*J179+DT!AE179*K179+DT!AF179*L179+DT!AG179*M179+DT!AH179*N179,"")</f>
        <v>#VALUE!</v>
      </c>
      <c r="P179" s="15"/>
    </row>
    <row r="180" spans="1:16">
      <c r="A180" s="60">
        <v>6</v>
      </c>
      <c r="B180" s="60">
        <v>7</v>
      </c>
      <c r="C180" s="60">
        <v>6</v>
      </c>
      <c r="D180" s="60">
        <v>6</v>
      </c>
      <c r="E180" s="60">
        <v>4</v>
      </c>
      <c r="F180" s="60">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1" t="e">
        <f>IF(G180&gt;0,DT!AC180*I180+DT!AD180*J180+DT!AE180*K180+DT!AF180*L180+DT!AG180*M180+DT!AH180*N180,"")</f>
        <v>#VALUE!</v>
      </c>
      <c r="P180" s="15"/>
    </row>
    <row r="181" spans="1:16">
      <c r="A181" s="60">
        <v>3</v>
      </c>
      <c r="B181" s="60">
        <v>6</v>
      </c>
      <c r="C181" s="60">
        <v>6</v>
      </c>
      <c r="D181" s="60">
        <v>6</v>
      </c>
      <c r="E181" s="60">
        <v>3</v>
      </c>
      <c r="F181" s="60">
        <v>6</v>
      </c>
      <c r="G181" s="1">
        <f t="shared" si="23"/>
        <v>30</v>
      </c>
      <c r="I181" s="7">
        <f t="shared" si="24"/>
        <v>0.1</v>
      </c>
      <c r="J181" s="7">
        <f t="shared" si="25"/>
        <v>0.2</v>
      </c>
      <c r="K181" s="7">
        <f t="shared" si="26"/>
        <v>0.2</v>
      </c>
      <c r="L181" s="7">
        <f t="shared" si="27"/>
        <v>0.2</v>
      </c>
      <c r="M181" s="7">
        <f t="shared" si="28"/>
        <v>0.1</v>
      </c>
      <c r="N181" s="7">
        <f t="shared" si="29"/>
        <v>0.2</v>
      </c>
      <c r="O181" s="51" t="e">
        <f>IF(G181&gt;0,DT!AC181*I181+DT!AD181*J181+DT!AE181*K181+DT!AF181*L181+DT!AG181*M181+DT!AH181*N181,"")</f>
        <v>#VALUE!</v>
      </c>
      <c r="P181" s="15"/>
    </row>
    <row r="182" spans="1:16">
      <c r="A182" s="60">
        <v>5</v>
      </c>
      <c r="B182" s="60">
        <v>6</v>
      </c>
      <c r="C182" s="60">
        <v>7</v>
      </c>
      <c r="D182" s="60">
        <v>6</v>
      </c>
      <c r="E182" s="60">
        <v>4</v>
      </c>
      <c r="F182" s="60">
        <v>4</v>
      </c>
      <c r="G182" s="1">
        <f t="shared" si="23"/>
        <v>32</v>
      </c>
      <c r="I182" s="7">
        <f t="shared" si="24"/>
        <v>0.15625</v>
      </c>
      <c r="J182" s="7">
        <f t="shared" si="25"/>
        <v>0.1875</v>
      </c>
      <c r="K182" s="7">
        <f t="shared" si="26"/>
        <v>0.21875</v>
      </c>
      <c r="L182" s="7">
        <f t="shared" si="27"/>
        <v>0.1875</v>
      </c>
      <c r="M182" s="7">
        <f t="shared" si="28"/>
        <v>0.125</v>
      </c>
      <c r="N182" s="7">
        <f t="shared" si="29"/>
        <v>0.125</v>
      </c>
      <c r="O182" s="51" t="e">
        <f>IF(G182&gt;0,DT!AC182*I182+DT!AD182*J182+DT!AE182*K182+DT!AF182*L182+DT!AG182*M182+DT!AH182*N182,"")</f>
        <v>#VALUE!</v>
      </c>
      <c r="P182" s="15"/>
    </row>
    <row r="183" spans="1:16">
      <c r="A183" s="60">
        <v>5</v>
      </c>
      <c r="B183" s="60">
        <v>6</v>
      </c>
      <c r="C183" s="60">
        <v>6</v>
      </c>
      <c r="D183" s="60">
        <v>6</v>
      </c>
      <c r="E183" s="60">
        <v>6</v>
      </c>
      <c r="F183" s="60">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1" t="e">
        <f>IF(G183&gt;0,DT!AC183*I183+DT!AD183*J183+DT!AE183*K183+DT!AF183*L183+DT!AG183*M183+DT!AH183*N183,"")</f>
        <v>#VALUE!</v>
      </c>
      <c r="P183" s="15"/>
    </row>
    <row r="184" spans="1:16">
      <c r="A184" s="60">
        <v>6</v>
      </c>
      <c r="B184" s="60">
        <v>6</v>
      </c>
      <c r="C184" s="60">
        <v>7</v>
      </c>
      <c r="D184" s="60">
        <v>7</v>
      </c>
      <c r="E184" s="60">
        <v>4</v>
      </c>
      <c r="F184" s="60">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1" t="e">
        <f>IF(G184&gt;0,DT!AC184*I184+DT!AD184*J184+DT!AE184*K184+DT!AF184*L184+DT!AG184*M184+DT!AH184*N184,"")</f>
        <v>#VALUE!</v>
      </c>
      <c r="P184" s="15"/>
    </row>
    <row r="185" spans="1:16">
      <c r="A185" s="60">
        <v>7</v>
      </c>
      <c r="B185" s="60">
        <v>7</v>
      </c>
      <c r="C185" s="60">
        <v>7</v>
      </c>
      <c r="D185" s="60">
        <v>7</v>
      </c>
      <c r="E185" s="60">
        <v>7</v>
      </c>
      <c r="F185" s="60">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1" t="e">
        <f>IF(G185&gt;0,DT!AC185*I185+DT!AD185*J185+DT!AE185*K185+DT!AF185*L185+DT!AG185*M185+DT!AH185*N185,"")</f>
        <v>#VALUE!</v>
      </c>
      <c r="P185" s="15"/>
    </row>
    <row r="186" spans="1:16">
      <c r="A186" s="60">
        <v>7</v>
      </c>
      <c r="B186" s="60">
        <v>7</v>
      </c>
      <c r="C186" s="60">
        <v>7</v>
      </c>
      <c r="D186" s="60">
        <v>7</v>
      </c>
      <c r="E186" s="60">
        <v>7</v>
      </c>
      <c r="F186" s="60">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1" t="e">
        <f>IF(G186&gt;0,DT!AC186*I186+DT!AD186*J186+DT!AE186*K186+DT!AF186*L186+DT!AG186*M186+DT!AH186*N186,"")</f>
        <v>#VALUE!</v>
      </c>
      <c r="P186" s="15"/>
    </row>
    <row r="187" spans="1:16">
      <c r="A187" s="60">
        <v>5</v>
      </c>
      <c r="B187" s="60">
        <v>7</v>
      </c>
      <c r="C187" s="60">
        <v>7</v>
      </c>
      <c r="D187" s="60">
        <v>7</v>
      </c>
      <c r="E187" s="60">
        <v>4</v>
      </c>
      <c r="F187" s="60">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1" t="e">
        <f>IF(G187&gt;0,DT!AC187*I187+DT!AD187*J187+DT!AE187*K187+DT!AF187*L187+DT!AG187*M187+DT!AH187*N187,"")</f>
        <v>#VALUE!</v>
      </c>
      <c r="P187" s="15"/>
    </row>
    <row r="188" spans="1:16">
      <c r="A188" s="60">
        <v>5</v>
      </c>
      <c r="B188" s="60">
        <v>6</v>
      </c>
      <c r="C188" s="60">
        <v>6</v>
      </c>
      <c r="D188" s="60">
        <v>6</v>
      </c>
      <c r="E188" s="60">
        <v>6</v>
      </c>
      <c r="F188" s="60">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1" t="e">
        <f>IF(G188&gt;0,DT!AC188*I188+DT!AD188*J188+DT!AE188*K188+DT!AF188*L188+DT!AG188*M188+DT!AH188*N188,"")</f>
        <v>#VALUE!</v>
      </c>
      <c r="P188" s="15"/>
    </row>
    <row r="189" spans="1:16">
      <c r="A189" s="60">
        <v>6</v>
      </c>
      <c r="B189" s="60">
        <v>7</v>
      </c>
      <c r="C189" s="60">
        <v>6</v>
      </c>
      <c r="D189" s="60">
        <v>7</v>
      </c>
      <c r="E189" s="60">
        <v>6</v>
      </c>
      <c r="F189" s="60">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1" t="e">
        <f>IF(G189&gt;0,DT!AC189*I189+DT!AD189*J189+DT!AE189*K189+DT!AF189*L189+DT!AG189*M189+DT!AH189*N189,"")</f>
        <v>#VALUE!</v>
      </c>
      <c r="P189" s="15"/>
    </row>
    <row r="190" spans="1:16">
      <c r="A190" s="60">
        <v>5</v>
      </c>
      <c r="B190" s="60">
        <v>7</v>
      </c>
      <c r="C190" s="60">
        <v>7</v>
      </c>
      <c r="D190" s="60">
        <v>7</v>
      </c>
      <c r="E190" s="60">
        <v>5</v>
      </c>
      <c r="F190" s="60">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1" t="e">
        <f>IF(G190&gt;0,DT!AC190*I190+DT!AD190*J190+DT!AE190*K190+DT!AF190*L190+DT!AG190*M190+DT!AH190*N190,"")</f>
        <v>#VALUE!</v>
      </c>
      <c r="P190" s="15"/>
    </row>
    <row r="191" spans="1:16">
      <c r="A191" s="60">
        <v>5</v>
      </c>
      <c r="B191" s="60">
        <v>6</v>
      </c>
      <c r="C191" s="60">
        <v>7</v>
      </c>
      <c r="D191" s="60">
        <v>6</v>
      </c>
      <c r="E191" s="60">
        <v>3</v>
      </c>
      <c r="F191" s="60">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1" t="e">
        <f>IF(G191&gt;0,DT!AC191*I191+DT!AD191*J191+DT!AE191*K191+DT!AF191*L191+DT!AG191*M191+DT!AH191*N191,"")</f>
        <v>#VALUE!</v>
      </c>
      <c r="P191" s="15"/>
    </row>
    <row r="192" spans="1:16">
      <c r="A192" s="60">
        <v>5</v>
      </c>
      <c r="B192" s="60">
        <v>6</v>
      </c>
      <c r="C192" s="60">
        <v>5</v>
      </c>
      <c r="D192" s="60">
        <v>6</v>
      </c>
      <c r="E192" s="60">
        <v>5</v>
      </c>
      <c r="F192" s="60">
        <v>5</v>
      </c>
      <c r="G192" s="1">
        <f t="shared" si="23"/>
        <v>32</v>
      </c>
      <c r="I192" s="7">
        <f t="shared" si="24"/>
        <v>0.15625</v>
      </c>
      <c r="J192" s="7">
        <f t="shared" si="25"/>
        <v>0.1875</v>
      </c>
      <c r="K192" s="7">
        <f t="shared" si="26"/>
        <v>0.15625</v>
      </c>
      <c r="L192" s="7">
        <f t="shared" si="27"/>
        <v>0.1875</v>
      </c>
      <c r="M192" s="7">
        <f t="shared" si="28"/>
        <v>0.15625</v>
      </c>
      <c r="N192" s="7">
        <f t="shared" si="29"/>
        <v>0.15625</v>
      </c>
      <c r="O192" s="51" t="e">
        <f>IF(G192&gt;0,DT!AC192*I192+DT!AD192*J192+DT!AE192*K192+DT!AF192*L192+DT!AG192*M192+DT!AH192*N192,"")</f>
        <v>#VALUE!</v>
      </c>
      <c r="P192" s="15"/>
    </row>
    <row r="193" spans="1:16">
      <c r="A193" s="60">
        <v>6</v>
      </c>
      <c r="B193" s="60">
        <v>6</v>
      </c>
      <c r="C193" s="60">
        <v>6</v>
      </c>
      <c r="D193" s="60">
        <v>7</v>
      </c>
      <c r="E193" s="60">
        <v>5</v>
      </c>
      <c r="F193" s="60">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1" t="e">
        <f>IF(G193&gt;0,DT!AC193*I193+DT!AD193*J193+DT!AE193*K193+DT!AF193*L193+DT!AG193*M193+DT!AH193*N193,"")</f>
        <v>#VALUE!</v>
      </c>
      <c r="P193" s="15"/>
    </row>
    <row r="194" spans="1:16">
      <c r="A194" s="60">
        <v>5</v>
      </c>
      <c r="B194" s="60">
        <v>6</v>
      </c>
      <c r="C194" s="60">
        <v>7</v>
      </c>
      <c r="D194" s="60">
        <v>7</v>
      </c>
      <c r="E194" s="60">
        <v>3</v>
      </c>
      <c r="F194" s="60">
        <v>4</v>
      </c>
      <c r="G194" s="1">
        <f t="shared" si="23"/>
        <v>32</v>
      </c>
      <c r="I194" s="7">
        <f t="shared" si="24"/>
        <v>0.15625</v>
      </c>
      <c r="J194" s="7">
        <f t="shared" si="25"/>
        <v>0.1875</v>
      </c>
      <c r="K194" s="7">
        <f t="shared" si="26"/>
        <v>0.21875</v>
      </c>
      <c r="L194" s="7">
        <f t="shared" si="27"/>
        <v>0.21875</v>
      </c>
      <c r="M194" s="7">
        <f t="shared" si="28"/>
        <v>9.375E-2</v>
      </c>
      <c r="N194" s="7">
        <f t="shared" si="29"/>
        <v>0.125</v>
      </c>
      <c r="O194" s="51" t="e">
        <f>IF(G194&gt;0,DT!AC194*I194+DT!AD194*J194+DT!AE194*K194+DT!AF194*L194+DT!AG194*M194+DT!AH194*N194,"")</f>
        <v>#VALUE!</v>
      </c>
      <c r="P194" s="15"/>
    </row>
    <row r="195" spans="1:16">
      <c r="A195" s="60">
        <v>7</v>
      </c>
      <c r="B195" s="60">
        <v>7</v>
      </c>
      <c r="C195" s="60">
        <v>7</v>
      </c>
      <c r="D195" s="60">
        <v>7</v>
      </c>
      <c r="E195" s="60">
        <v>7</v>
      </c>
      <c r="F195" s="60">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1" t="e">
        <f>IF(G195&gt;0,DT!AC195*I195+DT!AD195*J195+DT!AE195*K195+DT!AF195*L195+DT!AG195*M195+DT!AH195*N195,"")</f>
        <v>#VALUE!</v>
      </c>
      <c r="P195" s="15"/>
    </row>
    <row r="196" spans="1:16">
      <c r="A196" s="60">
        <v>6</v>
      </c>
      <c r="B196" s="60">
        <v>7</v>
      </c>
      <c r="C196" s="60">
        <v>5</v>
      </c>
      <c r="D196" s="60">
        <v>4</v>
      </c>
      <c r="E196" s="60">
        <v>3</v>
      </c>
      <c r="F196" s="60">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1" t="e">
        <f>IF(G196&gt;0,DT!AC196*I196+DT!AD196*J196+DT!AE196*K196+DT!AF196*L196+DT!AG196*M196+DT!AH196*N196,"")</f>
        <v>#VALUE!</v>
      </c>
      <c r="P196" s="15"/>
    </row>
    <row r="197" spans="1:16">
      <c r="A197" s="60">
        <v>6</v>
      </c>
      <c r="B197" s="60">
        <v>7</v>
      </c>
      <c r="C197" s="60">
        <v>7</v>
      </c>
      <c r="D197" s="60">
        <v>5</v>
      </c>
      <c r="E197" s="60">
        <v>4</v>
      </c>
      <c r="F197" s="60">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1" t="e">
        <f>IF(G197&gt;0,DT!AC197*I197+DT!AD197*J197+DT!AE197*K197+DT!AF197*L197+DT!AG197*M197+DT!AH197*N197,"")</f>
        <v>#VALUE!</v>
      </c>
      <c r="P197" s="15"/>
    </row>
    <row r="198" spans="1:16">
      <c r="A198" s="60">
        <v>7</v>
      </c>
      <c r="B198" s="60">
        <v>7</v>
      </c>
      <c r="C198" s="60">
        <v>7</v>
      </c>
      <c r="D198" s="60">
        <v>7</v>
      </c>
      <c r="E198" s="60">
        <v>6</v>
      </c>
      <c r="F198" s="60">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1" t="e">
        <f>IF(G198&gt;0,DT!AC198*I198+DT!AD198*J198+DT!AE198*K198+DT!AF198*L198+DT!AG198*M198+DT!AH198*N198,"")</f>
        <v>#VALUE!</v>
      </c>
      <c r="P198" s="15"/>
    </row>
    <row r="199" spans="1:16">
      <c r="A199" s="60">
        <v>6</v>
      </c>
      <c r="B199" s="60">
        <v>6</v>
      </c>
      <c r="C199" s="60">
        <v>7</v>
      </c>
      <c r="D199" s="60">
        <v>6</v>
      </c>
      <c r="E199" s="60">
        <v>6</v>
      </c>
      <c r="F199" s="60">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1" t="e">
        <f>IF(G199&gt;0,DT!AC199*I199+DT!AD199*J199+DT!AE199*K199+DT!AF199*L199+DT!AG199*M199+DT!AH199*N199,"")</f>
        <v>#VALUE!</v>
      </c>
      <c r="P199" s="15"/>
    </row>
    <row r="200" spans="1:16">
      <c r="A200" s="60">
        <v>6</v>
      </c>
      <c r="B200" s="60">
        <v>6</v>
      </c>
      <c r="C200" s="60">
        <v>6</v>
      </c>
      <c r="D200" s="60">
        <v>6</v>
      </c>
      <c r="E200" s="60">
        <v>4</v>
      </c>
      <c r="F200" s="60">
        <v>4</v>
      </c>
      <c r="G200" s="1">
        <f t="shared" si="30"/>
        <v>32</v>
      </c>
      <c r="I200" s="7">
        <f t="shared" si="24"/>
        <v>0.1875</v>
      </c>
      <c r="J200" s="7">
        <f t="shared" si="25"/>
        <v>0.1875</v>
      </c>
      <c r="K200" s="7">
        <f t="shared" si="26"/>
        <v>0.1875</v>
      </c>
      <c r="L200" s="7">
        <f t="shared" si="27"/>
        <v>0.1875</v>
      </c>
      <c r="M200" s="7">
        <f t="shared" si="28"/>
        <v>0.125</v>
      </c>
      <c r="N200" s="7">
        <f t="shared" si="29"/>
        <v>0.125</v>
      </c>
      <c r="O200" s="51" t="e">
        <f>IF(G200&gt;0,DT!AC200*I200+DT!AD200*J200+DT!AE200*K200+DT!AF200*L200+DT!AG200*M200+DT!AH200*N200,"")</f>
        <v>#VALUE!</v>
      </c>
      <c r="P200" s="15"/>
    </row>
    <row r="201" spans="1:16">
      <c r="A201" s="60">
        <v>5</v>
      </c>
      <c r="B201" s="60">
        <v>1</v>
      </c>
      <c r="C201" s="60">
        <v>6</v>
      </c>
      <c r="D201" s="60">
        <v>7</v>
      </c>
      <c r="E201" s="60">
        <v>4</v>
      </c>
      <c r="F201" s="60">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1" t="e">
        <f>IF(G201&gt;0,DT!AC201*I201+DT!AD201*J201+DT!AE201*K201+DT!AF201*L201+DT!AG201*M201+DT!AH201*N201,"")</f>
        <v>#VALUE!</v>
      </c>
      <c r="P201" s="15"/>
    </row>
    <row r="202" spans="1:16">
      <c r="A202" s="60">
        <v>6</v>
      </c>
      <c r="B202" s="60">
        <v>6</v>
      </c>
      <c r="C202" s="60">
        <v>7</v>
      </c>
      <c r="D202" s="60">
        <v>6</v>
      </c>
      <c r="E202" s="60">
        <v>6</v>
      </c>
      <c r="F202" s="60">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1" t="e">
        <f>IF(G202&gt;0,DT!AC202*I202+DT!AD202*J202+DT!AE202*K202+DT!AF202*L202+DT!AG202*M202+DT!AH202*N202,"")</f>
        <v>#VALUE!</v>
      </c>
      <c r="P202" s="15"/>
    </row>
    <row r="203" spans="1:16">
      <c r="A203" s="60">
        <v>5</v>
      </c>
      <c r="B203" s="60">
        <v>6</v>
      </c>
      <c r="C203" s="60">
        <v>7</v>
      </c>
      <c r="D203" s="60">
        <v>7</v>
      </c>
      <c r="E203" s="60">
        <v>5</v>
      </c>
      <c r="F203" s="60">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1" t="e">
        <f>IF(G203&gt;0,DT!AC203*I203+DT!AD203*J203+DT!AE203*K203+DT!AF203*L203+DT!AG203*M203+DT!AH203*N203,"")</f>
        <v>#VALUE!</v>
      </c>
      <c r="P203" s="15"/>
    </row>
    <row r="204" spans="1:16">
      <c r="A204" s="60">
        <v>6</v>
      </c>
      <c r="B204" s="60">
        <v>6</v>
      </c>
      <c r="C204" s="60">
        <v>7</v>
      </c>
      <c r="D204" s="60">
        <v>7</v>
      </c>
      <c r="E204" s="60">
        <v>5</v>
      </c>
      <c r="F204" s="60">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1" t="e">
        <f>IF(G204&gt;0,DT!AC204*I204+DT!AD204*J204+DT!AE204*K204+DT!AF204*L204+DT!AG204*M204+DT!AH204*N204,"")</f>
        <v>#VALUE!</v>
      </c>
      <c r="P204" s="15"/>
    </row>
    <row r="205" spans="1:16">
      <c r="A205" s="60">
        <v>5</v>
      </c>
      <c r="B205" s="60">
        <v>6</v>
      </c>
      <c r="C205" s="60">
        <v>6</v>
      </c>
      <c r="D205" s="60">
        <v>6</v>
      </c>
      <c r="E205" s="60">
        <v>4</v>
      </c>
      <c r="F205" s="60">
        <v>5</v>
      </c>
      <c r="G205" s="1">
        <f t="shared" si="30"/>
        <v>32</v>
      </c>
      <c r="I205" s="7">
        <f t="shared" si="24"/>
        <v>0.15625</v>
      </c>
      <c r="J205" s="7">
        <f t="shared" si="25"/>
        <v>0.1875</v>
      </c>
      <c r="K205" s="7">
        <f t="shared" si="26"/>
        <v>0.1875</v>
      </c>
      <c r="L205" s="7">
        <f t="shared" si="27"/>
        <v>0.1875</v>
      </c>
      <c r="M205" s="7">
        <f t="shared" si="28"/>
        <v>0.125</v>
      </c>
      <c r="N205" s="7">
        <f t="shared" si="29"/>
        <v>0.15625</v>
      </c>
      <c r="O205" s="51" t="e">
        <f>IF(G205&gt;0,DT!AC205*I205+DT!AD205*J205+DT!AE205*K205+DT!AF205*L205+DT!AG205*M205+DT!AH205*N205,"")</f>
        <v>#VALUE!</v>
      </c>
      <c r="P205" s="15"/>
    </row>
    <row r="206" spans="1:16">
      <c r="A206" s="60">
        <v>5</v>
      </c>
      <c r="B206" s="60">
        <v>7</v>
      </c>
      <c r="C206" s="60">
        <v>7</v>
      </c>
      <c r="D206" s="60">
        <v>7</v>
      </c>
      <c r="E206" s="60">
        <v>4</v>
      </c>
      <c r="F206" s="60">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1" t="e">
        <f>IF(G206&gt;0,DT!AC206*I206+DT!AD206*J206+DT!AE206*K206+DT!AF206*L206+DT!AG206*M206+DT!AH206*N206,"")</f>
        <v>#VALUE!</v>
      </c>
      <c r="P206" s="15"/>
    </row>
    <row r="207" spans="1:16">
      <c r="A207" s="60">
        <v>6</v>
      </c>
      <c r="B207" s="60">
        <v>7</v>
      </c>
      <c r="C207" s="60">
        <v>7</v>
      </c>
      <c r="D207" s="60">
        <v>7</v>
      </c>
      <c r="E207" s="60">
        <v>4</v>
      </c>
      <c r="F207" s="60">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1" t="e">
        <f>IF(G207&gt;0,DT!AC207*I207+DT!AD207*J207+DT!AE207*K207+DT!AF207*L207+DT!AG207*M207+DT!AH207*N207,"")</f>
        <v>#VALUE!</v>
      </c>
      <c r="P207" s="15"/>
    </row>
    <row r="208" spans="1:16">
      <c r="A208" s="60">
        <v>7</v>
      </c>
      <c r="B208" s="60">
        <v>7</v>
      </c>
      <c r="C208" s="60">
        <v>6</v>
      </c>
      <c r="D208" s="60">
        <v>7</v>
      </c>
      <c r="E208" s="60">
        <v>6</v>
      </c>
      <c r="F208" s="60">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1" t="e">
        <f>IF(G208&gt;0,DT!AC208*I208+DT!AD208*J208+DT!AE208*K208+DT!AF208*L208+DT!AG208*M208+DT!AH208*N208,"")</f>
        <v>#VALUE!</v>
      </c>
      <c r="P208" s="15"/>
    </row>
    <row r="209" spans="1:16">
      <c r="A209" s="60">
        <v>5</v>
      </c>
      <c r="B209" s="60">
        <v>5</v>
      </c>
      <c r="C209" s="60">
        <v>6</v>
      </c>
      <c r="D209" s="60">
        <v>6</v>
      </c>
      <c r="E209" s="60">
        <v>5</v>
      </c>
      <c r="F209" s="60">
        <v>5</v>
      </c>
      <c r="G209" s="1">
        <f t="shared" si="30"/>
        <v>32</v>
      </c>
      <c r="I209" s="7">
        <f t="shared" si="24"/>
        <v>0.15625</v>
      </c>
      <c r="J209" s="7">
        <f t="shared" si="25"/>
        <v>0.15625</v>
      </c>
      <c r="K209" s="7">
        <f t="shared" si="26"/>
        <v>0.1875</v>
      </c>
      <c r="L209" s="7">
        <f t="shared" si="27"/>
        <v>0.1875</v>
      </c>
      <c r="M209" s="7">
        <f t="shared" si="28"/>
        <v>0.15625</v>
      </c>
      <c r="N209" s="7">
        <f t="shared" si="29"/>
        <v>0.15625</v>
      </c>
      <c r="O209" s="51" t="e">
        <f>IF(G209&gt;0,DT!AC209*I209+DT!AD209*J209+DT!AE209*K209+DT!AF209*L209+DT!AG209*M209+DT!AH209*N209,"")</f>
        <v>#VALUE!</v>
      </c>
      <c r="P209" s="15"/>
    </row>
    <row r="210" spans="1:16">
      <c r="A210" s="60">
        <v>5</v>
      </c>
      <c r="B210" s="60">
        <v>5</v>
      </c>
      <c r="C210" s="60">
        <v>6</v>
      </c>
      <c r="D210" s="60">
        <v>6</v>
      </c>
      <c r="E210" s="60">
        <v>4</v>
      </c>
      <c r="F210" s="60">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1" t="e">
        <f>IF(G210&gt;0,DT!AC210*I210+DT!AD210*J210+DT!AE210*K210+DT!AF210*L210+DT!AG210*M210+DT!AH210*N210,"")</f>
        <v>#VALUE!</v>
      </c>
      <c r="P210" s="15"/>
    </row>
    <row r="211" spans="1:16">
      <c r="A211" s="60">
        <v>5</v>
      </c>
      <c r="B211" s="60">
        <v>6</v>
      </c>
      <c r="C211" s="60">
        <v>6</v>
      </c>
      <c r="D211" s="60">
        <v>4</v>
      </c>
      <c r="E211" s="60">
        <v>5</v>
      </c>
      <c r="F211" s="60">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1" t="e">
        <f>IF(G211&gt;0,DT!AC211*I211+DT!AD211*J211+DT!AE211*K211+DT!AF211*L211+DT!AG211*M211+DT!AH211*N211,"")</f>
        <v>#VALUE!</v>
      </c>
      <c r="P211" s="15"/>
    </row>
    <row r="212" spans="1:16">
      <c r="A212" s="60">
        <v>5</v>
      </c>
      <c r="B212" s="60">
        <v>5</v>
      </c>
      <c r="C212" s="60">
        <v>5</v>
      </c>
      <c r="D212" s="60">
        <v>5</v>
      </c>
      <c r="E212" s="60">
        <v>5</v>
      </c>
      <c r="F212" s="60">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1" t="e">
        <f>IF(G212&gt;0,DT!AC212*I212+DT!AD212*J212+DT!AE212*K212+DT!AF212*L212+DT!AG212*M212+DT!AH212*N212,"")</f>
        <v>#VALUE!</v>
      </c>
      <c r="P212" s="15"/>
    </row>
    <row r="213" spans="1:16">
      <c r="A213" s="60">
        <v>7</v>
      </c>
      <c r="B213" s="60">
        <v>6</v>
      </c>
      <c r="C213" s="60">
        <v>7</v>
      </c>
      <c r="D213" s="60">
        <v>6</v>
      </c>
      <c r="E213" s="60">
        <v>7</v>
      </c>
      <c r="F213" s="60">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1" t="e">
        <f>IF(G213&gt;0,DT!AC213*I213+DT!AD213*J213+DT!AE213*K213+DT!AF213*L213+DT!AG213*M213+DT!AH213*N213,"")</f>
        <v>#VALUE!</v>
      </c>
      <c r="P213" s="15"/>
    </row>
    <row r="214" spans="1:16">
      <c r="A214" s="60">
        <v>6</v>
      </c>
      <c r="B214" s="60">
        <v>6</v>
      </c>
      <c r="C214" s="60">
        <v>6</v>
      </c>
      <c r="D214" s="60">
        <v>7</v>
      </c>
      <c r="E214" s="60">
        <v>5</v>
      </c>
      <c r="F214" s="60">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1" t="e">
        <f>IF(G214&gt;0,DT!AC214*I214+DT!AD214*J214+DT!AE214*K214+DT!AF214*L214+DT!AG214*M214+DT!AH214*N214,"")</f>
        <v>#VALUE!</v>
      </c>
      <c r="P214" s="15"/>
    </row>
    <row r="215" spans="1:16">
      <c r="A215" s="60">
        <v>4</v>
      </c>
      <c r="B215" s="60">
        <v>3</v>
      </c>
      <c r="C215" s="60">
        <v>5</v>
      </c>
      <c r="D215" s="60">
        <v>5</v>
      </c>
      <c r="E215" s="60">
        <v>5</v>
      </c>
      <c r="F215" s="60">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1" t="e">
        <f>IF(G215&gt;0,DT!AC215*I215+DT!AD215*J215+DT!AE215*K215+DT!AF215*L215+DT!AG215*M215+DT!AH215*N215,"")</f>
        <v>#VALUE!</v>
      </c>
      <c r="P215" s="15"/>
    </row>
    <row r="216" spans="1:16">
      <c r="A216" s="60">
        <v>6</v>
      </c>
      <c r="B216" s="60">
        <v>6</v>
      </c>
      <c r="C216" s="60">
        <v>7</v>
      </c>
      <c r="D216" s="60">
        <v>6</v>
      </c>
      <c r="E216" s="60">
        <v>5</v>
      </c>
      <c r="F216" s="60">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1" t="e">
        <f>IF(G216&gt;0,DT!AC216*I216+DT!AD216*J216+DT!AE216*K216+DT!AF216*L216+DT!AG216*M216+DT!AH216*N216,"")</f>
        <v>#VALUE!</v>
      </c>
      <c r="P216" s="15"/>
    </row>
    <row r="217" spans="1:16">
      <c r="A217" s="60">
        <v>6</v>
      </c>
      <c r="B217" s="60">
        <v>6</v>
      </c>
      <c r="C217" s="60">
        <v>7</v>
      </c>
      <c r="D217" s="60">
        <v>6</v>
      </c>
      <c r="E217" s="60">
        <v>6</v>
      </c>
      <c r="F217" s="60">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1" t="e">
        <f>IF(G217&gt;0,DT!AC217*I217+DT!AD217*J217+DT!AE217*K217+DT!AF217*L217+DT!AG217*M217+DT!AH217*N217,"")</f>
        <v>#VALUE!</v>
      </c>
      <c r="P217" s="15"/>
    </row>
    <row r="218" spans="1:16">
      <c r="A218" s="60">
        <v>6</v>
      </c>
      <c r="B218" s="60">
        <v>7</v>
      </c>
      <c r="C218" s="60">
        <v>6</v>
      </c>
      <c r="D218" s="60">
        <v>7</v>
      </c>
      <c r="E218" s="60">
        <v>6</v>
      </c>
      <c r="F218" s="60">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1" t="e">
        <f>IF(G218&gt;0,DT!AC218*I218+DT!AD218*J218+DT!AE218*K218+DT!AF218*L218+DT!AG218*M218+DT!AH218*N218,"")</f>
        <v>#VALUE!</v>
      </c>
      <c r="P218" s="15"/>
    </row>
    <row r="219" spans="1:16">
      <c r="A219" s="60">
        <v>5</v>
      </c>
      <c r="B219" s="60">
        <v>7</v>
      </c>
      <c r="C219" s="60">
        <v>7</v>
      </c>
      <c r="D219" s="60">
        <v>7</v>
      </c>
      <c r="E219" s="60">
        <v>5</v>
      </c>
      <c r="F219" s="60">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1" t="e">
        <f>IF(G219&gt;0,DT!AC219*I219+DT!AD219*J219+DT!AE219*K219+DT!AF219*L219+DT!AG219*M219+DT!AH219*N219,"")</f>
        <v>#VALUE!</v>
      </c>
      <c r="P219" s="15"/>
    </row>
    <row r="220" spans="1:16">
      <c r="A220" s="60">
        <v>5</v>
      </c>
      <c r="B220" s="60">
        <v>7</v>
      </c>
      <c r="C220" s="60">
        <v>7</v>
      </c>
      <c r="D220" s="60">
        <v>7</v>
      </c>
      <c r="E220" s="60">
        <v>4</v>
      </c>
      <c r="F220" s="60">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1" t="e">
        <f>IF(G220&gt;0,DT!AC220*I220+DT!AD220*J220+DT!AE220*K220+DT!AF220*L220+DT!AG220*M220+DT!AH220*N220,"")</f>
        <v>#VALUE!</v>
      </c>
      <c r="P220" s="15"/>
    </row>
    <row r="221" spans="1:16">
      <c r="A221" s="60">
        <v>5</v>
      </c>
      <c r="B221" s="60">
        <v>7</v>
      </c>
      <c r="C221" s="60">
        <v>7</v>
      </c>
      <c r="D221" s="60">
        <v>7</v>
      </c>
      <c r="E221" s="60">
        <v>5</v>
      </c>
      <c r="F221" s="60">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1" t="e">
        <f>IF(G221&gt;0,DT!AC221*I221+DT!AD221*J221+DT!AE221*K221+DT!AF221*L221+DT!AG221*M221+DT!AH221*N221,"")</f>
        <v>#VALUE!</v>
      </c>
      <c r="P221" s="15"/>
    </row>
    <row r="222" spans="1:16">
      <c r="A222" s="60">
        <v>7</v>
      </c>
      <c r="B222" s="60">
        <v>3</v>
      </c>
      <c r="C222" s="60">
        <v>7</v>
      </c>
      <c r="D222" s="60">
        <v>7</v>
      </c>
      <c r="E222" s="60">
        <v>2</v>
      </c>
      <c r="F222" s="60">
        <v>6</v>
      </c>
      <c r="G222" s="1">
        <f t="shared" si="30"/>
        <v>32</v>
      </c>
      <c r="I222" s="7">
        <f t="shared" si="24"/>
        <v>0.21875</v>
      </c>
      <c r="J222" s="7">
        <f t="shared" si="25"/>
        <v>9.375E-2</v>
      </c>
      <c r="K222" s="7">
        <f t="shared" si="26"/>
        <v>0.21875</v>
      </c>
      <c r="L222" s="7">
        <f t="shared" si="27"/>
        <v>0.21875</v>
      </c>
      <c r="M222" s="7">
        <f t="shared" si="28"/>
        <v>6.25E-2</v>
      </c>
      <c r="N222" s="7">
        <f t="shared" si="29"/>
        <v>0.1875</v>
      </c>
      <c r="O222" s="51" t="e">
        <f>IF(G222&gt;0,DT!AC222*I222+DT!AD222*J222+DT!AE222*K222+DT!AF222*L222+DT!AG222*M222+DT!AH222*N222,"")</f>
        <v>#VALUE!</v>
      </c>
      <c r="P222" s="15"/>
    </row>
    <row r="223" spans="1:16">
      <c r="A223" s="60">
        <v>4</v>
      </c>
      <c r="B223" s="60">
        <v>6</v>
      </c>
      <c r="C223" s="60">
        <v>6</v>
      </c>
      <c r="D223" s="60">
        <v>6</v>
      </c>
      <c r="E223" s="60">
        <v>5</v>
      </c>
      <c r="F223" s="60">
        <v>5</v>
      </c>
      <c r="G223" s="1">
        <f t="shared" si="30"/>
        <v>32</v>
      </c>
      <c r="I223" s="7">
        <f t="shared" si="24"/>
        <v>0.125</v>
      </c>
      <c r="J223" s="7">
        <f t="shared" si="25"/>
        <v>0.1875</v>
      </c>
      <c r="K223" s="7">
        <f t="shared" si="26"/>
        <v>0.1875</v>
      </c>
      <c r="L223" s="7">
        <f t="shared" si="27"/>
        <v>0.1875</v>
      </c>
      <c r="M223" s="7">
        <f t="shared" si="28"/>
        <v>0.15625</v>
      </c>
      <c r="N223" s="7">
        <f t="shared" si="29"/>
        <v>0.15625</v>
      </c>
      <c r="O223" s="51" t="e">
        <f>IF(G223&gt;0,DT!AC223*I223+DT!AD223*J223+DT!AE223*K223+DT!AF223*L223+DT!AG223*M223+DT!AH223*N223,"")</f>
        <v>#VALUE!</v>
      </c>
      <c r="P223" s="15"/>
    </row>
    <row r="224" spans="1:16">
      <c r="A224" s="60">
        <v>7</v>
      </c>
      <c r="B224" s="60">
        <v>7</v>
      </c>
      <c r="C224" s="60">
        <v>7</v>
      </c>
      <c r="D224" s="60">
        <v>7</v>
      </c>
      <c r="E224" s="60">
        <v>7</v>
      </c>
      <c r="F224" s="60">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1" t="e">
        <f>IF(G224&gt;0,DT!AC224*I224+DT!AD224*J224+DT!AE224*K224+DT!AF224*L224+DT!AG224*M224+DT!AH224*N224,"")</f>
        <v>#VALUE!</v>
      </c>
      <c r="P224" s="15"/>
    </row>
    <row r="225" spans="1:16">
      <c r="A225" s="60">
        <v>7</v>
      </c>
      <c r="B225" s="60">
        <v>7</v>
      </c>
      <c r="C225" s="60">
        <v>7</v>
      </c>
      <c r="D225" s="60">
        <v>7</v>
      </c>
      <c r="E225" s="60">
        <v>6</v>
      </c>
      <c r="F225" s="60">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1" t="e">
        <f>IF(G225&gt;0,DT!AC225*I225+DT!AD225*J225+DT!AE225*K225+DT!AF225*L225+DT!AG225*M225+DT!AH225*N225,"")</f>
        <v>#VALUE!</v>
      </c>
      <c r="P225" s="15"/>
    </row>
    <row r="226" spans="1:16">
      <c r="A226" s="60">
        <v>6</v>
      </c>
      <c r="B226" s="60">
        <v>7</v>
      </c>
      <c r="C226" s="60">
        <v>7</v>
      </c>
      <c r="D226" s="60">
        <v>6</v>
      </c>
      <c r="E226" s="60">
        <v>3</v>
      </c>
      <c r="F226" s="60">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1" t="e">
        <f>IF(G226&gt;0,DT!AC226*I226+DT!AD226*J226+DT!AE226*K226+DT!AF226*L226+DT!AG226*M226+DT!AH226*N226,"")</f>
        <v>#VALUE!</v>
      </c>
      <c r="P226" s="15"/>
    </row>
    <row r="227" spans="1:16">
      <c r="A227" s="60">
        <v>7</v>
      </c>
      <c r="B227" s="60">
        <v>7</v>
      </c>
      <c r="C227" s="60">
        <v>7</v>
      </c>
      <c r="D227" s="60">
        <v>7</v>
      </c>
      <c r="E227" s="60">
        <v>7</v>
      </c>
      <c r="F227" s="60">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1" t="e">
        <f>IF(G227&gt;0,DT!AC227*I227+DT!AD227*J227+DT!AE227*K227+DT!AF227*L227+DT!AG227*M227+DT!AH227*N227,"")</f>
        <v>#VALUE!</v>
      </c>
      <c r="P227" s="15"/>
    </row>
    <row r="228" spans="1:16">
      <c r="A228" s="60">
        <v>7</v>
      </c>
      <c r="B228" s="60">
        <v>7</v>
      </c>
      <c r="C228" s="60">
        <v>6</v>
      </c>
      <c r="D228" s="60">
        <v>6</v>
      </c>
      <c r="E228" s="60">
        <v>7</v>
      </c>
      <c r="F228" s="60">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1" t="e">
        <f>IF(G228&gt;0,DT!AC228*I228+DT!AD228*J228+DT!AE228*K228+DT!AF228*L228+DT!AG228*M228+DT!AH228*N228,"")</f>
        <v>#VALUE!</v>
      </c>
      <c r="P228" s="15"/>
    </row>
    <row r="229" spans="1:16">
      <c r="A229" s="60">
        <v>4</v>
      </c>
      <c r="B229" s="60">
        <v>5</v>
      </c>
      <c r="C229" s="60">
        <v>7</v>
      </c>
      <c r="D229" s="60">
        <v>4</v>
      </c>
      <c r="E229" s="60">
        <v>4</v>
      </c>
      <c r="F229" s="60">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1" t="e">
        <f>IF(G229&gt;0,DT!AC229*I229+DT!AD229*J229+DT!AE229*K229+DT!AF229*L229+DT!AG229*M229+DT!AH229*N229,"")</f>
        <v>#VALUE!</v>
      </c>
      <c r="P229" s="15"/>
    </row>
    <row r="230" spans="1:16">
      <c r="A230" s="60">
        <v>7</v>
      </c>
      <c r="B230" s="60">
        <v>7</v>
      </c>
      <c r="C230" s="60">
        <v>7</v>
      </c>
      <c r="D230" s="60">
        <v>7</v>
      </c>
      <c r="E230" s="60">
        <v>5</v>
      </c>
      <c r="F230" s="60">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1" t="e">
        <f>IF(G230&gt;0,DT!AC230*I230+DT!AD230*J230+DT!AE230*K230+DT!AF230*L230+DT!AG230*M230+DT!AH230*N230,"")</f>
        <v>#VALUE!</v>
      </c>
      <c r="P230" s="15"/>
    </row>
    <row r="231" spans="1:16">
      <c r="A231" s="60">
        <v>5</v>
      </c>
      <c r="B231" s="60">
        <v>7</v>
      </c>
      <c r="C231" s="60">
        <v>7</v>
      </c>
      <c r="D231" s="60">
        <v>7</v>
      </c>
      <c r="E231" s="60">
        <v>7</v>
      </c>
      <c r="F231" s="60">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1" t="e">
        <f>IF(G231&gt;0,DT!AC231*I231+DT!AD231*J231+DT!AE231*K231+DT!AF231*L231+DT!AG231*M231+DT!AH231*N231,"")</f>
        <v>#VALUE!</v>
      </c>
      <c r="P231" s="15"/>
    </row>
    <row r="232" spans="1:16">
      <c r="A232" s="60">
        <v>4</v>
      </c>
      <c r="B232" s="60">
        <v>4</v>
      </c>
      <c r="C232" s="60">
        <v>5</v>
      </c>
      <c r="D232" s="60">
        <v>5</v>
      </c>
      <c r="E232" s="60">
        <v>4</v>
      </c>
      <c r="F232" s="60">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1" t="e">
        <f>IF(G232&gt;0,DT!AC232*I232+DT!AD232*J232+DT!AE232*K232+DT!AF232*L232+DT!AG232*M232+DT!AH232*N232,"")</f>
        <v>#VALUE!</v>
      </c>
      <c r="P232" s="15"/>
    </row>
    <row r="233" spans="1:16">
      <c r="A233" s="60">
        <v>6</v>
      </c>
      <c r="B233" s="60">
        <v>6</v>
      </c>
      <c r="C233" s="60">
        <v>6</v>
      </c>
      <c r="D233" s="60">
        <v>6</v>
      </c>
      <c r="E233" s="60">
        <v>5</v>
      </c>
      <c r="F233" s="60">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1" t="e">
        <f>IF(G233&gt;0,DT!AC233*I233+DT!AD233*J233+DT!AE233*K233+DT!AF233*L233+DT!AG233*M233+DT!AH233*N233,"")</f>
        <v>#VALUE!</v>
      </c>
      <c r="P233" s="15"/>
    </row>
    <row r="234" spans="1:16">
      <c r="A234" s="60">
        <v>5</v>
      </c>
      <c r="B234" s="60">
        <v>6</v>
      </c>
      <c r="C234" s="60">
        <v>4</v>
      </c>
      <c r="D234" s="60">
        <v>5</v>
      </c>
      <c r="E234" s="60">
        <v>6</v>
      </c>
      <c r="F234" s="60">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1" t="e">
        <f>IF(G234&gt;0,DT!AC234*I234+DT!AD234*J234+DT!AE234*K234+DT!AF234*L234+DT!AG234*M234+DT!AH234*N234,"")</f>
        <v>#VALUE!</v>
      </c>
      <c r="P234" s="15"/>
    </row>
    <row r="235" spans="1:16">
      <c r="A235" s="60">
        <v>6</v>
      </c>
      <c r="B235" s="60">
        <v>6</v>
      </c>
      <c r="C235" s="60">
        <v>7</v>
      </c>
      <c r="D235" s="60">
        <v>7</v>
      </c>
      <c r="E235" s="60">
        <v>6</v>
      </c>
      <c r="F235" s="60">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1" t="e">
        <f>IF(G235&gt;0,DT!AC235*I235+DT!AD235*J235+DT!AE235*K235+DT!AF235*L235+DT!AG235*M235+DT!AH235*N235,"")</f>
        <v>#VALUE!</v>
      </c>
      <c r="P235" s="15"/>
    </row>
    <row r="236" spans="1:16">
      <c r="A236" s="60">
        <v>6</v>
      </c>
      <c r="B236" s="60">
        <v>7</v>
      </c>
      <c r="C236" s="60">
        <v>7</v>
      </c>
      <c r="D236" s="60">
        <v>7</v>
      </c>
      <c r="E236" s="60">
        <v>4</v>
      </c>
      <c r="F236" s="60">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1" t="e">
        <f>IF(G236&gt;0,DT!AC236*I236+DT!AD236*J236+DT!AE236*K236+DT!AF236*L236+DT!AG236*M236+DT!AH236*N236,"")</f>
        <v>#VALUE!</v>
      </c>
      <c r="P236" s="15"/>
    </row>
    <row r="237" spans="1:16">
      <c r="A237" s="60">
        <v>5</v>
      </c>
      <c r="B237" s="60">
        <v>6</v>
      </c>
      <c r="C237" s="60">
        <v>7</v>
      </c>
      <c r="D237" s="60">
        <v>7</v>
      </c>
      <c r="E237" s="60">
        <v>5</v>
      </c>
      <c r="F237" s="60">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1" t="e">
        <f>IF(G237&gt;0,DT!AC237*I237+DT!AD237*J237+DT!AE237*K237+DT!AF237*L237+DT!AG237*M237+DT!AH237*N237,"")</f>
        <v>#VALUE!</v>
      </c>
      <c r="P237" s="15"/>
    </row>
    <row r="238" spans="1:16">
      <c r="A238" s="60">
        <v>7</v>
      </c>
      <c r="B238" s="60">
        <v>6</v>
      </c>
      <c r="C238" s="60">
        <v>5</v>
      </c>
      <c r="D238" s="60">
        <v>6</v>
      </c>
      <c r="E238" s="60">
        <v>7</v>
      </c>
      <c r="F238" s="60">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1" t="e">
        <f>IF(G238&gt;0,DT!AC238*I238+DT!AD238*J238+DT!AE238*K238+DT!AF238*L238+DT!AG238*M238+DT!AH238*N238,"")</f>
        <v>#VALUE!</v>
      </c>
      <c r="P238" s="15"/>
    </row>
    <row r="239" spans="1:16">
      <c r="A239" s="60">
        <v>6</v>
      </c>
      <c r="B239" s="60">
        <v>6</v>
      </c>
      <c r="C239" s="60">
        <v>7</v>
      </c>
      <c r="D239" s="60">
        <v>6</v>
      </c>
      <c r="E239" s="60">
        <v>3</v>
      </c>
      <c r="F239" s="60">
        <v>4</v>
      </c>
      <c r="G239" s="1">
        <f t="shared" si="30"/>
        <v>32</v>
      </c>
      <c r="I239" s="7">
        <f t="shared" si="24"/>
        <v>0.1875</v>
      </c>
      <c r="J239" s="7">
        <f t="shared" si="25"/>
        <v>0.1875</v>
      </c>
      <c r="K239" s="7">
        <f t="shared" si="26"/>
        <v>0.21875</v>
      </c>
      <c r="L239" s="7">
        <f t="shared" si="27"/>
        <v>0.1875</v>
      </c>
      <c r="M239" s="7">
        <f t="shared" si="28"/>
        <v>9.375E-2</v>
      </c>
      <c r="N239" s="7">
        <f t="shared" si="29"/>
        <v>0.125</v>
      </c>
      <c r="O239" s="51" t="e">
        <f>IF(G239&gt;0,DT!AC239*I239+DT!AD239*J239+DT!AE239*K239+DT!AF239*L239+DT!AG239*M239+DT!AH239*N239,"")</f>
        <v>#VALUE!</v>
      </c>
      <c r="P239" s="15"/>
    </row>
    <row r="240" spans="1:16">
      <c r="A240" s="60">
        <v>5</v>
      </c>
      <c r="B240" s="60">
        <v>5</v>
      </c>
      <c r="C240" s="60">
        <v>6</v>
      </c>
      <c r="D240" s="60">
        <v>6</v>
      </c>
      <c r="E240" s="60">
        <v>5</v>
      </c>
      <c r="F240" s="60">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1" t="e">
        <f>IF(G240&gt;0,DT!AC240*I240+DT!AD240*J240+DT!AE240*K240+DT!AF240*L240+DT!AG240*M240+DT!AH240*N240,"")</f>
        <v>#VALUE!</v>
      </c>
      <c r="P240" s="15"/>
    </row>
    <row r="241" spans="1:16">
      <c r="A241" s="60">
        <v>2</v>
      </c>
      <c r="B241" s="60">
        <v>6</v>
      </c>
      <c r="C241" s="60">
        <v>7</v>
      </c>
      <c r="D241" s="60">
        <v>7</v>
      </c>
      <c r="E241" s="60">
        <v>2</v>
      </c>
      <c r="F241" s="60">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1" t="e">
        <f>IF(G241&gt;0,DT!AC241*I241+DT!AD241*J241+DT!AE241*K241+DT!AF241*L241+DT!AG241*M241+DT!AH241*N241,"")</f>
        <v>#VALUE!</v>
      </c>
      <c r="P241" s="15"/>
    </row>
    <row r="242" spans="1:16">
      <c r="A242" s="60">
        <v>5</v>
      </c>
      <c r="B242" s="60">
        <v>5</v>
      </c>
      <c r="C242" s="60">
        <v>7</v>
      </c>
      <c r="D242" s="60">
        <v>7</v>
      </c>
      <c r="E242" s="60">
        <v>6</v>
      </c>
      <c r="F242" s="60">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1" t="e">
        <f>IF(G242&gt;0,DT!AC242*I242+DT!AD242*J242+DT!AE242*K242+DT!AF242*L242+DT!AG242*M242+DT!AH242*N242,"")</f>
        <v>#VALUE!</v>
      </c>
      <c r="P242" s="15"/>
    </row>
    <row r="243" spans="1:16">
      <c r="A243" s="60">
        <v>6</v>
      </c>
      <c r="B243" s="60">
        <v>6</v>
      </c>
      <c r="C243" s="60">
        <v>6</v>
      </c>
      <c r="D243" s="60">
        <v>3</v>
      </c>
      <c r="E243" s="60">
        <v>3</v>
      </c>
      <c r="F243" s="60">
        <v>6</v>
      </c>
      <c r="G243" s="1">
        <f t="shared" si="30"/>
        <v>30</v>
      </c>
      <c r="I243" s="7">
        <f t="shared" si="24"/>
        <v>0.2</v>
      </c>
      <c r="J243" s="7">
        <f t="shared" si="25"/>
        <v>0.2</v>
      </c>
      <c r="K243" s="7">
        <f t="shared" si="26"/>
        <v>0.2</v>
      </c>
      <c r="L243" s="7">
        <f t="shared" si="27"/>
        <v>0.1</v>
      </c>
      <c r="M243" s="7">
        <f t="shared" si="28"/>
        <v>0.1</v>
      </c>
      <c r="N243" s="7">
        <f t="shared" si="29"/>
        <v>0.2</v>
      </c>
      <c r="O243" s="51" t="e">
        <f>IF(G243&gt;0,DT!AC243*I243+DT!AD243*J243+DT!AE243*K243+DT!AF243*L243+DT!AG243*M243+DT!AH243*N243,"")</f>
        <v>#VALUE!</v>
      </c>
      <c r="P243" s="15"/>
    </row>
    <row r="244" spans="1:16">
      <c r="A244" s="60">
        <v>6</v>
      </c>
      <c r="B244" s="60">
        <v>7</v>
      </c>
      <c r="C244" s="60">
        <v>7</v>
      </c>
      <c r="D244" s="60">
        <v>6</v>
      </c>
      <c r="E244" s="60">
        <v>7</v>
      </c>
      <c r="F244" s="60">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1" t="e">
        <f>IF(G244&gt;0,DT!AC244*I244+DT!AD244*J244+DT!AE244*K244+DT!AF244*L244+DT!AG244*M244+DT!AH244*N244,"")</f>
        <v>#VALUE!</v>
      </c>
      <c r="P244" s="15"/>
    </row>
    <row r="245" spans="1:16">
      <c r="A245" s="60">
        <v>5</v>
      </c>
      <c r="B245" s="60">
        <v>6</v>
      </c>
      <c r="C245" s="60">
        <v>6</v>
      </c>
      <c r="D245" s="60">
        <v>6</v>
      </c>
      <c r="E245" s="60">
        <v>2</v>
      </c>
      <c r="F245" s="60">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1" t="e">
        <f>IF(G245&gt;0,DT!AC245*I245+DT!AD245*J245+DT!AE245*K245+DT!AF245*L245+DT!AG245*M245+DT!AH245*N245,"")</f>
        <v>#VALUE!</v>
      </c>
      <c r="P245" s="15"/>
    </row>
    <row r="246" spans="1:16">
      <c r="A246" s="60">
        <v>6</v>
      </c>
      <c r="B246" s="60">
        <v>5</v>
      </c>
      <c r="C246" s="60">
        <v>6</v>
      </c>
      <c r="D246" s="60">
        <v>6</v>
      </c>
      <c r="E246" s="60">
        <v>4</v>
      </c>
      <c r="F246" s="60">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1" t="e">
        <f>IF(G246&gt;0,DT!AC246*I246+DT!AD246*J246+DT!AE246*K246+DT!AF246*L246+DT!AG246*M246+DT!AH246*N246,"")</f>
        <v>#VALUE!</v>
      </c>
      <c r="P246" s="15"/>
    </row>
    <row r="247" spans="1:16">
      <c r="A247" s="60">
        <v>2</v>
      </c>
      <c r="B247" s="60">
        <v>6</v>
      </c>
      <c r="C247" s="60">
        <v>6</v>
      </c>
      <c r="D247" s="60">
        <v>6</v>
      </c>
      <c r="E247" s="60">
        <v>6</v>
      </c>
      <c r="F247" s="60">
        <v>6</v>
      </c>
      <c r="G247" s="1">
        <f t="shared" si="30"/>
        <v>32</v>
      </c>
      <c r="I247" s="7">
        <f t="shared" si="31"/>
        <v>6.25E-2</v>
      </c>
      <c r="J247" s="7">
        <f t="shared" si="32"/>
        <v>0.1875</v>
      </c>
      <c r="K247" s="7">
        <f t="shared" si="33"/>
        <v>0.1875</v>
      </c>
      <c r="L247" s="7">
        <f t="shared" si="34"/>
        <v>0.1875</v>
      </c>
      <c r="M247" s="7">
        <f t="shared" si="35"/>
        <v>0.1875</v>
      </c>
      <c r="N247" s="7">
        <f t="shared" si="36"/>
        <v>0.1875</v>
      </c>
      <c r="O247" s="51" t="e">
        <f>IF(G247&gt;0,DT!AC247*I247+DT!AD247*J247+DT!AE247*K247+DT!AF247*L247+DT!AG247*M247+DT!AH247*N247,"")</f>
        <v>#VALUE!</v>
      </c>
      <c r="P247" s="15"/>
    </row>
    <row r="248" spans="1:16">
      <c r="A248" s="60">
        <v>5</v>
      </c>
      <c r="B248" s="60">
        <v>7</v>
      </c>
      <c r="C248" s="60">
        <v>7</v>
      </c>
      <c r="D248" s="60">
        <v>7</v>
      </c>
      <c r="E248" s="60">
        <v>5</v>
      </c>
      <c r="F248" s="60">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1" t="e">
        <f>IF(G248&gt;0,DT!AC248*I248+DT!AD248*J248+DT!AE248*K248+DT!AF248*L248+DT!AG248*M248+DT!AH248*N248,"")</f>
        <v>#VALUE!</v>
      </c>
      <c r="P248" s="15"/>
    </row>
    <row r="249" spans="1:16">
      <c r="A249" s="60">
        <v>5</v>
      </c>
      <c r="B249" s="60">
        <v>4</v>
      </c>
      <c r="C249" s="60">
        <v>5</v>
      </c>
      <c r="D249" s="60">
        <v>6</v>
      </c>
      <c r="E249" s="60">
        <v>3</v>
      </c>
      <c r="F249" s="60">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1" t="e">
        <f>IF(G249&gt;0,DT!AC249*I249+DT!AD249*J249+DT!AE249*K249+DT!AF249*L249+DT!AG249*M249+DT!AH249*N249,"")</f>
        <v>#VALUE!</v>
      </c>
      <c r="P249" s="15"/>
    </row>
    <row r="250" spans="1:16">
      <c r="A250" s="60">
        <v>5</v>
      </c>
      <c r="B250" s="60">
        <v>7</v>
      </c>
      <c r="C250" s="60">
        <v>7</v>
      </c>
      <c r="D250" s="60">
        <v>7</v>
      </c>
      <c r="E250" s="60">
        <v>4</v>
      </c>
      <c r="F250" s="60">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1" t="e">
        <f>IF(G250&gt;0,DT!AC250*I250+DT!AD250*J250+DT!AE250*K250+DT!AF250*L250+DT!AG250*M250+DT!AH250*N250,"")</f>
        <v>#VALUE!</v>
      </c>
      <c r="P250" s="15"/>
    </row>
    <row r="251" spans="1:16">
      <c r="A251" s="60">
        <v>5</v>
      </c>
      <c r="B251" s="60">
        <v>6</v>
      </c>
      <c r="C251" s="60">
        <v>5</v>
      </c>
      <c r="D251" s="60">
        <v>5</v>
      </c>
      <c r="E251" s="60">
        <v>5</v>
      </c>
      <c r="F251" s="60">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1" t="e">
        <f>IF(G251&gt;0,DT!AC251*I251+DT!AD251*J251+DT!AE251*K251+DT!AF251*L251+DT!AG251*M251+DT!AH251*N251,"")</f>
        <v>#VALUE!</v>
      </c>
      <c r="P251" s="15"/>
    </row>
    <row r="252" spans="1:16">
      <c r="A252" s="60">
        <v>7</v>
      </c>
      <c r="B252" s="60">
        <v>6</v>
      </c>
      <c r="C252" s="60">
        <v>7</v>
      </c>
      <c r="D252" s="60">
        <v>7</v>
      </c>
      <c r="E252" s="60">
        <v>7</v>
      </c>
      <c r="F252" s="60">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1" t="e">
        <f>IF(G252&gt;0,DT!AC252*I252+DT!AD252*J252+DT!AE252*K252+DT!AF252*L252+DT!AG252*M252+DT!AH252*N252,"")</f>
        <v>#VALUE!</v>
      </c>
      <c r="P252" s="15"/>
    </row>
    <row r="253" spans="1:16">
      <c r="A253" s="60">
        <v>5</v>
      </c>
      <c r="B253" s="60">
        <v>6</v>
      </c>
      <c r="C253" s="60">
        <v>6</v>
      </c>
      <c r="D253" s="60">
        <v>6</v>
      </c>
      <c r="E253" s="60">
        <v>6</v>
      </c>
      <c r="F253" s="60">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1" t="e">
        <f>IF(G253&gt;0,DT!AC253*I253+DT!AD253*J253+DT!AE253*K253+DT!AF253*L253+DT!AG253*M253+DT!AH253*N253,"")</f>
        <v>#VALUE!</v>
      </c>
      <c r="P253" s="15"/>
    </row>
    <row r="254" spans="1:16">
      <c r="A254" s="60">
        <v>6</v>
      </c>
      <c r="B254" s="60">
        <v>6</v>
      </c>
      <c r="C254" s="60">
        <v>6</v>
      </c>
      <c r="D254" s="60">
        <v>6</v>
      </c>
      <c r="E254" s="60">
        <v>6</v>
      </c>
      <c r="F254" s="60">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1" t="e">
        <f>IF(G254&gt;0,DT!AC254*I254+DT!AD254*J254+DT!AE254*K254+DT!AF254*L254+DT!AG254*M254+DT!AH254*N254,"")</f>
        <v>#VALUE!</v>
      </c>
      <c r="P254" s="15"/>
    </row>
    <row r="255" spans="1:16">
      <c r="A255" s="60">
        <v>6</v>
      </c>
      <c r="B255" s="60">
        <v>6</v>
      </c>
      <c r="C255" s="60">
        <v>6</v>
      </c>
      <c r="D255" s="60">
        <v>7</v>
      </c>
      <c r="E255" s="60">
        <v>4</v>
      </c>
      <c r="F255" s="60">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1" t="e">
        <f>IF(G255&gt;0,DT!AC255*I255+DT!AD255*J255+DT!AE255*K255+DT!AF255*L255+DT!AG255*M255+DT!AH255*N255,"")</f>
        <v>#VALUE!</v>
      </c>
      <c r="P255" s="15"/>
    </row>
    <row r="256" spans="1:16">
      <c r="A256" s="60">
        <v>6</v>
      </c>
      <c r="B256" s="60">
        <v>6</v>
      </c>
      <c r="C256" s="60">
        <v>6</v>
      </c>
      <c r="D256" s="60">
        <v>5</v>
      </c>
      <c r="E256" s="60">
        <v>6</v>
      </c>
      <c r="F256" s="60">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1" t="e">
        <f>IF(G256&gt;0,DT!AC256*I256+DT!AD256*J256+DT!AE256*K256+DT!AF256*L256+DT!AG256*M256+DT!AH256*N256,"")</f>
        <v>#VALUE!</v>
      </c>
      <c r="P256" s="15"/>
    </row>
    <row r="257" spans="1:16">
      <c r="A257" s="60">
        <v>7</v>
      </c>
      <c r="B257" s="60">
        <v>7</v>
      </c>
      <c r="C257" s="60">
        <v>7</v>
      </c>
      <c r="D257" s="60">
        <v>7</v>
      </c>
      <c r="E257" s="60">
        <v>7</v>
      </c>
      <c r="F257" s="60">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1" t="e">
        <f>IF(G257&gt;0,DT!AC257*I257+DT!AD257*J257+DT!AE257*K257+DT!AF257*L257+DT!AG257*M257+DT!AH257*N257,"")</f>
        <v>#VALUE!</v>
      </c>
      <c r="P257" s="15"/>
    </row>
    <row r="258" spans="1:16">
      <c r="A258" s="60">
        <v>7</v>
      </c>
      <c r="B258" s="60">
        <v>7</v>
      </c>
      <c r="C258" s="60">
        <v>7</v>
      </c>
      <c r="D258" s="60">
        <v>7</v>
      </c>
      <c r="E258" s="60">
        <v>7</v>
      </c>
      <c r="F258" s="60">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1"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1"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1"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1"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1"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1"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1"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1"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1"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1"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1"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1"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1"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1"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1"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1"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1"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1"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1"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1"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1"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1"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1"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1"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1"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1"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1"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1"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1"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1"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1"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1"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1"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1"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1"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1"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1"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1"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1"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1"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1"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1"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1"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1"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1"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1"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1"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1"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1"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1"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1"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1"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1"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1"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1"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1"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1"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1"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1"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1"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1"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1"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1"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1"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1"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1"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1"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1"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1"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1"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1"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1"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1"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1"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1"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1"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1"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1"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1"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1"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1"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1"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1"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1"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1"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1"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1"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1"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1"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1"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1"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1"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1"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1"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1"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1"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1"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1"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1"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1"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1"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1"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1"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1"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1"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1"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1"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1"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1"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1"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1"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1"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1"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1"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1"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1"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1"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1"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1"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1"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1"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1"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1"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1"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1"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1"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1"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1"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1"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1"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1"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1"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1"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1"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1"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1"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1"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1"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1"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1"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1"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1"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1"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1"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1"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1"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1"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1"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1"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1"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1"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1"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1"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1"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1"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1"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1"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1"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1"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1"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1"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1"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1"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1"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1"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1"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1"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1"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1"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1"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1"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1"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1"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1"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1"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1"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1"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1"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1"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1"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1"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1"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1"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1"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1"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1"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1"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1"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1"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1"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1"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1"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1"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1"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1"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1"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1"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1"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1"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1"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1"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1"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1"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1"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1"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1"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1"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1"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1"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1"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1"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1"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1"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1"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1"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1"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1"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1"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1"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1"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1"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1"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1"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1"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1"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1"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1"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1"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1"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1"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1"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1"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1"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1"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1"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1"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1"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1"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1"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1"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1"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1"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1"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1"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1"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1"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1"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1"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1"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1"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1"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1"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1"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1"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1"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1"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1"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1"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1"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1"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1"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1"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1"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1"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1"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1"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1"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1"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1"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1"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1"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1"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1"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1"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1"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1"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1"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1"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1"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1"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1"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1"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1"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1"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1"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1"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1"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1"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1"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1"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1"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1"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1"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1"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1"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1"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1"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1"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1"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1"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1"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1"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1"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1"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1"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1"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1"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1"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1"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1"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1"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1"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1"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1"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1"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1"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1"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1"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1"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1"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1"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1"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1"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1"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1"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1"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1"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1"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1"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1"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1"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1"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1"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1"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1"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1"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1"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1"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1"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1"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1"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1"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1"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1"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1"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1"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1"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1"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1"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1"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1"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1"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1"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1"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1"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1"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1"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1"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1"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1"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1"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1"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1"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1"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1"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1"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1"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1"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1"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1"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1"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1"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1"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1"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1"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1"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1"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1"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1"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1"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1"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1"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1"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1"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1"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1"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1"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1"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1"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1"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1"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1"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1"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1"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1"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1"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1"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1"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1"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1"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1"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1"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1"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1"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1"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1"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1"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1"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1"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1"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1"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1"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1"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1"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1"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1"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1"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1"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1"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1"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1"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1"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1"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1"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1"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1"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1"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1"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1"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1"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1"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1"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1"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1"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1"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1"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1"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1"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1"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1"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1"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1"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1"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1"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1"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1"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1"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1"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1"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1"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1"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1"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1"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1"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1"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1"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1"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1"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1"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1"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1"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1"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1"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1"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1"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1"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1"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1"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1"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1"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1"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1"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1"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1"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1"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1"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1"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1"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1"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1"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1"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1"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1"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1"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1"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1"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1"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1"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1"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1"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1"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1"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1"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1"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1"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1"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1"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1"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1"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1"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1"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1"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1"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1"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1"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1"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1"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1"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1"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1"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1"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1"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1"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1"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1"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1"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1"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1"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1"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1"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1"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1"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1"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1"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1"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1"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1"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1"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1"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1"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1"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1"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1"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1"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1"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1"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1"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1"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1"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1"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1"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1"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1"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1"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1"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1"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1"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1"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1"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1"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1"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1"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1"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1"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1"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1"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1"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1"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1"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1"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1"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1"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1"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1"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1"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1"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1"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1"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1"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1"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1"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1"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1"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1"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1"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1"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1"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1"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1"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1"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1"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1"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1"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1"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1"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1"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1"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1"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1"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1"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1"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1"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1"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1"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1"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1"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1"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1"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1"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1"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1"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1"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1"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1"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1"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1"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1"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1"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1"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1"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1"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1"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1"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1"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1"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1"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1"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1"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1"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1"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1"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1"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1"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1"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1"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1"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1"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1"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1"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1"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1"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1"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1"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1"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1"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1"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1"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1"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1"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1"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1"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1"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1"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1"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1"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1"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1"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1"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1"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1"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1"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1"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1"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1"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1"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1"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1"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1"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1"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1"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1"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1"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1"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1"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1"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1"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1"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1"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1"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1"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1"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1"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1"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1"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1"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1"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1"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1"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1"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1"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1"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1"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1"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1"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1"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1"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1"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1"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1"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1"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1"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1"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1"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1"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1"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1"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1"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1"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1"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1"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1"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1"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1"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1"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1"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1"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1"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1"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1"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1"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1"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1"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1"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1"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1"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1"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1"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1"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1"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1"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1"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1"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1"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1"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1"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1"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1"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1"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1"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1"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1"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1"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1"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1"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1"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1"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1"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1"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1"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1"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1"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1"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1"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1"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1"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1"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1"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803</v>
      </c>
      <c r="BI6" t="s">
        <v>813</v>
      </c>
    </row>
    <row r="7" spans="1:61">
      <c r="A7" t="s">
        <v>246</v>
      </c>
      <c r="B7" t="s">
        <v>1353</v>
      </c>
      <c r="C7" s="45" t="s">
        <v>497</v>
      </c>
      <c r="D7" t="s">
        <v>480</v>
      </c>
      <c r="E7" t="s">
        <v>481</v>
      </c>
      <c r="F7" t="s">
        <v>1199</v>
      </c>
      <c r="G7" t="s">
        <v>1200</v>
      </c>
      <c r="H7" t="s">
        <v>1212</v>
      </c>
      <c r="I7" t="s">
        <v>1213</v>
      </c>
      <c r="J7" s="45"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6" t="s">
        <v>514</v>
      </c>
      <c r="BC7" s="26" t="s">
        <v>515</v>
      </c>
      <c r="BD7" s="26" t="s">
        <v>516</v>
      </c>
      <c r="BE7" s="27" t="s">
        <v>517</v>
      </c>
      <c r="BF7" s="27" t="s">
        <v>1</v>
      </c>
      <c r="BG7" s="26"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s="153" t="s">
        <v>2173</v>
      </c>
      <c r="BI9" s="153"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24" t="s">
        <v>302</v>
      </c>
      <c r="BC10" s="32" t="s">
        <v>303</v>
      </c>
      <c r="BD10" s="24" t="s">
        <v>304</v>
      </c>
      <c r="BE10" s="25" t="s">
        <v>305</v>
      </c>
      <c r="BF10" s="25" t="s">
        <v>306</v>
      </c>
      <c r="BG10" s="33"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802</v>
      </c>
      <c r="BI13" t="s">
        <v>817</v>
      </c>
    </row>
    <row r="14" spans="1:61">
      <c r="A14" s="45" t="s">
        <v>840</v>
      </c>
      <c r="B14" s="48" t="s">
        <v>841</v>
      </c>
      <c r="C14" s="48" t="s">
        <v>842</v>
      </c>
      <c r="D14" s="48" t="s">
        <v>843</v>
      </c>
      <c r="E14" s="48" t="s">
        <v>844</v>
      </c>
      <c r="F14" s="48" t="s">
        <v>845</v>
      </c>
      <c r="G14" s="48" t="s">
        <v>846</v>
      </c>
      <c r="H14" s="48" t="s">
        <v>847</v>
      </c>
      <c r="I14" s="48" t="s">
        <v>848</v>
      </c>
      <c r="J14" s="48" t="s">
        <v>849</v>
      </c>
      <c r="K14" s="48" t="s">
        <v>850</v>
      </c>
      <c r="L14" s="48" t="s">
        <v>851</v>
      </c>
      <c r="M14" s="48" t="s">
        <v>852</v>
      </c>
      <c r="N14" s="48" t="s">
        <v>853</v>
      </c>
      <c r="O14" s="48" t="s">
        <v>854</v>
      </c>
      <c r="P14" s="48" t="s">
        <v>855</v>
      </c>
      <c r="Q14" s="48" t="s">
        <v>856</v>
      </c>
      <c r="R14" s="48" t="s">
        <v>857</v>
      </c>
      <c r="S14" s="48" t="s">
        <v>858</v>
      </c>
      <c r="T14" s="48" t="s">
        <v>859</v>
      </c>
      <c r="U14" s="48" t="s">
        <v>860</v>
      </c>
      <c r="V14" s="48" t="s">
        <v>861</v>
      </c>
      <c r="W14" s="48" t="s">
        <v>862</v>
      </c>
      <c r="X14" s="48" t="s">
        <v>863</v>
      </c>
      <c r="Y14" s="48" t="s">
        <v>864</v>
      </c>
      <c r="Z14" s="48" t="s">
        <v>865</v>
      </c>
      <c r="AA14" s="48" t="s">
        <v>866</v>
      </c>
      <c r="AB14" s="48" t="s">
        <v>867</v>
      </c>
      <c r="AC14" s="48" t="s">
        <v>868</v>
      </c>
      <c r="AD14" s="48" t="s">
        <v>846</v>
      </c>
      <c r="AE14" s="48" t="s">
        <v>869</v>
      </c>
      <c r="AF14" s="48" t="s">
        <v>870</v>
      </c>
      <c r="AG14" s="48" t="s">
        <v>871</v>
      </c>
      <c r="AH14" s="48" t="s">
        <v>872</v>
      </c>
      <c r="AI14" s="48" t="s">
        <v>873</v>
      </c>
      <c r="AJ14" s="48" t="s">
        <v>874</v>
      </c>
      <c r="AK14" s="48" t="s">
        <v>875</v>
      </c>
      <c r="AL14" s="48" t="s">
        <v>876</v>
      </c>
      <c r="AM14" s="48" t="s">
        <v>877</v>
      </c>
      <c r="AN14" s="48" t="s">
        <v>878</v>
      </c>
      <c r="AO14" s="48" t="s">
        <v>879</v>
      </c>
      <c r="AP14" s="48" t="s">
        <v>880</v>
      </c>
      <c r="AQ14" s="48" t="s">
        <v>881</v>
      </c>
      <c r="AR14" s="48" t="s">
        <v>882</v>
      </c>
      <c r="AS14" s="48" t="s">
        <v>883</v>
      </c>
      <c r="AT14" s="48" t="s">
        <v>884</v>
      </c>
      <c r="AU14" s="48" t="s">
        <v>885</v>
      </c>
      <c r="AV14" s="48" t="s">
        <v>886</v>
      </c>
      <c r="AW14" s="48" t="s">
        <v>887</v>
      </c>
      <c r="AX14" s="48" t="s">
        <v>888</v>
      </c>
      <c r="AY14" s="48" t="s">
        <v>889</v>
      </c>
      <c r="AZ14" s="48" t="s">
        <v>860</v>
      </c>
      <c r="BA14" s="48" t="s">
        <v>869</v>
      </c>
      <c r="BB14" s="45" t="s">
        <v>890</v>
      </c>
      <c r="BC14" s="45" t="s">
        <v>891</v>
      </c>
      <c r="BD14" s="45" t="s">
        <v>892</v>
      </c>
      <c r="BE14" s="45" t="s">
        <v>893</v>
      </c>
      <c r="BF14" s="45" t="s">
        <v>894</v>
      </c>
      <c r="BG14" s="45" t="s">
        <v>895</v>
      </c>
      <c r="BH14" s="45" t="s">
        <v>896</v>
      </c>
      <c r="BI14" s="45" t="s">
        <v>897</v>
      </c>
    </row>
    <row r="15" spans="1:61">
      <c r="A15" t="s">
        <v>950</v>
      </c>
      <c r="B15" s="48" t="s">
        <v>898</v>
      </c>
      <c r="C15" s="48" t="s">
        <v>899</v>
      </c>
      <c r="D15" s="48" t="s">
        <v>900</v>
      </c>
      <c r="E15" s="48" t="s">
        <v>901</v>
      </c>
      <c r="F15" s="48" t="s">
        <v>902</v>
      </c>
      <c r="G15" s="48" t="s">
        <v>903</v>
      </c>
      <c r="H15" s="48" t="s">
        <v>904</v>
      </c>
      <c r="I15" s="48" t="s">
        <v>905</v>
      </c>
      <c r="J15" s="48" t="s">
        <v>906</v>
      </c>
      <c r="K15" s="48" t="s">
        <v>907</v>
      </c>
      <c r="L15" s="48" t="s">
        <v>908</v>
      </c>
      <c r="M15" s="48" t="s">
        <v>909</v>
      </c>
      <c r="N15" s="48" t="s">
        <v>910</v>
      </c>
      <c r="O15" s="48" t="s">
        <v>911</v>
      </c>
      <c r="P15" s="48" t="s">
        <v>912</v>
      </c>
      <c r="Q15" s="48" t="s">
        <v>913</v>
      </c>
      <c r="R15" s="48" t="s">
        <v>914</v>
      </c>
      <c r="S15" s="48" t="s">
        <v>915</v>
      </c>
      <c r="T15" s="48" t="s">
        <v>916</v>
      </c>
      <c r="U15" s="48" t="s">
        <v>917</v>
      </c>
      <c r="V15" s="48" t="s">
        <v>918</v>
      </c>
      <c r="W15" s="48" t="s">
        <v>919</v>
      </c>
      <c r="X15" s="48" t="s">
        <v>920</v>
      </c>
      <c r="Y15" s="48" t="s">
        <v>921</v>
      </c>
      <c r="Z15" s="48" t="s">
        <v>922</v>
      </c>
      <c r="AA15" s="48" t="s">
        <v>923</v>
      </c>
      <c r="AB15" s="48" t="s">
        <v>924</v>
      </c>
      <c r="AC15" s="48" t="s">
        <v>925</v>
      </c>
      <c r="AD15" s="48" t="s">
        <v>926</v>
      </c>
      <c r="AE15" s="48" t="s">
        <v>927</v>
      </c>
      <c r="AF15" s="48" t="s">
        <v>928</v>
      </c>
      <c r="AG15" s="48" t="s">
        <v>929</v>
      </c>
      <c r="AH15" s="48" t="s">
        <v>930</v>
      </c>
      <c r="AI15" s="48" t="s">
        <v>931</v>
      </c>
      <c r="AJ15" s="48" t="s">
        <v>932</v>
      </c>
      <c r="AK15" s="48" t="s">
        <v>933</v>
      </c>
      <c r="AL15" s="48" t="s">
        <v>934</v>
      </c>
      <c r="AM15" s="48" t="s">
        <v>935</v>
      </c>
      <c r="AN15" s="48" t="s">
        <v>936</v>
      </c>
      <c r="AO15" s="48" t="s">
        <v>937</v>
      </c>
      <c r="AP15" s="48" t="s">
        <v>938</v>
      </c>
      <c r="AQ15" s="48" t="s">
        <v>939</v>
      </c>
      <c r="AR15" s="48" t="s">
        <v>940</v>
      </c>
      <c r="AS15" s="48" t="s">
        <v>941</v>
      </c>
      <c r="AT15" s="48" t="s">
        <v>942</v>
      </c>
      <c r="AU15" s="48" t="s">
        <v>943</v>
      </c>
      <c r="AV15" s="48" t="s">
        <v>944</v>
      </c>
      <c r="AW15" s="48" t="s">
        <v>945</v>
      </c>
      <c r="AX15" s="48" t="s">
        <v>946</v>
      </c>
      <c r="AY15" s="48" t="s">
        <v>947</v>
      </c>
      <c r="AZ15" s="48" t="s">
        <v>948</v>
      </c>
      <c r="BA15" s="48" t="s">
        <v>949</v>
      </c>
      <c r="BB15" s="49" t="s">
        <v>951</v>
      </c>
      <c r="BC15" s="46" t="s">
        <v>953</v>
      </c>
      <c r="BD15" s="46" t="s">
        <v>952</v>
      </c>
      <c r="BE15" s="47" t="s">
        <v>954</v>
      </c>
      <c r="BF15" s="47" t="s">
        <v>955</v>
      </c>
      <c r="BG15" s="46" t="s">
        <v>956</v>
      </c>
      <c r="BH15" s="45" t="s">
        <v>957</v>
      </c>
      <c r="BI15" s="45" t="s">
        <v>958</v>
      </c>
    </row>
    <row r="16" spans="1:61">
      <c r="A16" t="s">
        <v>959</v>
      </c>
      <c r="B16" s="48" t="s">
        <v>968</v>
      </c>
      <c r="C16" s="48" t="s">
        <v>969</v>
      </c>
      <c r="D16" s="48" t="s">
        <v>970</v>
      </c>
      <c r="E16" s="48" t="s">
        <v>971</v>
      </c>
      <c r="F16" s="48" t="s">
        <v>972</v>
      </c>
      <c r="G16" s="48" t="s">
        <v>973</v>
      </c>
      <c r="H16" s="48" t="s">
        <v>974</v>
      </c>
      <c r="I16" s="48" t="s">
        <v>975</v>
      </c>
      <c r="J16" s="48" t="s">
        <v>976</v>
      </c>
      <c r="K16" s="48" t="s">
        <v>977</v>
      </c>
      <c r="L16" s="48" t="s">
        <v>973</v>
      </c>
      <c r="M16" s="48" t="s">
        <v>978</v>
      </c>
      <c r="N16" s="48" t="s">
        <v>979</v>
      </c>
      <c r="O16" s="48" t="s">
        <v>980</v>
      </c>
      <c r="P16" s="48" t="s">
        <v>981</v>
      </c>
      <c r="Q16" s="48" t="s">
        <v>982</v>
      </c>
      <c r="R16" s="48" t="s">
        <v>983</v>
      </c>
      <c r="S16" s="48" t="s">
        <v>984</v>
      </c>
      <c r="T16" s="48" t="s">
        <v>985</v>
      </c>
      <c r="U16" s="48" t="s">
        <v>986</v>
      </c>
      <c r="V16" s="48" t="s">
        <v>987</v>
      </c>
      <c r="W16" s="48" t="s">
        <v>988</v>
      </c>
      <c r="X16" s="48" t="s">
        <v>989</v>
      </c>
      <c r="Y16" s="48" t="s">
        <v>990</v>
      </c>
      <c r="Z16" s="48" t="s">
        <v>991</v>
      </c>
      <c r="AA16" s="48" t="s">
        <v>992</v>
      </c>
      <c r="AB16" s="48" t="s">
        <v>993</v>
      </c>
      <c r="AC16" s="48" t="s">
        <v>994</v>
      </c>
      <c r="AD16" s="48" t="s">
        <v>995</v>
      </c>
      <c r="AE16" s="48" t="s">
        <v>996</v>
      </c>
      <c r="AF16" s="48" t="s">
        <v>997</v>
      </c>
      <c r="AG16" s="48" t="s">
        <v>998</v>
      </c>
      <c r="AH16" s="48" t="s">
        <v>999</v>
      </c>
      <c r="AI16" s="48" t="s">
        <v>1000</v>
      </c>
      <c r="AJ16" s="48" t="s">
        <v>1001</v>
      </c>
      <c r="AK16" s="48" t="s">
        <v>1002</v>
      </c>
      <c r="AL16" s="48" t="s">
        <v>1003</v>
      </c>
      <c r="AM16" s="48" t="s">
        <v>1004</v>
      </c>
      <c r="AN16" s="48" t="s">
        <v>1005</v>
      </c>
      <c r="AO16" s="48" t="s">
        <v>1006</v>
      </c>
      <c r="AP16" s="48" t="s">
        <v>1007</v>
      </c>
      <c r="AQ16" s="48" t="s">
        <v>1008</v>
      </c>
      <c r="AR16" s="48" t="s">
        <v>1009</v>
      </c>
      <c r="AS16" s="48" t="s">
        <v>1010</v>
      </c>
      <c r="AT16" s="48" t="s">
        <v>1011</v>
      </c>
      <c r="AU16" s="48" t="s">
        <v>1012</v>
      </c>
      <c r="AV16" s="48" t="s">
        <v>1013</v>
      </c>
      <c r="AW16" s="48" t="s">
        <v>1014</v>
      </c>
      <c r="AX16" s="48" t="s">
        <v>1015</v>
      </c>
      <c r="AY16" s="48" t="s">
        <v>1016</v>
      </c>
      <c r="AZ16" s="48" t="s">
        <v>1017</v>
      </c>
      <c r="BA16" s="48" t="s">
        <v>1018</v>
      </c>
      <c r="BB16" s="24" t="s">
        <v>962</v>
      </c>
      <c r="BC16" t="s">
        <v>966</v>
      </c>
      <c r="BD16" s="25" t="s">
        <v>965</v>
      </c>
      <c r="BE16" t="s">
        <v>967</v>
      </c>
      <c r="BF16" t="s">
        <v>964</v>
      </c>
      <c r="BG16" t="s">
        <v>963</v>
      </c>
      <c r="BH16" t="s">
        <v>961</v>
      </c>
      <c r="BI16" t="s">
        <v>960</v>
      </c>
    </row>
    <row r="17" spans="1:61">
      <c r="A17" t="s">
        <v>1071</v>
      </c>
      <c r="B17" s="48" t="s">
        <v>1019</v>
      </c>
      <c r="C17" s="48" t="s">
        <v>1020</v>
      </c>
      <c r="D17" s="48" t="s">
        <v>1021</v>
      </c>
      <c r="E17" s="48" t="s">
        <v>1022</v>
      </c>
      <c r="F17" s="48" t="s">
        <v>1023</v>
      </c>
      <c r="G17" s="48" t="s">
        <v>1024</v>
      </c>
      <c r="H17" s="48" t="s">
        <v>1025</v>
      </c>
      <c r="I17" s="48" t="s">
        <v>1026</v>
      </c>
      <c r="J17" s="48" t="s">
        <v>1027</v>
      </c>
      <c r="K17" s="48" t="s">
        <v>1028</v>
      </c>
      <c r="L17" s="48" t="s">
        <v>1029</v>
      </c>
      <c r="M17" s="48" t="s">
        <v>1030</v>
      </c>
      <c r="N17" s="48" t="s">
        <v>1031</v>
      </c>
      <c r="O17" s="48" t="s">
        <v>1032</v>
      </c>
      <c r="P17" s="48" t="s">
        <v>1033</v>
      </c>
      <c r="Q17" s="48" t="s">
        <v>1034</v>
      </c>
      <c r="R17" s="48" t="s">
        <v>1035</v>
      </c>
      <c r="S17" s="48" t="s">
        <v>1036</v>
      </c>
      <c r="T17" s="48" t="s">
        <v>1037</v>
      </c>
      <c r="U17" s="48" t="s">
        <v>1038</v>
      </c>
      <c r="V17" s="48" t="s">
        <v>1039</v>
      </c>
      <c r="W17" s="48" t="s">
        <v>1040</v>
      </c>
      <c r="X17" s="48" t="s">
        <v>1041</v>
      </c>
      <c r="Y17" s="48" t="s">
        <v>1042</v>
      </c>
      <c r="Z17" s="48" t="s">
        <v>1043</v>
      </c>
      <c r="AA17" s="48" t="s">
        <v>1044</v>
      </c>
      <c r="AB17" s="48" t="s">
        <v>1045</v>
      </c>
      <c r="AC17" s="48" t="s">
        <v>1046</v>
      </c>
      <c r="AD17" s="48" t="s">
        <v>1047</v>
      </c>
      <c r="AE17" s="48" t="s">
        <v>1048</v>
      </c>
      <c r="AF17" s="48" t="s">
        <v>1049</v>
      </c>
      <c r="AG17" s="48" t="s">
        <v>1050</v>
      </c>
      <c r="AH17" s="48" t="s">
        <v>1051</v>
      </c>
      <c r="AI17" s="48" t="s">
        <v>1052</v>
      </c>
      <c r="AJ17" s="48" t="s">
        <v>1053</v>
      </c>
      <c r="AK17" s="48" t="s">
        <v>1054</v>
      </c>
      <c r="AL17" s="48" t="s">
        <v>1055</v>
      </c>
      <c r="AM17" s="48" t="s">
        <v>1056</v>
      </c>
      <c r="AN17" s="48" t="s">
        <v>1057</v>
      </c>
      <c r="AO17" s="48" t="s">
        <v>1058</v>
      </c>
      <c r="AP17" s="48" t="s">
        <v>1059</v>
      </c>
      <c r="AQ17" s="48" t="s">
        <v>1060</v>
      </c>
      <c r="AR17" s="48" t="s">
        <v>1061</v>
      </c>
      <c r="AS17" s="48" t="s">
        <v>1062</v>
      </c>
      <c r="AT17" s="48" t="s">
        <v>1063</v>
      </c>
      <c r="AU17" s="48" t="s">
        <v>1064</v>
      </c>
      <c r="AV17" s="48" t="s">
        <v>1065</v>
      </c>
      <c r="AW17" s="48" t="s">
        <v>1066</v>
      </c>
      <c r="AX17" s="48" t="s">
        <v>1067</v>
      </c>
      <c r="AY17" s="48" t="s">
        <v>1068</v>
      </c>
      <c r="AZ17" s="48" t="s">
        <v>1069</v>
      </c>
      <c r="BA17" s="48" t="s">
        <v>1070</v>
      </c>
      <c r="BB17" s="48" t="s">
        <v>1072</v>
      </c>
      <c r="BC17" t="s">
        <v>1073</v>
      </c>
      <c r="BD17" s="25" t="s">
        <v>1074</v>
      </c>
      <c r="BE17" t="s">
        <v>1075</v>
      </c>
      <c r="BF17" t="s">
        <v>1076</v>
      </c>
      <c r="BG17" t="s">
        <v>1077</v>
      </c>
      <c r="BH17" t="s">
        <v>1078</v>
      </c>
      <c r="BI17" t="s">
        <v>1079</v>
      </c>
    </row>
    <row r="18" spans="1:61">
      <c r="A18" t="s">
        <v>1080</v>
      </c>
      <c r="B18" s="48" t="s">
        <v>1081</v>
      </c>
      <c r="C18" s="48" t="s">
        <v>1082</v>
      </c>
      <c r="D18" s="48" t="s">
        <v>1083</v>
      </c>
      <c r="E18" s="48" t="s">
        <v>1084</v>
      </c>
      <c r="F18" s="48" t="s">
        <v>1085</v>
      </c>
      <c r="G18" s="48" t="s">
        <v>1086</v>
      </c>
      <c r="H18" s="48" t="s">
        <v>1087</v>
      </c>
      <c r="I18" s="48" t="s">
        <v>1088</v>
      </c>
      <c r="J18" s="48" t="s">
        <v>1089</v>
      </c>
      <c r="K18" s="48" t="s">
        <v>1090</v>
      </c>
      <c r="L18" s="48" t="s">
        <v>1086</v>
      </c>
      <c r="M18" s="48" t="s">
        <v>1091</v>
      </c>
      <c r="N18" s="48" t="s">
        <v>1092</v>
      </c>
      <c r="O18" s="48" t="s">
        <v>1093</v>
      </c>
      <c r="P18" s="48" t="s">
        <v>1094</v>
      </c>
      <c r="Q18" s="48" t="s">
        <v>1095</v>
      </c>
      <c r="R18" s="48" t="s">
        <v>1096</v>
      </c>
      <c r="S18" s="48" t="s">
        <v>1097</v>
      </c>
      <c r="T18" s="48" t="s">
        <v>1098</v>
      </c>
      <c r="U18" s="48" t="s">
        <v>1099</v>
      </c>
      <c r="V18" s="48" t="s">
        <v>1100</v>
      </c>
      <c r="W18" s="48" t="s">
        <v>1101</v>
      </c>
      <c r="X18" s="48" t="s">
        <v>1102</v>
      </c>
      <c r="Y18" s="48" t="s">
        <v>1103</v>
      </c>
      <c r="Z18" s="48" t="s">
        <v>1104</v>
      </c>
      <c r="AA18" s="48" t="s">
        <v>1105</v>
      </c>
      <c r="AB18" s="48" t="s">
        <v>1106</v>
      </c>
      <c r="AC18" s="48" t="s">
        <v>1082</v>
      </c>
      <c r="AD18" s="48" t="s">
        <v>1107</v>
      </c>
      <c r="AE18" s="48" t="s">
        <v>1108</v>
      </c>
      <c r="AF18" s="48" t="s">
        <v>1109</v>
      </c>
      <c r="AG18" s="48" t="s">
        <v>1110</v>
      </c>
      <c r="AH18" s="48" t="s">
        <v>1111</v>
      </c>
      <c r="AI18" s="48" t="s">
        <v>1112</v>
      </c>
      <c r="AJ18" s="48" t="s">
        <v>1113</v>
      </c>
      <c r="AK18" s="48" t="s">
        <v>1114</v>
      </c>
      <c r="AL18" s="48" t="s">
        <v>1115</v>
      </c>
      <c r="AM18" s="48" t="s">
        <v>1116</v>
      </c>
      <c r="AN18" s="48" t="s">
        <v>1117</v>
      </c>
      <c r="AO18" s="48" t="s">
        <v>1118</v>
      </c>
      <c r="AP18" s="48" t="s">
        <v>1119</v>
      </c>
      <c r="AQ18" s="48" t="s">
        <v>1120</v>
      </c>
      <c r="AR18" s="48" t="s">
        <v>1121</v>
      </c>
      <c r="AS18" s="48" t="s">
        <v>1122</v>
      </c>
      <c r="AT18" s="48" t="s">
        <v>1123</v>
      </c>
      <c r="AU18" s="48" t="s">
        <v>1124</v>
      </c>
      <c r="AV18" s="48" t="s">
        <v>1125</v>
      </c>
      <c r="AW18" s="48" t="s">
        <v>1126</v>
      </c>
      <c r="AX18" s="48" t="s">
        <v>1127</v>
      </c>
      <c r="AY18" s="48" t="s">
        <v>1128</v>
      </c>
      <c r="AZ18" s="48" t="s">
        <v>1129</v>
      </c>
      <c r="BA18" s="48" t="s">
        <v>1130</v>
      </c>
      <c r="BB18" t="s">
        <v>1131</v>
      </c>
      <c r="BC18" t="s">
        <v>1132</v>
      </c>
      <c r="BD18" t="s">
        <v>1133</v>
      </c>
      <c r="BE18" t="s">
        <v>1134</v>
      </c>
      <c r="BF18" t="s">
        <v>1136</v>
      </c>
      <c r="BG18" t="s">
        <v>1135</v>
      </c>
      <c r="BH18" t="s">
        <v>1137</v>
      </c>
      <c r="BI18" t="s">
        <v>1138</v>
      </c>
    </row>
    <row r="19" spans="1:61">
      <c r="A19" t="s">
        <v>1139</v>
      </c>
      <c r="B19" s="48" t="s">
        <v>1140</v>
      </c>
      <c r="C19" s="48" t="s">
        <v>1141</v>
      </c>
      <c r="D19" s="48" t="s">
        <v>1142</v>
      </c>
      <c r="E19" s="48" t="s">
        <v>1143</v>
      </c>
      <c r="F19" s="48" t="s">
        <v>1144</v>
      </c>
      <c r="G19" s="48" t="s">
        <v>1145</v>
      </c>
      <c r="H19" s="48" t="s">
        <v>1146</v>
      </c>
      <c r="I19" s="48" t="s">
        <v>1147</v>
      </c>
      <c r="J19" s="48" t="s">
        <v>1148</v>
      </c>
      <c r="K19" s="48" t="s">
        <v>1149</v>
      </c>
      <c r="L19" s="48" t="s">
        <v>1150</v>
      </c>
      <c r="M19" s="48" t="s">
        <v>1151</v>
      </c>
      <c r="N19" s="48" t="s">
        <v>1152</v>
      </c>
      <c r="O19" s="48" t="s">
        <v>1151</v>
      </c>
      <c r="P19" s="48" t="s">
        <v>1153</v>
      </c>
      <c r="Q19" s="48" t="s">
        <v>1154</v>
      </c>
      <c r="R19" s="48" t="s">
        <v>1155</v>
      </c>
      <c r="S19" s="48" t="s">
        <v>1156</v>
      </c>
      <c r="T19" s="48" t="s">
        <v>1157</v>
      </c>
      <c r="U19" s="48" t="s">
        <v>1158</v>
      </c>
      <c r="V19" s="48" t="s">
        <v>1159</v>
      </c>
      <c r="W19" s="48" t="s">
        <v>1160</v>
      </c>
      <c r="X19" s="48" t="s">
        <v>1161</v>
      </c>
      <c r="Y19" s="48" t="s">
        <v>1162</v>
      </c>
      <c r="Z19" s="48" t="s">
        <v>1163</v>
      </c>
      <c r="AA19" s="48" t="s">
        <v>1164</v>
      </c>
      <c r="AB19" s="48" t="s">
        <v>1165</v>
      </c>
      <c r="AC19" s="48" t="s">
        <v>1166</v>
      </c>
      <c r="AD19" s="48" t="s">
        <v>1167</v>
      </c>
      <c r="AE19" s="48" t="s">
        <v>1168</v>
      </c>
      <c r="AF19" s="48" t="s">
        <v>1169</v>
      </c>
      <c r="AG19" s="48" t="s">
        <v>1170</v>
      </c>
      <c r="AH19" s="48" t="s">
        <v>1171</v>
      </c>
      <c r="AI19" s="48" t="s">
        <v>1172</v>
      </c>
      <c r="AJ19" s="48" t="s">
        <v>1173</v>
      </c>
      <c r="AK19" s="48" t="s">
        <v>1174</v>
      </c>
      <c r="AL19" s="48" t="s">
        <v>1175</v>
      </c>
      <c r="AM19" s="48" t="s">
        <v>1176</v>
      </c>
      <c r="AN19" s="48" t="s">
        <v>1177</v>
      </c>
      <c r="AO19" s="48" t="s">
        <v>1178</v>
      </c>
      <c r="AP19" s="48" t="s">
        <v>1179</v>
      </c>
      <c r="AQ19" s="48" t="s">
        <v>1180</v>
      </c>
      <c r="AR19" s="48" t="s">
        <v>1181</v>
      </c>
      <c r="AS19" s="48" t="s">
        <v>1182</v>
      </c>
      <c r="AT19" s="48" t="s">
        <v>1183</v>
      </c>
      <c r="AU19" s="48" t="s">
        <v>1184</v>
      </c>
      <c r="AV19" s="48" t="s">
        <v>1185</v>
      </c>
      <c r="AW19" s="48" t="s">
        <v>1186</v>
      </c>
      <c r="AX19" s="48" t="s">
        <v>1187</v>
      </c>
      <c r="AY19" s="48" t="s">
        <v>1188</v>
      </c>
      <c r="AZ19" s="48" t="s">
        <v>1189</v>
      </c>
      <c r="BA19" s="48" t="s">
        <v>1190</v>
      </c>
      <c r="BB19" s="25" t="s">
        <v>1191</v>
      </c>
      <c r="BC19" t="s">
        <v>1192</v>
      </c>
      <c r="BD19" t="s">
        <v>1193</v>
      </c>
      <c r="BE19" t="s">
        <v>1194</v>
      </c>
      <c r="BF19" t="s">
        <v>1195</v>
      </c>
      <c r="BG19" t="s">
        <v>1196</v>
      </c>
      <c r="BH19" t="s">
        <v>1197</v>
      </c>
      <c r="BI19" t="s">
        <v>1198</v>
      </c>
    </row>
    <row r="20" spans="1:61">
      <c r="A20" t="s">
        <v>1215</v>
      </c>
      <c r="B20" s="48" t="s">
        <v>1261</v>
      </c>
      <c r="C20" s="48" t="s">
        <v>1216</v>
      </c>
      <c r="D20" s="48" t="s">
        <v>1217</v>
      </c>
      <c r="E20" s="48" t="s">
        <v>1218</v>
      </c>
      <c r="F20" s="48" t="s">
        <v>1219</v>
      </c>
      <c r="G20" s="48" t="s">
        <v>1220</v>
      </c>
      <c r="H20" s="48" t="s">
        <v>1221</v>
      </c>
      <c r="I20" s="48" t="s">
        <v>1222</v>
      </c>
      <c r="J20" s="48" t="s">
        <v>1223</v>
      </c>
      <c r="K20" s="48" t="s">
        <v>1224</v>
      </c>
      <c r="L20" s="48" t="s">
        <v>1220</v>
      </c>
      <c r="M20" s="48" t="s">
        <v>1225</v>
      </c>
      <c r="N20" s="48" t="s">
        <v>1226</v>
      </c>
      <c r="O20" s="48" t="s">
        <v>1227</v>
      </c>
      <c r="P20" s="48" t="s">
        <v>1228</v>
      </c>
      <c r="Q20" s="48" t="s">
        <v>1229</v>
      </c>
      <c r="R20" s="48" t="s">
        <v>1230</v>
      </c>
      <c r="S20" s="48" t="s">
        <v>1231</v>
      </c>
      <c r="T20" s="48" t="s">
        <v>1232</v>
      </c>
      <c r="U20" s="48" t="s">
        <v>1233</v>
      </c>
      <c r="V20" s="48" t="s">
        <v>1234</v>
      </c>
      <c r="W20" s="48" t="s">
        <v>1262</v>
      </c>
      <c r="X20" s="48" t="s">
        <v>1235</v>
      </c>
      <c r="Y20" s="48" t="s">
        <v>1236</v>
      </c>
      <c r="Z20" s="48" t="s">
        <v>1237</v>
      </c>
      <c r="AA20" s="48" t="s">
        <v>1238</v>
      </c>
      <c r="AB20" s="48" t="s">
        <v>1239</v>
      </c>
      <c r="AC20" s="48" t="s">
        <v>1216</v>
      </c>
      <c r="AD20" s="48" t="s">
        <v>1240</v>
      </c>
      <c r="AE20" s="48" t="s">
        <v>1241</v>
      </c>
      <c r="AF20" s="48" t="s">
        <v>1242</v>
      </c>
      <c r="AG20" s="48" t="s">
        <v>1216</v>
      </c>
      <c r="AH20" s="48" t="s">
        <v>1243</v>
      </c>
      <c r="AI20" s="48" t="s">
        <v>1244</v>
      </c>
      <c r="AJ20" s="48" t="s">
        <v>1245</v>
      </c>
      <c r="AK20" s="48" t="s">
        <v>1246</v>
      </c>
      <c r="AL20" s="48" t="s">
        <v>1247</v>
      </c>
      <c r="AM20" s="48" t="s">
        <v>1248</v>
      </c>
      <c r="AN20" s="48" t="s">
        <v>2175</v>
      </c>
      <c r="AO20" t="s">
        <v>2176</v>
      </c>
      <c r="AP20" s="48" t="s">
        <v>1249</v>
      </c>
      <c r="AQ20" s="48" t="s">
        <v>1250</v>
      </c>
      <c r="AR20" s="48" t="s">
        <v>1251</v>
      </c>
      <c r="AS20" s="48" t="s">
        <v>1252</v>
      </c>
      <c r="AT20" s="48" t="s">
        <v>1253</v>
      </c>
      <c r="AU20" s="48" t="s">
        <v>1254</v>
      </c>
      <c r="AV20" s="48" t="s">
        <v>1255</v>
      </c>
      <c r="AW20" s="48" t="s">
        <v>1256</v>
      </c>
      <c r="AX20" s="48" t="s">
        <v>1257</v>
      </c>
      <c r="AY20" s="48" t="s">
        <v>1258</v>
      </c>
      <c r="AZ20" s="48" t="s">
        <v>1259</v>
      </c>
      <c r="BA20" s="48" t="s">
        <v>1260</v>
      </c>
      <c r="BB20" s="48" t="s">
        <v>1263</v>
      </c>
      <c r="BC20" t="s">
        <v>1265</v>
      </c>
      <c r="BD20" t="s">
        <v>1264</v>
      </c>
      <c r="BE20" t="s">
        <v>1266</v>
      </c>
      <c r="BF20" t="s">
        <v>1267</v>
      </c>
      <c r="BG20" t="s">
        <v>1268</v>
      </c>
      <c r="BH20" t="s">
        <v>2171</v>
      </c>
      <c r="BI20" t="s">
        <v>2172</v>
      </c>
    </row>
    <row r="21" spans="1:61">
      <c r="A21" t="s">
        <v>1292</v>
      </c>
      <c r="B21" s="48" t="s">
        <v>1293</v>
      </c>
      <c r="C21" s="48" t="s">
        <v>1294</v>
      </c>
      <c r="D21" s="48" t="s">
        <v>1295</v>
      </c>
      <c r="E21" s="48" t="s">
        <v>1296</v>
      </c>
      <c r="F21" s="48" t="s">
        <v>1297</v>
      </c>
      <c r="G21" s="48" t="s">
        <v>1298</v>
      </c>
      <c r="H21" s="48" t="s">
        <v>1299</v>
      </c>
      <c r="I21" s="48" t="s">
        <v>1300</v>
      </c>
      <c r="J21" s="48" t="s">
        <v>1301</v>
      </c>
      <c r="K21" s="48" t="s">
        <v>1302</v>
      </c>
      <c r="L21" s="48" t="s">
        <v>1303</v>
      </c>
      <c r="M21" s="48" t="s">
        <v>1304</v>
      </c>
      <c r="N21" s="48" t="s">
        <v>1305</v>
      </c>
      <c r="O21" s="48" t="s">
        <v>1306</v>
      </c>
      <c r="P21" s="48" t="s">
        <v>1307</v>
      </c>
      <c r="Q21" s="48" t="s">
        <v>1308</v>
      </c>
      <c r="R21" s="48" t="s">
        <v>1309</v>
      </c>
      <c r="S21" s="48" t="s">
        <v>1310</v>
      </c>
      <c r="T21" s="48" t="s">
        <v>1311</v>
      </c>
      <c r="U21" s="48" t="s">
        <v>1312</v>
      </c>
      <c r="V21" s="48" t="s">
        <v>1313</v>
      </c>
      <c r="W21" s="48" t="s">
        <v>1314</v>
      </c>
      <c r="X21" s="48" t="s">
        <v>1315</v>
      </c>
      <c r="Y21" s="48" t="s">
        <v>1316</v>
      </c>
      <c r="Z21" s="48" t="s">
        <v>1317</v>
      </c>
      <c r="AA21" s="48" t="s">
        <v>1318</v>
      </c>
      <c r="AB21" s="48" t="s">
        <v>1319</v>
      </c>
      <c r="AC21" s="48" t="s">
        <v>1320</v>
      </c>
      <c r="AD21" s="48" t="s">
        <v>1321</v>
      </c>
      <c r="AE21" s="48" t="s">
        <v>1322</v>
      </c>
      <c r="AF21" s="48" t="s">
        <v>1323</v>
      </c>
      <c r="AG21" s="48" t="s">
        <v>1324</v>
      </c>
      <c r="AH21" s="48" t="s">
        <v>1325</v>
      </c>
      <c r="AI21" s="48" t="s">
        <v>1326</v>
      </c>
      <c r="AJ21" s="48" t="s">
        <v>1327</v>
      </c>
      <c r="AK21" s="48" t="s">
        <v>1328</v>
      </c>
      <c r="AL21" s="48" t="s">
        <v>1329</v>
      </c>
      <c r="AM21" s="48" t="s">
        <v>1330</v>
      </c>
      <c r="AN21" s="48" t="s">
        <v>1331</v>
      </c>
      <c r="AO21" s="48" t="s">
        <v>1332</v>
      </c>
      <c r="AP21" s="48" t="s">
        <v>1333</v>
      </c>
      <c r="AQ21" s="48" t="s">
        <v>1334</v>
      </c>
      <c r="AR21" s="48" t="s">
        <v>1335</v>
      </c>
      <c r="AS21" s="48" t="s">
        <v>1336</v>
      </c>
      <c r="AT21" s="48" t="s">
        <v>1337</v>
      </c>
      <c r="AU21" s="48" t="s">
        <v>1338</v>
      </c>
      <c r="AV21" s="48" t="s">
        <v>1339</v>
      </c>
      <c r="AW21" s="48" t="s">
        <v>1340</v>
      </c>
      <c r="AX21" s="48" t="s">
        <v>1341</v>
      </c>
      <c r="AY21" s="48" t="s">
        <v>1342</v>
      </c>
      <c r="AZ21" s="48" t="s">
        <v>1343</v>
      </c>
      <c r="BA21" s="48" t="s">
        <v>1344</v>
      </c>
      <c r="BB21" s="46" t="s">
        <v>1345</v>
      </c>
      <c r="BC21" s="58" t="s">
        <v>1346</v>
      </c>
      <c r="BD21" s="58" t="s">
        <v>1347</v>
      </c>
      <c r="BE21" s="58" t="s">
        <v>1348</v>
      </c>
      <c r="BF21" s="58" t="s">
        <v>1349</v>
      </c>
      <c r="BG21" s="58" t="s">
        <v>1350</v>
      </c>
      <c r="BH21" s="58" t="s">
        <v>1351</v>
      </c>
      <c r="BI21" s="58" t="s">
        <v>1352</v>
      </c>
    </row>
    <row r="22" spans="1:61">
      <c r="A22" t="s">
        <v>1354</v>
      </c>
      <c r="B22" s="48" t="s">
        <v>1355</v>
      </c>
      <c r="C22" s="48" t="s">
        <v>1356</v>
      </c>
      <c r="D22" s="48" t="s">
        <v>1357</v>
      </c>
      <c r="E22" s="48" t="s">
        <v>1358</v>
      </c>
      <c r="F22" s="48" t="s">
        <v>1359</v>
      </c>
      <c r="G22" s="48" t="s">
        <v>1360</v>
      </c>
      <c r="H22" s="48" t="s">
        <v>579</v>
      </c>
      <c r="I22" s="48" t="s">
        <v>1361</v>
      </c>
      <c r="J22" s="48" t="s">
        <v>1362</v>
      </c>
      <c r="K22" s="48" t="s">
        <v>1363</v>
      </c>
      <c r="L22" s="48" t="s">
        <v>583</v>
      </c>
      <c r="M22" s="48" t="s">
        <v>1356</v>
      </c>
      <c r="N22" s="48" t="s">
        <v>1364</v>
      </c>
      <c r="O22" s="48" t="s">
        <v>1365</v>
      </c>
      <c r="P22" s="48" t="s">
        <v>1366</v>
      </c>
      <c r="Q22" s="48" t="s">
        <v>1367</v>
      </c>
      <c r="R22" s="48" t="s">
        <v>589</v>
      </c>
      <c r="S22" s="48" t="s">
        <v>1368</v>
      </c>
      <c r="T22" s="48" t="s">
        <v>1369</v>
      </c>
      <c r="U22" s="48" t="s">
        <v>1370</v>
      </c>
      <c r="V22" s="48" t="s">
        <v>1371</v>
      </c>
      <c r="W22" s="48" t="s">
        <v>1372</v>
      </c>
      <c r="X22" s="48" t="s">
        <v>595</v>
      </c>
      <c r="Y22" s="48" t="s">
        <v>1373</v>
      </c>
      <c r="Z22" s="48" t="s">
        <v>1374</v>
      </c>
      <c r="AA22" s="48" t="s">
        <v>1375</v>
      </c>
      <c r="AB22" s="48" t="s">
        <v>599</v>
      </c>
      <c r="AC22" s="48" t="s">
        <v>1376</v>
      </c>
      <c r="AD22" s="48" t="s">
        <v>1377</v>
      </c>
      <c r="AE22" s="48" t="s">
        <v>1378</v>
      </c>
      <c r="AF22" s="48" t="s">
        <v>1379</v>
      </c>
      <c r="AG22" s="48" t="s">
        <v>574</v>
      </c>
      <c r="AH22" s="48" t="s">
        <v>1380</v>
      </c>
      <c r="AI22" s="48" t="s">
        <v>1381</v>
      </c>
      <c r="AJ22" s="48" t="s">
        <v>1382</v>
      </c>
      <c r="AK22" s="48" t="s">
        <v>1383</v>
      </c>
      <c r="AL22" s="48" t="s">
        <v>1384</v>
      </c>
      <c r="AM22" s="48" t="s">
        <v>1385</v>
      </c>
      <c r="AN22" s="48" t="s">
        <v>1386</v>
      </c>
      <c r="AO22" s="48" t="s">
        <v>1387</v>
      </c>
      <c r="AP22" s="48" t="s">
        <v>613</v>
      </c>
      <c r="AQ22" s="48" t="s">
        <v>1388</v>
      </c>
      <c r="AR22" s="48" t="s">
        <v>1389</v>
      </c>
      <c r="AS22" s="48" t="s">
        <v>1390</v>
      </c>
      <c r="AT22" s="48" t="s">
        <v>1391</v>
      </c>
      <c r="AU22" s="48" t="s">
        <v>1392</v>
      </c>
      <c r="AV22" s="48" t="s">
        <v>586</v>
      </c>
      <c r="AW22" s="48" t="s">
        <v>585</v>
      </c>
      <c r="AX22" s="48" t="s">
        <v>1393</v>
      </c>
      <c r="AY22" s="48" t="s">
        <v>1394</v>
      </c>
      <c r="AZ22" s="48" t="s">
        <v>623</v>
      </c>
      <c r="BA22" s="48" t="s">
        <v>624</v>
      </c>
      <c r="BB22" t="s">
        <v>1395</v>
      </c>
      <c r="BC22" t="s">
        <v>626</v>
      </c>
      <c r="BD22" t="s">
        <v>1396</v>
      </c>
      <c r="BE22" t="s">
        <v>1397</v>
      </c>
      <c r="BF22" t="s">
        <v>1400</v>
      </c>
      <c r="BG22" t="s">
        <v>1401</v>
      </c>
      <c r="BH22" t="s">
        <v>1398</v>
      </c>
      <c r="BI22" t="s">
        <v>1399</v>
      </c>
    </row>
    <row r="23" spans="1:61">
      <c r="A23" s="45" t="s">
        <v>1402</v>
      </c>
      <c r="B23" s="144" t="s">
        <v>1453</v>
      </c>
      <c r="C23" s="144" t="s">
        <v>1403</v>
      </c>
      <c r="D23" s="144" t="s">
        <v>1404</v>
      </c>
      <c r="E23" s="144" t="s">
        <v>1405</v>
      </c>
      <c r="F23" s="144" t="s">
        <v>1406</v>
      </c>
      <c r="G23" s="144" t="s">
        <v>1407</v>
      </c>
      <c r="H23" s="144" t="s">
        <v>1408</v>
      </c>
      <c r="I23" s="144" t="s">
        <v>1409</v>
      </c>
      <c r="J23" s="144" t="s">
        <v>1410</v>
      </c>
      <c r="K23" s="144" t="s">
        <v>1411</v>
      </c>
      <c r="L23" s="144" t="s">
        <v>1412</v>
      </c>
      <c r="M23" s="144" t="s">
        <v>1454</v>
      </c>
      <c r="N23" s="144" t="s">
        <v>1414</v>
      </c>
      <c r="O23" s="144" t="s">
        <v>1413</v>
      </c>
      <c r="P23" s="144" t="s">
        <v>1415</v>
      </c>
      <c r="Q23" s="144" t="s">
        <v>1416</v>
      </c>
      <c r="R23" s="144" t="s">
        <v>1417</v>
      </c>
      <c r="S23" s="144" t="s">
        <v>1418</v>
      </c>
      <c r="T23" s="144" t="s">
        <v>1419</v>
      </c>
      <c r="U23" s="144" t="s">
        <v>1420</v>
      </c>
      <c r="V23" s="144" t="s">
        <v>1421</v>
      </c>
      <c r="W23" s="144" t="s">
        <v>1422</v>
      </c>
      <c r="X23" s="144" t="s">
        <v>1423</v>
      </c>
      <c r="Y23" s="144" t="s">
        <v>1424</v>
      </c>
      <c r="Z23" s="144" t="s">
        <v>1425</v>
      </c>
      <c r="AA23" s="144" t="s">
        <v>1426</v>
      </c>
      <c r="AB23" s="144" t="s">
        <v>1427</v>
      </c>
      <c r="AC23" s="144" t="s">
        <v>1428</v>
      </c>
      <c r="AD23" s="144" t="s">
        <v>1429</v>
      </c>
      <c r="AE23" s="144" t="s">
        <v>1430</v>
      </c>
      <c r="AF23" s="144" t="s">
        <v>1431</v>
      </c>
      <c r="AG23" s="144" t="s">
        <v>1411</v>
      </c>
      <c r="AH23" s="144" t="s">
        <v>1432</v>
      </c>
      <c r="AI23" s="144" t="s">
        <v>1433</v>
      </c>
      <c r="AJ23" s="144" t="s">
        <v>1434</v>
      </c>
      <c r="AK23" s="144" t="s">
        <v>1435</v>
      </c>
      <c r="AL23" s="144" t="s">
        <v>1436</v>
      </c>
      <c r="AM23" s="144" t="s">
        <v>1437</v>
      </c>
      <c r="AN23" s="144" t="s">
        <v>1438</v>
      </c>
      <c r="AO23" s="144" t="s">
        <v>1455</v>
      </c>
      <c r="AP23" s="144" t="s">
        <v>1439</v>
      </c>
      <c r="AQ23" s="144" t="s">
        <v>1440</v>
      </c>
      <c r="AR23" s="144" t="s">
        <v>1456</v>
      </c>
      <c r="AS23" s="144" t="s">
        <v>1441</v>
      </c>
      <c r="AT23" s="144" t="s">
        <v>1442</v>
      </c>
      <c r="AU23" s="144" t="s">
        <v>1443</v>
      </c>
      <c r="AV23" s="144" t="s">
        <v>1457</v>
      </c>
      <c r="AW23" s="144" t="s">
        <v>1458</v>
      </c>
      <c r="AX23" s="144" t="s">
        <v>1444</v>
      </c>
      <c r="AY23" s="144" t="s">
        <v>1445</v>
      </c>
      <c r="AZ23" s="144" t="s">
        <v>1459</v>
      </c>
      <c r="BA23" s="144" t="s">
        <v>1446</v>
      </c>
      <c r="BB23" s="142" t="s">
        <v>1447</v>
      </c>
      <c r="BC23" s="142" t="s">
        <v>1448</v>
      </c>
      <c r="BD23" s="142" t="s">
        <v>1449</v>
      </c>
      <c r="BE23" s="143" t="s">
        <v>1450</v>
      </c>
      <c r="BF23" s="143" t="s">
        <v>1460</v>
      </c>
      <c r="BG23" s="142" t="s">
        <v>1461</v>
      </c>
      <c r="BH23" s="141" t="s">
        <v>1451</v>
      </c>
      <c r="BI23" s="141"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46"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s="141" t="s">
        <v>239</v>
      </c>
      <c r="BI25" s="141"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s="141" t="s">
        <v>239</v>
      </c>
      <c r="BI26" s="141" t="s">
        <v>242</v>
      </c>
    </row>
    <row r="27" spans="1:61">
      <c r="A27" t="s">
        <v>1624</v>
      </c>
      <c r="B27" s="141" t="s">
        <v>1634</v>
      </c>
      <c r="C27" s="141" t="s">
        <v>1635</v>
      </c>
      <c r="D27" s="141" t="s">
        <v>1636</v>
      </c>
      <c r="E27" s="141" t="s">
        <v>1637</v>
      </c>
      <c r="F27" s="141" t="s">
        <v>1638</v>
      </c>
      <c r="G27" s="141" t="s">
        <v>1639</v>
      </c>
      <c r="H27" s="141" t="s">
        <v>1640</v>
      </c>
      <c r="I27" s="141" t="s">
        <v>1641</v>
      </c>
      <c r="J27" s="141" t="s">
        <v>1642</v>
      </c>
      <c r="K27" s="141" t="s">
        <v>1643</v>
      </c>
      <c r="L27" s="141" t="s">
        <v>1644</v>
      </c>
      <c r="M27" s="141" t="s">
        <v>1645</v>
      </c>
      <c r="N27" s="141" t="s">
        <v>1646</v>
      </c>
      <c r="O27" s="141" t="s">
        <v>1647</v>
      </c>
      <c r="P27" s="141" t="s">
        <v>1648</v>
      </c>
      <c r="Q27" s="141" t="s">
        <v>1649</v>
      </c>
      <c r="R27" s="141" t="s">
        <v>1650</v>
      </c>
      <c r="S27" s="141" t="s">
        <v>1651</v>
      </c>
      <c r="T27" s="141" t="s">
        <v>1652</v>
      </c>
      <c r="U27" s="141" t="s">
        <v>1653</v>
      </c>
      <c r="V27" s="141" t="s">
        <v>1654</v>
      </c>
      <c r="W27" s="141" t="s">
        <v>1655</v>
      </c>
      <c r="X27" s="141" t="s">
        <v>1656</v>
      </c>
      <c r="Y27" s="141" t="s">
        <v>1657</v>
      </c>
      <c r="Z27" s="141" t="s">
        <v>1658</v>
      </c>
      <c r="AA27" s="141" t="s">
        <v>1659</v>
      </c>
      <c r="AB27" s="141" t="s">
        <v>1660</v>
      </c>
      <c r="AC27" s="141" t="s">
        <v>1661</v>
      </c>
      <c r="AD27" s="141" t="s">
        <v>1662</v>
      </c>
      <c r="AE27" s="141" t="s">
        <v>1663</v>
      </c>
      <c r="AF27" s="141" t="s">
        <v>1664</v>
      </c>
      <c r="AG27" s="141" t="s">
        <v>1665</v>
      </c>
      <c r="AH27" s="141" t="s">
        <v>1666</v>
      </c>
      <c r="AI27" s="141" t="s">
        <v>1667</v>
      </c>
      <c r="AJ27" s="141" t="s">
        <v>1668</v>
      </c>
      <c r="AK27" s="141" t="s">
        <v>1669</v>
      </c>
      <c r="AL27" s="141" t="s">
        <v>1670</v>
      </c>
      <c r="AM27" s="141" t="s">
        <v>1671</v>
      </c>
      <c r="AN27" s="141" t="s">
        <v>1672</v>
      </c>
      <c r="AO27" s="141" t="s">
        <v>1673</v>
      </c>
      <c r="AP27" s="141" t="s">
        <v>1674</v>
      </c>
      <c r="AQ27" s="141" t="s">
        <v>1675</v>
      </c>
      <c r="AR27" s="141" t="s">
        <v>1676</v>
      </c>
      <c r="AS27" s="141" t="s">
        <v>1677</v>
      </c>
      <c r="AT27" s="141" t="s">
        <v>1678</v>
      </c>
      <c r="AU27" s="141" t="s">
        <v>1679</v>
      </c>
      <c r="AV27" s="141" t="s">
        <v>1680</v>
      </c>
      <c r="AW27" s="141" t="s">
        <v>1664</v>
      </c>
      <c r="AX27" s="141" t="s">
        <v>1681</v>
      </c>
      <c r="AY27" s="141" t="s">
        <v>1682</v>
      </c>
      <c r="AZ27" s="141" t="s">
        <v>1683</v>
      </c>
      <c r="BA27" s="141" t="s">
        <v>1684</v>
      </c>
      <c r="BB27" t="s">
        <v>2047</v>
      </c>
      <c r="BC27" t="s">
        <v>2049</v>
      </c>
      <c r="BD27" t="s">
        <v>2048</v>
      </c>
      <c r="BE27" t="s">
        <v>2050</v>
      </c>
      <c r="BF27" t="s">
        <v>2051</v>
      </c>
      <c r="BG27" t="s">
        <v>2052</v>
      </c>
      <c r="BH27" s="141" t="s">
        <v>239</v>
      </c>
      <c r="BI27" s="141"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s="141" t="s">
        <v>239</v>
      </c>
      <c r="BI28" s="141" t="s">
        <v>242</v>
      </c>
    </row>
    <row r="29" spans="1:61">
      <c r="A29" t="s">
        <v>1626</v>
      </c>
      <c r="B29" s="154" t="s">
        <v>2177</v>
      </c>
      <c r="C29" s="154" t="s">
        <v>1761</v>
      </c>
      <c r="D29" s="154" t="s">
        <v>900</v>
      </c>
      <c r="E29" s="154" t="s">
        <v>901</v>
      </c>
      <c r="F29" s="154" t="s">
        <v>2178</v>
      </c>
      <c r="G29" s="154" t="s">
        <v>2179</v>
      </c>
      <c r="H29" s="154" t="s">
        <v>2180</v>
      </c>
      <c r="I29" s="154" t="s">
        <v>2181</v>
      </c>
      <c r="J29" s="154" t="s">
        <v>2182</v>
      </c>
      <c r="K29" s="154" t="s">
        <v>2183</v>
      </c>
      <c r="L29" s="154" t="s">
        <v>1736</v>
      </c>
      <c r="M29" s="154" t="s">
        <v>2184</v>
      </c>
      <c r="N29" s="154" t="s">
        <v>2185</v>
      </c>
      <c r="O29" s="154" t="s">
        <v>1737</v>
      </c>
      <c r="P29" s="154" t="s">
        <v>2186</v>
      </c>
      <c r="Q29" s="154" t="s">
        <v>2187</v>
      </c>
      <c r="R29" s="154" t="s">
        <v>1744</v>
      </c>
      <c r="S29" s="154" t="s">
        <v>1745</v>
      </c>
      <c r="T29" s="154" t="s">
        <v>2188</v>
      </c>
      <c r="U29" s="154" t="s">
        <v>2189</v>
      </c>
      <c r="V29" s="154" t="s">
        <v>1771</v>
      </c>
      <c r="W29" s="154" t="s">
        <v>2190</v>
      </c>
      <c r="X29" s="154" t="s">
        <v>1746</v>
      </c>
      <c r="Y29" s="154" t="s">
        <v>1747</v>
      </c>
      <c r="Z29" s="154" t="s">
        <v>922</v>
      </c>
      <c r="AA29" s="154" t="s">
        <v>2191</v>
      </c>
      <c r="AB29" s="154" t="s">
        <v>2192</v>
      </c>
      <c r="AC29" s="154" t="s">
        <v>2193</v>
      </c>
      <c r="AD29" s="154" t="s">
        <v>2194</v>
      </c>
      <c r="AE29" s="154" t="s">
        <v>916</v>
      </c>
      <c r="AF29" s="154" t="s">
        <v>1788</v>
      </c>
      <c r="AG29" s="154" t="s">
        <v>1787</v>
      </c>
      <c r="AH29" s="154" t="s">
        <v>2195</v>
      </c>
      <c r="AI29" s="154" t="s">
        <v>2196</v>
      </c>
      <c r="AJ29" s="154" t="s">
        <v>1752</v>
      </c>
      <c r="AK29" s="154" t="s">
        <v>1753</v>
      </c>
      <c r="AL29" s="154" t="s">
        <v>2197</v>
      </c>
      <c r="AM29" s="154" t="s">
        <v>2198</v>
      </c>
      <c r="AN29" s="154" t="s">
        <v>1755</v>
      </c>
      <c r="AO29" s="154" t="s">
        <v>937</v>
      </c>
      <c r="AP29" s="154" t="s">
        <v>2199</v>
      </c>
      <c r="AQ29" s="154" t="s">
        <v>2200</v>
      </c>
      <c r="AR29" s="154" t="s">
        <v>1758</v>
      </c>
      <c r="AS29" s="154" t="s">
        <v>1759</v>
      </c>
      <c r="AT29" s="154" t="s">
        <v>1760</v>
      </c>
      <c r="AU29" s="154" t="s">
        <v>2201</v>
      </c>
      <c r="AV29" s="154" t="s">
        <v>1749</v>
      </c>
      <c r="AW29" s="154" t="s">
        <v>2202</v>
      </c>
      <c r="AX29" s="154" t="s">
        <v>2203</v>
      </c>
      <c r="AY29" s="154" t="s">
        <v>2204</v>
      </c>
      <c r="AZ29" s="154" t="s">
        <v>2205</v>
      </c>
      <c r="BA29" s="154" t="s">
        <v>2206</v>
      </c>
      <c r="BB29" s="154" t="s">
        <v>951</v>
      </c>
      <c r="BC29" s="154" t="s">
        <v>2207</v>
      </c>
      <c r="BD29" s="154" t="s">
        <v>952</v>
      </c>
      <c r="BE29" s="154" t="s">
        <v>2208</v>
      </c>
      <c r="BF29" s="154" t="s">
        <v>2062</v>
      </c>
      <c r="BG29" s="154" t="s">
        <v>956</v>
      </c>
      <c r="BH29" s="154" t="s">
        <v>2209</v>
      </c>
      <c r="BI29" s="154"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s="141" t="s">
        <v>2064</v>
      </c>
      <c r="BE30" t="s">
        <v>2061</v>
      </c>
      <c r="BF30" t="s">
        <v>2062</v>
      </c>
      <c r="BG30" t="s">
        <v>2063</v>
      </c>
      <c r="BH30" s="141" t="s">
        <v>239</v>
      </c>
      <c r="BI30" s="141"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s="141" t="s">
        <v>239</v>
      </c>
      <c r="BI31" s="14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s="141" t="s">
        <v>239</v>
      </c>
      <c r="BI32" s="141"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s="141" t="s">
        <v>239</v>
      </c>
      <c r="BI33" s="141"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s="141" t="s">
        <v>2086</v>
      </c>
      <c r="BG34" t="s">
        <v>2088</v>
      </c>
      <c r="BH34" s="141" t="s">
        <v>239</v>
      </c>
      <c r="BI34" s="141"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s="141" t="s">
        <v>2090</v>
      </c>
      <c r="BD35" s="141" t="s">
        <v>2089</v>
      </c>
      <c r="BE35" s="149" t="s">
        <v>2091</v>
      </c>
      <c r="BF35" t="s">
        <v>2092</v>
      </c>
      <c r="BG35" t="s">
        <v>2093</v>
      </c>
      <c r="BH35" s="141" t="s">
        <v>239</v>
      </c>
      <c r="BI35" s="141"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s="141" t="s">
        <v>239</v>
      </c>
      <c r="BI36" s="141"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57" t="s">
        <v>2243</v>
      </c>
      <c r="BC38" s="157" t="s">
        <v>2268</v>
      </c>
      <c r="BD38" s="157" t="s">
        <v>2269</v>
      </c>
      <c r="BE38" s="157" t="s">
        <v>2270</v>
      </c>
      <c r="BF38" s="157" t="s">
        <v>2250</v>
      </c>
      <c r="BG38" s="157" t="s">
        <v>2220</v>
      </c>
      <c r="BH38" s="157" t="s">
        <v>2259</v>
      </c>
      <c r="BI38" s="15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Shan R</cp:lastModifiedBy>
  <dcterms:created xsi:type="dcterms:W3CDTF">2012-03-20T13:56:56Z</dcterms:created>
  <dcterms:modified xsi:type="dcterms:W3CDTF">2024-08-28T07:20:00Z</dcterms:modified>
</cp:coreProperties>
</file>