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hane\Documents\Octopus\Courses\Capacity Plan\"/>
    </mc:Choice>
  </mc:AlternateContent>
  <bookViews>
    <workbookView xWindow="17400" yWindow="0" windowWidth="3980" windowHeight="8270" tabRatio="496"/>
  </bookViews>
  <sheets>
    <sheet name="WebTeam1" sheetId="38593" r:id="rId1"/>
    <sheet name="Availability" sheetId="38599" r:id="rId2"/>
    <sheet name="Settings" sheetId="38600" r:id="rId3"/>
    <sheet name="Team" sheetId="38601" r:id="rId4"/>
    <sheet name="Licence" sheetId="38602" r:id="rId5"/>
  </sheets>
  <definedNames>
    <definedName name="AvailableHours">Team!$H$2:$H$21</definedName>
    <definedName name="Days_in_iteration">Settings!$B$3</definedName>
    <definedName name="FiveTotalPoints">#REF!</definedName>
    <definedName name="FourTotalPoints">#REF!</definedName>
    <definedName name="FullTimeE1">Availability!$E$31</definedName>
    <definedName name="FullTimeE10">Availability!$BP$31</definedName>
    <definedName name="FullTimeE11">Availability!$BW$31</definedName>
    <definedName name="FullTimeE12">Availability!$CD$31</definedName>
    <definedName name="FullTimeE13">Availability!$CK$31</definedName>
    <definedName name="FullTimeE14">Availability!$CR$31</definedName>
    <definedName name="FullTimeE15">Availability!$CY$31</definedName>
    <definedName name="FullTimeE16">Availability!$DF$31</definedName>
    <definedName name="FullTimeE17">Availability!$DM$31</definedName>
    <definedName name="FullTimeE18">Availability!$DT$31</definedName>
    <definedName name="FullTimeE19">Availability!$EA$31</definedName>
    <definedName name="FullTimeE2">Availability!$L$31</definedName>
    <definedName name="FullTimeE20">Availability!$EH$31</definedName>
    <definedName name="FullTimeE21">Availability!$EO$31</definedName>
    <definedName name="FullTimeE22">Availability!$EV$31</definedName>
    <definedName name="FullTimeE23">Availability!$FC$31</definedName>
    <definedName name="FullTimeE24">Availability!$FJ$31</definedName>
    <definedName name="FullTimeE25">Availability!$FQ$31</definedName>
    <definedName name="FullTimeE26">Availability!$FX$31</definedName>
    <definedName name="FullTimeE27">Availability!$GE$31</definedName>
    <definedName name="FullTimeE3">Availability!$S$31</definedName>
    <definedName name="FullTimeE4">Availability!$Z$31</definedName>
    <definedName name="FullTimeE5">Availability!$AG$31</definedName>
    <definedName name="FullTimeE6">Availability!$AN$31</definedName>
    <definedName name="FullTimeE7">Availability!$AU$31</definedName>
    <definedName name="FullTimeE8">Availability!$BB$31</definedName>
    <definedName name="FullTimeE9">Availability!$BI$31</definedName>
    <definedName name="Holidays">Settings!$A$57:$C$67</definedName>
    <definedName name="HolidayTime">Settings!$E$28:$E$53</definedName>
    <definedName name="Hours_in_iteration">Settings!$B$5</definedName>
    <definedName name="Hours_per_sprint">Settings!$B$5</definedName>
    <definedName name="HoursPerDay">Settings!$B$6</definedName>
    <definedName name="Int_Velocity_Factor">#REF!</definedName>
    <definedName name="LastSprint">Settings!$C$53</definedName>
    <definedName name="MaxSprintsToCurve">WebTeam1!$AC$63</definedName>
    <definedName name="MaxStoryPointCost">WebTeam1!$AJ$41</definedName>
    <definedName name="Normal_Iteration_Length">Settings!$B$3</definedName>
    <definedName name="OneTotalPoints">WebTeam1!$H$41</definedName>
    <definedName name="OriginalBudget">WebTeam1!$AE$41</definedName>
    <definedName name="Payments_Velocity_Factor">#REF!</definedName>
    <definedName name="People">Team!$A$2:$A$21</definedName>
    <definedName name="Person1">Team!$A$2</definedName>
    <definedName name="Person10">Team!$A$11</definedName>
    <definedName name="Person11">Team!$A$12</definedName>
    <definedName name="Person12">Team!$A$13</definedName>
    <definedName name="Person13">Team!$A$14</definedName>
    <definedName name="Person14">Team!$A$15</definedName>
    <definedName name="Person15">Team!$A$16</definedName>
    <definedName name="Person16">Team!$A$17</definedName>
    <definedName name="Person17">Team!$A$18</definedName>
    <definedName name="Person18">Team!$A$19</definedName>
    <definedName name="Person19">Team!$A$20</definedName>
    <definedName name="Person2">Team!$A$3</definedName>
    <definedName name="Person20">Team!$A$21</definedName>
    <definedName name="Person3">Team!$A$4</definedName>
    <definedName name="Person4">Team!$A$5</definedName>
    <definedName name="Person5">Team!$A$6</definedName>
    <definedName name="Person6">Team!$A$7</definedName>
    <definedName name="Person7">Team!$A$8</definedName>
    <definedName name="Person8">Team!$A$9</definedName>
    <definedName name="Person9">Team!$A$10</definedName>
    <definedName name="PersonCommitment">Team!$A$2:$G$21</definedName>
    <definedName name="PersonOnVacation">Team!$A$26:$A$42</definedName>
    <definedName name="PessimisticeOutlookPercent">WebTeam1!$D$46</definedName>
    <definedName name="PessimisticOutlookPercent">WebTeam1!$D$46</definedName>
    <definedName name="Pg1_Velocity_Factor">WebTeam1!$Y$45</definedName>
    <definedName name="Pg2_Velocity_Factor">#REF!</definedName>
    <definedName name="Pg3_Velocity_Factor">#REF!</definedName>
    <definedName name="_xlnm.Print_Area" localSheetId="0">WebTeam1!$A$1:$Y$49</definedName>
    <definedName name="Proj1_InitGrowthFactor">WebTeam1!$AC$61</definedName>
    <definedName name="Proj1_InitGrw">WebTeam1!$AC$61</definedName>
    <definedName name="Proj1_Iteration">WebTeam1!$A$3:$A$37</definedName>
    <definedName name="Proj1_Max_Velocity">WebTeam1!$AC$58</definedName>
    <definedName name="Proj1_MaxVel">WebTeam1!$AC$58</definedName>
    <definedName name="Proj1_MaxVelocity">WebTeam1!$AC$58</definedName>
    <definedName name="Proj1_OngoingGrowthFactor">WebTeam1!$AC$62</definedName>
    <definedName name="Proj1_VelGrowthSprints">WebTeam1!$AC$60</definedName>
    <definedName name="Proj1_VelocityStartGrowth">WebTeam1!$AC$59</definedName>
    <definedName name="Proj1_VelStrtGrowth">WebTeam1!$AC$59</definedName>
    <definedName name="Proj1Devs">Availability!$B$38</definedName>
    <definedName name="Proj2Devs">Availability!$B$39</definedName>
    <definedName name="Proj3Devs">Availability!$B$40</definedName>
    <definedName name="Proj4Devs">Availability!$B$41</definedName>
    <definedName name="Proj5Devs">Availability!$B$42</definedName>
    <definedName name="ProjectFive">Availability!$F$5</definedName>
    <definedName name="ProjectFour">Availability!$F$4</definedName>
    <definedName name="ProjectOne">Availability!$F$1</definedName>
    <definedName name="ProjectThree">Availability!$F$3</definedName>
    <definedName name="ProjectTwo">Availability!$F$2</definedName>
    <definedName name="RevisedBudget">WebTeam1!$AP$41</definedName>
    <definedName name="Sprint1">Availability!$E$1</definedName>
    <definedName name="Sprint10">Availability!$BP$1</definedName>
    <definedName name="Sprint11">Availability!$BW$1</definedName>
    <definedName name="Sprint12">Availability!$CD$1</definedName>
    <definedName name="Sprint13">Availability!$CK$1</definedName>
    <definedName name="Sprint14">Availability!$CR$1</definedName>
    <definedName name="Sprint15">Availability!$CY$1</definedName>
    <definedName name="Sprint16">Availability!$DF$1</definedName>
    <definedName name="Sprint17">Availability!$DM$1</definedName>
    <definedName name="Sprint18">Availability!$DT$1</definedName>
    <definedName name="Sprint19">Availability!$EA$1</definedName>
    <definedName name="Sprint2">Availability!$L$1</definedName>
    <definedName name="Sprint20">Availability!$EH$1</definedName>
    <definedName name="Sprint21">Availability!$EO$1</definedName>
    <definedName name="Sprint22">Availability!$EV$1</definedName>
    <definedName name="Sprint23">Availability!$FC$1</definedName>
    <definedName name="Sprint24">Availability!$FJ$1</definedName>
    <definedName name="Sprint25">Availability!$FQ$1</definedName>
    <definedName name="Sprint26">Availability!$FX$1</definedName>
    <definedName name="Sprint27">Availability!$GE$1</definedName>
    <definedName name="Sprint3">Availability!$S$1</definedName>
    <definedName name="Sprint4">Availability!$Z$1</definedName>
    <definedName name="Sprint5">Availability!$AG$1</definedName>
    <definedName name="Sprint6">Availability!$AN$1</definedName>
    <definedName name="Sprint7">Availability!$AU$1</definedName>
    <definedName name="Sprint8">Availability!$BB$1</definedName>
    <definedName name="Sprint9">Availability!$BI$1</definedName>
    <definedName name="SprintCommitment">Team!$G$2:$G$21</definedName>
    <definedName name="SprintCountProj1">WebTeam1!$N$3:$N$37</definedName>
    <definedName name="SprintHoliday">Settings!$C$57:$C$67</definedName>
    <definedName name="SprintHoursOff">Team!$D$26:$D$42</definedName>
    <definedName name="SprintList">Settings!$C$28:$C$53</definedName>
    <definedName name="sprints">Settings!$A$28:$C$53</definedName>
    <definedName name="start_date">Settings!$B$2</definedName>
    <definedName name="StartEndSprint">Team!$E$2:$F$21</definedName>
    <definedName name="Starting_defect_hours">Settings!$B$4</definedName>
    <definedName name="Starting_Iteration">Settings!$B$1</definedName>
    <definedName name="TeamEndSprints">Team!$F$2:$F$21</definedName>
    <definedName name="TeamName">#REF!</definedName>
    <definedName name="TeamStartSprints">Team!$E$2:$E$21</definedName>
    <definedName name="Three_total_points">#REF!</definedName>
    <definedName name="TwoTotalPoints">#REF!</definedName>
    <definedName name="UseSCurveSetting">Settings!$B$9</definedName>
    <definedName name="Vacations">Team!$A$26:$C$42</definedName>
    <definedName name="VacationSprint">Team!$C$26:$C$42</definedName>
    <definedName name="WarehouseTeamName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8" i="38601" l="1"/>
  <c r="D22" i="38599"/>
  <c r="D21" i="38599"/>
  <c r="D20" i="38599"/>
  <c r="D19" i="38599"/>
  <c r="D18" i="38599"/>
  <c r="D17" i="38599"/>
  <c r="D16" i="38599"/>
  <c r="D15" i="38599"/>
  <c r="D14" i="38599"/>
  <c r="D13" i="38599"/>
  <c r="D12" i="38599"/>
  <c r="D11" i="38599"/>
  <c r="D10" i="38599"/>
  <c r="A29" i="38599"/>
  <c r="A28" i="38599"/>
  <c r="A27" i="38599"/>
  <c r="A26" i="38599"/>
  <c r="A25" i="38599"/>
  <c r="A24" i="38599"/>
  <c r="A23" i="38599"/>
  <c r="A22" i="38599"/>
  <c r="A21" i="38599"/>
  <c r="A20" i="38599"/>
  <c r="A19" i="38599"/>
  <c r="A18" i="38599"/>
  <c r="A17" i="38599"/>
  <c r="A16" i="38599"/>
  <c r="A15" i="38599"/>
  <c r="A14" i="38599"/>
  <c r="A13" i="38599"/>
  <c r="A12" i="38599"/>
  <c r="A11" i="38599"/>
  <c r="A10" i="38599"/>
  <c r="H3" i="38601"/>
  <c r="O11" i="38593"/>
  <c r="O12" i="38593"/>
  <c r="O13" i="38593"/>
  <c r="O14" i="38593"/>
  <c r="O15" i="38593"/>
  <c r="O16" i="38593"/>
  <c r="O17" i="38593"/>
  <c r="O18" i="38593"/>
  <c r="O19" i="38593"/>
  <c r="O20" i="38593"/>
  <c r="O21" i="38593"/>
  <c r="O22" i="38593"/>
  <c r="O23" i="38593"/>
  <c r="O24" i="38593"/>
  <c r="O25" i="38593"/>
  <c r="O26" i="38593"/>
  <c r="O27" i="38593"/>
  <c r="O28" i="38593"/>
  <c r="O29" i="38593"/>
  <c r="O30" i="38593"/>
  <c r="O31" i="38593"/>
  <c r="O32" i="38593"/>
  <c r="O33" i="38593"/>
  <c r="O34" i="38593"/>
  <c r="O35" i="38593"/>
  <c r="O36" i="38593"/>
  <c r="O37" i="38593"/>
  <c r="E1" i="38599"/>
  <c r="C28" i="38600"/>
  <c r="C29" i="38600"/>
  <c r="C30" i="38600"/>
  <c r="C31" i="38600"/>
  <c r="C32" i="38600"/>
  <c r="C33" i="38600"/>
  <c r="C34" i="38600"/>
  <c r="C35" i="38600"/>
  <c r="C36" i="38600"/>
  <c r="C37" i="38600"/>
  <c r="C38" i="38600"/>
  <c r="C39" i="38600"/>
  <c r="C40" i="38600"/>
  <c r="A28" i="38600"/>
  <c r="B28" i="38600"/>
  <c r="A29" i="38600"/>
  <c r="B29" i="38600"/>
  <c r="A30" i="38600"/>
  <c r="B30" i="38600"/>
  <c r="A31" i="38600"/>
  <c r="B31" i="38600"/>
  <c r="A32" i="38600"/>
  <c r="B32" i="38600"/>
  <c r="A33" i="38600"/>
  <c r="B33" i="38600"/>
  <c r="A34" i="38600"/>
  <c r="B34" i="38600"/>
  <c r="A35" i="38600"/>
  <c r="B35" i="38600"/>
  <c r="A36" i="38600"/>
  <c r="B36" i="38600"/>
  <c r="A37" i="38600"/>
  <c r="B37" i="38600"/>
  <c r="A38" i="38600"/>
  <c r="B38" i="38600"/>
  <c r="A39" i="38600"/>
  <c r="B39" i="38600"/>
  <c r="A40" i="38600"/>
  <c r="C57" i="38600"/>
  <c r="C58" i="38600"/>
  <c r="C59" i="38600"/>
  <c r="C60" i="38600"/>
  <c r="C61" i="38600"/>
  <c r="B40" i="38600"/>
  <c r="A41" i="38600"/>
  <c r="B41" i="38600"/>
  <c r="A42" i="38600"/>
  <c r="B42" i="38600"/>
  <c r="A43" i="38600"/>
  <c r="B43" i="38600"/>
  <c r="A44" i="38600"/>
  <c r="B44" i="38600"/>
  <c r="A45" i="38600"/>
  <c r="B45" i="38600"/>
  <c r="A46" i="38600"/>
  <c r="B46" i="38600"/>
  <c r="A47" i="38600"/>
  <c r="C41" i="38600"/>
  <c r="C62" i="38600"/>
  <c r="C42" i="38600"/>
  <c r="C43" i="38600"/>
  <c r="C44" i="38600"/>
  <c r="C45" i="38600"/>
  <c r="C63" i="38600"/>
  <c r="B47" i="38600"/>
  <c r="A48" i="38600"/>
  <c r="B48" i="38600"/>
  <c r="A49" i="38600"/>
  <c r="B49" i="38600"/>
  <c r="A50" i="38600"/>
  <c r="C46" i="38600"/>
  <c r="C47" i="38600"/>
  <c r="C48" i="38600"/>
  <c r="C64" i="38600"/>
  <c r="B50" i="38600"/>
  <c r="A51" i="38600"/>
  <c r="B51" i="38600"/>
  <c r="A52" i="38600"/>
  <c r="C49" i="38600"/>
  <c r="C50" i="38600"/>
  <c r="C65" i="38600"/>
  <c r="C51" i="38600"/>
  <c r="C66" i="38600"/>
  <c r="B52" i="38600"/>
  <c r="A53" i="38600"/>
  <c r="C52" i="38600"/>
  <c r="C53" i="38600"/>
  <c r="C67" i="38600"/>
  <c r="D28" i="38600"/>
  <c r="E28" i="38600"/>
  <c r="K1" i="38599"/>
  <c r="R1" i="38599"/>
  <c r="Y1" i="38599"/>
  <c r="AF1" i="38599"/>
  <c r="AM1" i="38599"/>
  <c r="AT1" i="38599"/>
  <c r="BA1" i="38599"/>
  <c r="BH1" i="38599"/>
  <c r="BO1" i="38599"/>
  <c r="BV1" i="38599"/>
  <c r="CC1" i="38599"/>
  <c r="CJ1" i="38599"/>
  <c r="CQ1" i="38599"/>
  <c r="CX1" i="38599"/>
  <c r="DE1" i="38599"/>
  <c r="DL1" i="38599"/>
  <c r="DS1" i="38599"/>
  <c r="DZ1" i="38599"/>
  <c r="EG1" i="38599"/>
  <c r="EN1" i="38599"/>
  <c r="EU1" i="38599"/>
  <c r="FB1" i="38599"/>
  <c r="FI1" i="38599"/>
  <c r="FP1" i="38599"/>
  <c r="FW1" i="38599"/>
  <c r="GD1" i="38599"/>
  <c r="D42" i="38601"/>
  <c r="D41" i="38601"/>
  <c r="D40" i="38601"/>
  <c r="A39" i="38601"/>
  <c r="D39" i="38601"/>
  <c r="D38" i="38601"/>
  <c r="D37" i="38601"/>
  <c r="D36" i="38601"/>
  <c r="A35" i="38601"/>
  <c r="D35" i="38601"/>
  <c r="D34" i="38601"/>
  <c r="D33" i="38601"/>
  <c r="D32" i="38601"/>
  <c r="A31" i="38601"/>
  <c r="D31" i="38601"/>
  <c r="D30" i="38601"/>
  <c r="D29" i="38601"/>
  <c r="D28" i="38601"/>
  <c r="A27" i="38601"/>
  <c r="D27" i="38601"/>
  <c r="A26" i="38601"/>
  <c r="D26" i="38601"/>
  <c r="C28" i="38601"/>
  <c r="C40" i="38601"/>
  <c r="C41" i="38601"/>
  <c r="C42" i="38601"/>
  <c r="L1" i="38599"/>
  <c r="S1" i="38599"/>
  <c r="Z1" i="38599"/>
  <c r="AG1" i="38599"/>
  <c r="AN1" i="38599"/>
  <c r="AU1" i="38599"/>
  <c r="BB1" i="38599"/>
  <c r="BI1" i="38599"/>
  <c r="BP1" i="38599"/>
  <c r="BW1" i="38599"/>
  <c r="CD1" i="38599"/>
  <c r="CK1" i="38599"/>
  <c r="CR1" i="38599"/>
  <c r="CY1" i="38599"/>
  <c r="DF1" i="38599"/>
  <c r="DM1" i="38599"/>
  <c r="DT1" i="38599"/>
  <c r="EA1" i="38599"/>
  <c r="EH1" i="38599"/>
  <c r="EO1" i="38599"/>
  <c r="EV1" i="38599"/>
  <c r="FC1" i="38599"/>
  <c r="FJ1" i="38599"/>
  <c r="FQ1" i="38599"/>
  <c r="FX1" i="38599"/>
  <c r="GE1" i="38599"/>
  <c r="C26" i="38601"/>
  <c r="C27" i="38601"/>
  <c r="C29" i="38601"/>
  <c r="C30" i="38601"/>
  <c r="C31" i="38601"/>
  <c r="C32" i="38601"/>
  <c r="C33" i="38601"/>
  <c r="C34" i="38601"/>
  <c r="C35" i="38601"/>
  <c r="C36" i="38601"/>
  <c r="C37" i="38601"/>
  <c r="C38" i="38601"/>
  <c r="C39" i="38601"/>
  <c r="D53" i="38600"/>
  <c r="E53" i="38600"/>
  <c r="GG11" i="38599"/>
  <c r="GG12" i="38599"/>
  <c r="GG13" i="38599"/>
  <c r="GG14" i="38599"/>
  <c r="GG15" i="38599"/>
  <c r="GG16" i="38599"/>
  <c r="GG17" i="38599"/>
  <c r="GG18" i="38599"/>
  <c r="GG19" i="38599"/>
  <c r="GG20" i="38599"/>
  <c r="GG21" i="38599"/>
  <c r="GG22" i="38599"/>
  <c r="GG23" i="38599"/>
  <c r="GG24" i="38599"/>
  <c r="GG25" i="38599"/>
  <c r="GG26" i="38599"/>
  <c r="GG27" i="38599"/>
  <c r="GG28" i="38599"/>
  <c r="GG29" i="38599"/>
  <c r="D29" i="38600"/>
  <c r="E29" i="38600"/>
  <c r="D30" i="38600"/>
  <c r="E30" i="38600"/>
  <c r="U11" i="38599"/>
  <c r="U12" i="38599"/>
  <c r="U13" i="38599"/>
  <c r="U14" i="38599"/>
  <c r="U15" i="38599"/>
  <c r="U16" i="38599"/>
  <c r="U17" i="38599"/>
  <c r="U18" i="38599"/>
  <c r="U19" i="38599"/>
  <c r="U20" i="38599"/>
  <c r="U21" i="38599"/>
  <c r="U22" i="38599"/>
  <c r="U23" i="38599"/>
  <c r="U24" i="38599"/>
  <c r="U25" i="38599"/>
  <c r="U26" i="38599"/>
  <c r="U27" i="38599"/>
  <c r="U28" i="38599"/>
  <c r="U29" i="38599"/>
  <c r="D31" i="38600"/>
  <c r="E31" i="38600"/>
  <c r="AB11" i="38599"/>
  <c r="AB12" i="38599"/>
  <c r="AB13" i="38599"/>
  <c r="AB14" i="38599"/>
  <c r="AB15" i="38599"/>
  <c r="AB16" i="38599"/>
  <c r="AB17" i="38599"/>
  <c r="AB18" i="38599"/>
  <c r="AB19" i="38599"/>
  <c r="AB20" i="38599"/>
  <c r="AB21" i="38599"/>
  <c r="AB22" i="38599"/>
  <c r="AB23" i="38599"/>
  <c r="AB24" i="38599"/>
  <c r="AB25" i="38599"/>
  <c r="AB26" i="38599"/>
  <c r="AB27" i="38599"/>
  <c r="AB28" i="38599"/>
  <c r="AB29" i="38599"/>
  <c r="D32" i="38600"/>
  <c r="E32" i="38600"/>
  <c r="AI11" i="38599"/>
  <c r="AI12" i="38599"/>
  <c r="AI13" i="38599"/>
  <c r="AI14" i="38599"/>
  <c r="AI15" i="38599"/>
  <c r="AI16" i="38599"/>
  <c r="AI17" i="38599"/>
  <c r="AI18" i="38599"/>
  <c r="AI19" i="38599"/>
  <c r="AI20" i="38599"/>
  <c r="AI21" i="38599"/>
  <c r="AI22" i="38599"/>
  <c r="AI23" i="38599"/>
  <c r="AI24" i="38599"/>
  <c r="AI25" i="38599"/>
  <c r="AI26" i="38599"/>
  <c r="AI27" i="38599"/>
  <c r="AI28" i="38599"/>
  <c r="AI29" i="38599"/>
  <c r="D33" i="38600"/>
  <c r="E33" i="38600"/>
  <c r="AP11" i="38599"/>
  <c r="AP12" i="38599"/>
  <c r="AP13" i="38599"/>
  <c r="AP14" i="38599"/>
  <c r="AP15" i="38599"/>
  <c r="AP16" i="38599"/>
  <c r="AP17" i="38599"/>
  <c r="AP18" i="38599"/>
  <c r="AP19" i="38599"/>
  <c r="AP20" i="38599"/>
  <c r="AP21" i="38599"/>
  <c r="AP22" i="38599"/>
  <c r="AP23" i="38599"/>
  <c r="AP24" i="38599"/>
  <c r="AP25" i="38599"/>
  <c r="AP26" i="38599"/>
  <c r="AP27" i="38599"/>
  <c r="AP28" i="38599"/>
  <c r="AP29" i="38599"/>
  <c r="D34" i="38600"/>
  <c r="E34" i="38600"/>
  <c r="AW11" i="38599"/>
  <c r="AW12" i="38599"/>
  <c r="AW13" i="38599"/>
  <c r="AW14" i="38599"/>
  <c r="AW15" i="38599"/>
  <c r="AW16" i="38599"/>
  <c r="AW17" i="38599"/>
  <c r="AW18" i="38599"/>
  <c r="AW19" i="38599"/>
  <c r="AW20" i="38599"/>
  <c r="AW21" i="38599"/>
  <c r="AW22" i="38599"/>
  <c r="AW23" i="38599"/>
  <c r="AW24" i="38599"/>
  <c r="AW25" i="38599"/>
  <c r="AW26" i="38599"/>
  <c r="AW27" i="38599"/>
  <c r="AW28" i="38599"/>
  <c r="AW29" i="38599"/>
  <c r="D35" i="38600"/>
  <c r="E35" i="38600"/>
  <c r="BD11" i="38599"/>
  <c r="BD12" i="38599"/>
  <c r="BD13" i="38599"/>
  <c r="BD14" i="38599"/>
  <c r="BD15" i="38599"/>
  <c r="BD16" i="38599"/>
  <c r="BD17" i="38599"/>
  <c r="BD18" i="38599"/>
  <c r="BD19" i="38599"/>
  <c r="BD20" i="38599"/>
  <c r="BD21" i="38599"/>
  <c r="BD22" i="38599"/>
  <c r="BD23" i="38599"/>
  <c r="BD24" i="38599"/>
  <c r="BD25" i="38599"/>
  <c r="BD26" i="38599"/>
  <c r="BD27" i="38599"/>
  <c r="BD28" i="38599"/>
  <c r="BD29" i="38599"/>
  <c r="D36" i="38600"/>
  <c r="E36" i="38600"/>
  <c r="BK11" i="38599"/>
  <c r="BK12" i="38599"/>
  <c r="BK13" i="38599"/>
  <c r="BK14" i="38599"/>
  <c r="BK15" i="38599"/>
  <c r="BK16" i="38599"/>
  <c r="BK17" i="38599"/>
  <c r="BK18" i="38599"/>
  <c r="BK19" i="38599"/>
  <c r="BK20" i="38599"/>
  <c r="BK21" i="38599"/>
  <c r="BK22" i="38599"/>
  <c r="BK23" i="38599"/>
  <c r="BK24" i="38599"/>
  <c r="BK25" i="38599"/>
  <c r="BK26" i="38599"/>
  <c r="BK27" i="38599"/>
  <c r="BK28" i="38599"/>
  <c r="BK29" i="38599"/>
  <c r="D37" i="38600"/>
  <c r="E37" i="38600"/>
  <c r="BR11" i="38599"/>
  <c r="BR12" i="38599"/>
  <c r="BR13" i="38599"/>
  <c r="BR14" i="38599"/>
  <c r="BR15" i="38599"/>
  <c r="BR16" i="38599"/>
  <c r="BR17" i="38599"/>
  <c r="BR18" i="38599"/>
  <c r="BR19" i="38599"/>
  <c r="BR20" i="38599"/>
  <c r="BR21" i="38599"/>
  <c r="BR22" i="38599"/>
  <c r="BR23" i="38599"/>
  <c r="BR24" i="38599"/>
  <c r="BR25" i="38599"/>
  <c r="BR26" i="38599"/>
  <c r="BR27" i="38599"/>
  <c r="BR28" i="38599"/>
  <c r="BR29" i="38599"/>
  <c r="D38" i="38600"/>
  <c r="E38" i="38600"/>
  <c r="BY11" i="38599"/>
  <c r="BY12" i="38599"/>
  <c r="BY13" i="38599"/>
  <c r="BY14" i="38599"/>
  <c r="BY15" i="38599"/>
  <c r="BY16" i="38599"/>
  <c r="BY17" i="38599"/>
  <c r="BY18" i="38599"/>
  <c r="BY19" i="38599"/>
  <c r="BY20" i="38599"/>
  <c r="BY21" i="38599"/>
  <c r="BY22" i="38599"/>
  <c r="BY23" i="38599"/>
  <c r="BY24" i="38599"/>
  <c r="BY25" i="38599"/>
  <c r="BY26" i="38599"/>
  <c r="BY27" i="38599"/>
  <c r="BY28" i="38599"/>
  <c r="BY29" i="38599"/>
  <c r="D39" i="38600"/>
  <c r="E39" i="38600"/>
  <c r="CF11" i="38599"/>
  <c r="CF12" i="38599"/>
  <c r="CF13" i="38599"/>
  <c r="CF14" i="38599"/>
  <c r="CF15" i="38599"/>
  <c r="CF16" i="38599"/>
  <c r="CF17" i="38599"/>
  <c r="CF18" i="38599"/>
  <c r="CF19" i="38599"/>
  <c r="CF20" i="38599"/>
  <c r="CF21" i="38599"/>
  <c r="CF22" i="38599"/>
  <c r="CF23" i="38599"/>
  <c r="CF24" i="38599"/>
  <c r="CF25" i="38599"/>
  <c r="CF26" i="38599"/>
  <c r="CF27" i="38599"/>
  <c r="CF28" i="38599"/>
  <c r="CF29" i="38599"/>
  <c r="D40" i="38600"/>
  <c r="E40" i="38600"/>
  <c r="CM11" i="38599"/>
  <c r="CM12" i="38599"/>
  <c r="CM13" i="38599"/>
  <c r="CM14" i="38599"/>
  <c r="CM15" i="38599"/>
  <c r="CM16" i="38599"/>
  <c r="CM17" i="38599"/>
  <c r="CM18" i="38599"/>
  <c r="CM19" i="38599"/>
  <c r="CM20" i="38599"/>
  <c r="CM21" i="38599"/>
  <c r="CM22" i="38599"/>
  <c r="CM23" i="38599"/>
  <c r="CM24" i="38599"/>
  <c r="CM25" i="38599"/>
  <c r="CM26" i="38599"/>
  <c r="CM27" i="38599"/>
  <c r="CM28" i="38599"/>
  <c r="CM29" i="38599"/>
  <c r="D41" i="38600"/>
  <c r="E41" i="38600"/>
  <c r="CT11" i="38599"/>
  <c r="CT12" i="38599"/>
  <c r="CT13" i="38599"/>
  <c r="CT14" i="38599"/>
  <c r="CT15" i="38599"/>
  <c r="CT16" i="38599"/>
  <c r="CT17" i="38599"/>
  <c r="CT18" i="38599"/>
  <c r="CT19" i="38599"/>
  <c r="CT20" i="38599"/>
  <c r="CT21" i="38599"/>
  <c r="CT22" i="38599"/>
  <c r="CT23" i="38599"/>
  <c r="CT24" i="38599"/>
  <c r="CT25" i="38599"/>
  <c r="CT26" i="38599"/>
  <c r="CT27" i="38599"/>
  <c r="CT28" i="38599"/>
  <c r="CT29" i="38599"/>
  <c r="D42" i="38600"/>
  <c r="E42" i="38600"/>
  <c r="DA11" i="38599"/>
  <c r="DA12" i="38599"/>
  <c r="DA13" i="38599"/>
  <c r="DA14" i="38599"/>
  <c r="DA15" i="38599"/>
  <c r="DA16" i="38599"/>
  <c r="DA17" i="38599"/>
  <c r="DA18" i="38599"/>
  <c r="DA19" i="38599"/>
  <c r="DA20" i="38599"/>
  <c r="DA21" i="38599"/>
  <c r="DA22" i="38599"/>
  <c r="DA23" i="38599"/>
  <c r="DA24" i="38599"/>
  <c r="DA25" i="38599"/>
  <c r="DA26" i="38599"/>
  <c r="DA27" i="38599"/>
  <c r="DA28" i="38599"/>
  <c r="DA29" i="38599"/>
  <c r="D43" i="38600"/>
  <c r="E43" i="38600"/>
  <c r="DH11" i="38599"/>
  <c r="DH12" i="38599"/>
  <c r="DH13" i="38599"/>
  <c r="DH14" i="38599"/>
  <c r="DH15" i="38599"/>
  <c r="DH16" i="38599"/>
  <c r="DH17" i="38599"/>
  <c r="DH18" i="38599"/>
  <c r="DH19" i="38599"/>
  <c r="DH20" i="38599"/>
  <c r="DH21" i="38599"/>
  <c r="DH22" i="38599"/>
  <c r="DH23" i="38599"/>
  <c r="DH24" i="38599"/>
  <c r="DH25" i="38599"/>
  <c r="DH26" i="38599"/>
  <c r="DH27" i="38599"/>
  <c r="DH28" i="38599"/>
  <c r="DH29" i="38599"/>
  <c r="D44" i="38600"/>
  <c r="E44" i="38600"/>
  <c r="DO11" i="38599"/>
  <c r="DO12" i="38599"/>
  <c r="DO13" i="38599"/>
  <c r="DO14" i="38599"/>
  <c r="DO15" i="38599"/>
  <c r="DO16" i="38599"/>
  <c r="DO17" i="38599"/>
  <c r="DO18" i="38599"/>
  <c r="DO19" i="38599"/>
  <c r="DO20" i="38599"/>
  <c r="DO21" i="38599"/>
  <c r="DO22" i="38599"/>
  <c r="DO23" i="38599"/>
  <c r="DO24" i="38599"/>
  <c r="DO25" i="38599"/>
  <c r="DO26" i="38599"/>
  <c r="DO27" i="38599"/>
  <c r="DO28" i="38599"/>
  <c r="DO29" i="38599"/>
  <c r="D45" i="38600"/>
  <c r="E45" i="38600"/>
  <c r="DV11" i="38599"/>
  <c r="DV12" i="38599"/>
  <c r="DV13" i="38599"/>
  <c r="DV14" i="38599"/>
  <c r="DV15" i="38599"/>
  <c r="DV16" i="38599"/>
  <c r="DV17" i="38599"/>
  <c r="DV18" i="38599"/>
  <c r="DV19" i="38599"/>
  <c r="DV20" i="38599"/>
  <c r="DV21" i="38599"/>
  <c r="DV22" i="38599"/>
  <c r="DV23" i="38599"/>
  <c r="DV24" i="38599"/>
  <c r="DV25" i="38599"/>
  <c r="DV26" i="38599"/>
  <c r="DV27" i="38599"/>
  <c r="DV28" i="38599"/>
  <c r="DV29" i="38599"/>
  <c r="D46" i="38600"/>
  <c r="E46" i="38600"/>
  <c r="EC11" i="38599"/>
  <c r="EC12" i="38599"/>
  <c r="EC13" i="38599"/>
  <c r="EC14" i="38599"/>
  <c r="EC15" i="38599"/>
  <c r="EC16" i="38599"/>
  <c r="EC17" i="38599"/>
  <c r="EC18" i="38599"/>
  <c r="EC19" i="38599"/>
  <c r="EC20" i="38599"/>
  <c r="EC21" i="38599"/>
  <c r="EC22" i="38599"/>
  <c r="EC23" i="38599"/>
  <c r="EC24" i="38599"/>
  <c r="EC25" i="38599"/>
  <c r="EC26" i="38599"/>
  <c r="EC27" i="38599"/>
  <c r="EC28" i="38599"/>
  <c r="EC29" i="38599"/>
  <c r="D47" i="38600"/>
  <c r="E47" i="38600"/>
  <c r="EJ11" i="38599"/>
  <c r="EJ12" i="38599"/>
  <c r="EJ13" i="38599"/>
  <c r="EJ14" i="38599"/>
  <c r="EJ15" i="38599"/>
  <c r="EJ16" i="38599"/>
  <c r="EJ17" i="38599"/>
  <c r="EJ18" i="38599"/>
  <c r="EJ19" i="38599"/>
  <c r="EJ20" i="38599"/>
  <c r="EJ21" i="38599"/>
  <c r="EJ22" i="38599"/>
  <c r="EJ23" i="38599"/>
  <c r="EJ24" i="38599"/>
  <c r="EJ25" i="38599"/>
  <c r="EJ26" i="38599"/>
  <c r="EJ27" i="38599"/>
  <c r="EJ28" i="38599"/>
  <c r="EJ29" i="38599"/>
  <c r="D48" i="38600"/>
  <c r="E48" i="38600"/>
  <c r="EQ11" i="38599"/>
  <c r="EQ12" i="38599"/>
  <c r="EQ13" i="38599"/>
  <c r="EQ14" i="38599"/>
  <c r="EQ15" i="38599"/>
  <c r="EQ16" i="38599"/>
  <c r="EQ17" i="38599"/>
  <c r="EQ18" i="38599"/>
  <c r="EQ19" i="38599"/>
  <c r="EQ20" i="38599"/>
  <c r="EQ21" i="38599"/>
  <c r="EQ22" i="38599"/>
  <c r="EQ23" i="38599"/>
  <c r="EQ24" i="38599"/>
  <c r="EQ25" i="38599"/>
  <c r="EQ26" i="38599"/>
  <c r="EQ27" i="38599"/>
  <c r="EQ28" i="38599"/>
  <c r="EQ29" i="38599"/>
  <c r="D49" i="38600"/>
  <c r="E49" i="38600"/>
  <c r="EX11" i="38599"/>
  <c r="EX12" i="38599"/>
  <c r="EX13" i="38599"/>
  <c r="EX14" i="38599"/>
  <c r="EX15" i="38599"/>
  <c r="EX16" i="38599"/>
  <c r="EX17" i="38599"/>
  <c r="EX18" i="38599"/>
  <c r="EX19" i="38599"/>
  <c r="EX20" i="38599"/>
  <c r="EX21" i="38599"/>
  <c r="EX22" i="38599"/>
  <c r="EX23" i="38599"/>
  <c r="EX24" i="38599"/>
  <c r="EX25" i="38599"/>
  <c r="EX26" i="38599"/>
  <c r="EX27" i="38599"/>
  <c r="EX28" i="38599"/>
  <c r="EX29" i="38599"/>
  <c r="D50" i="38600"/>
  <c r="E50" i="38600"/>
  <c r="FE11" i="38599"/>
  <c r="FE12" i="38599"/>
  <c r="FE13" i="38599"/>
  <c r="FE14" i="38599"/>
  <c r="FE15" i="38599"/>
  <c r="FE16" i="38599"/>
  <c r="FE17" i="38599"/>
  <c r="FE18" i="38599"/>
  <c r="FE19" i="38599"/>
  <c r="FE20" i="38599"/>
  <c r="FE21" i="38599"/>
  <c r="FE22" i="38599"/>
  <c r="FE23" i="38599"/>
  <c r="FE24" i="38599"/>
  <c r="FE25" i="38599"/>
  <c r="FE26" i="38599"/>
  <c r="FE27" i="38599"/>
  <c r="FE28" i="38599"/>
  <c r="FE29" i="38599"/>
  <c r="D51" i="38600"/>
  <c r="E51" i="38600"/>
  <c r="FL11" i="38599"/>
  <c r="FL12" i="38599"/>
  <c r="FL13" i="38599"/>
  <c r="FL14" i="38599"/>
  <c r="FL15" i="38599"/>
  <c r="FL16" i="38599"/>
  <c r="FL17" i="38599"/>
  <c r="FL18" i="38599"/>
  <c r="FL19" i="38599"/>
  <c r="FL20" i="38599"/>
  <c r="FL21" i="38599"/>
  <c r="FL22" i="38599"/>
  <c r="FL23" i="38599"/>
  <c r="FL24" i="38599"/>
  <c r="FL25" i="38599"/>
  <c r="FL26" i="38599"/>
  <c r="FL27" i="38599"/>
  <c r="FL28" i="38599"/>
  <c r="FL29" i="38599"/>
  <c r="D52" i="38600"/>
  <c r="E52" i="38600"/>
  <c r="FS11" i="38599"/>
  <c r="FS12" i="38599"/>
  <c r="FS13" i="38599"/>
  <c r="FS14" i="38599"/>
  <c r="FS15" i="38599"/>
  <c r="FS16" i="38599"/>
  <c r="FS17" i="38599"/>
  <c r="FS18" i="38599"/>
  <c r="FS19" i="38599"/>
  <c r="FS20" i="38599"/>
  <c r="FS21" i="38599"/>
  <c r="FS22" i="38599"/>
  <c r="FS23" i="38599"/>
  <c r="FS24" i="38599"/>
  <c r="FS25" i="38599"/>
  <c r="FS26" i="38599"/>
  <c r="FS27" i="38599"/>
  <c r="FS28" i="38599"/>
  <c r="FS29" i="38599"/>
  <c r="FZ11" i="38599"/>
  <c r="FZ12" i="38599"/>
  <c r="FZ13" i="38599"/>
  <c r="FZ14" i="38599"/>
  <c r="FZ15" i="38599"/>
  <c r="FZ16" i="38599"/>
  <c r="FZ17" i="38599"/>
  <c r="FZ18" i="38599"/>
  <c r="FZ19" i="38599"/>
  <c r="FZ20" i="38599"/>
  <c r="FZ21" i="38599"/>
  <c r="FZ22" i="38599"/>
  <c r="FZ23" i="38599"/>
  <c r="FZ24" i="38599"/>
  <c r="FZ25" i="38599"/>
  <c r="FZ26" i="38599"/>
  <c r="FZ27" i="38599"/>
  <c r="FZ28" i="38599"/>
  <c r="FZ29" i="38599"/>
  <c r="B28" i="38593"/>
  <c r="B29" i="38593"/>
  <c r="B30" i="38593"/>
  <c r="B31" i="38593"/>
  <c r="B32" i="38593"/>
  <c r="B33" i="38593"/>
  <c r="B34" i="38593"/>
  <c r="B35" i="38593"/>
  <c r="B36" i="38593"/>
  <c r="B37" i="38593"/>
  <c r="A28" i="38593"/>
  <c r="A29" i="38593"/>
  <c r="A30" i="38593"/>
  <c r="A31" i="38593"/>
  <c r="A32" i="38593"/>
  <c r="A33" i="38593"/>
  <c r="A34" i="38593"/>
  <c r="A35" i="38593"/>
  <c r="A36" i="38593"/>
  <c r="A37" i="38593"/>
  <c r="B27" i="38593"/>
  <c r="A27" i="38593"/>
  <c r="B26" i="38593"/>
  <c r="A26" i="38593"/>
  <c r="B25" i="38593"/>
  <c r="A25" i="38593"/>
  <c r="B24" i="38593"/>
  <c r="A24" i="38593"/>
  <c r="B23" i="38593"/>
  <c r="A23" i="38593"/>
  <c r="B22" i="38593"/>
  <c r="A22" i="38593"/>
  <c r="B21" i="38593"/>
  <c r="A21" i="38593"/>
  <c r="B20" i="38593"/>
  <c r="A20" i="38593"/>
  <c r="B19" i="38593"/>
  <c r="A19" i="38593"/>
  <c r="B18" i="38593"/>
  <c r="A18" i="38593"/>
  <c r="B17" i="38593"/>
  <c r="A17" i="38593"/>
  <c r="B16" i="38593"/>
  <c r="A16" i="38593"/>
  <c r="B15" i="38593"/>
  <c r="A15" i="38593"/>
  <c r="B14" i="38593"/>
  <c r="A14" i="38593"/>
  <c r="B13" i="38593"/>
  <c r="A13" i="38593"/>
  <c r="B12" i="38593"/>
  <c r="A12" i="38593"/>
  <c r="B11" i="38593"/>
  <c r="A11" i="38593"/>
  <c r="B10" i="38593"/>
  <c r="A10" i="38593"/>
  <c r="B9" i="38593"/>
  <c r="A9" i="38593"/>
  <c r="B8" i="38593"/>
  <c r="A8" i="38593"/>
  <c r="B7" i="38593"/>
  <c r="A7" i="38593"/>
  <c r="B6" i="38593"/>
  <c r="A6" i="38593"/>
  <c r="B5" i="38593"/>
  <c r="A5" i="38593"/>
  <c r="B4" i="38593"/>
  <c r="A4" i="38593"/>
  <c r="B3" i="38593"/>
  <c r="A3" i="38593"/>
  <c r="U9" i="38599"/>
  <c r="AB9" i="38599"/>
  <c r="AI9" i="38599"/>
  <c r="AP9" i="38599"/>
  <c r="AW9" i="38599"/>
  <c r="BD9" i="38599"/>
  <c r="BK9" i="38599"/>
  <c r="BR9" i="38599"/>
  <c r="BY9" i="38599"/>
  <c r="CF9" i="38599"/>
  <c r="CM9" i="38599"/>
  <c r="CT9" i="38599"/>
  <c r="DA9" i="38599"/>
  <c r="DH9" i="38599"/>
  <c r="DO9" i="38599"/>
  <c r="DV9" i="38599"/>
  <c r="EC9" i="38599"/>
  <c r="EJ9" i="38599"/>
  <c r="EQ9" i="38599"/>
  <c r="EX9" i="38599"/>
  <c r="FE9" i="38599"/>
  <c r="FL9" i="38599"/>
  <c r="FS9" i="38599"/>
  <c r="FZ9" i="38599"/>
  <c r="GG9" i="38599"/>
  <c r="T9" i="38599"/>
  <c r="AA9" i="38599"/>
  <c r="AH9" i="38599"/>
  <c r="AO9" i="38599"/>
  <c r="AV9" i="38599"/>
  <c r="BC9" i="38599"/>
  <c r="BJ9" i="38599"/>
  <c r="BQ9" i="38599"/>
  <c r="BX9" i="38599"/>
  <c r="CE9" i="38599"/>
  <c r="CL9" i="38599"/>
  <c r="CS9" i="38599"/>
  <c r="CZ9" i="38599"/>
  <c r="DG9" i="38599"/>
  <c r="DN9" i="38599"/>
  <c r="DU9" i="38599"/>
  <c r="EB9" i="38599"/>
  <c r="EI9" i="38599"/>
  <c r="EP9" i="38599"/>
  <c r="EW9" i="38599"/>
  <c r="FD9" i="38599"/>
  <c r="FK9" i="38599"/>
  <c r="FR9" i="38599"/>
  <c r="FY9" i="38599"/>
  <c r="GF9" i="38599"/>
  <c r="E14" i="38601"/>
  <c r="K28" i="38599"/>
  <c r="R28" i="38599"/>
  <c r="Y28" i="38599"/>
  <c r="AF28" i="38599"/>
  <c r="AM28" i="38599"/>
  <c r="AT28" i="38599"/>
  <c r="BA28" i="38599"/>
  <c r="BH28" i="38599"/>
  <c r="BO28" i="38599"/>
  <c r="BV28" i="38599"/>
  <c r="CC28" i="38599"/>
  <c r="CJ28" i="38599"/>
  <c r="CQ28" i="38599"/>
  <c r="CX28" i="38599"/>
  <c r="DE28" i="38599"/>
  <c r="DL28" i="38599"/>
  <c r="DS28" i="38599"/>
  <c r="DZ28" i="38599"/>
  <c r="EG28" i="38599"/>
  <c r="EN28" i="38599"/>
  <c r="K27" i="38599"/>
  <c r="R27" i="38599"/>
  <c r="Y27" i="38599"/>
  <c r="AF27" i="38599"/>
  <c r="AM27" i="38599"/>
  <c r="AT27" i="38599"/>
  <c r="BA27" i="38599"/>
  <c r="BH27" i="38599"/>
  <c r="BO27" i="38599"/>
  <c r="BV27" i="38599"/>
  <c r="CC27" i="38599"/>
  <c r="CJ27" i="38599"/>
  <c r="CQ27" i="38599"/>
  <c r="CX27" i="38599"/>
  <c r="DE27" i="38599"/>
  <c r="DL27" i="38599"/>
  <c r="DS27" i="38599"/>
  <c r="DZ27" i="38599"/>
  <c r="EG27" i="38599"/>
  <c r="EN27" i="38599"/>
  <c r="C22" i="38599"/>
  <c r="F21" i="38601"/>
  <c r="F20" i="38601"/>
  <c r="F19" i="38601"/>
  <c r="F18" i="38601"/>
  <c r="F17" i="38601"/>
  <c r="F16" i="38601"/>
  <c r="F15" i="38601"/>
  <c r="F14" i="38601"/>
  <c r="F13" i="38601"/>
  <c r="F12" i="38601"/>
  <c r="F11" i="38601"/>
  <c r="F10" i="38601"/>
  <c r="F9" i="38601"/>
  <c r="F8" i="38601"/>
  <c r="F7" i="38601"/>
  <c r="F6" i="38601"/>
  <c r="F5" i="38601"/>
  <c r="F4" i="38601"/>
  <c r="F3" i="38601"/>
  <c r="F2" i="38601"/>
  <c r="H21" i="38601"/>
  <c r="H20" i="38601"/>
  <c r="H19" i="38601"/>
  <c r="H18" i="38601"/>
  <c r="H17" i="38601"/>
  <c r="H16" i="38601"/>
  <c r="H15" i="38601"/>
  <c r="H14" i="38601"/>
  <c r="H13" i="38601"/>
  <c r="H12" i="38601"/>
  <c r="H11" i="38601"/>
  <c r="H10" i="38601"/>
  <c r="H9" i="38601"/>
  <c r="H8" i="38601"/>
  <c r="H7" i="38601"/>
  <c r="H6" i="38601"/>
  <c r="H5" i="38601"/>
  <c r="H4" i="38601"/>
  <c r="H2" i="38601"/>
  <c r="E21" i="38601"/>
  <c r="E20" i="38601"/>
  <c r="E19" i="38601"/>
  <c r="E18" i="38601"/>
  <c r="E17" i="38601"/>
  <c r="E16" i="38601"/>
  <c r="E15" i="38601"/>
  <c r="E13" i="38601"/>
  <c r="E12" i="38601"/>
  <c r="E11" i="38601"/>
  <c r="E10" i="38601"/>
  <c r="E9" i="38601"/>
  <c r="E8" i="38601"/>
  <c r="E7" i="38601"/>
  <c r="E6" i="38601"/>
  <c r="E5" i="38601"/>
  <c r="E4" i="38601"/>
  <c r="E3" i="38601"/>
  <c r="E2" i="38601"/>
  <c r="B53" i="38600"/>
  <c r="K36" i="38593"/>
  <c r="K35" i="38593"/>
  <c r="K34" i="38593"/>
  <c r="K33" i="38593"/>
  <c r="K32" i="38593"/>
  <c r="K31" i="38593"/>
  <c r="K30" i="38593"/>
  <c r="K29" i="38593"/>
  <c r="K28" i="38593"/>
  <c r="K27" i="38593"/>
  <c r="K26" i="38593"/>
  <c r="K25" i="38593"/>
  <c r="K24" i="38593"/>
  <c r="K23" i="38593"/>
  <c r="K22" i="38593"/>
  <c r="K21" i="38593"/>
  <c r="K20" i="38593"/>
  <c r="K19" i="38593"/>
  <c r="K18" i="38593"/>
  <c r="K17" i="38593"/>
  <c r="K16" i="38593"/>
  <c r="K22" i="38599"/>
  <c r="R22" i="38599"/>
  <c r="Y22" i="38599"/>
  <c r="AF22" i="38599"/>
  <c r="AM22" i="38599"/>
  <c r="AT22" i="38599"/>
  <c r="BA22" i="38599"/>
  <c r="BH22" i="38599"/>
  <c r="K23" i="38599"/>
  <c r="R23" i="38599"/>
  <c r="Y23" i="38599"/>
  <c r="AF23" i="38599"/>
  <c r="AM23" i="38599"/>
  <c r="AT23" i="38599"/>
  <c r="BA23" i="38599"/>
  <c r="BH23" i="38599"/>
  <c r="K24" i="38599"/>
  <c r="R24" i="38599"/>
  <c r="Y24" i="38599"/>
  <c r="AF24" i="38599"/>
  <c r="AM24" i="38599"/>
  <c r="AT24" i="38599"/>
  <c r="BA24" i="38599"/>
  <c r="BH24" i="38599"/>
  <c r="K25" i="38599"/>
  <c r="R25" i="38599"/>
  <c r="Y25" i="38599"/>
  <c r="AF25" i="38599"/>
  <c r="AM25" i="38599"/>
  <c r="AT25" i="38599"/>
  <c r="BA25" i="38599"/>
  <c r="BH25" i="38599"/>
  <c r="K26" i="38599"/>
  <c r="R26" i="38599"/>
  <c r="Y26" i="38599"/>
  <c r="AF26" i="38599"/>
  <c r="AM26" i="38599"/>
  <c r="AT26" i="38599"/>
  <c r="BA26" i="38599"/>
  <c r="BH26" i="38599"/>
  <c r="K10" i="38599"/>
  <c r="R10" i="38599"/>
  <c r="Y10" i="38599"/>
  <c r="AF10" i="38599"/>
  <c r="AM10" i="38599"/>
  <c r="AT10" i="38599"/>
  <c r="BA10" i="38599"/>
  <c r="BH10" i="38599"/>
  <c r="M1" i="38599"/>
  <c r="T1" i="38599"/>
  <c r="AA1" i="38599"/>
  <c r="AH1" i="38599"/>
  <c r="AO1" i="38599"/>
  <c r="AV1" i="38599"/>
  <c r="BC1" i="38599"/>
  <c r="BJ1" i="38599"/>
  <c r="K11" i="38599"/>
  <c r="R11" i="38599"/>
  <c r="Y11" i="38599"/>
  <c r="AF11" i="38599"/>
  <c r="AM11" i="38599"/>
  <c r="AT11" i="38599"/>
  <c r="BA11" i="38599"/>
  <c r="BH11" i="38599"/>
  <c r="K12" i="38599"/>
  <c r="R12" i="38599"/>
  <c r="Y12" i="38599"/>
  <c r="AF12" i="38599"/>
  <c r="AM12" i="38599"/>
  <c r="AT12" i="38599"/>
  <c r="BA12" i="38599"/>
  <c r="BH12" i="38599"/>
  <c r="K13" i="38599"/>
  <c r="R13" i="38599"/>
  <c r="Y13" i="38599"/>
  <c r="AF13" i="38599"/>
  <c r="AM13" i="38599"/>
  <c r="AT13" i="38599"/>
  <c r="BA13" i="38599"/>
  <c r="BH13" i="38599"/>
  <c r="K14" i="38599"/>
  <c r="R14" i="38599"/>
  <c r="Y14" i="38599"/>
  <c r="AF14" i="38599"/>
  <c r="AM14" i="38599"/>
  <c r="AT14" i="38599"/>
  <c r="BA14" i="38599"/>
  <c r="BH14" i="38599"/>
  <c r="K15" i="38599"/>
  <c r="R15" i="38599"/>
  <c r="Y15" i="38599"/>
  <c r="AF15" i="38599"/>
  <c r="AM15" i="38599"/>
  <c r="AT15" i="38599"/>
  <c r="BA15" i="38599"/>
  <c r="BH15" i="38599"/>
  <c r="K16" i="38599"/>
  <c r="R16" i="38599"/>
  <c r="Y16" i="38599"/>
  <c r="AF16" i="38599"/>
  <c r="AM16" i="38599"/>
  <c r="AT16" i="38599"/>
  <c r="BA16" i="38599"/>
  <c r="BH16" i="38599"/>
  <c r="K17" i="38599"/>
  <c r="R17" i="38599"/>
  <c r="Y17" i="38599"/>
  <c r="AF17" i="38599"/>
  <c r="AM17" i="38599"/>
  <c r="AT17" i="38599"/>
  <c r="BA17" i="38599"/>
  <c r="BH17" i="38599"/>
  <c r="K18" i="38599"/>
  <c r="R18" i="38599"/>
  <c r="Y18" i="38599"/>
  <c r="AF18" i="38599"/>
  <c r="AM18" i="38599"/>
  <c r="AT18" i="38599"/>
  <c r="BA18" i="38599"/>
  <c r="BH18" i="38599"/>
  <c r="K19" i="38599"/>
  <c r="R19" i="38599"/>
  <c r="Y19" i="38599"/>
  <c r="AF19" i="38599"/>
  <c r="AM19" i="38599"/>
  <c r="AT19" i="38599"/>
  <c r="BA19" i="38599"/>
  <c r="BH19" i="38599"/>
  <c r="K20" i="38599"/>
  <c r="R20" i="38599"/>
  <c r="Y20" i="38599"/>
  <c r="AF20" i="38599"/>
  <c r="AM20" i="38599"/>
  <c r="AT20" i="38599"/>
  <c r="BA20" i="38599"/>
  <c r="BH20" i="38599"/>
  <c r="K29" i="38599"/>
  <c r="R29" i="38599"/>
  <c r="Y29" i="38599"/>
  <c r="AF29" i="38599"/>
  <c r="AM29" i="38599"/>
  <c r="AT29" i="38599"/>
  <c r="BA29" i="38599"/>
  <c r="BH29" i="38599"/>
  <c r="K21" i="38599"/>
  <c r="R21" i="38599"/>
  <c r="Y21" i="38599"/>
  <c r="AF21" i="38599"/>
  <c r="AM21" i="38599"/>
  <c r="AT21" i="38599"/>
  <c r="BA21" i="38599"/>
  <c r="BH21" i="38599"/>
  <c r="BO22" i="38599"/>
  <c r="BO23" i="38599"/>
  <c r="BO24" i="38599"/>
  <c r="BO25" i="38599"/>
  <c r="BO26" i="38599"/>
  <c r="BO10" i="38599"/>
  <c r="BQ1" i="38599"/>
  <c r="BO11" i="38599"/>
  <c r="BO12" i="38599"/>
  <c r="BO13" i="38599"/>
  <c r="BO14" i="38599"/>
  <c r="BO15" i="38599"/>
  <c r="BO16" i="38599"/>
  <c r="BO17" i="38599"/>
  <c r="BO18" i="38599"/>
  <c r="BO19" i="38599"/>
  <c r="BO20" i="38599"/>
  <c r="BO29" i="38599"/>
  <c r="BO21" i="38599"/>
  <c r="BV22" i="38599"/>
  <c r="BV23" i="38599"/>
  <c r="BV24" i="38599"/>
  <c r="BV25" i="38599"/>
  <c r="BV26" i="38599"/>
  <c r="BV10" i="38599"/>
  <c r="BX1" i="38599"/>
  <c r="BV11" i="38599"/>
  <c r="BV12" i="38599"/>
  <c r="BV13" i="38599"/>
  <c r="BV14" i="38599"/>
  <c r="BV15" i="38599"/>
  <c r="BV16" i="38599"/>
  <c r="BV17" i="38599"/>
  <c r="BV18" i="38599"/>
  <c r="BV19" i="38599"/>
  <c r="BV20" i="38599"/>
  <c r="BV29" i="38599"/>
  <c r="BV21" i="38599"/>
  <c r="CC22" i="38599"/>
  <c r="CC23" i="38599"/>
  <c r="CC24" i="38599"/>
  <c r="CC25" i="38599"/>
  <c r="CC26" i="38599"/>
  <c r="CC10" i="38599"/>
  <c r="CE1" i="38599"/>
  <c r="CC11" i="38599"/>
  <c r="CC12" i="38599"/>
  <c r="CC13" i="38599"/>
  <c r="CC14" i="38599"/>
  <c r="CC15" i="38599"/>
  <c r="CC16" i="38599"/>
  <c r="CC17" i="38599"/>
  <c r="CC18" i="38599"/>
  <c r="CC19" i="38599"/>
  <c r="CC20" i="38599"/>
  <c r="CC29" i="38599"/>
  <c r="CC21" i="38599"/>
  <c r="CJ22" i="38599"/>
  <c r="CJ23" i="38599"/>
  <c r="CJ24" i="38599"/>
  <c r="CJ25" i="38599"/>
  <c r="CJ26" i="38599"/>
  <c r="CJ10" i="38599"/>
  <c r="CL1" i="38599"/>
  <c r="CJ11" i="38599"/>
  <c r="CJ12" i="38599"/>
  <c r="CJ13" i="38599"/>
  <c r="CJ14" i="38599"/>
  <c r="CJ15" i="38599"/>
  <c r="CJ16" i="38599"/>
  <c r="CJ17" i="38599"/>
  <c r="CJ18" i="38599"/>
  <c r="CJ19" i="38599"/>
  <c r="CJ20" i="38599"/>
  <c r="CJ29" i="38599"/>
  <c r="CJ21" i="38599"/>
  <c r="K15" i="38593"/>
  <c r="CQ22" i="38599"/>
  <c r="CQ23" i="38599"/>
  <c r="CQ24" i="38599"/>
  <c r="CQ25" i="38599"/>
  <c r="CQ26" i="38599"/>
  <c r="CQ10" i="38599"/>
  <c r="CS1" i="38599"/>
  <c r="CQ11" i="38599"/>
  <c r="CQ12" i="38599"/>
  <c r="CQ13" i="38599"/>
  <c r="CQ14" i="38599"/>
  <c r="CQ15" i="38599"/>
  <c r="CQ16" i="38599"/>
  <c r="CQ17" i="38599"/>
  <c r="CQ18" i="38599"/>
  <c r="CQ19" i="38599"/>
  <c r="CQ20" i="38599"/>
  <c r="CQ29" i="38599"/>
  <c r="CQ21" i="38599"/>
  <c r="CX22" i="38599"/>
  <c r="CX23" i="38599"/>
  <c r="CX24" i="38599"/>
  <c r="CX25" i="38599"/>
  <c r="CX26" i="38599"/>
  <c r="CX10" i="38599"/>
  <c r="CZ1" i="38599"/>
  <c r="CX11" i="38599"/>
  <c r="CX12" i="38599"/>
  <c r="CX13" i="38599"/>
  <c r="CX14" i="38599"/>
  <c r="CX15" i="38599"/>
  <c r="CX16" i="38599"/>
  <c r="CX17" i="38599"/>
  <c r="CX18" i="38599"/>
  <c r="CX19" i="38599"/>
  <c r="CX20" i="38599"/>
  <c r="CX29" i="38599"/>
  <c r="CX21" i="38599"/>
  <c r="DE22" i="38599"/>
  <c r="DE23" i="38599"/>
  <c r="DE24" i="38599"/>
  <c r="DE25" i="38599"/>
  <c r="DE26" i="38599"/>
  <c r="DE10" i="38599"/>
  <c r="DG1" i="38599"/>
  <c r="DE11" i="38599"/>
  <c r="DE12" i="38599"/>
  <c r="DE13" i="38599"/>
  <c r="DE14" i="38599"/>
  <c r="DE15" i="38599"/>
  <c r="DE16" i="38599"/>
  <c r="DE17" i="38599"/>
  <c r="DE18" i="38599"/>
  <c r="DE19" i="38599"/>
  <c r="DE20" i="38599"/>
  <c r="DE29" i="38599"/>
  <c r="DE21" i="38599"/>
  <c r="DL22" i="38599"/>
  <c r="DL23" i="38599"/>
  <c r="DL24" i="38599"/>
  <c r="DL25" i="38599"/>
  <c r="DL26" i="38599"/>
  <c r="DL10" i="38599"/>
  <c r="DN1" i="38599"/>
  <c r="DL11" i="38599"/>
  <c r="DL12" i="38599"/>
  <c r="DL13" i="38599"/>
  <c r="DL14" i="38599"/>
  <c r="DL15" i="38599"/>
  <c r="DL16" i="38599"/>
  <c r="DL17" i="38599"/>
  <c r="DL18" i="38599"/>
  <c r="DL19" i="38599"/>
  <c r="DL20" i="38599"/>
  <c r="DL29" i="38599"/>
  <c r="DL21" i="38599"/>
  <c r="DS22" i="38599"/>
  <c r="DS23" i="38599"/>
  <c r="DS24" i="38599"/>
  <c r="DS25" i="38599"/>
  <c r="DS26" i="38599"/>
  <c r="DS10" i="38599"/>
  <c r="DU1" i="38599"/>
  <c r="DS11" i="38599"/>
  <c r="DS12" i="38599"/>
  <c r="DS13" i="38599"/>
  <c r="DS14" i="38599"/>
  <c r="DS15" i="38599"/>
  <c r="DS16" i="38599"/>
  <c r="DS17" i="38599"/>
  <c r="DS18" i="38599"/>
  <c r="DS19" i="38599"/>
  <c r="DS20" i="38599"/>
  <c r="DS29" i="38599"/>
  <c r="DS21" i="38599"/>
  <c r="DZ22" i="38599"/>
  <c r="DZ23" i="38599"/>
  <c r="DZ24" i="38599"/>
  <c r="DZ25" i="38599"/>
  <c r="DZ26" i="38599"/>
  <c r="DZ10" i="38599"/>
  <c r="EB1" i="38599"/>
  <c r="DZ11" i="38599"/>
  <c r="DZ12" i="38599"/>
  <c r="DZ13" i="38599"/>
  <c r="DZ14" i="38599"/>
  <c r="DZ15" i="38599"/>
  <c r="DZ16" i="38599"/>
  <c r="DZ17" i="38599"/>
  <c r="DZ18" i="38599"/>
  <c r="DZ19" i="38599"/>
  <c r="DZ20" i="38599"/>
  <c r="DZ29" i="38599"/>
  <c r="DZ21" i="38599"/>
  <c r="EG22" i="38599"/>
  <c r="EG23" i="38599"/>
  <c r="EG24" i="38599"/>
  <c r="EG25" i="38599"/>
  <c r="EG26" i="38599"/>
  <c r="EG10" i="38599"/>
  <c r="EI1" i="38599"/>
  <c r="EG11" i="38599"/>
  <c r="EG12" i="38599"/>
  <c r="EG13" i="38599"/>
  <c r="EG14" i="38599"/>
  <c r="EG15" i="38599"/>
  <c r="EG16" i="38599"/>
  <c r="EG17" i="38599"/>
  <c r="EG18" i="38599"/>
  <c r="EG19" i="38599"/>
  <c r="EG20" i="38599"/>
  <c r="EG29" i="38599"/>
  <c r="EG21" i="38599"/>
  <c r="EN22" i="38599"/>
  <c r="EN23" i="38599"/>
  <c r="EN24" i="38599"/>
  <c r="EN25" i="38599"/>
  <c r="EN26" i="38599"/>
  <c r="EN10" i="38599"/>
  <c r="EP1" i="38599"/>
  <c r="EN11" i="38599"/>
  <c r="EN12" i="38599"/>
  <c r="EN13" i="38599"/>
  <c r="EN14" i="38599"/>
  <c r="EN15" i="38599"/>
  <c r="EN16" i="38599"/>
  <c r="EN17" i="38599"/>
  <c r="EN18" i="38599"/>
  <c r="EN19" i="38599"/>
  <c r="EN20" i="38599"/>
  <c r="EN29" i="38599"/>
  <c r="EN21" i="38599"/>
  <c r="EU22" i="38599"/>
  <c r="EU23" i="38599"/>
  <c r="EU24" i="38599"/>
  <c r="EU25" i="38599"/>
  <c r="EU26" i="38599"/>
  <c r="EU10" i="38599"/>
  <c r="EW1" i="38599"/>
  <c r="EU11" i="38599"/>
  <c r="EU12" i="38599"/>
  <c r="EU13" i="38599"/>
  <c r="EU14" i="38599"/>
  <c r="EU15" i="38599"/>
  <c r="EU16" i="38599"/>
  <c r="EU17" i="38599"/>
  <c r="EU18" i="38599"/>
  <c r="EU19" i="38599"/>
  <c r="EU20" i="38599"/>
  <c r="EU28" i="38599"/>
  <c r="EU29" i="38599"/>
  <c r="EU21" i="38599"/>
  <c r="EU27" i="38599"/>
  <c r="FB22" i="38599"/>
  <c r="FB23" i="38599"/>
  <c r="FB24" i="38599"/>
  <c r="FB25" i="38599"/>
  <c r="FB26" i="38599"/>
  <c r="FB10" i="38599"/>
  <c r="FD1" i="38599"/>
  <c r="FB11" i="38599"/>
  <c r="FB12" i="38599"/>
  <c r="FB13" i="38599"/>
  <c r="FB14" i="38599"/>
  <c r="FB15" i="38599"/>
  <c r="FB16" i="38599"/>
  <c r="FB17" i="38599"/>
  <c r="FB18" i="38599"/>
  <c r="FB19" i="38599"/>
  <c r="FB20" i="38599"/>
  <c r="FB28" i="38599"/>
  <c r="FB29" i="38599"/>
  <c r="FB21" i="38599"/>
  <c r="FB27" i="38599"/>
  <c r="FI22" i="38599"/>
  <c r="FI23" i="38599"/>
  <c r="FI24" i="38599"/>
  <c r="FI25" i="38599"/>
  <c r="FI26" i="38599"/>
  <c r="FI10" i="38599"/>
  <c r="FK1" i="38599"/>
  <c r="FI11" i="38599"/>
  <c r="FI12" i="38599"/>
  <c r="FI13" i="38599"/>
  <c r="FI14" i="38599"/>
  <c r="FI15" i="38599"/>
  <c r="FI16" i="38599"/>
  <c r="FI17" i="38599"/>
  <c r="FI18" i="38599"/>
  <c r="FI19" i="38599"/>
  <c r="FI20" i="38599"/>
  <c r="FI28" i="38599"/>
  <c r="FI29" i="38599"/>
  <c r="FI21" i="38599"/>
  <c r="FI27" i="38599"/>
  <c r="FP22" i="38599"/>
  <c r="FP23" i="38599"/>
  <c r="FP24" i="38599"/>
  <c r="FP25" i="38599"/>
  <c r="FP26" i="38599"/>
  <c r="FP10" i="38599"/>
  <c r="FR1" i="38599"/>
  <c r="FP11" i="38599"/>
  <c r="FP12" i="38599"/>
  <c r="FP13" i="38599"/>
  <c r="FP14" i="38599"/>
  <c r="FP15" i="38599"/>
  <c r="FP16" i="38599"/>
  <c r="FP17" i="38599"/>
  <c r="FP18" i="38599"/>
  <c r="FP19" i="38599"/>
  <c r="FP20" i="38599"/>
  <c r="FP28" i="38599"/>
  <c r="FP29" i="38599"/>
  <c r="FP21" i="38599"/>
  <c r="FP27" i="38599"/>
  <c r="FW22" i="38599"/>
  <c r="FW23" i="38599"/>
  <c r="FW24" i="38599"/>
  <c r="FW25" i="38599"/>
  <c r="FW26" i="38599"/>
  <c r="FW10" i="38599"/>
  <c r="FY1" i="38599"/>
  <c r="FW11" i="38599"/>
  <c r="FW12" i="38599"/>
  <c r="FW13" i="38599"/>
  <c r="FW14" i="38599"/>
  <c r="FW15" i="38599"/>
  <c r="FW16" i="38599"/>
  <c r="FW17" i="38599"/>
  <c r="FW18" i="38599"/>
  <c r="FW19" i="38599"/>
  <c r="FW20" i="38599"/>
  <c r="FW28" i="38599"/>
  <c r="FW29" i="38599"/>
  <c r="FW21" i="38599"/>
  <c r="FW27" i="38599"/>
  <c r="GD22" i="38599"/>
  <c r="GD23" i="38599"/>
  <c r="GD24" i="38599"/>
  <c r="GD25" i="38599"/>
  <c r="GD26" i="38599"/>
  <c r="GD10" i="38599"/>
  <c r="GF1" i="38599"/>
  <c r="GD11" i="38599"/>
  <c r="GD12" i="38599"/>
  <c r="GD13" i="38599"/>
  <c r="GD14" i="38599"/>
  <c r="GD15" i="38599"/>
  <c r="GD16" i="38599"/>
  <c r="GD17" i="38599"/>
  <c r="GD18" i="38599"/>
  <c r="GD19" i="38599"/>
  <c r="GD20" i="38599"/>
  <c r="GD28" i="38599"/>
  <c r="GD29" i="38599"/>
  <c r="GD21" i="38599"/>
  <c r="GD27" i="38599"/>
  <c r="K37" i="38593"/>
  <c r="K10" i="38593"/>
  <c r="K9" i="38593"/>
  <c r="K8" i="38593"/>
  <c r="K3" i="38593"/>
  <c r="K4" i="38593"/>
  <c r="K5" i="38593"/>
  <c r="K6" i="38593"/>
  <c r="K7" i="38593"/>
  <c r="S7" i="38593"/>
  <c r="S6" i="38593"/>
  <c r="T7" i="38593"/>
  <c r="S5" i="38593"/>
  <c r="T6" i="38593"/>
  <c r="S4" i="38593"/>
  <c r="T5" i="38593"/>
  <c r="S3" i="38593"/>
  <c r="T4" i="38593"/>
  <c r="T3" i="38593"/>
  <c r="K11" i="38593"/>
  <c r="K12" i="38593"/>
  <c r="K13" i="38593"/>
  <c r="K14" i="38593"/>
  <c r="C21" i="38599"/>
  <c r="O10" i="38593"/>
  <c r="O9" i="38593"/>
  <c r="O8" i="38593"/>
  <c r="O7" i="38593"/>
  <c r="O3" i="38593"/>
  <c r="O4" i="38593"/>
  <c r="O5" i="38593"/>
  <c r="O6" i="38593"/>
  <c r="B17" i="38600"/>
  <c r="B19" i="38600"/>
  <c r="B20" i="38600"/>
  <c r="AC53" i="38593"/>
  <c r="AC54" i="38593"/>
  <c r="C10" i="38599"/>
  <c r="C11" i="38599"/>
  <c r="C12" i="38599"/>
  <c r="C13" i="38599"/>
  <c r="C14" i="38599"/>
  <c r="C15" i="38599"/>
  <c r="C16" i="38599"/>
  <c r="C17" i="38599"/>
  <c r="C18" i="38599"/>
  <c r="C19" i="38599"/>
  <c r="C20" i="38599"/>
  <c r="AC51" i="38593"/>
  <c r="J38" i="38593"/>
  <c r="H38" i="38593"/>
  <c r="R3" i="38593"/>
  <c r="R4" i="38593"/>
  <c r="R5" i="38593"/>
  <c r="R6" i="38593"/>
  <c r="R7" i="38593"/>
  <c r="R8" i="38593"/>
  <c r="R9" i="38593"/>
  <c r="R10" i="38593"/>
  <c r="R11" i="38593"/>
  <c r="FY2" i="38599"/>
  <c r="GF2" i="38599"/>
  <c r="GG2" i="38599"/>
  <c r="FY3" i="38599"/>
  <c r="GF3" i="38599"/>
  <c r="GG3" i="38599"/>
  <c r="M4" i="38599"/>
  <c r="T4" i="38599"/>
  <c r="AA4" i="38599"/>
  <c r="AH4" i="38599"/>
  <c r="AO4" i="38599"/>
  <c r="AV4" i="38599"/>
  <c r="BC4" i="38599"/>
  <c r="BJ4" i="38599"/>
  <c r="BQ4" i="38599"/>
  <c r="BX4" i="38599"/>
  <c r="CE4" i="38599"/>
  <c r="CL4" i="38599"/>
  <c r="CS4" i="38599"/>
  <c r="CZ4" i="38599"/>
  <c r="DG4" i="38599"/>
  <c r="DN4" i="38599"/>
  <c r="DU4" i="38599"/>
  <c r="EB4" i="38599"/>
  <c r="EI4" i="38599"/>
  <c r="EP4" i="38599"/>
  <c r="EW4" i="38599"/>
  <c r="FD4" i="38599"/>
  <c r="FK4" i="38599"/>
  <c r="FR4" i="38599"/>
  <c r="FY4" i="38599"/>
  <c r="GF4" i="38599"/>
  <c r="GG4" i="38599"/>
  <c r="M5" i="38599"/>
  <c r="T5" i="38599"/>
  <c r="AA5" i="38599"/>
  <c r="AH5" i="38599"/>
  <c r="AO5" i="38599"/>
  <c r="AV5" i="38599"/>
  <c r="BC5" i="38599"/>
  <c r="BJ5" i="38599"/>
  <c r="BQ5" i="38599"/>
  <c r="BX5" i="38599"/>
  <c r="CE5" i="38599"/>
  <c r="CL5" i="38599"/>
  <c r="CS5" i="38599"/>
  <c r="CZ5" i="38599"/>
  <c r="DG5" i="38599"/>
  <c r="DN5" i="38599"/>
  <c r="DU5" i="38599"/>
  <c r="EB5" i="38599"/>
  <c r="EI5" i="38599"/>
  <c r="EP5" i="38599"/>
  <c r="EW5" i="38599"/>
  <c r="FD5" i="38599"/>
  <c r="FK5" i="38599"/>
  <c r="FR5" i="38599"/>
  <c r="FY5" i="38599"/>
  <c r="GF5" i="38599"/>
  <c r="GG5" i="38599"/>
  <c r="FZ2" i="38599"/>
  <c r="FZ3" i="38599"/>
  <c r="FZ4" i="38599"/>
  <c r="FZ5" i="38599"/>
  <c r="FS2" i="38599"/>
  <c r="FS3" i="38599"/>
  <c r="FS4" i="38599"/>
  <c r="FS5" i="38599"/>
  <c r="M2" i="38599"/>
  <c r="T2" i="38599"/>
  <c r="AA2" i="38599"/>
  <c r="AH2" i="38599"/>
  <c r="AO2" i="38599"/>
  <c r="AV2" i="38599"/>
  <c r="BC2" i="38599"/>
  <c r="BJ2" i="38599"/>
  <c r="BQ2" i="38599"/>
  <c r="BX2" i="38599"/>
  <c r="CE2" i="38599"/>
  <c r="CL2" i="38599"/>
  <c r="CS2" i="38599"/>
  <c r="CZ2" i="38599"/>
  <c r="DG2" i="38599"/>
  <c r="DN2" i="38599"/>
  <c r="DU2" i="38599"/>
  <c r="EB2" i="38599"/>
  <c r="EI2" i="38599"/>
  <c r="EP2" i="38599"/>
  <c r="EW2" i="38599"/>
  <c r="FD2" i="38599"/>
  <c r="FK2" i="38599"/>
  <c r="FL2" i="38599"/>
  <c r="M3" i="38599"/>
  <c r="T3" i="38599"/>
  <c r="AA3" i="38599"/>
  <c r="AH3" i="38599"/>
  <c r="AO3" i="38599"/>
  <c r="AV3" i="38599"/>
  <c r="BC3" i="38599"/>
  <c r="BJ3" i="38599"/>
  <c r="BQ3" i="38599"/>
  <c r="BX3" i="38599"/>
  <c r="CE3" i="38599"/>
  <c r="CL3" i="38599"/>
  <c r="CS3" i="38599"/>
  <c r="CZ3" i="38599"/>
  <c r="DG3" i="38599"/>
  <c r="DN3" i="38599"/>
  <c r="DU3" i="38599"/>
  <c r="EB3" i="38599"/>
  <c r="EI3" i="38599"/>
  <c r="EP3" i="38599"/>
  <c r="EW3" i="38599"/>
  <c r="FD3" i="38599"/>
  <c r="FK3" i="38599"/>
  <c r="FL3" i="38599"/>
  <c r="FL4" i="38599"/>
  <c r="FL5" i="38599"/>
  <c r="FE2" i="38599"/>
  <c r="FE3" i="38599"/>
  <c r="FE4" i="38599"/>
  <c r="FE5" i="38599"/>
  <c r="EX2" i="38599"/>
  <c r="EX3" i="38599"/>
  <c r="EX4" i="38599"/>
  <c r="EX5" i="38599"/>
  <c r="EQ2" i="38599"/>
  <c r="EQ3" i="38599"/>
  <c r="EQ4" i="38599"/>
  <c r="EQ5" i="38599"/>
  <c r="EJ2" i="38599"/>
  <c r="EJ3" i="38599"/>
  <c r="EJ4" i="38599"/>
  <c r="EJ5" i="38599"/>
  <c r="EC2" i="38599"/>
  <c r="EC3" i="38599"/>
  <c r="EC4" i="38599"/>
  <c r="EC5" i="38599"/>
  <c r="DV2" i="38599"/>
  <c r="DV3" i="38599"/>
  <c r="DV4" i="38599"/>
  <c r="DV5" i="38599"/>
  <c r="DO2" i="38599"/>
  <c r="DO3" i="38599"/>
  <c r="DO4" i="38599"/>
  <c r="DO5" i="38599"/>
  <c r="DH2" i="38599"/>
  <c r="DH3" i="38599"/>
  <c r="DH4" i="38599"/>
  <c r="DH5" i="38599"/>
  <c r="DA2" i="38599"/>
  <c r="DA3" i="38599"/>
  <c r="DA4" i="38599"/>
  <c r="DA5" i="38599"/>
  <c r="CT2" i="38599"/>
  <c r="CT3" i="38599"/>
  <c r="CT4" i="38599"/>
  <c r="CT5" i="38599"/>
  <c r="CM2" i="38599"/>
  <c r="CM3" i="38599"/>
  <c r="CM4" i="38599"/>
  <c r="CM5" i="38599"/>
  <c r="CF2" i="38599"/>
  <c r="CF3" i="38599"/>
  <c r="CF4" i="38599"/>
  <c r="CF5" i="38599"/>
  <c r="BY2" i="38599"/>
  <c r="BY3" i="38599"/>
  <c r="BY4" i="38599"/>
  <c r="BY5" i="38599"/>
  <c r="BR2" i="38599"/>
  <c r="BR3" i="38599"/>
  <c r="BR4" i="38599"/>
  <c r="BR5" i="38599"/>
  <c r="BK2" i="38599"/>
  <c r="BK3" i="38599"/>
  <c r="BK4" i="38599"/>
  <c r="BK5" i="38599"/>
  <c r="BD2" i="38599"/>
  <c r="BD3" i="38599"/>
  <c r="BD4" i="38599"/>
  <c r="BD5" i="38599"/>
  <c r="AW2" i="38599"/>
  <c r="AW3" i="38599"/>
  <c r="AW4" i="38599"/>
  <c r="AW5" i="38599"/>
  <c r="AP2" i="38599"/>
  <c r="AP3" i="38599"/>
  <c r="AP4" i="38599"/>
  <c r="AP5" i="38599"/>
  <c r="AI2" i="38599"/>
  <c r="AI3" i="38599"/>
  <c r="AI4" i="38599"/>
  <c r="AI5" i="38599"/>
  <c r="AB2" i="38599"/>
  <c r="AB3" i="38599"/>
  <c r="AB4" i="38599"/>
  <c r="AB5" i="38599"/>
  <c r="U2" i="38599"/>
  <c r="U3" i="38599"/>
  <c r="U4" i="38599"/>
  <c r="U5" i="38599"/>
  <c r="N2" i="38599"/>
  <c r="N3" i="38599"/>
  <c r="N4" i="38599"/>
  <c r="N5" i="38599"/>
  <c r="G2" i="38599"/>
  <c r="G3" i="38599"/>
  <c r="G4" i="38599"/>
  <c r="G5" i="38599"/>
  <c r="Y19" i="38593"/>
  <c r="Y20" i="38593"/>
  <c r="Y21" i="38593"/>
  <c r="Y22" i="38593"/>
  <c r="Y23" i="38593"/>
  <c r="Y24" i="38593"/>
  <c r="Y25" i="38593"/>
  <c r="Y26" i="38593"/>
  <c r="Y27" i="38593"/>
  <c r="Y28" i="38593"/>
  <c r="Y29" i="38593"/>
  <c r="Y30" i="38593"/>
  <c r="Y31" i="38593"/>
  <c r="Y32" i="38593"/>
  <c r="Y33" i="38593"/>
  <c r="Y34" i="38593"/>
  <c r="Y35" i="38593"/>
  <c r="Y36" i="38593"/>
  <c r="Y37" i="38593"/>
  <c r="E7" i="38599"/>
  <c r="G7" i="38599"/>
  <c r="L7" i="38599"/>
  <c r="N7" i="38599"/>
  <c r="S7" i="38599"/>
  <c r="U7" i="38599"/>
  <c r="Z7" i="38599"/>
  <c r="AB7" i="38599"/>
  <c r="AG7" i="38599"/>
  <c r="AI7" i="38599"/>
  <c r="AN7" i="38599"/>
  <c r="AP7" i="38599"/>
  <c r="AU7" i="38599"/>
  <c r="AW7" i="38599"/>
  <c r="BB7" i="38599"/>
  <c r="BD7" i="38599"/>
  <c r="BI7" i="38599"/>
  <c r="BK7" i="38599"/>
  <c r="BP7" i="38599"/>
  <c r="BR7" i="38599"/>
  <c r="BW7" i="38599"/>
  <c r="BY7" i="38599"/>
  <c r="CD7" i="38599"/>
  <c r="CF7" i="38599"/>
  <c r="CK7" i="38599"/>
  <c r="CM7" i="38599"/>
  <c r="CR7" i="38599"/>
  <c r="CT7" i="38599"/>
  <c r="CY7" i="38599"/>
  <c r="DA7" i="38599"/>
  <c r="DF7" i="38599"/>
  <c r="DH7" i="38599"/>
  <c r="DM7" i="38599"/>
  <c r="DO7" i="38599"/>
  <c r="DT7" i="38599"/>
  <c r="DV7" i="38599"/>
  <c r="EA7" i="38599"/>
  <c r="EC7" i="38599"/>
  <c r="EH7" i="38599"/>
  <c r="EJ7" i="38599"/>
  <c r="EO7" i="38599"/>
  <c r="EQ7" i="38599"/>
  <c r="EV7" i="38599"/>
  <c r="EX7" i="38599"/>
  <c r="FC7" i="38599"/>
  <c r="FE7" i="38599"/>
  <c r="FJ7" i="38599"/>
  <c r="FL7" i="38599"/>
  <c r="FQ7" i="38599"/>
  <c r="FS7" i="38599"/>
  <c r="FX7" i="38599"/>
  <c r="FZ7" i="38599"/>
  <c r="GE7" i="38599"/>
  <c r="GG7" i="38599"/>
  <c r="Q5" i="38593"/>
  <c r="Q4" i="38593"/>
  <c r="Q3" i="38593"/>
  <c r="L38" i="38593"/>
  <c r="Y11" i="38593"/>
  <c r="Y12" i="38593"/>
  <c r="Y13" i="38593"/>
  <c r="Y15" i="38593"/>
  <c r="Y14" i="38593"/>
  <c r="Y17" i="38593"/>
  <c r="Y16" i="38593"/>
  <c r="Y18" i="38593"/>
  <c r="Q7" i="38593"/>
  <c r="Q6" i="38593"/>
  <c r="Y8" i="38593"/>
  <c r="Y9" i="38593"/>
  <c r="Y10" i="38593"/>
  <c r="G10" i="38599"/>
  <c r="G11" i="38599"/>
  <c r="G12" i="38599"/>
  <c r="G13" i="38599"/>
  <c r="G14" i="38599"/>
  <c r="G15" i="38599"/>
  <c r="G16" i="38599"/>
  <c r="G17" i="38599"/>
  <c r="G18" i="38599"/>
  <c r="G19" i="38599"/>
  <c r="G20" i="38599"/>
  <c r="G21" i="38599"/>
  <c r="G22" i="38599"/>
  <c r="G23" i="38599"/>
  <c r="G24" i="38599"/>
  <c r="G25" i="38599"/>
  <c r="G26" i="38599"/>
  <c r="G27" i="38599"/>
  <c r="G28" i="38599"/>
  <c r="G29" i="38599"/>
  <c r="N10" i="38599"/>
  <c r="N11" i="38599"/>
  <c r="N12" i="38599"/>
  <c r="N13" i="38599"/>
  <c r="N14" i="38599"/>
  <c r="N15" i="38599"/>
  <c r="N16" i="38599"/>
  <c r="N17" i="38599"/>
  <c r="N18" i="38599"/>
  <c r="N19" i="38599"/>
  <c r="N20" i="38599"/>
  <c r="N21" i="38599"/>
  <c r="N22" i="38599"/>
  <c r="N23" i="38599"/>
  <c r="N24" i="38599"/>
  <c r="N25" i="38599"/>
  <c r="N26" i="38599"/>
  <c r="N27" i="38599"/>
  <c r="N28" i="38599"/>
  <c r="N29" i="38599"/>
  <c r="U10" i="38599"/>
  <c r="AB10" i="38599"/>
  <c r="AI10" i="38599"/>
  <c r="AP10" i="38599"/>
  <c r="AW10" i="38599"/>
  <c r="BD10" i="38599"/>
  <c r="BK10" i="38599"/>
  <c r="BR10" i="38599"/>
  <c r="BY10" i="38599"/>
  <c r="CF10" i="38599"/>
  <c r="CM10" i="38599"/>
  <c r="CT10" i="38599"/>
  <c r="DA10" i="38599"/>
  <c r="DH10" i="38599"/>
  <c r="DO10" i="38599"/>
  <c r="DV10" i="38599"/>
  <c r="EC10" i="38599"/>
  <c r="EJ10" i="38599"/>
  <c r="EQ10" i="38599"/>
  <c r="EX10" i="38599"/>
  <c r="FE10" i="38599"/>
  <c r="FL10" i="38599"/>
  <c r="FS10" i="38599"/>
  <c r="FZ10" i="38599"/>
  <c r="GG10" i="38599"/>
  <c r="G30" i="38599"/>
  <c r="GG30" i="38599"/>
  <c r="FZ30" i="38599"/>
  <c r="FS30" i="38599"/>
  <c r="FL30" i="38599"/>
  <c r="FE30" i="38599"/>
  <c r="EX30" i="38599"/>
  <c r="EQ30" i="38599"/>
  <c r="EJ30" i="38599"/>
  <c r="EC30" i="38599"/>
  <c r="DV30" i="38599"/>
  <c r="DO30" i="38599"/>
  <c r="DH30" i="38599"/>
  <c r="DA30" i="38599"/>
  <c r="CT30" i="38599"/>
  <c r="CM30" i="38599"/>
  <c r="CF30" i="38599"/>
  <c r="BY30" i="38599"/>
  <c r="BR30" i="38599"/>
  <c r="BK30" i="38599"/>
  <c r="BD30" i="38599"/>
  <c r="AW30" i="38599"/>
  <c r="AP30" i="38599"/>
  <c r="AN10" i="38599"/>
  <c r="AO10" i="38599"/>
  <c r="AQ10" i="38599"/>
  <c r="AN11" i="38599"/>
  <c r="AO11" i="38599"/>
  <c r="AQ11" i="38599"/>
  <c r="AN12" i="38599"/>
  <c r="AO12" i="38599"/>
  <c r="AQ12" i="38599"/>
  <c r="AN13" i="38599"/>
  <c r="AO13" i="38599"/>
  <c r="AQ13" i="38599"/>
  <c r="AN14" i="38599"/>
  <c r="AO14" i="38599"/>
  <c r="AQ14" i="38599"/>
  <c r="AN15" i="38599"/>
  <c r="AO15" i="38599"/>
  <c r="AQ15" i="38599"/>
  <c r="AN16" i="38599"/>
  <c r="AO16" i="38599"/>
  <c r="AQ16" i="38599"/>
  <c r="AN17" i="38599"/>
  <c r="AO17" i="38599"/>
  <c r="AQ17" i="38599"/>
  <c r="AN18" i="38599"/>
  <c r="AO18" i="38599"/>
  <c r="AQ18" i="38599"/>
  <c r="AN19" i="38599"/>
  <c r="AO19" i="38599"/>
  <c r="AQ19" i="38599"/>
  <c r="AN20" i="38599"/>
  <c r="AO20" i="38599"/>
  <c r="AQ20" i="38599"/>
  <c r="AN21" i="38599"/>
  <c r="AO21" i="38599"/>
  <c r="AQ21" i="38599"/>
  <c r="AN22" i="38599"/>
  <c r="AO22" i="38599"/>
  <c r="AQ22" i="38599"/>
  <c r="AN23" i="38599"/>
  <c r="AO23" i="38599"/>
  <c r="AQ23" i="38599"/>
  <c r="AN24" i="38599"/>
  <c r="AO24" i="38599"/>
  <c r="AQ24" i="38599"/>
  <c r="AN25" i="38599"/>
  <c r="AO25" i="38599"/>
  <c r="AQ25" i="38599"/>
  <c r="AN26" i="38599"/>
  <c r="AO26" i="38599"/>
  <c r="AQ26" i="38599"/>
  <c r="AN27" i="38599"/>
  <c r="AO27" i="38599"/>
  <c r="AQ27" i="38599"/>
  <c r="AN28" i="38599"/>
  <c r="AO28" i="38599"/>
  <c r="AQ28" i="38599"/>
  <c r="AN29" i="38599"/>
  <c r="AO29" i="38599"/>
  <c r="AQ29" i="38599"/>
  <c r="AP1" i="38599"/>
  <c r="C8" i="38593"/>
  <c r="D8" i="38593"/>
  <c r="E8" i="38593"/>
  <c r="F8" i="38593"/>
  <c r="M8" i="38593"/>
  <c r="S8" i="38593"/>
  <c r="AU10" i="38599"/>
  <c r="AV10" i="38599"/>
  <c r="AX10" i="38599"/>
  <c r="AU11" i="38599"/>
  <c r="AV11" i="38599"/>
  <c r="AX11" i="38599"/>
  <c r="AU12" i="38599"/>
  <c r="AV12" i="38599"/>
  <c r="AX12" i="38599"/>
  <c r="AU13" i="38599"/>
  <c r="AV13" i="38599"/>
  <c r="AX13" i="38599"/>
  <c r="AU14" i="38599"/>
  <c r="AV14" i="38599"/>
  <c r="AX14" i="38599"/>
  <c r="AU15" i="38599"/>
  <c r="AV15" i="38599"/>
  <c r="AX15" i="38599"/>
  <c r="AU16" i="38599"/>
  <c r="AV16" i="38599"/>
  <c r="AX16" i="38599"/>
  <c r="AU17" i="38599"/>
  <c r="AV17" i="38599"/>
  <c r="AX17" i="38599"/>
  <c r="AU18" i="38599"/>
  <c r="AV18" i="38599"/>
  <c r="AX18" i="38599"/>
  <c r="AU19" i="38599"/>
  <c r="AV19" i="38599"/>
  <c r="AX19" i="38599"/>
  <c r="AU20" i="38599"/>
  <c r="AV20" i="38599"/>
  <c r="AX20" i="38599"/>
  <c r="AU21" i="38599"/>
  <c r="AV21" i="38599"/>
  <c r="AX21" i="38599"/>
  <c r="AU22" i="38599"/>
  <c r="AV22" i="38599"/>
  <c r="AX22" i="38599"/>
  <c r="AU23" i="38599"/>
  <c r="AV23" i="38599"/>
  <c r="AX23" i="38599"/>
  <c r="AU24" i="38599"/>
  <c r="AV24" i="38599"/>
  <c r="AX24" i="38599"/>
  <c r="AU25" i="38599"/>
  <c r="AV25" i="38599"/>
  <c r="AX25" i="38599"/>
  <c r="AU26" i="38599"/>
  <c r="AV26" i="38599"/>
  <c r="AX26" i="38599"/>
  <c r="AU27" i="38599"/>
  <c r="AV27" i="38599"/>
  <c r="AX27" i="38599"/>
  <c r="AU28" i="38599"/>
  <c r="AV28" i="38599"/>
  <c r="AX28" i="38599"/>
  <c r="AU29" i="38599"/>
  <c r="AV29" i="38599"/>
  <c r="AX29" i="38599"/>
  <c r="AW1" i="38599"/>
  <c r="C9" i="38593"/>
  <c r="D9" i="38593"/>
  <c r="E9" i="38593"/>
  <c r="F9" i="38593"/>
  <c r="M9" i="38593"/>
  <c r="S9" i="38593"/>
  <c r="BB10" i="38599"/>
  <c r="BC10" i="38599"/>
  <c r="BE10" i="38599"/>
  <c r="BB11" i="38599"/>
  <c r="BC11" i="38599"/>
  <c r="BE11" i="38599"/>
  <c r="BB12" i="38599"/>
  <c r="BC12" i="38599"/>
  <c r="BE12" i="38599"/>
  <c r="BB13" i="38599"/>
  <c r="BC13" i="38599"/>
  <c r="BE13" i="38599"/>
  <c r="BB14" i="38599"/>
  <c r="BC14" i="38599"/>
  <c r="BE14" i="38599"/>
  <c r="BB15" i="38599"/>
  <c r="BC15" i="38599"/>
  <c r="BE15" i="38599"/>
  <c r="BB16" i="38599"/>
  <c r="BC16" i="38599"/>
  <c r="BE16" i="38599"/>
  <c r="BB17" i="38599"/>
  <c r="BC17" i="38599"/>
  <c r="BE17" i="38599"/>
  <c r="BB18" i="38599"/>
  <c r="BC18" i="38599"/>
  <c r="BE18" i="38599"/>
  <c r="BB19" i="38599"/>
  <c r="BC19" i="38599"/>
  <c r="BE19" i="38599"/>
  <c r="BB20" i="38599"/>
  <c r="BC20" i="38599"/>
  <c r="BE20" i="38599"/>
  <c r="BB21" i="38599"/>
  <c r="BC21" i="38599"/>
  <c r="BE21" i="38599"/>
  <c r="BB22" i="38599"/>
  <c r="BC22" i="38599"/>
  <c r="BE22" i="38599"/>
  <c r="BB23" i="38599"/>
  <c r="BC23" i="38599"/>
  <c r="BE23" i="38599"/>
  <c r="BB24" i="38599"/>
  <c r="BC24" i="38599"/>
  <c r="BE24" i="38599"/>
  <c r="BB25" i="38599"/>
  <c r="BC25" i="38599"/>
  <c r="BE25" i="38599"/>
  <c r="BB26" i="38599"/>
  <c r="BC26" i="38599"/>
  <c r="BE26" i="38599"/>
  <c r="BB27" i="38599"/>
  <c r="BC27" i="38599"/>
  <c r="BE27" i="38599"/>
  <c r="BB28" i="38599"/>
  <c r="BC28" i="38599"/>
  <c r="BE28" i="38599"/>
  <c r="BB29" i="38599"/>
  <c r="BC29" i="38599"/>
  <c r="BE29" i="38599"/>
  <c r="BD1" i="38599"/>
  <c r="C10" i="38593"/>
  <c r="D10" i="38593"/>
  <c r="E10" i="38593"/>
  <c r="F10" i="38593"/>
  <c r="M10" i="38593"/>
  <c r="S10" i="38593"/>
  <c r="T10" i="38593"/>
  <c r="T9" i="38593"/>
  <c r="T8" i="38593"/>
  <c r="P10" i="38593"/>
  <c r="Q10" i="38593"/>
  <c r="P8" i="38593"/>
  <c r="Q8" i="38593"/>
  <c r="P9" i="38593"/>
  <c r="Q9" i="38593"/>
  <c r="S10" i="38599"/>
  <c r="T10" i="38599"/>
  <c r="V10" i="38599"/>
  <c r="S11" i="38599"/>
  <c r="T11" i="38599"/>
  <c r="V11" i="38599"/>
  <c r="S12" i="38599"/>
  <c r="T12" i="38599"/>
  <c r="V12" i="38599"/>
  <c r="S13" i="38599"/>
  <c r="T13" i="38599"/>
  <c r="V13" i="38599"/>
  <c r="S14" i="38599"/>
  <c r="T14" i="38599"/>
  <c r="V14" i="38599"/>
  <c r="S15" i="38599"/>
  <c r="T15" i="38599"/>
  <c r="V15" i="38599"/>
  <c r="S16" i="38599"/>
  <c r="T16" i="38599"/>
  <c r="V16" i="38599"/>
  <c r="S17" i="38599"/>
  <c r="T17" i="38599"/>
  <c r="V17" i="38599"/>
  <c r="S18" i="38599"/>
  <c r="T18" i="38599"/>
  <c r="V18" i="38599"/>
  <c r="S19" i="38599"/>
  <c r="T19" i="38599"/>
  <c r="V19" i="38599"/>
  <c r="S20" i="38599"/>
  <c r="T20" i="38599"/>
  <c r="V20" i="38599"/>
  <c r="S21" i="38599"/>
  <c r="T21" i="38599"/>
  <c r="V21" i="38599"/>
  <c r="S22" i="38599"/>
  <c r="T22" i="38599"/>
  <c r="V22" i="38599"/>
  <c r="S23" i="38599"/>
  <c r="T23" i="38599"/>
  <c r="V23" i="38599"/>
  <c r="S24" i="38599"/>
  <c r="T24" i="38599"/>
  <c r="V24" i="38599"/>
  <c r="S25" i="38599"/>
  <c r="T25" i="38599"/>
  <c r="V25" i="38599"/>
  <c r="S26" i="38599"/>
  <c r="T26" i="38599"/>
  <c r="V26" i="38599"/>
  <c r="S27" i="38599"/>
  <c r="T27" i="38599"/>
  <c r="V27" i="38599"/>
  <c r="S28" i="38599"/>
  <c r="T28" i="38599"/>
  <c r="V28" i="38599"/>
  <c r="S29" i="38599"/>
  <c r="T29" i="38599"/>
  <c r="V29" i="38599"/>
  <c r="V30" i="38599"/>
  <c r="BI10" i="38599"/>
  <c r="BJ10" i="38599"/>
  <c r="BL10" i="38599"/>
  <c r="BI11" i="38599"/>
  <c r="BJ11" i="38599"/>
  <c r="BL11" i="38599"/>
  <c r="BI12" i="38599"/>
  <c r="BJ12" i="38599"/>
  <c r="BL12" i="38599"/>
  <c r="BI13" i="38599"/>
  <c r="BJ13" i="38599"/>
  <c r="BL13" i="38599"/>
  <c r="BI14" i="38599"/>
  <c r="BJ14" i="38599"/>
  <c r="BL14" i="38599"/>
  <c r="BI15" i="38599"/>
  <c r="BJ15" i="38599"/>
  <c r="BL15" i="38599"/>
  <c r="BI16" i="38599"/>
  <c r="BJ16" i="38599"/>
  <c r="BL16" i="38599"/>
  <c r="BI17" i="38599"/>
  <c r="BJ17" i="38599"/>
  <c r="BL17" i="38599"/>
  <c r="BI18" i="38599"/>
  <c r="BJ18" i="38599"/>
  <c r="BL18" i="38599"/>
  <c r="BI19" i="38599"/>
  <c r="BJ19" i="38599"/>
  <c r="BL19" i="38599"/>
  <c r="BI20" i="38599"/>
  <c r="BJ20" i="38599"/>
  <c r="BL20" i="38599"/>
  <c r="BI21" i="38599"/>
  <c r="BJ21" i="38599"/>
  <c r="BL21" i="38599"/>
  <c r="BI22" i="38599"/>
  <c r="BJ22" i="38599"/>
  <c r="BL22" i="38599"/>
  <c r="BI23" i="38599"/>
  <c r="BJ23" i="38599"/>
  <c r="BL23" i="38599"/>
  <c r="BI24" i="38599"/>
  <c r="BJ24" i="38599"/>
  <c r="BL24" i="38599"/>
  <c r="BI25" i="38599"/>
  <c r="BJ25" i="38599"/>
  <c r="BL25" i="38599"/>
  <c r="BI26" i="38599"/>
  <c r="BJ26" i="38599"/>
  <c r="BL26" i="38599"/>
  <c r="BI27" i="38599"/>
  <c r="BJ27" i="38599"/>
  <c r="BL27" i="38599"/>
  <c r="BI28" i="38599"/>
  <c r="BJ28" i="38599"/>
  <c r="BL28" i="38599"/>
  <c r="BI29" i="38599"/>
  <c r="BJ29" i="38599"/>
  <c r="BL29" i="38599"/>
  <c r="BK1" i="38599"/>
  <c r="C11" i="38593"/>
  <c r="D11" i="38593"/>
  <c r="E11" i="38593"/>
  <c r="F11" i="38593"/>
  <c r="M11" i="38593"/>
  <c r="S11" i="38593"/>
  <c r="BP10" i="38599"/>
  <c r="BQ10" i="38599"/>
  <c r="BS10" i="38599"/>
  <c r="BP11" i="38599"/>
  <c r="BQ11" i="38599"/>
  <c r="BS11" i="38599"/>
  <c r="BP12" i="38599"/>
  <c r="BQ12" i="38599"/>
  <c r="BS12" i="38599"/>
  <c r="BP13" i="38599"/>
  <c r="BQ13" i="38599"/>
  <c r="BS13" i="38599"/>
  <c r="BP14" i="38599"/>
  <c r="BQ14" i="38599"/>
  <c r="BS14" i="38599"/>
  <c r="BP15" i="38599"/>
  <c r="BQ15" i="38599"/>
  <c r="BS15" i="38599"/>
  <c r="BP16" i="38599"/>
  <c r="BQ16" i="38599"/>
  <c r="BS16" i="38599"/>
  <c r="BP17" i="38599"/>
  <c r="BQ17" i="38599"/>
  <c r="BS17" i="38599"/>
  <c r="BP18" i="38599"/>
  <c r="BQ18" i="38599"/>
  <c r="BS18" i="38599"/>
  <c r="BP19" i="38599"/>
  <c r="BQ19" i="38599"/>
  <c r="BS19" i="38599"/>
  <c r="BP20" i="38599"/>
  <c r="BQ20" i="38599"/>
  <c r="BS20" i="38599"/>
  <c r="BP21" i="38599"/>
  <c r="BQ21" i="38599"/>
  <c r="BS21" i="38599"/>
  <c r="BP22" i="38599"/>
  <c r="BQ22" i="38599"/>
  <c r="BS22" i="38599"/>
  <c r="BP23" i="38599"/>
  <c r="BQ23" i="38599"/>
  <c r="BS23" i="38599"/>
  <c r="BP24" i="38599"/>
  <c r="BQ24" i="38599"/>
  <c r="BS24" i="38599"/>
  <c r="BP25" i="38599"/>
  <c r="BQ25" i="38599"/>
  <c r="BS25" i="38599"/>
  <c r="BP26" i="38599"/>
  <c r="BQ26" i="38599"/>
  <c r="BS26" i="38599"/>
  <c r="BP27" i="38599"/>
  <c r="BQ27" i="38599"/>
  <c r="BS27" i="38599"/>
  <c r="BP28" i="38599"/>
  <c r="BQ28" i="38599"/>
  <c r="BS28" i="38599"/>
  <c r="BP29" i="38599"/>
  <c r="BQ29" i="38599"/>
  <c r="BS29" i="38599"/>
  <c r="BR1" i="38599"/>
  <c r="C12" i="38593"/>
  <c r="D12" i="38593"/>
  <c r="E12" i="38593"/>
  <c r="F12" i="38593"/>
  <c r="M12" i="38593"/>
  <c r="S12" i="38593"/>
  <c r="BW10" i="38599"/>
  <c r="BX10" i="38599"/>
  <c r="BZ10" i="38599"/>
  <c r="BW11" i="38599"/>
  <c r="BX11" i="38599"/>
  <c r="BZ11" i="38599"/>
  <c r="BW12" i="38599"/>
  <c r="BX12" i="38599"/>
  <c r="BZ12" i="38599"/>
  <c r="BW13" i="38599"/>
  <c r="BX13" i="38599"/>
  <c r="BZ13" i="38599"/>
  <c r="BW14" i="38599"/>
  <c r="BX14" i="38599"/>
  <c r="BZ14" i="38599"/>
  <c r="BW15" i="38599"/>
  <c r="BX15" i="38599"/>
  <c r="BZ15" i="38599"/>
  <c r="BW16" i="38599"/>
  <c r="BX16" i="38599"/>
  <c r="BZ16" i="38599"/>
  <c r="BW17" i="38599"/>
  <c r="BX17" i="38599"/>
  <c r="BZ17" i="38599"/>
  <c r="BW18" i="38599"/>
  <c r="BX18" i="38599"/>
  <c r="BZ18" i="38599"/>
  <c r="BW19" i="38599"/>
  <c r="BX19" i="38599"/>
  <c r="BZ19" i="38599"/>
  <c r="BW20" i="38599"/>
  <c r="BX20" i="38599"/>
  <c r="BZ20" i="38599"/>
  <c r="BW21" i="38599"/>
  <c r="BX21" i="38599"/>
  <c r="BZ21" i="38599"/>
  <c r="BW22" i="38599"/>
  <c r="BX22" i="38599"/>
  <c r="BZ22" i="38599"/>
  <c r="BW23" i="38599"/>
  <c r="BX23" i="38599"/>
  <c r="BZ23" i="38599"/>
  <c r="BW24" i="38599"/>
  <c r="BX24" i="38599"/>
  <c r="BZ24" i="38599"/>
  <c r="BW25" i="38599"/>
  <c r="BX25" i="38599"/>
  <c r="BZ25" i="38599"/>
  <c r="BW26" i="38599"/>
  <c r="BX26" i="38599"/>
  <c r="BZ26" i="38599"/>
  <c r="BW27" i="38599"/>
  <c r="BX27" i="38599"/>
  <c r="BZ27" i="38599"/>
  <c r="BW28" i="38599"/>
  <c r="BX28" i="38599"/>
  <c r="BZ28" i="38599"/>
  <c r="BW29" i="38599"/>
  <c r="BX29" i="38599"/>
  <c r="BZ29" i="38599"/>
  <c r="BY1" i="38599"/>
  <c r="C13" i="38593"/>
  <c r="D13" i="38593"/>
  <c r="E13" i="38593"/>
  <c r="F13" i="38593"/>
  <c r="M13" i="38593"/>
  <c r="S13" i="38593"/>
  <c r="CD10" i="38599"/>
  <c r="CE10" i="38599"/>
  <c r="CG10" i="38599"/>
  <c r="CD11" i="38599"/>
  <c r="CE11" i="38599"/>
  <c r="CG11" i="38599"/>
  <c r="CD12" i="38599"/>
  <c r="CE12" i="38599"/>
  <c r="CG12" i="38599"/>
  <c r="CD13" i="38599"/>
  <c r="CE13" i="38599"/>
  <c r="CG13" i="38599"/>
  <c r="CD14" i="38599"/>
  <c r="CE14" i="38599"/>
  <c r="CG14" i="38599"/>
  <c r="CD15" i="38599"/>
  <c r="CE15" i="38599"/>
  <c r="CG15" i="38599"/>
  <c r="CD16" i="38599"/>
  <c r="CE16" i="38599"/>
  <c r="CG16" i="38599"/>
  <c r="CD17" i="38599"/>
  <c r="CE17" i="38599"/>
  <c r="CG17" i="38599"/>
  <c r="CD18" i="38599"/>
  <c r="CE18" i="38599"/>
  <c r="CG18" i="38599"/>
  <c r="CD19" i="38599"/>
  <c r="CE19" i="38599"/>
  <c r="CG19" i="38599"/>
  <c r="CD20" i="38599"/>
  <c r="CE20" i="38599"/>
  <c r="CG20" i="38599"/>
  <c r="CD21" i="38599"/>
  <c r="CE21" i="38599"/>
  <c r="CG21" i="38599"/>
  <c r="CD22" i="38599"/>
  <c r="CE22" i="38599"/>
  <c r="CG22" i="38599"/>
  <c r="CD23" i="38599"/>
  <c r="CE23" i="38599"/>
  <c r="CG23" i="38599"/>
  <c r="CD24" i="38599"/>
  <c r="CE24" i="38599"/>
  <c r="CG24" i="38599"/>
  <c r="CD25" i="38599"/>
  <c r="CE25" i="38599"/>
  <c r="CG25" i="38599"/>
  <c r="CD26" i="38599"/>
  <c r="CE26" i="38599"/>
  <c r="CG26" i="38599"/>
  <c r="CD27" i="38599"/>
  <c r="CE27" i="38599"/>
  <c r="CG27" i="38599"/>
  <c r="CD28" i="38599"/>
  <c r="CE28" i="38599"/>
  <c r="CG28" i="38599"/>
  <c r="CD29" i="38599"/>
  <c r="CE29" i="38599"/>
  <c r="CG29" i="38599"/>
  <c r="CF1" i="38599"/>
  <c r="C14" i="38593"/>
  <c r="D14" i="38593"/>
  <c r="E14" i="38593"/>
  <c r="F14" i="38593"/>
  <c r="M14" i="38593"/>
  <c r="S14" i="38593"/>
  <c r="CK10" i="38599"/>
  <c r="CL10" i="38599"/>
  <c r="CN10" i="38599"/>
  <c r="CK11" i="38599"/>
  <c r="CL11" i="38599"/>
  <c r="CN11" i="38599"/>
  <c r="CK12" i="38599"/>
  <c r="CL12" i="38599"/>
  <c r="CN12" i="38599"/>
  <c r="CK13" i="38599"/>
  <c r="CL13" i="38599"/>
  <c r="CN13" i="38599"/>
  <c r="CK14" i="38599"/>
  <c r="CL14" i="38599"/>
  <c r="CN14" i="38599"/>
  <c r="CK15" i="38599"/>
  <c r="CL15" i="38599"/>
  <c r="CN15" i="38599"/>
  <c r="CK16" i="38599"/>
  <c r="CL16" i="38599"/>
  <c r="CN16" i="38599"/>
  <c r="CK17" i="38599"/>
  <c r="CL17" i="38599"/>
  <c r="CN17" i="38599"/>
  <c r="CK18" i="38599"/>
  <c r="CL18" i="38599"/>
  <c r="CN18" i="38599"/>
  <c r="CK19" i="38599"/>
  <c r="CL19" i="38599"/>
  <c r="CN19" i="38599"/>
  <c r="CK20" i="38599"/>
  <c r="CL20" i="38599"/>
  <c r="CN20" i="38599"/>
  <c r="CK21" i="38599"/>
  <c r="CL21" i="38599"/>
  <c r="CN21" i="38599"/>
  <c r="CK22" i="38599"/>
  <c r="CL22" i="38599"/>
  <c r="CN22" i="38599"/>
  <c r="CK23" i="38599"/>
  <c r="CL23" i="38599"/>
  <c r="CN23" i="38599"/>
  <c r="CK24" i="38599"/>
  <c r="CL24" i="38599"/>
  <c r="CN24" i="38599"/>
  <c r="CK25" i="38599"/>
  <c r="CL25" i="38599"/>
  <c r="CN25" i="38599"/>
  <c r="CK26" i="38599"/>
  <c r="CL26" i="38599"/>
  <c r="CN26" i="38599"/>
  <c r="CK27" i="38599"/>
  <c r="CL27" i="38599"/>
  <c r="CN27" i="38599"/>
  <c r="CK28" i="38599"/>
  <c r="CL28" i="38599"/>
  <c r="CN28" i="38599"/>
  <c r="CK29" i="38599"/>
  <c r="CL29" i="38599"/>
  <c r="CN29" i="38599"/>
  <c r="CM1" i="38599"/>
  <c r="C15" i="38593"/>
  <c r="D15" i="38593"/>
  <c r="E15" i="38593"/>
  <c r="F15" i="38593"/>
  <c r="M15" i="38593"/>
  <c r="S15" i="38593"/>
  <c r="CR10" i="38599"/>
  <c r="CS10" i="38599"/>
  <c r="CU10" i="38599"/>
  <c r="CR11" i="38599"/>
  <c r="CS11" i="38599"/>
  <c r="CU11" i="38599"/>
  <c r="CR12" i="38599"/>
  <c r="CS12" i="38599"/>
  <c r="CU12" i="38599"/>
  <c r="CR13" i="38599"/>
  <c r="CS13" i="38599"/>
  <c r="CU13" i="38599"/>
  <c r="CR14" i="38599"/>
  <c r="CS14" i="38599"/>
  <c r="CU14" i="38599"/>
  <c r="CR15" i="38599"/>
  <c r="CS15" i="38599"/>
  <c r="CU15" i="38599"/>
  <c r="CR16" i="38599"/>
  <c r="CS16" i="38599"/>
  <c r="CU16" i="38599"/>
  <c r="CR17" i="38599"/>
  <c r="CS17" i="38599"/>
  <c r="CU17" i="38599"/>
  <c r="CR18" i="38599"/>
  <c r="CS18" i="38599"/>
  <c r="CU18" i="38599"/>
  <c r="CR19" i="38599"/>
  <c r="CS19" i="38599"/>
  <c r="CU19" i="38599"/>
  <c r="CR20" i="38599"/>
  <c r="CS20" i="38599"/>
  <c r="CU20" i="38599"/>
  <c r="CR21" i="38599"/>
  <c r="CS21" i="38599"/>
  <c r="CU21" i="38599"/>
  <c r="CR22" i="38599"/>
  <c r="CS22" i="38599"/>
  <c r="CU22" i="38599"/>
  <c r="CR23" i="38599"/>
  <c r="CS23" i="38599"/>
  <c r="CU23" i="38599"/>
  <c r="CR24" i="38599"/>
  <c r="CS24" i="38599"/>
  <c r="CU24" i="38599"/>
  <c r="CR25" i="38599"/>
  <c r="CS25" i="38599"/>
  <c r="CU25" i="38599"/>
  <c r="CR26" i="38599"/>
  <c r="CS26" i="38599"/>
  <c r="CU26" i="38599"/>
  <c r="CR27" i="38599"/>
  <c r="CS27" i="38599"/>
  <c r="CU27" i="38599"/>
  <c r="CR28" i="38599"/>
  <c r="CS28" i="38599"/>
  <c r="CU28" i="38599"/>
  <c r="CR29" i="38599"/>
  <c r="CS29" i="38599"/>
  <c r="CU29" i="38599"/>
  <c r="CT1" i="38599"/>
  <c r="C16" i="38593"/>
  <c r="D16" i="38593"/>
  <c r="E16" i="38593"/>
  <c r="F16" i="38593"/>
  <c r="M16" i="38593"/>
  <c r="S16" i="38593"/>
  <c r="CY10" i="38599"/>
  <c r="CZ10" i="38599"/>
  <c r="DB10" i="38599"/>
  <c r="CY11" i="38599"/>
  <c r="CZ11" i="38599"/>
  <c r="DB11" i="38599"/>
  <c r="CY12" i="38599"/>
  <c r="CZ12" i="38599"/>
  <c r="DB12" i="38599"/>
  <c r="CY13" i="38599"/>
  <c r="CZ13" i="38599"/>
  <c r="DB13" i="38599"/>
  <c r="CY14" i="38599"/>
  <c r="CZ14" i="38599"/>
  <c r="DB14" i="38599"/>
  <c r="CY15" i="38599"/>
  <c r="CZ15" i="38599"/>
  <c r="DB15" i="38599"/>
  <c r="CY16" i="38599"/>
  <c r="CZ16" i="38599"/>
  <c r="DB16" i="38599"/>
  <c r="CY17" i="38599"/>
  <c r="CZ17" i="38599"/>
  <c r="DB17" i="38599"/>
  <c r="CY18" i="38599"/>
  <c r="CZ18" i="38599"/>
  <c r="DB18" i="38599"/>
  <c r="CY19" i="38599"/>
  <c r="CZ19" i="38599"/>
  <c r="DB19" i="38599"/>
  <c r="CY20" i="38599"/>
  <c r="CZ20" i="38599"/>
  <c r="DB20" i="38599"/>
  <c r="CY21" i="38599"/>
  <c r="CZ21" i="38599"/>
  <c r="DB21" i="38599"/>
  <c r="CY22" i="38599"/>
  <c r="CZ22" i="38599"/>
  <c r="DB22" i="38599"/>
  <c r="CY23" i="38599"/>
  <c r="CZ23" i="38599"/>
  <c r="DB23" i="38599"/>
  <c r="CY24" i="38599"/>
  <c r="CZ24" i="38599"/>
  <c r="DB24" i="38599"/>
  <c r="CY25" i="38599"/>
  <c r="CZ25" i="38599"/>
  <c r="DB25" i="38599"/>
  <c r="CY26" i="38599"/>
  <c r="CZ26" i="38599"/>
  <c r="DB26" i="38599"/>
  <c r="CY27" i="38599"/>
  <c r="CZ27" i="38599"/>
  <c r="DB27" i="38599"/>
  <c r="CY28" i="38599"/>
  <c r="CZ28" i="38599"/>
  <c r="DB28" i="38599"/>
  <c r="CY29" i="38599"/>
  <c r="CZ29" i="38599"/>
  <c r="DB29" i="38599"/>
  <c r="DA1" i="38599"/>
  <c r="C17" i="38593"/>
  <c r="D17" i="38593"/>
  <c r="E17" i="38593"/>
  <c r="F17" i="38593"/>
  <c r="M17" i="38593"/>
  <c r="S17" i="38593"/>
  <c r="DF10" i="38599"/>
  <c r="DG10" i="38599"/>
  <c r="DI10" i="38599"/>
  <c r="DF11" i="38599"/>
  <c r="DG11" i="38599"/>
  <c r="DI11" i="38599"/>
  <c r="DF12" i="38599"/>
  <c r="DG12" i="38599"/>
  <c r="DI12" i="38599"/>
  <c r="DF13" i="38599"/>
  <c r="DG13" i="38599"/>
  <c r="DI13" i="38599"/>
  <c r="DF14" i="38599"/>
  <c r="DG14" i="38599"/>
  <c r="DI14" i="38599"/>
  <c r="DF15" i="38599"/>
  <c r="DG15" i="38599"/>
  <c r="DI15" i="38599"/>
  <c r="DF16" i="38599"/>
  <c r="DG16" i="38599"/>
  <c r="DI16" i="38599"/>
  <c r="DF17" i="38599"/>
  <c r="DG17" i="38599"/>
  <c r="DI17" i="38599"/>
  <c r="DF18" i="38599"/>
  <c r="DG18" i="38599"/>
  <c r="DI18" i="38599"/>
  <c r="DF19" i="38599"/>
  <c r="DG19" i="38599"/>
  <c r="DI19" i="38599"/>
  <c r="DF20" i="38599"/>
  <c r="DG20" i="38599"/>
  <c r="DI20" i="38599"/>
  <c r="DF21" i="38599"/>
  <c r="DG21" i="38599"/>
  <c r="DI21" i="38599"/>
  <c r="DF22" i="38599"/>
  <c r="DG22" i="38599"/>
  <c r="DI22" i="38599"/>
  <c r="DF23" i="38599"/>
  <c r="DG23" i="38599"/>
  <c r="DI23" i="38599"/>
  <c r="DF24" i="38599"/>
  <c r="DG24" i="38599"/>
  <c r="DI24" i="38599"/>
  <c r="DF25" i="38599"/>
  <c r="DG25" i="38599"/>
  <c r="DI25" i="38599"/>
  <c r="DF26" i="38599"/>
  <c r="DG26" i="38599"/>
  <c r="DI26" i="38599"/>
  <c r="DF27" i="38599"/>
  <c r="DG27" i="38599"/>
  <c r="DI27" i="38599"/>
  <c r="DF28" i="38599"/>
  <c r="DG28" i="38599"/>
  <c r="DI28" i="38599"/>
  <c r="DF29" i="38599"/>
  <c r="DG29" i="38599"/>
  <c r="DI29" i="38599"/>
  <c r="DH1" i="38599"/>
  <c r="C18" i="38593"/>
  <c r="D18" i="38593"/>
  <c r="E18" i="38593"/>
  <c r="F18" i="38593"/>
  <c r="M18" i="38593"/>
  <c r="S18" i="38593"/>
  <c r="DM10" i="38599"/>
  <c r="DN10" i="38599"/>
  <c r="DP10" i="38599"/>
  <c r="DM11" i="38599"/>
  <c r="DN11" i="38599"/>
  <c r="DP11" i="38599"/>
  <c r="DM12" i="38599"/>
  <c r="DN12" i="38599"/>
  <c r="DP12" i="38599"/>
  <c r="DM13" i="38599"/>
  <c r="DN13" i="38599"/>
  <c r="DP13" i="38599"/>
  <c r="DM14" i="38599"/>
  <c r="DN14" i="38599"/>
  <c r="DP14" i="38599"/>
  <c r="DM15" i="38599"/>
  <c r="DN15" i="38599"/>
  <c r="DP15" i="38599"/>
  <c r="DM16" i="38599"/>
  <c r="DN16" i="38599"/>
  <c r="DP16" i="38599"/>
  <c r="DM17" i="38599"/>
  <c r="DN17" i="38599"/>
  <c r="DP17" i="38599"/>
  <c r="DM18" i="38599"/>
  <c r="DN18" i="38599"/>
  <c r="DP18" i="38599"/>
  <c r="DM19" i="38599"/>
  <c r="DN19" i="38599"/>
  <c r="DP19" i="38599"/>
  <c r="DM20" i="38599"/>
  <c r="DN20" i="38599"/>
  <c r="DP20" i="38599"/>
  <c r="DM21" i="38599"/>
  <c r="DN21" i="38599"/>
  <c r="DP21" i="38599"/>
  <c r="DM22" i="38599"/>
  <c r="DN22" i="38599"/>
  <c r="DP22" i="38599"/>
  <c r="DM23" i="38599"/>
  <c r="DN23" i="38599"/>
  <c r="DP23" i="38599"/>
  <c r="DM24" i="38599"/>
  <c r="DN24" i="38599"/>
  <c r="DP24" i="38599"/>
  <c r="DM25" i="38599"/>
  <c r="DN25" i="38599"/>
  <c r="DP25" i="38599"/>
  <c r="DM26" i="38599"/>
  <c r="DN26" i="38599"/>
  <c r="DP26" i="38599"/>
  <c r="DM27" i="38599"/>
  <c r="DN27" i="38599"/>
  <c r="DP27" i="38599"/>
  <c r="DM28" i="38599"/>
  <c r="DN28" i="38599"/>
  <c r="DP28" i="38599"/>
  <c r="DM29" i="38599"/>
  <c r="DN29" i="38599"/>
  <c r="DP29" i="38599"/>
  <c r="DO1" i="38599"/>
  <c r="C19" i="38593"/>
  <c r="D19" i="38593"/>
  <c r="E19" i="38593"/>
  <c r="F19" i="38593"/>
  <c r="M19" i="38593"/>
  <c r="S19" i="38593"/>
  <c r="DT10" i="38599"/>
  <c r="DU10" i="38599"/>
  <c r="DW10" i="38599"/>
  <c r="DT11" i="38599"/>
  <c r="DU11" i="38599"/>
  <c r="DW11" i="38599"/>
  <c r="DT12" i="38599"/>
  <c r="DU12" i="38599"/>
  <c r="DW12" i="38599"/>
  <c r="DT13" i="38599"/>
  <c r="DU13" i="38599"/>
  <c r="DW13" i="38599"/>
  <c r="DT14" i="38599"/>
  <c r="DU14" i="38599"/>
  <c r="DW14" i="38599"/>
  <c r="DT15" i="38599"/>
  <c r="DU15" i="38599"/>
  <c r="DW15" i="38599"/>
  <c r="DT16" i="38599"/>
  <c r="DU16" i="38599"/>
  <c r="DW16" i="38599"/>
  <c r="DT17" i="38599"/>
  <c r="DU17" i="38599"/>
  <c r="DW17" i="38599"/>
  <c r="DT18" i="38599"/>
  <c r="DU18" i="38599"/>
  <c r="DW18" i="38599"/>
  <c r="DT19" i="38599"/>
  <c r="DU19" i="38599"/>
  <c r="DW19" i="38599"/>
  <c r="DT20" i="38599"/>
  <c r="DU20" i="38599"/>
  <c r="DW20" i="38599"/>
  <c r="DT21" i="38599"/>
  <c r="DU21" i="38599"/>
  <c r="DW21" i="38599"/>
  <c r="DT22" i="38599"/>
  <c r="DU22" i="38599"/>
  <c r="DW22" i="38599"/>
  <c r="DT23" i="38599"/>
  <c r="DU23" i="38599"/>
  <c r="DW23" i="38599"/>
  <c r="DT24" i="38599"/>
  <c r="DU24" i="38599"/>
  <c r="DW24" i="38599"/>
  <c r="DT25" i="38599"/>
  <c r="DU25" i="38599"/>
  <c r="DW25" i="38599"/>
  <c r="DT26" i="38599"/>
  <c r="DU26" i="38599"/>
  <c r="DW26" i="38599"/>
  <c r="DT27" i="38599"/>
  <c r="DU27" i="38599"/>
  <c r="DW27" i="38599"/>
  <c r="DT28" i="38599"/>
  <c r="DU28" i="38599"/>
  <c r="DW28" i="38599"/>
  <c r="DT29" i="38599"/>
  <c r="DU29" i="38599"/>
  <c r="DW29" i="38599"/>
  <c r="DV1" i="38599"/>
  <c r="C20" i="38593"/>
  <c r="D20" i="38593"/>
  <c r="E20" i="38593"/>
  <c r="F20" i="38593"/>
  <c r="M20" i="38593"/>
  <c r="S20" i="38593"/>
  <c r="EA10" i="38599"/>
  <c r="EB10" i="38599"/>
  <c r="ED10" i="38599"/>
  <c r="EA11" i="38599"/>
  <c r="EB11" i="38599"/>
  <c r="ED11" i="38599"/>
  <c r="EA12" i="38599"/>
  <c r="EB12" i="38599"/>
  <c r="ED12" i="38599"/>
  <c r="EA13" i="38599"/>
  <c r="EB13" i="38599"/>
  <c r="ED13" i="38599"/>
  <c r="EA14" i="38599"/>
  <c r="EB14" i="38599"/>
  <c r="ED14" i="38599"/>
  <c r="EA15" i="38599"/>
  <c r="EB15" i="38599"/>
  <c r="ED15" i="38599"/>
  <c r="EA16" i="38599"/>
  <c r="EB16" i="38599"/>
  <c r="ED16" i="38599"/>
  <c r="EA17" i="38599"/>
  <c r="EB17" i="38599"/>
  <c r="ED17" i="38599"/>
  <c r="EA18" i="38599"/>
  <c r="EB18" i="38599"/>
  <c r="ED18" i="38599"/>
  <c r="EA19" i="38599"/>
  <c r="EB19" i="38599"/>
  <c r="ED19" i="38599"/>
  <c r="EA20" i="38599"/>
  <c r="EB20" i="38599"/>
  <c r="ED20" i="38599"/>
  <c r="EA21" i="38599"/>
  <c r="EB21" i="38599"/>
  <c r="ED21" i="38599"/>
  <c r="EA22" i="38599"/>
  <c r="EB22" i="38599"/>
  <c r="ED22" i="38599"/>
  <c r="EA23" i="38599"/>
  <c r="EB23" i="38599"/>
  <c r="ED23" i="38599"/>
  <c r="EA24" i="38599"/>
  <c r="EB24" i="38599"/>
  <c r="ED24" i="38599"/>
  <c r="EA25" i="38599"/>
  <c r="EB25" i="38599"/>
  <c r="ED25" i="38599"/>
  <c r="EA26" i="38599"/>
  <c r="EB26" i="38599"/>
  <c r="ED26" i="38599"/>
  <c r="EA27" i="38599"/>
  <c r="EB27" i="38599"/>
  <c r="ED27" i="38599"/>
  <c r="EA28" i="38599"/>
  <c r="EB28" i="38599"/>
  <c r="ED28" i="38599"/>
  <c r="EA29" i="38599"/>
  <c r="EB29" i="38599"/>
  <c r="ED29" i="38599"/>
  <c r="EC1" i="38599"/>
  <c r="C21" i="38593"/>
  <c r="D21" i="38593"/>
  <c r="E21" i="38593"/>
  <c r="F21" i="38593"/>
  <c r="M21" i="38593"/>
  <c r="S21" i="38593"/>
  <c r="EH10" i="38599"/>
  <c r="EI10" i="38599"/>
  <c r="EK10" i="38599"/>
  <c r="EH11" i="38599"/>
  <c r="EI11" i="38599"/>
  <c r="EK11" i="38599"/>
  <c r="EH12" i="38599"/>
  <c r="EI12" i="38599"/>
  <c r="EK12" i="38599"/>
  <c r="EH13" i="38599"/>
  <c r="EI13" i="38599"/>
  <c r="EK13" i="38599"/>
  <c r="EH14" i="38599"/>
  <c r="EI14" i="38599"/>
  <c r="EK14" i="38599"/>
  <c r="EH15" i="38599"/>
  <c r="EI15" i="38599"/>
  <c r="EK15" i="38599"/>
  <c r="EH16" i="38599"/>
  <c r="EI16" i="38599"/>
  <c r="EK16" i="38599"/>
  <c r="EH17" i="38599"/>
  <c r="EI17" i="38599"/>
  <c r="EK17" i="38599"/>
  <c r="EH18" i="38599"/>
  <c r="EI18" i="38599"/>
  <c r="EK18" i="38599"/>
  <c r="EH19" i="38599"/>
  <c r="EI19" i="38599"/>
  <c r="EK19" i="38599"/>
  <c r="EH20" i="38599"/>
  <c r="EI20" i="38599"/>
  <c r="EK20" i="38599"/>
  <c r="EH21" i="38599"/>
  <c r="EI21" i="38599"/>
  <c r="EK21" i="38599"/>
  <c r="EH22" i="38599"/>
  <c r="EI22" i="38599"/>
  <c r="EK22" i="38599"/>
  <c r="EH23" i="38599"/>
  <c r="EI23" i="38599"/>
  <c r="EK23" i="38599"/>
  <c r="EH24" i="38599"/>
  <c r="EI24" i="38599"/>
  <c r="EK24" i="38599"/>
  <c r="EH25" i="38599"/>
  <c r="EI25" i="38599"/>
  <c r="EK25" i="38599"/>
  <c r="EH26" i="38599"/>
  <c r="EI26" i="38599"/>
  <c r="EK26" i="38599"/>
  <c r="EH27" i="38599"/>
  <c r="EI27" i="38599"/>
  <c r="EK27" i="38599"/>
  <c r="EH28" i="38599"/>
  <c r="EI28" i="38599"/>
  <c r="EK28" i="38599"/>
  <c r="EH29" i="38599"/>
  <c r="EI29" i="38599"/>
  <c r="EK29" i="38599"/>
  <c r="EJ1" i="38599"/>
  <c r="C22" i="38593"/>
  <c r="D22" i="38593"/>
  <c r="E22" i="38593"/>
  <c r="F22" i="38593"/>
  <c r="M22" i="38593"/>
  <c r="S22" i="38593"/>
  <c r="EO10" i="38599"/>
  <c r="EP10" i="38599"/>
  <c r="ER10" i="38599"/>
  <c r="EO11" i="38599"/>
  <c r="EP11" i="38599"/>
  <c r="ER11" i="38599"/>
  <c r="EO12" i="38599"/>
  <c r="EP12" i="38599"/>
  <c r="ER12" i="38599"/>
  <c r="EO13" i="38599"/>
  <c r="EP13" i="38599"/>
  <c r="ER13" i="38599"/>
  <c r="EO14" i="38599"/>
  <c r="EP14" i="38599"/>
  <c r="ER14" i="38599"/>
  <c r="EO15" i="38599"/>
  <c r="EP15" i="38599"/>
  <c r="ER15" i="38599"/>
  <c r="EO16" i="38599"/>
  <c r="EP16" i="38599"/>
  <c r="ER16" i="38599"/>
  <c r="EO17" i="38599"/>
  <c r="EP17" i="38599"/>
  <c r="ER17" i="38599"/>
  <c r="EO18" i="38599"/>
  <c r="EP18" i="38599"/>
  <c r="ER18" i="38599"/>
  <c r="EO19" i="38599"/>
  <c r="EP19" i="38599"/>
  <c r="ER19" i="38599"/>
  <c r="EO20" i="38599"/>
  <c r="EP20" i="38599"/>
  <c r="ER20" i="38599"/>
  <c r="EO21" i="38599"/>
  <c r="EP21" i="38599"/>
  <c r="ER21" i="38599"/>
  <c r="EO22" i="38599"/>
  <c r="EP22" i="38599"/>
  <c r="ER22" i="38599"/>
  <c r="EO23" i="38599"/>
  <c r="EP23" i="38599"/>
  <c r="ER23" i="38599"/>
  <c r="EO24" i="38599"/>
  <c r="EP24" i="38599"/>
  <c r="ER24" i="38599"/>
  <c r="EO25" i="38599"/>
  <c r="EP25" i="38599"/>
  <c r="ER25" i="38599"/>
  <c r="EO26" i="38599"/>
  <c r="EP26" i="38599"/>
  <c r="ER26" i="38599"/>
  <c r="EO27" i="38599"/>
  <c r="EP27" i="38599"/>
  <c r="ER27" i="38599"/>
  <c r="EO28" i="38599"/>
  <c r="EP28" i="38599"/>
  <c r="ER28" i="38599"/>
  <c r="EO29" i="38599"/>
  <c r="EP29" i="38599"/>
  <c r="ER29" i="38599"/>
  <c r="EQ1" i="38599"/>
  <c r="C23" i="38593"/>
  <c r="D23" i="38593"/>
  <c r="E23" i="38593"/>
  <c r="F23" i="38593"/>
  <c r="M23" i="38593"/>
  <c r="S23" i="38593"/>
  <c r="EV10" i="38599"/>
  <c r="EW10" i="38599"/>
  <c r="EY10" i="38599"/>
  <c r="EV11" i="38599"/>
  <c r="EW11" i="38599"/>
  <c r="EY11" i="38599"/>
  <c r="EV12" i="38599"/>
  <c r="EW12" i="38599"/>
  <c r="EY12" i="38599"/>
  <c r="EV13" i="38599"/>
  <c r="EW13" i="38599"/>
  <c r="EY13" i="38599"/>
  <c r="EV14" i="38599"/>
  <c r="EW14" i="38599"/>
  <c r="EY14" i="38599"/>
  <c r="EV15" i="38599"/>
  <c r="EW15" i="38599"/>
  <c r="EY15" i="38599"/>
  <c r="EV16" i="38599"/>
  <c r="EW16" i="38599"/>
  <c r="EY16" i="38599"/>
  <c r="EV17" i="38599"/>
  <c r="EW17" i="38599"/>
  <c r="EY17" i="38599"/>
  <c r="EV18" i="38599"/>
  <c r="EW18" i="38599"/>
  <c r="EY18" i="38599"/>
  <c r="EV19" i="38599"/>
  <c r="EW19" i="38599"/>
  <c r="EY19" i="38599"/>
  <c r="EV20" i="38599"/>
  <c r="EW20" i="38599"/>
  <c r="EY20" i="38599"/>
  <c r="EV21" i="38599"/>
  <c r="EW21" i="38599"/>
  <c r="EY21" i="38599"/>
  <c r="EV22" i="38599"/>
  <c r="EW22" i="38599"/>
  <c r="EY22" i="38599"/>
  <c r="EV23" i="38599"/>
  <c r="EW23" i="38599"/>
  <c r="EY23" i="38599"/>
  <c r="EV24" i="38599"/>
  <c r="EW24" i="38599"/>
  <c r="EY24" i="38599"/>
  <c r="EV25" i="38599"/>
  <c r="EW25" i="38599"/>
  <c r="EY25" i="38599"/>
  <c r="EV26" i="38599"/>
  <c r="EW26" i="38599"/>
  <c r="EY26" i="38599"/>
  <c r="EV27" i="38599"/>
  <c r="EW27" i="38599"/>
  <c r="EY27" i="38599"/>
  <c r="EV28" i="38599"/>
  <c r="EW28" i="38599"/>
  <c r="EY28" i="38599"/>
  <c r="EV29" i="38599"/>
  <c r="EW29" i="38599"/>
  <c r="EY29" i="38599"/>
  <c r="EX1" i="38599"/>
  <c r="C24" i="38593"/>
  <c r="D24" i="38593"/>
  <c r="E24" i="38593"/>
  <c r="F24" i="38593"/>
  <c r="M24" i="38593"/>
  <c r="S24" i="38593"/>
  <c r="FC10" i="38599"/>
  <c r="FD10" i="38599"/>
  <c r="FF10" i="38599"/>
  <c r="FC11" i="38599"/>
  <c r="FD11" i="38599"/>
  <c r="FF11" i="38599"/>
  <c r="FC12" i="38599"/>
  <c r="FD12" i="38599"/>
  <c r="FF12" i="38599"/>
  <c r="FC13" i="38599"/>
  <c r="FD13" i="38599"/>
  <c r="FF13" i="38599"/>
  <c r="FC14" i="38599"/>
  <c r="FD14" i="38599"/>
  <c r="FF14" i="38599"/>
  <c r="FC15" i="38599"/>
  <c r="FD15" i="38599"/>
  <c r="FF15" i="38599"/>
  <c r="FC16" i="38599"/>
  <c r="FD16" i="38599"/>
  <c r="FF16" i="38599"/>
  <c r="FC17" i="38599"/>
  <c r="FD17" i="38599"/>
  <c r="FF17" i="38599"/>
  <c r="FC18" i="38599"/>
  <c r="FD18" i="38599"/>
  <c r="FF18" i="38599"/>
  <c r="FC19" i="38599"/>
  <c r="FD19" i="38599"/>
  <c r="FF19" i="38599"/>
  <c r="FC20" i="38599"/>
  <c r="FD20" i="38599"/>
  <c r="FF20" i="38599"/>
  <c r="FC21" i="38599"/>
  <c r="FD21" i="38599"/>
  <c r="FF21" i="38599"/>
  <c r="FC22" i="38599"/>
  <c r="FD22" i="38599"/>
  <c r="FF22" i="38599"/>
  <c r="FC23" i="38599"/>
  <c r="FD23" i="38599"/>
  <c r="FF23" i="38599"/>
  <c r="FC24" i="38599"/>
  <c r="FD24" i="38599"/>
  <c r="FF24" i="38599"/>
  <c r="FC25" i="38599"/>
  <c r="FD25" i="38599"/>
  <c r="FF25" i="38599"/>
  <c r="FC26" i="38599"/>
  <c r="FD26" i="38599"/>
  <c r="FF26" i="38599"/>
  <c r="FC27" i="38599"/>
  <c r="FD27" i="38599"/>
  <c r="FF27" i="38599"/>
  <c r="FC28" i="38599"/>
  <c r="FD28" i="38599"/>
  <c r="FF28" i="38599"/>
  <c r="FC29" i="38599"/>
  <c r="FD29" i="38599"/>
  <c r="FF29" i="38599"/>
  <c r="FE1" i="38599"/>
  <c r="C25" i="38593"/>
  <c r="D25" i="38593"/>
  <c r="E25" i="38593"/>
  <c r="F25" i="38593"/>
  <c r="M25" i="38593"/>
  <c r="S25" i="38593"/>
  <c r="FJ10" i="38599"/>
  <c r="FK10" i="38599"/>
  <c r="FM10" i="38599"/>
  <c r="FJ11" i="38599"/>
  <c r="FK11" i="38599"/>
  <c r="FM11" i="38599"/>
  <c r="FJ12" i="38599"/>
  <c r="FK12" i="38599"/>
  <c r="FM12" i="38599"/>
  <c r="FJ13" i="38599"/>
  <c r="FK13" i="38599"/>
  <c r="FM13" i="38599"/>
  <c r="FJ14" i="38599"/>
  <c r="FK14" i="38599"/>
  <c r="FM14" i="38599"/>
  <c r="FJ15" i="38599"/>
  <c r="FK15" i="38599"/>
  <c r="FM15" i="38599"/>
  <c r="FJ16" i="38599"/>
  <c r="FK16" i="38599"/>
  <c r="FM16" i="38599"/>
  <c r="FJ17" i="38599"/>
  <c r="FK17" i="38599"/>
  <c r="FM17" i="38599"/>
  <c r="FJ18" i="38599"/>
  <c r="FK18" i="38599"/>
  <c r="FM18" i="38599"/>
  <c r="FJ19" i="38599"/>
  <c r="FK19" i="38599"/>
  <c r="FM19" i="38599"/>
  <c r="FJ20" i="38599"/>
  <c r="FK20" i="38599"/>
  <c r="FM20" i="38599"/>
  <c r="FJ21" i="38599"/>
  <c r="FK21" i="38599"/>
  <c r="FM21" i="38599"/>
  <c r="FJ22" i="38599"/>
  <c r="FK22" i="38599"/>
  <c r="FM22" i="38599"/>
  <c r="FJ23" i="38599"/>
  <c r="FK23" i="38599"/>
  <c r="FM23" i="38599"/>
  <c r="FJ24" i="38599"/>
  <c r="FK24" i="38599"/>
  <c r="FM24" i="38599"/>
  <c r="FJ25" i="38599"/>
  <c r="FK25" i="38599"/>
  <c r="FM25" i="38599"/>
  <c r="FJ26" i="38599"/>
  <c r="FK26" i="38599"/>
  <c r="FM26" i="38599"/>
  <c r="FJ27" i="38599"/>
  <c r="FK27" i="38599"/>
  <c r="FM27" i="38599"/>
  <c r="FJ28" i="38599"/>
  <c r="FK28" i="38599"/>
  <c r="FM28" i="38599"/>
  <c r="FJ29" i="38599"/>
  <c r="FK29" i="38599"/>
  <c r="FM29" i="38599"/>
  <c r="FL1" i="38599"/>
  <c r="C26" i="38593"/>
  <c r="D26" i="38593"/>
  <c r="E26" i="38593"/>
  <c r="F26" i="38593"/>
  <c r="M26" i="38593"/>
  <c r="S26" i="38593"/>
  <c r="FQ10" i="38599"/>
  <c r="FR10" i="38599"/>
  <c r="FT10" i="38599"/>
  <c r="FQ11" i="38599"/>
  <c r="FR11" i="38599"/>
  <c r="FT11" i="38599"/>
  <c r="FQ12" i="38599"/>
  <c r="FR12" i="38599"/>
  <c r="FT12" i="38599"/>
  <c r="FQ13" i="38599"/>
  <c r="FR13" i="38599"/>
  <c r="FT13" i="38599"/>
  <c r="FQ14" i="38599"/>
  <c r="FR14" i="38599"/>
  <c r="FT14" i="38599"/>
  <c r="FQ15" i="38599"/>
  <c r="FR15" i="38599"/>
  <c r="FT15" i="38599"/>
  <c r="FQ16" i="38599"/>
  <c r="FR16" i="38599"/>
  <c r="FT16" i="38599"/>
  <c r="FQ17" i="38599"/>
  <c r="FR17" i="38599"/>
  <c r="FT17" i="38599"/>
  <c r="FQ18" i="38599"/>
  <c r="FR18" i="38599"/>
  <c r="FT18" i="38599"/>
  <c r="FQ19" i="38599"/>
  <c r="FR19" i="38599"/>
  <c r="FT19" i="38599"/>
  <c r="FQ20" i="38599"/>
  <c r="FR20" i="38599"/>
  <c r="FT20" i="38599"/>
  <c r="FQ21" i="38599"/>
  <c r="FR21" i="38599"/>
  <c r="FT21" i="38599"/>
  <c r="FQ22" i="38599"/>
  <c r="FR22" i="38599"/>
  <c r="FT22" i="38599"/>
  <c r="FQ23" i="38599"/>
  <c r="FR23" i="38599"/>
  <c r="FT23" i="38599"/>
  <c r="FQ24" i="38599"/>
  <c r="FR24" i="38599"/>
  <c r="FT24" i="38599"/>
  <c r="FQ25" i="38599"/>
  <c r="FR25" i="38599"/>
  <c r="FT25" i="38599"/>
  <c r="FQ26" i="38599"/>
  <c r="FR26" i="38599"/>
  <c r="FT26" i="38599"/>
  <c r="FQ27" i="38599"/>
  <c r="FR27" i="38599"/>
  <c r="FT27" i="38599"/>
  <c r="FQ28" i="38599"/>
  <c r="FR28" i="38599"/>
  <c r="FT28" i="38599"/>
  <c r="FQ29" i="38599"/>
  <c r="FR29" i="38599"/>
  <c r="FT29" i="38599"/>
  <c r="FS1" i="38599"/>
  <c r="C27" i="38593"/>
  <c r="D27" i="38593"/>
  <c r="E27" i="38593"/>
  <c r="F27" i="38593"/>
  <c r="M27" i="38593"/>
  <c r="S27" i="38593"/>
  <c r="FX10" i="38599"/>
  <c r="FY10" i="38599"/>
  <c r="GA10" i="38599"/>
  <c r="FX11" i="38599"/>
  <c r="FY11" i="38599"/>
  <c r="GA11" i="38599"/>
  <c r="FX12" i="38599"/>
  <c r="FY12" i="38599"/>
  <c r="GA12" i="38599"/>
  <c r="FX13" i="38599"/>
  <c r="FY13" i="38599"/>
  <c r="GA13" i="38599"/>
  <c r="FX14" i="38599"/>
  <c r="FY14" i="38599"/>
  <c r="GA14" i="38599"/>
  <c r="FX15" i="38599"/>
  <c r="FY15" i="38599"/>
  <c r="GA15" i="38599"/>
  <c r="FX16" i="38599"/>
  <c r="FY16" i="38599"/>
  <c r="GA16" i="38599"/>
  <c r="FX17" i="38599"/>
  <c r="FY17" i="38599"/>
  <c r="GA17" i="38599"/>
  <c r="FX18" i="38599"/>
  <c r="FY18" i="38599"/>
  <c r="GA18" i="38599"/>
  <c r="FX19" i="38599"/>
  <c r="FY19" i="38599"/>
  <c r="GA19" i="38599"/>
  <c r="FX20" i="38599"/>
  <c r="FY20" i="38599"/>
  <c r="GA20" i="38599"/>
  <c r="FX21" i="38599"/>
  <c r="FY21" i="38599"/>
  <c r="GA21" i="38599"/>
  <c r="FX22" i="38599"/>
  <c r="FY22" i="38599"/>
  <c r="GA22" i="38599"/>
  <c r="FX23" i="38599"/>
  <c r="FY23" i="38599"/>
  <c r="GA23" i="38599"/>
  <c r="FX24" i="38599"/>
  <c r="FY24" i="38599"/>
  <c r="GA24" i="38599"/>
  <c r="FX25" i="38599"/>
  <c r="FY25" i="38599"/>
  <c r="GA25" i="38599"/>
  <c r="FX26" i="38599"/>
  <c r="FY26" i="38599"/>
  <c r="GA26" i="38599"/>
  <c r="FX27" i="38599"/>
  <c r="FY27" i="38599"/>
  <c r="GA27" i="38599"/>
  <c r="FX28" i="38599"/>
  <c r="FY28" i="38599"/>
  <c r="GA28" i="38599"/>
  <c r="FX29" i="38599"/>
  <c r="FY29" i="38599"/>
  <c r="GA29" i="38599"/>
  <c r="FZ1" i="38599"/>
  <c r="C28" i="38593"/>
  <c r="D28" i="38593"/>
  <c r="E28" i="38593"/>
  <c r="F28" i="38593"/>
  <c r="M28" i="38593"/>
  <c r="S28" i="38593"/>
  <c r="GE10" i="38599"/>
  <c r="GF10" i="38599"/>
  <c r="GH10" i="38599"/>
  <c r="GE11" i="38599"/>
  <c r="GF11" i="38599"/>
  <c r="GH11" i="38599"/>
  <c r="GE12" i="38599"/>
  <c r="GF12" i="38599"/>
  <c r="GH12" i="38599"/>
  <c r="GE13" i="38599"/>
  <c r="GF13" i="38599"/>
  <c r="GH13" i="38599"/>
  <c r="GE14" i="38599"/>
  <c r="GF14" i="38599"/>
  <c r="GH14" i="38599"/>
  <c r="GE15" i="38599"/>
  <c r="GF15" i="38599"/>
  <c r="GH15" i="38599"/>
  <c r="GE16" i="38599"/>
  <c r="GF16" i="38599"/>
  <c r="GH16" i="38599"/>
  <c r="GE17" i="38599"/>
  <c r="GF17" i="38599"/>
  <c r="GH17" i="38599"/>
  <c r="GE18" i="38599"/>
  <c r="GF18" i="38599"/>
  <c r="GH18" i="38599"/>
  <c r="GE19" i="38599"/>
  <c r="GF19" i="38599"/>
  <c r="GH19" i="38599"/>
  <c r="GE20" i="38599"/>
  <c r="GF20" i="38599"/>
  <c r="GH20" i="38599"/>
  <c r="GE21" i="38599"/>
  <c r="GF21" i="38599"/>
  <c r="GH21" i="38599"/>
  <c r="GE22" i="38599"/>
  <c r="GF22" i="38599"/>
  <c r="GH22" i="38599"/>
  <c r="GE23" i="38599"/>
  <c r="GF23" i="38599"/>
  <c r="GH23" i="38599"/>
  <c r="GE24" i="38599"/>
  <c r="GF24" i="38599"/>
  <c r="GH24" i="38599"/>
  <c r="GE25" i="38599"/>
  <c r="GF25" i="38599"/>
  <c r="GH25" i="38599"/>
  <c r="GE26" i="38599"/>
  <c r="GF26" i="38599"/>
  <c r="GH26" i="38599"/>
  <c r="GE27" i="38599"/>
  <c r="GF27" i="38599"/>
  <c r="GH27" i="38599"/>
  <c r="GE28" i="38599"/>
  <c r="GF28" i="38599"/>
  <c r="GH28" i="38599"/>
  <c r="GE29" i="38599"/>
  <c r="GF29" i="38599"/>
  <c r="GH29" i="38599"/>
  <c r="GG1" i="38599"/>
  <c r="C29" i="38593"/>
  <c r="D29" i="38593"/>
  <c r="E29" i="38593"/>
  <c r="F29" i="38593"/>
  <c r="M29" i="38593"/>
  <c r="S29" i="38593"/>
  <c r="C30" i="38593"/>
  <c r="D30" i="38593"/>
  <c r="E30" i="38593"/>
  <c r="F30" i="38593"/>
  <c r="M30" i="38593"/>
  <c r="S30" i="38593"/>
  <c r="C31" i="38593"/>
  <c r="D31" i="38593"/>
  <c r="E31" i="38593"/>
  <c r="F31" i="38593"/>
  <c r="M31" i="38593"/>
  <c r="S31" i="38593"/>
  <c r="C32" i="38593"/>
  <c r="D32" i="38593"/>
  <c r="E32" i="38593"/>
  <c r="F32" i="38593"/>
  <c r="M32" i="38593"/>
  <c r="S32" i="38593"/>
  <c r="C33" i="38593"/>
  <c r="D33" i="38593"/>
  <c r="E33" i="38593"/>
  <c r="F33" i="38593"/>
  <c r="M33" i="38593"/>
  <c r="S33" i="38593"/>
  <c r="C34" i="38593"/>
  <c r="D34" i="38593"/>
  <c r="E34" i="38593"/>
  <c r="F34" i="38593"/>
  <c r="M34" i="38593"/>
  <c r="S34" i="38593"/>
  <c r="C35" i="38593"/>
  <c r="D35" i="38593"/>
  <c r="E35" i="38593"/>
  <c r="F35" i="38593"/>
  <c r="M35" i="38593"/>
  <c r="S35" i="38593"/>
  <c r="C36" i="38593"/>
  <c r="D36" i="38593"/>
  <c r="E36" i="38593"/>
  <c r="F36" i="38593"/>
  <c r="M36" i="38593"/>
  <c r="S36" i="38593"/>
  <c r="C37" i="38593"/>
  <c r="D37" i="38593"/>
  <c r="E37" i="38593"/>
  <c r="F37" i="38593"/>
  <c r="M37" i="38593"/>
  <c r="S37" i="38593"/>
  <c r="T37" i="38593"/>
  <c r="T36" i="38593"/>
  <c r="T35" i="38593"/>
  <c r="T34" i="38593"/>
  <c r="T33" i="38593"/>
  <c r="T32" i="38593"/>
  <c r="T31" i="38593"/>
  <c r="T30" i="38593"/>
  <c r="T29" i="38593"/>
  <c r="T28" i="38593"/>
  <c r="T27" i="38593"/>
  <c r="T26" i="38593"/>
  <c r="T25" i="38593"/>
  <c r="T24" i="38593"/>
  <c r="T23" i="38593"/>
  <c r="T22" i="38593"/>
  <c r="T21" i="38593"/>
  <c r="T20" i="38593"/>
  <c r="T19" i="38593"/>
  <c r="T18" i="38593"/>
  <c r="T17" i="38593"/>
  <c r="T16" i="38593"/>
  <c r="T15" i="38593"/>
  <c r="T14" i="38593"/>
  <c r="T13" i="38593"/>
  <c r="T12" i="38593"/>
  <c r="T11" i="38593"/>
  <c r="CG30" i="38599"/>
  <c r="BZ30" i="38599"/>
  <c r="GG6" i="38599"/>
  <c r="FZ6" i="38599"/>
  <c r="FS6" i="38599"/>
  <c r="FL6" i="38599"/>
  <c r="FE6" i="38599"/>
  <c r="EX6" i="38599"/>
  <c r="EQ6" i="38599"/>
  <c r="EJ6" i="38599"/>
  <c r="DV6" i="38599"/>
  <c r="DO6" i="38599"/>
  <c r="DH6" i="38599"/>
  <c r="DA6" i="38599"/>
  <c r="CT6" i="38599"/>
  <c r="U1" i="38599"/>
  <c r="U6" i="38599"/>
  <c r="L10" i="38599"/>
  <c r="M10" i="38599"/>
  <c r="O10" i="38599"/>
  <c r="L11" i="38599"/>
  <c r="M11" i="38599"/>
  <c r="O11" i="38599"/>
  <c r="L12" i="38599"/>
  <c r="M12" i="38599"/>
  <c r="O12" i="38599"/>
  <c r="L13" i="38599"/>
  <c r="M13" i="38599"/>
  <c r="O13" i="38599"/>
  <c r="L14" i="38599"/>
  <c r="M14" i="38599"/>
  <c r="O14" i="38599"/>
  <c r="L15" i="38599"/>
  <c r="M15" i="38599"/>
  <c r="O15" i="38599"/>
  <c r="L16" i="38599"/>
  <c r="M16" i="38599"/>
  <c r="O16" i="38599"/>
  <c r="L17" i="38599"/>
  <c r="M17" i="38599"/>
  <c r="O17" i="38599"/>
  <c r="L18" i="38599"/>
  <c r="M18" i="38599"/>
  <c r="O18" i="38599"/>
  <c r="L19" i="38599"/>
  <c r="M19" i="38599"/>
  <c r="O19" i="38599"/>
  <c r="L20" i="38599"/>
  <c r="M20" i="38599"/>
  <c r="O20" i="38599"/>
  <c r="L21" i="38599"/>
  <c r="M21" i="38599"/>
  <c r="O21" i="38599"/>
  <c r="L22" i="38599"/>
  <c r="M22" i="38599"/>
  <c r="O22" i="38599"/>
  <c r="L23" i="38599"/>
  <c r="M23" i="38599"/>
  <c r="O23" i="38599"/>
  <c r="L24" i="38599"/>
  <c r="M24" i="38599"/>
  <c r="O24" i="38599"/>
  <c r="L25" i="38599"/>
  <c r="M25" i="38599"/>
  <c r="O25" i="38599"/>
  <c r="L26" i="38599"/>
  <c r="M26" i="38599"/>
  <c r="O26" i="38599"/>
  <c r="L27" i="38599"/>
  <c r="M27" i="38599"/>
  <c r="O27" i="38599"/>
  <c r="L28" i="38599"/>
  <c r="M28" i="38599"/>
  <c r="O28" i="38599"/>
  <c r="L29" i="38599"/>
  <c r="M29" i="38599"/>
  <c r="O29" i="38599"/>
  <c r="N1" i="38599"/>
  <c r="N6" i="38599"/>
  <c r="E10" i="38599"/>
  <c r="F10" i="38599"/>
  <c r="H10" i="38599"/>
  <c r="E11" i="38599"/>
  <c r="F11" i="38599"/>
  <c r="H11" i="38599"/>
  <c r="E12" i="38599"/>
  <c r="F12" i="38599"/>
  <c r="H12" i="38599"/>
  <c r="E13" i="38599"/>
  <c r="F13" i="38599"/>
  <c r="H13" i="38599"/>
  <c r="E14" i="38599"/>
  <c r="F14" i="38599"/>
  <c r="H14" i="38599"/>
  <c r="E15" i="38599"/>
  <c r="F15" i="38599"/>
  <c r="H15" i="38599"/>
  <c r="E16" i="38599"/>
  <c r="F16" i="38599"/>
  <c r="H16" i="38599"/>
  <c r="E17" i="38599"/>
  <c r="F17" i="38599"/>
  <c r="H17" i="38599"/>
  <c r="E18" i="38599"/>
  <c r="F18" i="38599"/>
  <c r="H18" i="38599"/>
  <c r="E19" i="38599"/>
  <c r="F19" i="38599"/>
  <c r="H19" i="38599"/>
  <c r="E20" i="38599"/>
  <c r="F20" i="38599"/>
  <c r="H20" i="38599"/>
  <c r="E21" i="38599"/>
  <c r="F21" i="38599"/>
  <c r="H21" i="38599"/>
  <c r="E22" i="38599"/>
  <c r="F22" i="38599"/>
  <c r="H22" i="38599"/>
  <c r="E23" i="38599"/>
  <c r="F23" i="38599"/>
  <c r="H23" i="38599"/>
  <c r="E24" i="38599"/>
  <c r="F24" i="38599"/>
  <c r="H24" i="38599"/>
  <c r="E25" i="38599"/>
  <c r="F25" i="38599"/>
  <c r="H25" i="38599"/>
  <c r="E26" i="38599"/>
  <c r="F26" i="38599"/>
  <c r="H26" i="38599"/>
  <c r="E27" i="38599"/>
  <c r="F27" i="38599"/>
  <c r="H27" i="38599"/>
  <c r="E28" i="38599"/>
  <c r="F28" i="38599"/>
  <c r="H28" i="38599"/>
  <c r="E29" i="38599"/>
  <c r="F29" i="38599"/>
  <c r="H29" i="38599"/>
  <c r="G1" i="38599"/>
  <c r="G6" i="38599"/>
  <c r="GH30" i="38599"/>
  <c r="GA30" i="38599"/>
  <c r="FT30" i="38599"/>
  <c r="FF30" i="38599"/>
  <c r="EY30" i="38599"/>
  <c r="EK30" i="38599"/>
  <c r="FM30" i="38599"/>
  <c r="ER30" i="38599"/>
  <c r="H30" i="38599"/>
  <c r="O30" i="38599"/>
  <c r="C3" i="38593"/>
  <c r="D3" i="38593"/>
  <c r="E3" i="38593"/>
  <c r="F3" i="38593"/>
  <c r="M3" i="38593"/>
  <c r="P3" i="38593"/>
  <c r="U3" i="38593"/>
  <c r="W3" i="38593"/>
  <c r="C4" i="38593"/>
  <c r="D4" i="38593"/>
  <c r="E4" i="38593"/>
  <c r="F4" i="38593"/>
  <c r="W4" i="38593"/>
  <c r="Y4" i="38593"/>
  <c r="M4" i="38593"/>
  <c r="P4" i="38593"/>
  <c r="U4" i="38593"/>
  <c r="C5" i="38593"/>
  <c r="D5" i="38593"/>
  <c r="E5" i="38593"/>
  <c r="F5" i="38593"/>
  <c r="W5" i="38593"/>
  <c r="Y5" i="38593"/>
  <c r="M5" i="38593"/>
  <c r="P5" i="38593"/>
  <c r="U5" i="38593"/>
  <c r="AQ30" i="38599"/>
  <c r="AX30" i="38599"/>
  <c r="W8" i="38593"/>
  <c r="W9" i="38593"/>
  <c r="W10" i="38593"/>
  <c r="CU30" i="38599"/>
  <c r="DB30" i="38599"/>
  <c r="DW30" i="38599"/>
  <c r="W16" i="38593"/>
  <c r="W17" i="38593"/>
  <c r="P16" i="38593"/>
  <c r="Q16" i="38593"/>
  <c r="DP30" i="38599"/>
  <c r="DI30" i="38599"/>
  <c r="U16" i="38593"/>
  <c r="W18" i="38593"/>
  <c r="W19" i="38593"/>
  <c r="P17" i="38593"/>
  <c r="U17" i="38593"/>
  <c r="Q17" i="38593"/>
  <c r="P18" i="38593"/>
  <c r="Q18" i="38593"/>
  <c r="U18" i="38593"/>
  <c r="P19" i="38593"/>
  <c r="Q19" i="38593"/>
  <c r="U19" i="38593"/>
  <c r="W30" i="38593"/>
  <c r="P30" i="38593"/>
  <c r="U30" i="38593"/>
  <c r="W32" i="38593"/>
  <c r="Q30" i="38593"/>
  <c r="W31" i="38593"/>
  <c r="P32" i="38593"/>
  <c r="U32" i="38593"/>
  <c r="P31" i="38593"/>
  <c r="Q31" i="38593"/>
  <c r="U31" i="38593"/>
  <c r="Q32" i="38593"/>
  <c r="W33" i="38593"/>
  <c r="P33" i="38593"/>
  <c r="U33" i="38593"/>
  <c r="Q33" i="38593"/>
  <c r="W20" i="38593"/>
  <c r="P20" i="38593"/>
  <c r="U20" i="38593"/>
  <c r="Q20" i="38593"/>
  <c r="W22" i="38593"/>
  <c r="P22" i="38593"/>
  <c r="Q22" i="38593"/>
  <c r="U22" i="38593"/>
  <c r="W23" i="38593"/>
  <c r="P23" i="38593"/>
  <c r="Q23" i="38593"/>
  <c r="U23" i="38593"/>
  <c r="W24" i="38593"/>
  <c r="P24" i="38593"/>
  <c r="U24" i="38593"/>
  <c r="Q24" i="38593"/>
  <c r="W25" i="38593"/>
  <c r="P25" i="38593"/>
  <c r="Q25" i="38593"/>
  <c r="U25" i="38593"/>
  <c r="W26" i="38593"/>
  <c r="P26" i="38593"/>
  <c r="U26" i="38593"/>
  <c r="Q26" i="38593"/>
  <c r="W27" i="38593"/>
  <c r="P27" i="38593"/>
  <c r="U27" i="38593"/>
  <c r="Q27" i="38593"/>
  <c r="W29" i="38593"/>
  <c r="W28" i="38593"/>
  <c r="P28" i="38593"/>
  <c r="U28" i="38593"/>
  <c r="Q28" i="38593"/>
  <c r="P29" i="38593"/>
  <c r="U29" i="38593"/>
  <c r="Q29" i="38593"/>
  <c r="EC6" i="38599"/>
  <c r="ED30" i="38599"/>
  <c r="CM6" i="38599"/>
  <c r="CN30" i="38599"/>
  <c r="BR6" i="38599"/>
  <c r="BS30" i="38599"/>
  <c r="BL30" i="38599"/>
  <c r="BE30" i="38599"/>
  <c r="AW6" i="38599"/>
  <c r="AP6" i="38599"/>
  <c r="BK6" i="38599"/>
  <c r="Z10" i="38599"/>
  <c r="AA10" i="38599"/>
  <c r="AC10" i="38599"/>
  <c r="Z11" i="38599"/>
  <c r="AA11" i="38599"/>
  <c r="AC11" i="38599"/>
  <c r="Z12" i="38599"/>
  <c r="AA12" i="38599"/>
  <c r="AC12" i="38599"/>
  <c r="Z13" i="38599"/>
  <c r="AA13" i="38599"/>
  <c r="AC13" i="38599"/>
  <c r="Z14" i="38599"/>
  <c r="AA14" i="38599"/>
  <c r="AC14" i="38599"/>
  <c r="Z15" i="38599"/>
  <c r="AA15" i="38599"/>
  <c r="AC15" i="38599"/>
  <c r="Z16" i="38599"/>
  <c r="AA16" i="38599"/>
  <c r="AC16" i="38599"/>
  <c r="Z17" i="38599"/>
  <c r="AA17" i="38599"/>
  <c r="AC17" i="38599"/>
  <c r="Z18" i="38599"/>
  <c r="AA18" i="38599"/>
  <c r="AC18" i="38599"/>
  <c r="Z19" i="38599"/>
  <c r="AA19" i="38599"/>
  <c r="AC19" i="38599"/>
  <c r="Z20" i="38599"/>
  <c r="AA20" i="38599"/>
  <c r="AC20" i="38599"/>
  <c r="Z21" i="38599"/>
  <c r="AA21" i="38599"/>
  <c r="AC21" i="38599"/>
  <c r="Z22" i="38599"/>
  <c r="AA22" i="38599"/>
  <c r="AC22" i="38599"/>
  <c r="Z23" i="38599"/>
  <c r="AA23" i="38599"/>
  <c r="AC23" i="38599"/>
  <c r="Z24" i="38599"/>
  <c r="AA24" i="38599"/>
  <c r="AC24" i="38599"/>
  <c r="Z25" i="38599"/>
  <c r="AA25" i="38599"/>
  <c r="AC25" i="38599"/>
  <c r="Z26" i="38599"/>
  <c r="AA26" i="38599"/>
  <c r="AC26" i="38599"/>
  <c r="Z27" i="38599"/>
  <c r="AA27" i="38599"/>
  <c r="AC27" i="38599"/>
  <c r="Z28" i="38599"/>
  <c r="AA28" i="38599"/>
  <c r="AC28" i="38599"/>
  <c r="Z29" i="38599"/>
  <c r="AA29" i="38599"/>
  <c r="AC29" i="38599"/>
  <c r="AC30" i="38599"/>
  <c r="AG10" i="38599"/>
  <c r="AH10" i="38599"/>
  <c r="AJ10" i="38599"/>
  <c r="AG11" i="38599"/>
  <c r="AH11" i="38599"/>
  <c r="AJ11" i="38599"/>
  <c r="AG12" i="38599"/>
  <c r="AH12" i="38599"/>
  <c r="AJ12" i="38599"/>
  <c r="AG13" i="38599"/>
  <c r="AH13" i="38599"/>
  <c r="AJ13" i="38599"/>
  <c r="AG14" i="38599"/>
  <c r="AH14" i="38599"/>
  <c r="AJ14" i="38599"/>
  <c r="AG15" i="38599"/>
  <c r="AH15" i="38599"/>
  <c r="AJ15" i="38599"/>
  <c r="AG16" i="38599"/>
  <c r="AH16" i="38599"/>
  <c r="AJ16" i="38599"/>
  <c r="AG17" i="38599"/>
  <c r="AH17" i="38599"/>
  <c r="AJ17" i="38599"/>
  <c r="AG18" i="38599"/>
  <c r="AH18" i="38599"/>
  <c r="AJ18" i="38599"/>
  <c r="AG19" i="38599"/>
  <c r="AH19" i="38599"/>
  <c r="AJ19" i="38599"/>
  <c r="AG20" i="38599"/>
  <c r="AH20" i="38599"/>
  <c r="AJ20" i="38599"/>
  <c r="AG21" i="38599"/>
  <c r="AH21" i="38599"/>
  <c r="AJ21" i="38599"/>
  <c r="AG22" i="38599"/>
  <c r="AH22" i="38599"/>
  <c r="AJ22" i="38599"/>
  <c r="AG23" i="38599"/>
  <c r="AH23" i="38599"/>
  <c r="AJ23" i="38599"/>
  <c r="AG24" i="38599"/>
  <c r="AH24" i="38599"/>
  <c r="AJ24" i="38599"/>
  <c r="AG25" i="38599"/>
  <c r="AH25" i="38599"/>
  <c r="AJ25" i="38599"/>
  <c r="AG26" i="38599"/>
  <c r="AH26" i="38599"/>
  <c r="AJ26" i="38599"/>
  <c r="AG27" i="38599"/>
  <c r="AH27" i="38599"/>
  <c r="AJ27" i="38599"/>
  <c r="AG28" i="38599"/>
  <c r="AH28" i="38599"/>
  <c r="AJ28" i="38599"/>
  <c r="AG29" i="38599"/>
  <c r="AH29" i="38599"/>
  <c r="AJ29" i="38599"/>
  <c r="AJ30" i="38599"/>
  <c r="AI1" i="38599"/>
  <c r="AI6" i="38599"/>
  <c r="BY6" i="38599"/>
  <c r="CF6" i="38599"/>
  <c r="BD6" i="38599"/>
  <c r="AB1" i="38599"/>
  <c r="AB6" i="38599"/>
  <c r="W21" i="38593"/>
  <c r="W15" i="38593"/>
  <c r="U10" i="38593"/>
  <c r="C6" i="38593"/>
  <c r="D6" i="38593"/>
  <c r="E6" i="38593"/>
  <c r="F6" i="38593"/>
  <c r="W6" i="38593"/>
  <c r="C7" i="38593"/>
  <c r="D7" i="38593"/>
  <c r="E7" i="38593"/>
  <c r="F7" i="38593"/>
  <c r="W7" i="38593"/>
  <c r="Y7" i="38593"/>
  <c r="P21" i="38593"/>
  <c r="Q21" i="38593"/>
  <c r="U21" i="38593"/>
  <c r="W13" i="38593"/>
  <c r="P15" i="38593"/>
  <c r="U15" i="38593"/>
  <c r="Q15" i="38593"/>
  <c r="W12" i="38593"/>
  <c r="W11" i="38593"/>
  <c r="U8" i="38593"/>
  <c r="Y6" i="38593"/>
  <c r="M7" i="38593"/>
  <c r="P7" i="38593"/>
  <c r="U7" i="38593"/>
  <c r="P13" i="38593"/>
  <c r="Q13" i="38593"/>
  <c r="U13" i="38593"/>
  <c r="W14" i="38593"/>
  <c r="P12" i="38593"/>
  <c r="Q12" i="38593"/>
  <c r="U12" i="38593"/>
  <c r="P11" i="38593"/>
  <c r="P14" i="38593"/>
  <c r="P38" i="38593"/>
  <c r="P39" i="38593"/>
  <c r="M6" i="38593"/>
  <c r="P6" i="38593"/>
  <c r="U6" i="38593"/>
  <c r="U14" i="38593"/>
  <c r="Q14" i="38593"/>
  <c r="U11" i="38593"/>
  <c r="Q11" i="38593"/>
  <c r="P45" i="38593"/>
  <c r="H41" i="38593"/>
  <c r="AA3" i="38593"/>
  <c r="AB3" i="38593"/>
  <c r="AB4" i="38593"/>
  <c r="AB5" i="38593"/>
  <c r="AB6" i="38593"/>
  <c r="AB7" i="38593"/>
  <c r="AB8" i="38593"/>
  <c r="AB9" i="38593"/>
  <c r="AB10" i="38593"/>
  <c r="AB11" i="38593"/>
  <c r="AB12" i="38593"/>
  <c r="AB13" i="38593"/>
  <c r="AB14" i="38593"/>
  <c r="AB15" i="38593"/>
  <c r="AB16" i="38593"/>
  <c r="AB17" i="38593"/>
  <c r="AB18" i="38593"/>
  <c r="AB19" i="38593"/>
  <c r="AB20" i="38593"/>
  <c r="AB21" i="38593"/>
  <c r="AB22" i="38593"/>
  <c r="AB23" i="38593"/>
  <c r="AB24" i="38593"/>
  <c r="AB25" i="38593"/>
  <c r="AB26" i="38593"/>
  <c r="AB27" i="38593"/>
  <c r="AB28" i="38593"/>
  <c r="AB29" i="38593"/>
  <c r="AB30" i="38593"/>
  <c r="AB31" i="38593"/>
  <c r="AB32" i="38593"/>
  <c r="AB33" i="38593"/>
  <c r="AB34" i="38593"/>
  <c r="AB35" i="38593"/>
  <c r="AB36" i="38593"/>
  <c r="AB37" i="38593"/>
  <c r="AA4" i="38593"/>
  <c r="AA5" i="38593"/>
  <c r="AA6" i="38593"/>
  <c r="AA7" i="38593"/>
  <c r="AA8" i="38593"/>
  <c r="AA9" i="38593"/>
  <c r="AA10" i="38593"/>
  <c r="AA11" i="38593"/>
  <c r="AA12" i="38593"/>
  <c r="AA13" i="38593"/>
  <c r="AA14" i="38593"/>
  <c r="AA15" i="38593"/>
  <c r="AA16" i="38593"/>
  <c r="AA17" i="38593"/>
  <c r="AA18" i="38593"/>
  <c r="AA19" i="38593"/>
  <c r="AA20" i="38593"/>
  <c r="AA21" i="38593"/>
  <c r="AA22" i="38593"/>
  <c r="AA23" i="38593"/>
  <c r="AA24" i="38593"/>
  <c r="AA25" i="38593"/>
  <c r="AA26" i="38593"/>
  <c r="AA27" i="38593"/>
  <c r="AA28" i="38593"/>
  <c r="AA29" i="38593"/>
  <c r="AA30" i="38593"/>
  <c r="AA31" i="38593"/>
  <c r="AA32" i="38593"/>
  <c r="AA33" i="38593"/>
  <c r="AA34" i="38593"/>
  <c r="AA35" i="38593"/>
  <c r="AA36" i="38593"/>
  <c r="AA37" i="38593"/>
  <c r="P36" i="38593"/>
  <c r="Q36" i="38593"/>
  <c r="P37" i="38593"/>
  <c r="U37" i="38593"/>
  <c r="P35" i="38593"/>
  <c r="U35" i="38593"/>
  <c r="Q35" i="38593"/>
  <c r="U36" i="38593"/>
  <c r="W37" i="38593"/>
  <c r="W35" i="38593"/>
  <c r="W36" i="38593"/>
  <c r="P34" i="38593"/>
  <c r="U34" i="38593"/>
  <c r="Q34" i="38593"/>
  <c r="W34" i="38593"/>
  <c r="R12" i="38593"/>
  <c r="R13" i="38593"/>
  <c r="R14" i="38593"/>
  <c r="R15" i="38593"/>
  <c r="R16" i="38593"/>
  <c r="R17" i="38593"/>
  <c r="R18" i="38593"/>
  <c r="R19" i="38593"/>
  <c r="R20" i="38593"/>
  <c r="R21" i="38593"/>
  <c r="R22" i="38593"/>
  <c r="R23" i="38593"/>
  <c r="R24" i="38593"/>
  <c r="R25" i="38593"/>
  <c r="R26" i="38593"/>
  <c r="R27" i="38593"/>
  <c r="R28" i="38593"/>
  <c r="R29" i="38593"/>
  <c r="R30" i="38593"/>
  <c r="R31" i="38593"/>
  <c r="R32" i="38593"/>
  <c r="R33" i="38593"/>
  <c r="R34" i="38593"/>
  <c r="R35" i="38593"/>
  <c r="R36" i="38593"/>
  <c r="R37" i="38593"/>
  <c r="H39" i="38593"/>
  <c r="B21" i="38600"/>
  <c r="B22" i="38600"/>
  <c r="B23" i="38600"/>
  <c r="GE31" i="38599"/>
  <c r="G30" i="38593"/>
  <c r="G31" i="38593"/>
  <c r="G32" i="38593"/>
  <c r="G33" i="38593"/>
  <c r="G34" i="38593"/>
  <c r="G35" i="38593"/>
  <c r="G36" i="38593"/>
  <c r="G37" i="38593"/>
  <c r="FX31" i="38599"/>
  <c r="G29" i="38593"/>
  <c r="FQ31" i="38599"/>
  <c r="G28" i="38593"/>
  <c r="FJ31" i="38599"/>
  <c r="G27" i="38593"/>
  <c r="FC31" i="38599"/>
  <c r="G26" i="38593"/>
  <c r="EV31" i="38599"/>
  <c r="G25" i="38593"/>
  <c r="EO31" i="38599"/>
  <c r="G24" i="38593"/>
  <c r="EH31" i="38599"/>
  <c r="G23" i="38593"/>
  <c r="EA31" i="38599"/>
  <c r="G22" i="38593"/>
  <c r="DT31" i="38599"/>
  <c r="G21" i="38593"/>
  <c r="DM31" i="38599"/>
  <c r="G20" i="38593"/>
  <c r="DF31" i="38599"/>
  <c r="G19" i="38593"/>
  <c r="G18" i="38593"/>
  <c r="CY31" i="38599"/>
  <c r="G17" i="38593"/>
  <c r="CR31" i="38599"/>
  <c r="G16" i="38593"/>
  <c r="CK31" i="38599"/>
  <c r="G15" i="38593"/>
  <c r="CD31" i="38599"/>
  <c r="G14" i="38593"/>
  <c r="BW31" i="38599"/>
  <c r="G13" i="38593"/>
  <c r="BP31" i="38599"/>
  <c r="G12" i="38593"/>
  <c r="BI31" i="38599"/>
  <c r="G11" i="38593"/>
  <c r="BB31" i="38599"/>
  <c r="G10" i="38593"/>
  <c r="AU31" i="38599"/>
  <c r="G9" i="38593"/>
  <c r="AN31" i="38599"/>
  <c r="G8" i="38593"/>
  <c r="AG31" i="38599"/>
  <c r="G7" i="38593"/>
  <c r="Z31" i="38599"/>
  <c r="G6" i="38593"/>
  <c r="S31" i="38599"/>
  <c r="G5" i="38593"/>
  <c r="L31" i="38599"/>
  <c r="G4" i="38593"/>
  <c r="E31" i="38599"/>
  <c r="G3" i="38593"/>
  <c r="S30" i="38599"/>
  <c r="GE30" i="38599"/>
  <c r="FX30" i="38599"/>
  <c r="FQ30" i="38599"/>
  <c r="FJ30" i="38599"/>
  <c r="FC30" i="38599"/>
  <c r="EV30" i="38599"/>
  <c r="EO30" i="38599"/>
  <c r="EH30" i="38599"/>
  <c r="EA30" i="38599"/>
  <c r="E30" i="38599"/>
  <c r="L30" i="38599"/>
  <c r="T30" i="38599"/>
  <c r="Z30" i="38599"/>
  <c r="AG30" i="38599"/>
  <c r="AN30" i="38599"/>
  <c r="AU30" i="38599"/>
  <c r="BB30" i="38599"/>
  <c r="BI30" i="38599"/>
  <c r="BP30" i="38599"/>
  <c r="BW30" i="38599"/>
  <c r="CD30" i="38599"/>
  <c r="CK30" i="38599"/>
  <c r="CR30" i="38599"/>
  <c r="CY30" i="38599"/>
  <c r="DF30" i="38599"/>
  <c r="DM30" i="38599"/>
  <c r="DT30" i="38599"/>
  <c r="F30" i="38599"/>
  <c r="M30" i="38599"/>
  <c r="U30" i="38599"/>
  <c r="AA30" i="38599"/>
  <c r="AH30" i="38599"/>
  <c r="AO30" i="38599"/>
  <c r="AV30" i="38599"/>
  <c r="BC30" i="38599"/>
  <c r="BJ30" i="38599"/>
  <c r="BQ30" i="38599"/>
  <c r="BX30" i="38599"/>
  <c r="CE30" i="38599"/>
  <c r="CL30" i="38599"/>
  <c r="CS30" i="38599"/>
  <c r="CZ30" i="38599"/>
  <c r="DG30" i="38599"/>
  <c r="DN30" i="38599"/>
  <c r="DU30" i="38599"/>
  <c r="EB30" i="38599"/>
  <c r="EI30" i="38599"/>
  <c r="EP30" i="38599"/>
  <c r="EW30" i="38599"/>
  <c r="FD30" i="38599"/>
  <c r="FK30" i="38599"/>
  <c r="FR30" i="38599"/>
  <c r="FY30" i="38599"/>
  <c r="GF30" i="38599"/>
</calcChain>
</file>

<file path=xl/comments1.xml><?xml version="1.0" encoding="utf-8"?>
<comments xmlns="http://schemas.openxmlformats.org/spreadsheetml/2006/main">
  <authors>
    <author>Shane Hayes</author>
  </authors>
  <commentList>
    <comment ref="H41" authorId="0" shapeId="0">
      <text>
        <r>
          <rPr>
            <b/>
            <sz val="9"/>
            <color indexed="81"/>
            <rFont val="Arial"/>
          </rPr>
          <t>Shane Hayes:</t>
        </r>
        <r>
          <rPr>
            <sz val="9"/>
            <color indexed="81"/>
            <rFont val="Arial"/>
          </rPr>
          <t xml:space="preserve">
Starting value will look to M45, but should be overridden once a release plan has been created</t>
        </r>
      </text>
    </comment>
  </commentList>
</comments>
</file>

<file path=xl/sharedStrings.xml><?xml version="1.0" encoding="utf-8"?>
<sst xmlns="http://schemas.openxmlformats.org/spreadsheetml/2006/main" count="628" uniqueCount="324">
  <si>
    <t>Start</t>
  </si>
  <si>
    <t>Actual Velocity Factor</t>
  </si>
  <si>
    <t>Story Cards</t>
  </si>
  <si>
    <t>Over/ Under</t>
  </si>
  <si>
    <t>Team Man Hours</t>
  </si>
  <si>
    <t>Total Points</t>
  </si>
  <si>
    <t>Notes</t>
  </si>
  <si>
    <t>Total</t>
  </si>
  <si>
    <t>Forecast Story Hours</t>
  </si>
  <si>
    <t>Defect Hours</t>
  </si>
  <si>
    <t>Scheduled Points</t>
  </si>
  <si>
    <t>Predicted Points</t>
  </si>
  <si>
    <t>&lt;-Remaining</t>
  </si>
  <si>
    <t>&lt;-Planned Plus Actual</t>
  </si>
  <si>
    <t>Release</t>
  </si>
  <si>
    <t>Learning + Adjustment (25%)</t>
  </si>
  <si>
    <t>Start date:</t>
  </si>
  <si>
    <t>End date:</t>
  </si>
  <si>
    <t>Basic Hours</t>
  </si>
  <si>
    <t>Available Hrs</t>
  </si>
  <si>
    <t>Team Allocation</t>
  </si>
  <si>
    <t>(2 weeks)</t>
  </si>
  <si>
    <t>Team Member</t>
  </si>
  <si>
    <t>TBD (Needed)</t>
  </si>
  <si>
    <t>Starting defect hours %</t>
  </si>
  <si>
    <t>Support/ Other Hours</t>
  </si>
  <si>
    <t>Original Backlog</t>
  </si>
  <si>
    <t>New Backlog</t>
  </si>
  <si>
    <t>Actual Burnup</t>
  </si>
  <si>
    <t>Current Total Calc</t>
  </si>
  <si>
    <t>Current Remaing Backlog</t>
  </si>
  <si>
    <t>Proj 3</t>
  </si>
  <si>
    <t>Proj 4</t>
  </si>
  <si>
    <t>Proj 5</t>
  </si>
  <si>
    <t>NY Pricing</t>
  </si>
  <si>
    <t>Online Bill</t>
  </si>
  <si>
    <t>Total Completed</t>
  </si>
  <si>
    <t>Actual Points Completed</t>
  </si>
  <si>
    <t>Proj 2</t>
  </si>
  <si>
    <t>Historical Velocity Factor</t>
  </si>
  <si>
    <t>Progress</t>
  </si>
  <si>
    <t xml:space="preserve"> </t>
  </si>
  <si>
    <t>S Curve Amounts</t>
  </si>
  <si>
    <t>Peak below average</t>
  </si>
  <si>
    <t>Peak above average</t>
  </si>
  <si>
    <t>Number of sprints impacted</t>
  </si>
  <si>
    <t>Role</t>
  </si>
  <si>
    <t>Product Owner</t>
  </si>
  <si>
    <t>Scrum Master</t>
  </si>
  <si>
    <t>Dev</t>
  </si>
  <si>
    <t>QA</t>
  </si>
  <si>
    <t>Team Startup information</t>
  </si>
  <si>
    <t>Number of Developers:</t>
  </si>
  <si>
    <t>Project Role</t>
  </si>
  <si>
    <t>Max size of story per sprint</t>
  </si>
  <si>
    <t>Max initial theoretical velocity</t>
  </si>
  <si>
    <t>Theoretical Points Prediction</t>
  </si>
  <si>
    <t>% for Defects</t>
  </si>
  <si>
    <t>Max Velocity</t>
  </si>
  <si>
    <t>Vel Increase Start Sprint</t>
  </si>
  <si>
    <t>Vel. Growh Sprints</t>
  </si>
  <si>
    <t>Initial Growth Factor</t>
  </si>
  <si>
    <t>Ongoing Growth Factor</t>
  </si>
  <si>
    <t>Number of Developers</t>
  </si>
  <si>
    <t>Number of Story Points Per Sprint</t>
  </si>
  <si>
    <t>Maximum</t>
  </si>
  <si>
    <t>Reduction due to learning</t>
  </si>
  <si>
    <t>Iniitial Forecast</t>
  </si>
  <si>
    <t>Hours Available</t>
  </si>
  <si>
    <t>Sprint Count for Scurve</t>
  </si>
  <si>
    <t>S-Curve Adjustment</t>
  </si>
  <si>
    <t>Usually the first sprint in most examples, but -.5 provides a higher starting velocity</t>
  </si>
  <si>
    <t>Added Story Points</t>
  </si>
  <si>
    <t>Average/ Forecast Velocity</t>
  </si>
  <si>
    <t>Original Planned Burnup</t>
  </si>
  <si>
    <t>Future Outlook</t>
  </si>
  <si>
    <t>Pessimistic Future Outlook</t>
  </si>
  <si>
    <t>Pessimistic Outlook Percentage:</t>
  </si>
  <si>
    <t>Planning Velocity Ratio:</t>
  </si>
  <si>
    <t>Sprint</t>
  </si>
  <si>
    <t>Hours per sprint</t>
  </si>
  <si>
    <t>Sprint Table</t>
  </si>
  <si>
    <t>Start Date</t>
  </si>
  <si>
    <t>End Date</t>
  </si>
  <si>
    <t>New Years’ Day</t>
  </si>
  <si>
    <t>Martin Luther King Jr. Day</t>
  </si>
  <si>
    <t>President’s Day</t>
  </si>
  <si>
    <t>Spring Break</t>
  </si>
  <si>
    <t>Memorial Day</t>
  </si>
  <si>
    <t>Independence Day</t>
  </si>
  <si>
    <t>Labor Day</t>
  </si>
  <si>
    <t>Columbus Day</t>
  </si>
  <si>
    <t>Veteran’s Day</t>
  </si>
  <si>
    <t>Thanksgiving Day</t>
  </si>
  <si>
    <t>Christmas Day</t>
  </si>
  <si>
    <t>Day</t>
  </si>
  <si>
    <t>Date</t>
  </si>
  <si>
    <t>Holiday Schedule</t>
  </si>
  <si>
    <t>Holidays</t>
  </si>
  <si>
    <t>Holiday Time</t>
  </si>
  <si>
    <t>Hours per day</t>
  </si>
  <si>
    <t>Person</t>
  </si>
  <si>
    <t>Name</t>
  </si>
  <si>
    <t>% Commitment</t>
  </si>
  <si>
    <t>Start Sprint</t>
  </si>
  <si>
    <t>End Sprint</t>
  </si>
  <si>
    <t>Hayes, Shane</t>
  </si>
  <si>
    <t>Holiday</t>
  </si>
  <si>
    <t>Vacation</t>
  </si>
  <si>
    <t>Sprint Hours</t>
  </si>
  <si>
    <t>Hours Off</t>
  </si>
  <si>
    <t>Instructions: Please ensure you INSERT rows or delete rows to perserve the named ranges.</t>
  </si>
  <si>
    <t>Team X</t>
  </si>
  <si>
    <t>Compute the number of days off by looking at the calendar if the persons vacation goes over a sprint boundary</t>
  </si>
  <si>
    <t>Comment</t>
  </si>
  <si>
    <t>Vacation/Ramp Up Schedule</t>
  </si>
  <si>
    <t>FTE</t>
  </si>
  <si>
    <t>FTE by Sprint</t>
  </si>
  <si>
    <t>The key mechanism to reduce your planned velocity for a sprint is to properly record what time a person won't have in each sprint.</t>
  </si>
  <si>
    <t>Days Off</t>
  </si>
  <si>
    <t>The max number for Days Off is 10, anything over will get a RED color.</t>
  </si>
  <si>
    <t>Sprint:</t>
  </si>
  <si>
    <t>N</t>
  </si>
  <si>
    <t>Use S-Curve for plan? (Y/N)</t>
  </si>
  <si>
    <t>Starting Sprint #:</t>
  </si>
  <si>
    <t>Starting Sprint date:</t>
  </si>
  <si>
    <t>Normal Sprint Length (days):</t>
  </si>
  <si>
    <t>Ratio of Hours to Points (points/hour)</t>
  </si>
  <si>
    <t>The sprint number is computed based on the start dates of the sprints.</t>
  </si>
  <si>
    <t>Here is the basic definiton of the team.</t>
  </si>
  <si>
    <t>Define the timeframe for each person, when they will start and then end work for the team</t>
  </si>
  <si>
    <t>The Sprint and Sprint Hours are computed.</t>
  </si>
  <si>
    <t>WebTeam1</t>
  </si>
  <si>
    <t>Brian Richards</t>
  </si>
  <si>
    <t>Paula Wyatt</t>
  </si>
  <si>
    <t>Russel Miller</t>
  </si>
  <si>
    <t>Ronald Morris</t>
  </si>
  <si>
    <t>Janis Bauer</t>
  </si>
  <si>
    <t>Carol Saunders</t>
  </si>
  <si>
    <t>Stanley Burns</t>
  </si>
  <si>
    <t>Joseph Formkan</t>
  </si>
  <si>
    <t>Dean Morris</t>
  </si>
  <si>
    <t>Janna Taylor</t>
  </si>
  <si>
    <t>Ramp up time, new</t>
  </si>
  <si>
    <t>The number of sprint for growth</t>
  </si>
  <si>
    <t>Speed of initial growth</t>
  </si>
  <si>
    <t>After initial growth, what is the ongoing growth rate?</t>
  </si>
  <si>
    <t>How many sprint to apply s-curve</t>
  </si>
  <si>
    <t>Sprints to curve</t>
  </si>
  <si>
    <t>Web Team 1</t>
  </si>
  <si>
    <t>Coach</t>
  </si>
  <si>
    <t>If multiple days are involved, double check the sprint boundaries</t>
  </si>
  <si>
    <t>Generally, sprints should be computed. Sprint dates can typically be adjusted around larger holiday events like Thanksgiving or Christmas.</t>
  </si>
  <si>
    <t>This is copied from the availability page</t>
  </si>
  <si>
    <t>Reduction of another 20%</t>
  </si>
  <si>
    <t>Watch out for overlaps with multiple sprints as this model does not take that into account.</t>
  </si>
  <si>
    <t>Agile Coach</t>
  </si>
  <si>
    <t xml:space="preserve"> Apache License</t>
  </si>
  <si>
    <t xml:space="preserve">                           Version 2.0, January 2004</t>
  </si>
  <si>
    <t xml:space="preserve">                        http://www.apache.org/licenses/</t>
  </si>
  <si>
    <t xml:space="preserve">   TERMS AND CONDITIONS FOR USE, REPRODUCTION, AND DISTRIBUTION</t>
  </si>
  <si>
    <t xml:space="preserve">   1. Definitions.</t>
  </si>
  <si>
    <t xml:space="preserve">      "License" shall mean the terms and conditions for use, reproduction,</t>
  </si>
  <si>
    <t xml:space="preserve">      and distribution as defined by Sections 1 through 9 of this document.</t>
  </si>
  <si>
    <t xml:space="preserve">      "Licensor" shall mean the copyright owner or entity authorized by</t>
  </si>
  <si>
    <t xml:space="preserve">      the copyright owner that is granting the License.</t>
  </si>
  <si>
    <t xml:space="preserve">      "Legal Entity" shall mean the union of the acting entity and all</t>
  </si>
  <si>
    <t xml:space="preserve">      other entities that control, are controlled by, or are under common</t>
  </si>
  <si>
    <t xml:space="preserve">      control with that entity. For the purposes of this definition,</t>
  </si>
  <si>
    <t xml:space="preserve">      "control" means (i) the power, direct or indirect, to cause the</t>
  </si>
  <si>
    <t xml:space="preserve">      direction or management of such entity, whether by contract or</t>
  </si>
  <si>
    <t xml:space="preserve">      otherwise, or (ii) ownership of fifty percent (50%) or more of the</t>
  </si>
  <si>
    <t xml:space="preserve">      outstanding shares, or (iii) beneficial ownership of such entity.</t>
  </si>
  <si>
    <t xml:space="preserve">      "You" (or "Your") shall mean an individual or Legal Entity</t>
  </si>
  <si>
    <t xml:space="preserve">      exercising permissions granted by this License.</t>
  </si>
  <si>
    <t xml:space="preserve">      "Source" form shall mean the preferred form for making modifications,</t>
  </si>
  <si>
    <t xml:space="preserve">      including but not limited to software source code, documentation</t>
  </si>
  <si>
    <t xml:space="preserve">      source, and configuration files.</t>
  </si>
  <si>
    <t xml:space="preserve">      "Object" form shall mean any form resulting from mechanical</t>
  </si>
  <si>
    <t xml:space="preserve">      transformation or translation of a Source form, including but</t>
  </si>
  <si>
    <t xml:space="preserve">      not limited to compiled object code, generated documentation,</t>
  </si>
  <si>
    <t xml:space="preserve">      and conversions to other media types.</t>
  </si>
  <si>
    <t xml:space="preserve">      "Work" shall mean the work of authorship, whether in Source or</t>
  </si>
  <si>
    <t xml:space="preserve">      Object form, made available under the License, as indicated by a</t>
  </si>
  <si>
    <t xml:space="preserve">      copyright notice that is included in or attached to the work</t>
  </si>
  <si>
    <t xml:space="preserve">      (an example is provided in the Appendix below).</t>
  </si>
  <si>
    <t xml:space="preserve">      "Derivative Works" shall mean any work, whether in Source or Object</t>
  </si>
  <si>
    <t xml:space="preserve">      form, that is based on (or derived from) the Work and for which the</t>
  </si>
  <si>
    <t xml:space="preserve">      editorial revisions, annotations, elaborations, or other modifications</t>
  </si>
  <si>
    <t xml:space="preserve">      represent, as a whole, an original work of authorship. For the purposes</t>
  </si>
  <si>
    <t xml:space="preserve">      of this License, Derivative Works shall not include works that remain</t>
  </si>
  <si>
    <t xml:space="preserve">      separable from, or merely link (or bind by name) to the interfaces of,</t>
  </si>
  <si>
    <t xml:space="preserve">      the Work and Derivative Works thereof.</t>
  </si>
  <si>
    <t xml:space="preserve">      "Contribution" shall mean any work of authorship, including</t>
  </si>
  <si>
    <t xml:space="preserve">      the original version of the Work and any modifications or additions</t>
  </si>
  <si>
    <t xml:space="preserve">      to that Work or Derivative Works thereof, that is intentionally</t>
  </si>
  <si>
    <t xml:space="preserve">      submitted to Licensor for inclusion in the Work by the copyright owner</t>
  </si>
  <si>
    <t xml:space="preserve">      or by an individual or Legal Entity authorized to submit on behalf of</t>
  </si>
  <si>
    <t xml:space="preserve">      the copyright owner. For the purposes of this definition, "submitted"</t>
  </si>
  <si>
    <t xml:space="preserve">      means any form of electronic, verbal, or written communication sent</t>
  </si>
  <si>
    <t xml:space="preserve">      to the Licensor or its representatives, including but not limited to</t>
  </si>
  <si>
    <t xml:space="preserve">      communication on electronic mailing lists, source code control systems,</t>
  </si>
  <si>
    <t xml:space="preserve">      and issue tracking systems that are managed by, or on behalf of, the</t>
  </si>
  <si>
    <t xml:space="preserve">      Licensor for the purpose of discussing and improving the Work, but</t>
  </si>
  <si>
    <t xml:space="preserve">      excluding communication that is conspicuously marked or otherwise</t>
  </si>
  <si>
    <t xml:space="preserve">      designated in writing by the copyright owner as "Not a Contribution."</t>
  </si>
  <si>
    <t xml:space="preserve">      "Contributor" shall mean Licensor and any individual or Legal Entity</t>
  </si>
  <si>
    <t xml:space="preserve">      on behalf of whom a Contribution has been received by Licensor and</t>
  </si>
  <si>
    <t xml:space="preserve">      subsequently incorporated within the Work.</t>
  </si>
  <si>
    <t xml:space="preserve">   2. Grant of Copyright License. Subject to the terms and conditions of</t>
  </si>
  <si>
    <t xml:space="preserve">      this License, each Contributor hereby grants to You a perpetual,</t>
  </si>
  <si>
    <t xml:space="preserve">      worldwide, non-exclusive, no-charge, royalty-free, irrevocable</t>
  </si>
  <si>
    <t xml:space="preserve">      copyright license to reproduce, prepare Derivative Works of,</t>
  </si>
  <si>
    <t xml:space="preserve">      publicly display, publicly perform, sublicense, and distribute the</t>
  </si>
  <si>
    <t xml:space="preserve">      Work and such Derivative Works in Source or Object form.</t>
  </si>
  <si>
    <t xml:space="preserve">   3. Grant of Patent License. Subject to the terms and conditions of</t>
  </si>
  <si>
    <t xml:space="preserve">      (except as stated in this section) patent license to make, have made,</t>
  </si>
  <si>
    <t xml:space="preserve">      use, offer to sell, sell, import, and otherwise transfer the Work,</t>
  </si>
  <si>
    <t xml:space="preserve">      where such license applies only to those patent claims licensable</t>
  </si>
  <si>
    <t xml:space="preserve">      by such Contributor that are necessarily infringed by their</t>
  </si>
  <si>
    <t xml:space="preserve">      Contribution(s) alone or by combination of their Contribution(s)</t>
  </si>
  <si>
    <t xml:space="preserve">      with the Work to which such Contribution(s) was submitted. If You</t>
  </si>
  <si>
    <t xml:space="preserve">      institute patent litigation against any entity (including a</t>
  </si>
  <si>
    <t xml:space="preserve">      cross-claim or counterclaim in a lawsuit) alleging that the Work</t>
  </si>
  <si>
    <t xml:space="preserve">      or a Contribution incorporated within the Work constitutes direct</t>
  </si>
  <si>
    <t xml:space="preserve">      or contributory patent infringement, then any patent licenses</t>
  </si>
  <si>
    <t xml:space="preserve">      granted to You under this License for that Work shall terminate</t>
  </si>
  <si>
    <t xml:space="preserve">      as of the date such litigation is filed.</t>
  </si>
  <si>
    <t xml:space="preserve">   4. Redistribution. You may reproduce and distribute copies of the</t>
  </si>
  <si>
    <t xml:space="preserve">      Work or Derivative Works thereof in any medium, with or without</t>
  </si>
  <si>
    <t xml:space="preserve">      modifications, and in Source or Object form, provided that You</t>
  </si>
  <si>
    <t xml:space="preserve">      meet the following conditions:</t>
  </si>
  <si>
    <t xml:space="preserve">      (a) You must give any other recipients of the Work or</t>
  </si>
  <si>
    <t xml:space="preserve">          Derivative Works a copy of this License; and</t>
  </si>
  <si>
    <t xml:space="preserve">      (b) You must cause any modified files to carry prominent notices</t>
  </si>
  <si>
    <t xml:space="preserve">          stating that You changed the files; and</t>
  </si>
  <si>
    <t xml:space="preserve">      (c) You must retain, in the Source form of any Derivative Works</t>
  </si>
  <si>
    <t xml:space="preserve">          that You distribute, all copyright, patent, trademark, and</t>
  </si>
  <si>
    <t xml:space="preserve">          attribution notices from the Source form of the Work,</t>
  </si>
  <si>
    <t xml:space="preserve">          excluding those notices that do not pertain to any part of</t>
  </si>
  <si>
    <t xml:space="preserve">          the Derivative Works; and</t>
  </si>
  <si>
    <t xml:space="preserve">      (d) If the Work includes a "NOTICE" text file as part of its</t>
  </si>
  <si>
    <t xml:space="preserve">          distribution, then any Derivative Works that You distribute must</t>
  </si>
  <si>
    <t xml:space="preserve">          include a readable copy of the attribution notices contained</t>
  </si>
  <si>
    <t xml:space="preserve">          within such NOTICE file, excluding those notices that do not</t>
  </si>
  <si>
    <t xml:space="preserve">          pertain to any part of the Derivative Works, in at least one</t>
  </si>
  <si>
    <t xml:space="preserve">          of the following places: within a NOTICE text file distributed</t>
  </si>
  <si>
    <t xml:space="preserve">          as part of the Derivative Works; within the Source form or</t>
  </si>
  <si>
    <t xml:space="preserve">          documentation, if provided along with the Derivative Works; or,</t>
  </si>
  <si>
    <t xml:space="preserve">          within a display generated by the Derivative Works, if and</t>
  </si>
  <si>
    <t xml:space="preserve">          wherever such third-party notices normally appear. The contents</t>
  </si>
  <si>
    <t xml:space="preserve">          of the NOTICE file are for informational purposes only and</t>
  </si>
  <si>
    <t xml:space="preserve">          do not modify the License. You may add Your own attribution</t>
  </si>
  <si>
    <t xml:space="preserve">          notices within Derivative Works that You distribute, alongside</t>
  </si>
  <si>
    <t xml:space="preserve">          or as an addendum to the NOTICE text from the Work, provided</t>
  </si>
  <si>
    <t xml:space="preserve">          that such additional attribution notices cannot be construed</t>
  </si>
  <si>
    <t xml:space="preserve">          as modifying the License.</t>
  </si>
  <si>
    <t xml:space="preserve">      You may add Your own copyright statement to Your modifications and</t>
  </si>
  <si>
    <t xml:space="preserve">      may provide additional or different license terms and conditions</t>
  </si>
  <si>
    <t xml:space="preserve">      for use, reproduction, or distribution of Your modifications, or</t>
  </si>
  <si>
    <t xml:space="preserve">      for any such Derivative Works as a whole, provided Your use,</t>
  </si>
  <si>
    <t xml:space="preserve">      reproduction, and distribution of the Work otherwise complies with</t>
  </si>
  <si>
    <t xml:space="preserve">      the conditions stated in this License.</t>
  </si>
  <si>
    <t xml:space="preserve">   5. Submission of Contributions. Unless You explicitly state otherwise,</t>
  </si>
  <si>
    <t xml:space="preserve">      any Contribution intentionally submitted for inclusion in the Work</t>
  </si>
  <si>
    <t xml:space="preserve">      by You to the Licensor shall be under the terms and conditions of</t>
  </si>
  <si>
    <t xml:space="preserve">      this License, without any additional terms or conditions.</t>
  </si>
  <si>
    <t xml:space="preserve">      Notwithstanding the above, nothing herein shall supersede or modify</t>
  </si>
  <si>
    <t xml:space="preserve">      the terms of any separate license agreement you may have executed</t>
  </si>
  <si>
    <t xml:space="preserve">      with Licensor regarding such Contributions.</t>
  </si>
  <si>
    <t xml:space="preserve">   6. Trademarks. This License does not grant permission to use the trade</t>
  </si>
  <si>
    <t xml:space="preserve">      names, trademarks, service marks, or product names of the Licensor,</t>
  </si>
  <si>
    <t xml:space="preserve">      except as required for reasonable and customary use in describing the</t>
  </si>
  <si>
    <t xml:space="preserve">      origin of the Work and reproducing the content of the NOTICE file.</t>
  </si>
  <si>
    <t xml:space="preserve">   7. Disclaimer of Warranty. Unless required by applicable law or</t>
  </si>
  <si>
    <t xml:space="preserve">      agreed to in writing, Licensor provides the Work (and each</t>
  </si>
  <si>
    <t xml:space="preserve">      Contributor provides its Contributions) on an "AS IS" BASIS,</t>
  </si>
  <si>
    <t xml:space="preserve">      WITHOUT WARRANTIES OR CONDITIONS OF ANY KIND, either express or</t>
  </si>
  <si>
    <t xml:space="preserve">      implied, including, without limitation, any warranties or conditions</t>
  </si>
  <si>
    <t xml:space="preserve">      of TITLE, NON-INFRINGEMENT, MERCHANTABILITY, or FITNESS FOR A</t>
  </si>
  <si>
    <t xml:space="preserve">      PARTICULAR PURPOSE. You are solely responsible for determining the</t>
  </si>
  <si>
    <t xml:space="preserve">      appropriateness of using or redistributing the Work and assume any</t>
  </si>
  <si>
    <t xml:space="preserve">      risks associated with Your exercise of permissions under this License.</t>
  </si>
  <si>
    <t xml:space="preserve">   8. Limitation of Liability. In no event and under no legal theory,</t>
  </si>
  <si>
    <t xml:space="preserve">      whether in tort (including negligence), contract, or otherwise,</t>
  </si>
  <si>
    <t xml:space="preserve">      unless required by applicable law (such as deliberate and grossly</t>
  </si>
  <si>
    <t xml:space="preserve">      negligent acts) or agreed to in writing, shall any Contributor be</t>
  </si>
  <si>
    <t xml:space="preserve">      liable to You for damages, including any direct, indirect, special,</t>
  </si>
  <si>
    <t xml:space="preserve">      incidental, or consequential damages of any character arising as a</t>
  </si>
  <si>
    <t xml:space="preserve">      result of this License or out of the use or inability to use the</t>
  </si>
  <si>
    <t xml:space="preserve">      Work (including but not limited to damages for loss of goodwill,</t>
  </si>
  <si>
    <t xml:space="preserve">      work stoppage, computer failure or malfunction, or any and all</t>
  </si>
  <si>
    <t xml:space="preserve">      other commercial damages or losses), even if such Contributor</t>
  </si>
  <si>
    <t xml:space="preserve">      has been advised of the possibility of such damages.</t>
  </si>
  <si>
    <t xml:space="preserve">   9. Accepting Warranty or Additional Liability. While redistributing</t>
  </si>
  <si>
    <t xml:space="preserve">      the Work or Derivative Works thereof, You may choose to offer,</t>
  </si>
  <si>
    <t xml:space="preserve">      and charge a fee for, acceptance of support, warranty, indemnity,</t>
  </si>
  <si>
    <t xml:space="preserve">      or other liability obligations and/or rights consistent with this</t>
  </si>
  <si>
    <t xml:space="preserve">      License. However, in accepting such obligations, You may act only</t>
  </si>
  <si>
    <t xml:space="preserve">      on Your own behalf and on Your sole responsibility, not on behalf</t>
  </si>
  <si>
    <t xml:space="preserve">      of any other Contributor, and only if You agree to indemnify,</t>
  </si>
  <si>
    <t xml:space="preserve">      defend, and hold each Contributor harmless for any liability</t>
  </si>
  <si>
    <t xml:space="preserve">      incurred by, or claims asserted against, such Contributor by reason</t>
  </si>
  <si>
    <t xml:space="preserve">      of your accepting any such warranty or additional liability.</t>
  </si>
  <si>
    <t xml:space="preserve">   END OF TERMS AND CONDITIONS</t>
  </si>
  <si>
    <t xml:space="preserve">   APPENDIX: How to apply the Apache License to your work.</t>
  </si>
  <si>
    <t xml:space="preserve">      To apply the Apache License to your work, attach the following</t>
  </si>
  <si>
    <t xml:space="preserve">      boilerplate notice, with the fields enclosed by brackets "{}"</t>
  </si>
  <si>
    <t xml:space="preserve">      replaced with your own identifying information. (Don't include</t>
  </si>
  <si>
    <t xml:space="preserve">      the brackets!)  The text should be enclosed in the appropriate</t>
  </si>
  <si>
    <t xml:space="preserve">      comment syntax for the file format. We also recommend that a</t>
  </si>
  <si>
    <t xml:space="preserve">      file or class name and description of purpose be included on the</t>
  </si>
  <si>
    <t xml:space="preserve">      same "printed page" as the copyright notice for easier</t>
  </si>
  <si>
    <t xml:space="preserve">      identification within third-party archives.</t>
  </si>
  <si>
    <t xml:space="preserve">   Licensed under the Apache License, Version 2.0 (the "License");</t>
  </si>
  <si>
    <t xml:space="preserve">   you may not use this file except in compliance with the License.</t>
  </si>
  <si>
    <t xml:space="preserve">   You may obtain a copy of the License at</t>
  </si>
  <si>
    <t xml:space="preserve">       http://www.apache.org/licenses/LICENSE-2.0</t>
  </si>
  <si>
    <t xml:space="preserve">   Unless required by applicable law or agreed to in writing, software</t>
  </si>
  <si>
    <t xml:space="preserve">   distributed under the License is distributed on an "AS IS" BASIS,</t>
  </si>
  <si>
    <t xml:space="preserve">   WITHOUT WARRANTIES OR CONDITIONS OF ANY KIND, either express or implied.</t>
  </si>
  <si>
    <t xml:space="preserve">   See the License for the specific language governing permissions and</t>
  </si>
  <si>
    <t xml:space="preserve">   limitations under the License.</t>
  </si>
  <si>
    <t xml:space="preserve">   Copyright 2015 Shane Hayes and Octopus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</si>
</sst>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0.0"/>
    <numFmt numFmtId="165" formatCode="0.0000"/>
    <numFmt numFmtId="166" formatCode="0.0_);[Red]\(0.0\)"/>
    <numFmt numFmtId="167" formatCode="mm/dd/yy;@"/>
    <numFmt numFmtId="168" formatCode="m/d/yy;@"/>
    <numFmt numFmtId="169" formatCode="&quot;$&quot;#,##0"/>
  </numFmts>
  <fonts count="21">
    <font>
      <sz val="10"/>
      <name val="Arial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Arial"/>
    </font>
    <font>
      <sz val="10"/>
      <color indexed="10"/>
      <name val="Arial"/>
    </font>
    <font>
      <b/>
      <u/>
      <sz val="14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Palatino Linotype"/>
      <family val="2"/>
      <scheme val="minor"/>
    </font>
    <font>
      <sz val="12"/>
      <color rgb="FF9C0006"/>
      <name val="Palatino Linotype"/>
      <family val="2"/>
      <scheme val="minor"/>
    </font>
    <font>
      <sz val="10"/>
      <color indexed="206"/>
      <name val="Arial"/>
    </font>
    <font>
      <b/>
      <sz val="11"/>
      <name val="Arial"/>
    </font>
    <font>
      <b/>
      <sz val="11"/>
      <name val="GE Inspira Pitch"/>
    </font>
    <font>
      <sz val="9"/>
      <color indexed="81"/>
      <name val="Arial"/>
    </font>
    <font>
      <b/>
      <sz val="9"/>
      <color indexed="81"/>
      <name val="Arial"/>
    </font>
    <font>
      <sz val="8"/>
      <color rgb="FF5C5855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80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8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15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/>
    <xf numFmtId="1" fontId="2" fillId="0" borderId="1" xfId="0" applyNumberFormat="1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/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2" fontId="3" fillId="0" borderId="1" xfId="0" applyNumberFormat="1" applyFont="1" applyFill="1" applyBorder="1" applyAlignment="1" applyProtection="1">
      <alignment horizontal="center"/>
      <protection locked="0"/>
    </xf>
    <xf numFmtId="2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5" fontId="5" fillId="0" borderId="0" xfId="0" applyNumberFormat="1" applyFont="1" applyFill="1"/>
    <xf numFmtId="0" fontId="0" fillId="0" borderId="0" xfId="0" applyFill="1"/>
    <xf numFmtId="2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6" fontId="3" fillId="0" borderId="2" xfId="0" applyNumberFormat="1" applyFont="1" applyFill="1" applyBorder="1" applyAlignment="1">
      <alignment horizontal="center"/>
    </xf>
    <xf numFmtId="0" fontId="0" fillId="0" borderId="1" xfId="0" applyFill="1" applyBorder="1"/>
    <xf numFmtId="164" fontId="3" fillId="0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>
      <alignment horizontal="center"/>
    </xf>
    <xf numFmtId="166" fontId="3" fillId="0" borderId="2" xfId="0" quotePrefix="1" applyNumberFormat="1" applyFont="1" applyFill="1" applyBorder="1" applyAlignment="1">
      <alignment horizontal="left"/>
    </xf>
    <xf numFmtId="166" fontId="3" fillId="0" borderId="1" xfId="0" quotePrefix="1" applyNumberFormat="1" applyFont="1" applyFill="1" applyBorder="1" applyAlignment="1">
      <alignment horizontal="left"/>
    </xf>
    <xf numFmtId="0" fontId="0" fillId="0" borderId="3" xfId="0" applyFill="1" applyBorder="1"/>
    <xf numFmtId="166" fontId="3" fillId="0" borderId="5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2" xfId="0" applyFont="1" applyBorder="1"/>
    <xf numFmtId="0" fontId="1" fillId="0" borderId="1" xfId="0" applyFont="1" applyBorder="1" applyAlignment="1">
      <alignment horizontal="left"/>
    </xf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167" fontId="0" fillId="0" borderId="0" xfId="0" applyNumberFormat="1"/>
    <xf numFmtId="0" fontId="0" fillId="7" borderId="4" xfId="0" applyFill="1" applyBorder="1" applyAlignment="1">
      <alignment wrapText="1"/>
    </xf>
    <xf numFmtId="1" fontId="0" fillId="0" borderId="0" xfId="0" applyNumberFormat="1" applyFill="1" applyBorder="1"/>
    <xf numFmtId="0" fontId="7" fillId="0" borderId="0" xfId="0" applyFont="1"/>
    <xf numFmtId="1" fontId="9" fillId="2" borderId="4" xfId="0" applyNumberFormat="1" applyFont="1" applyFill="1" applyBorder="1"/>
    <xf numFmtId="164" fontId="0" fillId="2" borderId="4" xfId="0" applyNumberFormat="1" applyFill="1" applyBorder="1"/>
    <xf numFmtId="0" fontId="0" fillId="2" borderId="0" xfId="0" applyFill="1"/>
    <xf numFmtId="0" fontId="0" fillId="3" borderId="0" xfId="0" applyFill="1"/>
    <xf numFmtId="0" fontId="0" fillId="8" borderId="0" xfId="0" applyFill="1"/>
    <xf numFmtId="0" fontId="0" fillId="5" borderId="0" xfId="0" applyFill="1"/>
    <xf numFmtId="0" fontId="0" fillId="0" borderId="8" xfId="0" applyFill="1" applyBorder="1"/>
    <xf numFmtId="0" fontId="0" fillId="0" borderId="2" xfId="0" applyFill="1" applyBorder="1"/>
    <xf numFmtId="0" fontId="8" fillId="4" borderId="4" xfId="0" applyFont="1" applyFill="1" applyBorder="1"/>
    <xf numFmtId="0" fontId="8" fillId="5" borderId="4" xfId="0" applyFont="1" applyFill="1" applyBorder="1"/>
    <xf numFmtId="0" fontId="8" fillId="6" borderId="4" xfId="0" applyFont="1" applyFill="1" applyBorder="1"/>
    <xf numFmtId="0" fontId="0" fillId="9" borderId="0" xfId="0" applyFill="1" applyBorder="1"/>
    <xf numFmtId="169" fontId="0" fillId="0" borderId="0" xfId="0" applyNumberFormat="1" applyBorder="1"/>
    <xf numFmtId="169" fontId="5" fillId="0" borderId="0" xfId="0" applyNumberFormat="1" applyFont="1" applyBorder="1"/>
    <xf numFmtId="169" fontId="7" fillId="0" borderId="0" xfId="0" applyNumberFormat="1" applyFont="1" applyBorder="1"/>
    <xf numFmtId="169" fontId="0" fillId="0" borderId="0" xfId="0" applyNumberFormat="1" applyFont="1" applyBorder="1"/>
    <xf numFmtId="0" fontId="10" fillId="0" borderId="7" xfId="0" applyFont="1" applyBorder="1" applyAlignment="1">
      <alignment horizontal="center"/>
    </xf>
    <xf numFmtId="49" fontId="3" fillId="0" borderId="5" xfId="0" applyNumberFormat="1" applyFont="1" applyFill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9" fontId="0" fillId="0" borderId="0" xfId="152" applyFont="1"/>
    <xf numFmtId="0" fontId="0" fillId="10" borderId="4" xfId="0" applyFont="1" applyFill="1" applyBorder="1"/>
    <xf numFmtId="0" fontId="3" fillId="11" borderId="1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13" fillId="12" borderId="6" xfId="235" applyBorder="1"/>
    <xf numFmtId="0" fontId="13" fillId="12" borderId="1" xfId="235" applyBorder="1"/>
    <xf numFmtId="0" fontId="0" fillId="14" borderId="0" xfId="0" applyFill="1"/>
    <xf numFmtId="9" fontId="0" fillId="14" borderId="0" xfId="152" applyFont="1" applyFill="1"/>
    <xf numFmtId="164" fontId="2" fillId="14" borderId="1" xfId="0" applyNumberFormat="1" applyFont="1" applyFill="1" applyBorder="1" applyAlignment="1">
      <alignment horizontal="center" wrapText="1"/>
    </xf>
    <xf numFmtId="164" fontId="3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wrapText="1"/>
    </xf>
    <xf numFmtId="165" fontId="3" fillId="15" borderId="1" xfId="0" applyNumberFormat="1" applyFont="1" applyFill="1" applyBorder="1" applyAlignment="1">
      <alignment horizontal="center"/>
    </xf>
    <xf numFmtId="0" fontId="0" fillId="15" borderId="1" xfId="0" applyFill="1" applyBorder="1"/>
    <xf numFmtId="1" fontId="14" fillId="13" borderId="1" xfId="236" applyNumberFormat="1" applyBorder="1" applyAlignment="1">
      <alignment horizontal="center"/>
    </xf>
    <xf numFmtId="164" fontId="14" fillId="13" borderId="1" xfId="236" applyNumberFormat="1" applyBorder="1" applyAlignment="1">
      <alignment horizontal="center"/>
    </xf>
    <xf numFmtId="0" fontId="0" fillId="0" borderId="4" xfId="0" applyBorder="1"/>
    <xf numFmtId="0" fontId="1" fillId="9" borderId="11" xfId="0" applyFont="1" applyFill="1" applyBorder="1"/>
    <xf numFmtId="0" fontId="1" fillId="9" borderId="12" xfId="0" applyFont="1" applyFill="1" applyBorder="1"/>
    <xf numFmtId="0" fontId="10" fillId="0" borderId="0" xfId="0" applyFont="1"/>
    <xf numFmtId="9" fontId="0" fillId="0" borderId="4" xfId="152" applyFont="1" applyBorder="1"/>
    <xf numFmtId="1" fontId="0" fillId="0" borderId="4" xfId="151" applyNumberFormat="1" applyFont="1" applyBorder="1"/>
    <xf numFmtId="0" fontId="16" fillId="9" borderId="11" xfId="0" applyFont="1" applyFill="1" applyBorder="1" applyAlignment="1">
      <alignment wrapText="1"/>
    </xf>
    <xf numFmtId="0" fontId="16" fillId="9" borderId="12" xfId="0" applyFont="1" applyFill="1" applyBorder="1" applyAlignment="1">
      <alignment wrapText="1"/>
    </xf>
    <xf numFmtId="0" fontId="16" fillId="9" borderId="13" xfId="0" applyFont="1" applyFill="1" applyBorder="1" applyAlignment="1">
      <alignment wrapText="1"/>
    </xf>
    <xf numFmtId="14" fontId="0" fillId="0" borderId="0" xfId="0" applyNumberFormat="1" applyBorder="1"/>
    <xf numFmtId="9" fontId="0" fillId="0" borderId="0" xfId="152" applyFont="1" applyBorder="1"/>
    <xf numFmtId="0" fontId="1" fillId="16" borderId="0" xfId="0" applyFont="1" applyFill="1" applyBorder="1"/>
    <xf numFmtId="0" fontId="4" fillId="9" borderId="13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0" fillId="17" borderId="23" xfId="0" applyFill="1" applyBorder="1"/>
    <xf numFmtId="0" fontId="0" fillId="17" borderId="10" xfId="0" applyFill="1" applyBorder="1"/>
    <xf numFmtId="0" fontId="0" fillId="17" borderId="24" xfId="0" applyFill="1" applyBorder="1"/>
    <xf numFmtId="0" fontId="0" fillId="17" borderId="20" xfId="0" applyFill="1" applyBorder="1"/>
    <xf numFmtId="0" fontId="0" fillId="17" borderId="4" xfId="0" applyFill="1" applyBorder="1"/>
    <xf numFmtId="0" fontId="0" fillId="17" borderId="15" xfId="0" applyFill="1" applyBorder="1"/>
    <xf numFmtId="0" fontId="0" fillId="17" borderId="21" xfId="0" applyFill="1" applyBorder="1"/>
    <xf numFmtId="0" fontId="0" fillId="17" borderId="17" xfId="0" applyFill="1" applyBorder="1"/>
    <xf numFmtId="0" fontId="0" fillId="17" borderId="18" xfId="0" applyFill="1" applyBorder="1"/>
    <xf numFmtId="0" fontId="15" fillId="17" borderId="24" xfId="0" applyFont="1" applyFill="1" applyBorder="1"/>
    <xf numFmtId="0" fontId="15" fillId="17" borderId="25" xfId="0" applyFont="1" applyFill="1" applyBorder="1"/>
    <xf numFmtId="0" fontId="0" fillId="11" borderId="22" xfId="0" applyFill="1" applyBorder="1"/>
    <xf numFmtId="0" fontId="0" fillId="11" borderId="10" xfId="0" applyFill="1" applyBorder="1"/>
    <xf numFmtId="14" fontId="0" fillId="11" borderId="10" xfId="0" applyNumberFormat="1" applyFill="1" applyBorder="1"/>
    <xf numFmtId="0" fontId="0" fillId="11" borderId="14" xfId="0" applyFill="1" applyBorder="1"/>
    <xf numFmtId="0" fontId="0" fillId="11" borderId="4" xfId="0" applyFill="1" applyBorder="1"/>
    <xf numFmtId="14" fontId="0" fillId="11" borderId="4" xfId="0" applyNumberFormat="1" applyFill="1" applyBorder="1"/>
    <xf numFmtId="0" fontId="0" fillId="11" borderId="16" xfId="0" applyFill="1" applyBorder="1"/>
    <xf numFmtId="0" fontId="0" fillId="11" borderId="17" xfId="0" applyFill="1" applyBorder="1"/>
    <xf numFmtId="14" fontId="0" fillId="11" borderId="17" xfId="0" applyNumberFormat="1" applyFill="1" applyBorder="1"/>
    <xf numFmtId="9" fontId="0" fillId="11" borderId="10" xfId="152" applyFont="1" applyFill="1" applyBorder="1"/>
    <xf numFmtId="9" fontId="0" fillId="11" borderId="4" xfId="152" applyFont="1" applyFill="1" applyBorder="1"/>
    <xf numFmtId="9" fontId="0" fillId="11" borderId="17" xfId="152" applyFont="1" applyFill="1" applyBorder="1"/>
    <xf numFmtId="14" fontId="0" fillId="11" borderId="22" xfId="0" applyNumberFormat="1" applyFill="1" applyBorder="1"/>
    <xf numFmtId="14" fontId="0" fillId="11" borderId="14" xfId="0" applyNumberFormat="1" applyFill="1" applyBorder="1"/>
    <xf numFmtId="14" fontId="0" fillId="11" borderId="16" xfId="0" applyNumberFormat="1" applyFill="1" applyBorder="1"/>
    <xf numFmtId="0" fontId="17" fillId="11" borderId="22" xfId="0" applyFont="1" applyFill="1" applyBorder="1" applyAlignment="1">
      <alignment vertical="center" wrapText="1"/>
    </xf>
    <xf numFmtId="0" fontId="17" fillId="11" borderId="14" xfId="0" applyFont="1" applyFill="1" applyBorder="1" applyAlignment="1">
      <alignment vertical="center" wrapText="1"/>
    </xf>
    <xf numFmtId="0" fontId="17" fillId="11" borderId="16" xfId="0" applyFont="1" applyFill="1" applyBorder="1" applyAlignment="1">
      <alignment vertical="center" wrapText="1"/>
    </xf>
    <xf numFmtId="0" fontId="0" fillId="11" borderId="4" xfId="0" applyFont="1" applyFill="1" applyBorder="1"/>
    <xf numFmtId="1" fontId="2" fillId="0" borderId="0" xfId="0" applyNumberFormat="1" applyFont="1" applyFill="1" applyBorder="1" applyAlignment="1">
      <alignment horizontal="center" wrapText="1"/>
    </xf>
    <xf numFmtId="0" fontId="5" fillId="0" borderId="0" xfId="0" applyFont="1" applyBorder="1"/>
    <xf numFmtId="0" fontId="7" fillId="0" borderId="0" xfId="0" applyFont="1" applyBorder="1"/>
    <xf numFmtId="169" fontId="1" fillId="0" borderId="0" xfId="0" applyNumberFormat="1" applyFont="1" applyBorder="1"/>
    <xf numFmtId="0" fontId="0" fillId="17" borderId="4" xfId="0" applyFont="1" applyFill="1" applyBorder="1"/>
    <xf numFmtId="0" fontId="2" fillId="17" borderId="1" xfId="0" applyFont="1" applyFill="1" applyBorder="1" applyAlignment="1">
      <alignment horizontal="center" wrapText="1"/>
    </xf>
    <xf numFmtId="0" fontId="3" fillId="17" borderId="1" xfId="0" applyFont="1" applyFill="1" applyBorder="1" applyAlignment="1">
      <alignment horizontal="center"/>
    </xf>
    <xf numFmtId="168" fontId="3" fillId="17" borderId="1" xfId="0" applyNumberFormat="1" applyFont="1" applyFill="1" applyBorder="1" applyAlignment="1">
      <alignment horizontal="center"/>
    </xf>
    <xf numFmtId="2" fontId="3" fillId="17" borderId="1" xfId="0" applyNumberFormat="1" applyFont="1" applyFill="1" applyBorder="1" applyAlignment="1" applyProtection="1">
      <alignment horizontal="center"/>
      <protection locked="0"/>
    </xf>
    <xf numFmtId="2" fontId="3" fillId="17" borderId="1" xfId="0" applyNumberFormat="1" applyFont="1" applyFill="1" applyBorder="1" applyAlignment="1" applyProtection="1">
      <alignment horizontal="center"/>
    </xf>
    <xf numFmtId="2" fontId="3" fillId="17" borderId="2" xfId="0" applyNumberFormat="1" applyFont="1" applyFill="1" applyBorder="1" applyAlignment="1" applyProtection="1">
      <alignment horizontal="center"/>
      <protection locked="0"/>
    </xf>
    <xf numFmtId="2" fontId="3" fillId="17" borderId="2" xfId="0" applyNumberFormat="1" applyFont="1" applyFill="1" applyBorder="1" applyAlignment="1" applyProtection="1">
      <alignment horizontal="center"/>
    </xf>
    <xf numFmtId="2" fontId="3" fillId="17" borderId="5" xfId="0" applyNumberFormat="1" applyFont="1" applyFill="1" applyBorder="1" applyAlignment="1" applyProtection="1">
      <alignment horizontal="center"/>
      <protection locked="0"/>
    </xf>
    <xf numFmtId="2" fontId="3" fillId="17" borderId="3" xfId="0" applyNumberFormat="1" applyFont="1" applyFill="1" applyBorder="1" applyAlignment="1" applyProtection="1">
      <alignment horizontal="center"/>
    </xf>
    <xf numFmtId="1" fontId="2" fillId="17" borderId="1" xfId="0" applyNumberFormat="1" applyFont="1" applyFill="1" applyBorder="1" applyAlignment="1">
      <alignment horizontal="center" wrapText="1"/>
    </xf>
    <xf numFmtId="164" fontId="3" fillId="17" borderId="1" xfId="0" applyNumberFormat="1" applyFont="1" applyFill="1" applyBorder="1" applyAlignment="1">
      <alignment horizontal="center"/>
    </xf>
    <xf numFmtId="164" fontId="2" fillId="17" borderId="1" xfId="0" applyNumberFormat="1" applyFont="1" applyFill="1" applyBorder="1" applyAlignment="1">
      <alignment horizontal="center" wrapText="1"/>
    </xf>
    <xf numFmtId="1" fontId="3" fillId="17" borderId="1" xfId="0" applyNumberFormat="1" applyFont="1" applyFill="1" applyBorder="1" applyAlignment="1">
      <alignment horizontal="center"/>
    </xf>
    <xf numFmtId="164" fontId="3" fillId="17" borderId="3" xfId="0" applyNumberFormat="1" applyFont="1" applyFill="1" applyBorder="1" applyAlignment="1">
      <alignment horizontal="center"/>
    </xf>
    <xf numFmtId="164" fontId="3" fillId="17" borderId="2" xfId="0" applyNumberFormat="1" applyFont="1" applyFill="1" applyBorder="1" applyAlignment="1">
      <alignment horizontal="center"/>
    </xf>
    <xf numFmtId="166" fontId="3" fillId="17" borderId="1" xfId="0" applyNumberFormat="1" applyFont="1" applyFill="1" applyBorder="1" applyAlignment="1">
      <alignment horizontal="center"/>
    </xf>
    <xf numFmtId="166" fontId="3" fillId="17" borderId="2" xfId="0" applyNumberFormat="1" applyFont="1" applyFill="1" applyBorder="1" applyAlignment="1">
      <alignment horizontal="center"/>
    </xf>
    <xf numFmtId="166" fontId="3" fillId="17" borderId="5" xfId="0" applyNumberFormat="1" applyFont="1" applyFill="1" applyBorder="1" applyAlignment="1">
      <alignment horizontal="center"/>
    </xf>
    <xf numFmtId="1" fontId="2" fillId="18" borderId="1" xfId="0" applyNumberFormat="1" applyFont="1" applyFill="1" applyBorder="1" applyAlignment="1">
      <alignment horizontal="center" wrapText="1"/>
    </xf>
    <xf numFmtId="1" fontId="3" fillId="18" borderId="1" xfId="0" applyNumberFormat="1" applyFont="1" applyFill="1" applyBorder="1" applyAlignment="1">
      <alignment horizontal="center"/>
    </xf>
    <xf numFmtId="1" fontId="3" fillId="18" borderId="2" xfId="0" applyNumberFormat="1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0" borderId="0" xfId="0" quotePrefix="1"/>
    <xf numFmtId="0" fontId="0" fillId="11" borderId="15" xfId="0" applyFill="1" applyBorder="1"/>
    <xf numFmtId="0" fontId="0" fillId="11" borderId="18" xfId="0" applyFill="1" applyBorder="1"/>
    <xf numFmtId="0" fontId="0" fillId="11" borderId="24" xfId="0" applyFill="1" applyBorder="1"/>
    <xf numFmtId="0" fontId="1" fillId="9" borderId="7" xfId="0" applyFont="1" applyFill="1" applyBorder="1"/>
    <xf numFmtId="165" fontId="5" fillId="18" borderId="0" xfId="0" applyNumberFormat="1" applyFont="1" applyFill="1"/>
    <xf numFmtId="165" fontId="5" fillId="17" borderId="0" xfId="0" applyNumberFormat="1" applyFont="1" applyFill="1"/>
    <xf numFmtId="164" fontId="2" fillId="14" borderId="1" xfId="0" applyNumberFormat="1" applyFont="1" applyFill="1" applyBorder="1" applyAlignment="1">
      <alignment horizontal="center"/>
    </xf>
    <xf numFmtId="2" fontId="3" fillId="11" borderId="1" xfId="0" applyNumberFormat="1" applyFont="1" applyFill="1" applyBorder="1" applyAlignment="1" applyProtection="1">
      <alignment horizontal="center"/>
      <protection locked="0"/>
    </xf>
    <xf numFmtId="2" fontId="3" fillId="11" borderId="1" xfId="0" applyNumberFormat="1" applyFont="1" applyFill="1" applyBorder="1" applyAlignment="1" applyProtection="1">
      <alignment horizontal="center"/>
    </xf>
    <xf numFmtId="0" fontId="2" fillId="11" borderId="1" xfId="0" applyFont="1" applyFill="1" applyBorder="1" applyAlignment="1">
      <alignment horizontal="center" wrapText="1"/>
    </xf>
    <xf numFmtId="0" fontId="8" fillId="11" borderId="4" xfId="0" applyFont="1" applyFill="1" applyBorder="1"/>
    <xf numFmtId="0" fontId="0" fillId="19" borderId="4" xfId="0" applyFill="1" applyBorder="1"/>
    <xf numFmtId="0" fontId="0" fillId="0" borderId="4" xfId="0" applyFill="1" applyBorder="1" applyAlignment="1">
      <alignment horizontal="right"/>
    </xf>
    <xf numFmtId="167" fontId="0" fillId="19" borderId="4" xfId="0" applyNumberFormat="1" applyFill="1" applyBorder="1"/>
    <xf numFmtId="2" fontId="0" fillId="19" borderId="4" xfId="0" applyNumberFormat="1" applyFill="1" applyBorder="1"/>
    <xf numFmtId="1" fontId="0" fillId="19" borderId="4" xfId="0" applyNumberFormat="1" applyFill="1" applyBorder="1"/>
    <xf numFmtId="0" fontId="0" fillId="20" borderId="4" xfId="0" applyFill="1" applyBorder="1"/>
    <xf numFmtId="9" fontId="0" fillId="19" borderId="4" xfId="0" applyNumberFormat="1" applyFill="1" applyBorder="1"/>
    <xf numFmtId="0" fontId="20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0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11" borderId="4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21" xfId="0" applyFill="1" applyBorder="1" applyAlignment="1">
      <alignment horizontal="center"/>
    </xf>
  </cellXfs>
  <cellStyles count="803">
    <cellStyle name="Bad" xfId="236" builtinId="27"/>
    <cellStyle name="Currency" xfId="151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Good" xfId="23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Normal" xfId="0" builtinId="0"/>
    <cellStyle name="Percent" xfId="152" builtinId="5"/>
  </cellStyles>
  <dxfs count="20">
    <dxf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9CCFF"/>
        </patternFill>
      </fill>
    </dxf>
    <dxf>
      <fill>
        <patternFill>
          <bgColor theme="7" tint="0.39994506668294322"/>
        </patternFill>
      </fill>
    </dxf>
    <dxf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9CCFF"/>
        </patternFill>
      </fill>
    </dxf>
    <dxf>
      <fill>
        <patternFill>
          <bgColor theme="7" tint="0.39994506668294322"/>
        </patternFill>
      </fill>
    </dxf>
    <dxf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9CCFF"/>
        </patternFill>
      </fill>
    </dxf>
    <dxf>
      <fill>
        <patternFill>
          <bgColor theme="7" tint="0.39994506668294322"/>
        </patternFill>
      </fill>
    </dxf>
    <dxf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9CCFF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effectLst/>
              </a:rPr>
              <a:t>Web Team 1 </a:t>
            </a:r>
            <a:r>
              <a:rPr lang="en-US" sz="1800" baseline="0"/>
              <a:t>Release 0.8 Burnup Chart</a:t>
            </a:r>
            <a:endParaRPr lang="en-US" sz="1800"/>
          </a:p>
        </c:rich>
      </c:tx>
      <c:layout>
        <c:manualLayout>
          <c:xMode val="edge"/>
          <c:yMode val="edge"/>
          <c:x val="0.30625012662890799"/>
          <c:y val="3.25813927514380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22004930747"/>
          <c:y val="0.17543902588264099"/>
          <c:w val="0.70048758328285898"/>
          <c:h val="0.52839445744957603"/>
        </c:manualLayout>
      </c:layout>
      <c:barChart>
        <c:barDir val="col"/>
        <c:grouping val="clustered"/>
        <c:varyColors val="0"/>
        <c:ser>
          <c:idx val="3"/>
          <c:order val="2"/>
          <c:tx>
            <c:v>Added Stories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WebTeam1!$B$3:$B$37</c:f>
              <c:numCache>
                <c:formatCode>m/d/yy;@</c:formatCode>
                <c:ptCount val="9"/>
                <c:pt idx="0">
                  <c:v>41949</c:v>
                </c:pt>
                <c:pt idx="1">
                  <c:v>41963</c:v>
                </c:pt>
                <c:pt idx="2">
                  <c:v>41977</c:v>
                </c:pt>
                <c:pt idx="3">
                  <c:v>41991</c:v>
                </c:pt>
                <c:pt idx="4">
                  <c:v>42005</c:v>
                </c:pt>
                <c:pt idx="5">
                  <c:v>42019</c:v>
                </c:pt>
                <c:pt idx="6">
                  <c:v>42033</c:v>
                </c:pt>
                <c:pt idx="7">
                  <c:v>42047</c:v>
                </c:pt>
                <c:pt idx="8">
                  <c:v>42061</c:v>
                </c:pt>
              </c:numCache>
            </c:numRef>
          </c:cat>
          <c:val>
            <c:numRef>
              <c:f>WebTeam1!$L$3:$L$37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3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72217816"/>
        <c:axId val="372218600"/>
      </c:barChart>
      <c:lineChart>
        <c:grouping val="standard"/>
        <c:varyColors val="0"/>
        <c:ser>
          <c:idx val="1"/>
          <c:order val="0"/>
          <c:tx>
            <c:v>Planned Progress (Burn-up)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pattFill prst="ltDnDiag">
                <a:fgClr>
                  <a:srgbClr val="993366"/>
                </a:fgClr>
                <a:bgClr>
                  <a:srgbClr val="FFFFFF"/>
                </a:bgClr>
              </a:pattFill>
              <a:ln>
                <a:solidFill>
                  <a:srgbClr val="F20884"/>
                </a:solidFill>
                <a:prstDash val="solid"/>
              </a:ln>
            </c:spPr>
          </c:marker>
          <c:cat>
            <c:multiLvlStrRef>
              <c:f>WebTeam1!$A$3:$B$37</c:f>
              <c:multiLvlStrCache>
                <c:ptCount val="9"/>
                <c:lvl>
                  <c:pt idx="0">
                    <c:v>11/6/14</c:v>
                  </c:pt>
                  <c:pt idx="1">
                    <c:v>11/20/14</c:v>
                  </c:pt>
                  <c:pt idx="2">
                    <c:v>12/4/14</c:v>
                  </c:pt>
                  <c:pt idx="3">
                    <c:v>12/18/14</c:v>
                  </c:pt>
                  <c:pt idx="4">
                    <c:v>1/1/15</c:v>
                  </c:pt>
                  <c:pt idx="5">
                    <c:v>1/15/15</c:v>
                  </c:pt>
                  <c:pt idx="6">
                    <c:v>1/29/15</c:v>
                  </c:pt>
                  <c:pt idx="7">
                    <c:v>2/12/15</c:v>
                  </c:pt>
                  <c:pt idx="8">
                    <c:v>2/26/15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WebTeam1!$R$3:$R$37</c:f>
              <c:numCache>
                <c:formatCode>0.0</c:formatCode>
                <c:ptCount val="9"/>
                <c:pt idx="0">
                  <c:v>38</c:v>
                </c:pt>
                <c:pt idx="1">
                  <c:v>78</c:v>
                </c:pt>
                <c:pt idx="2">
                  <c:v>128</c:v>
                </c:pt>
                <c:pt idx="3">
                  <c:v>168</c:v>
                </c:pt>
                <c:pt idx="4">
                  <c:v>213</c:v>
                </c:pt>
                <c:pt idx="5">
                  <c:v>261</c:v>
                </c:pt>
                <c:pt idx="6">
                  <c:v>293</c:v>
                </c:pt>
                <c:pt idx="7">
                  <c:v>341</c:v>
                </c:pt>
                <c:pt idx="8">
                  <c:v>353</c:v>
                </c:pt>
              </c:numCache>
            </c:numRef>
          </c:val>
          <c:smooth val="0"/>
        </c:ser>
        <c:ser>
          <c:idx val="6"/>
          <c:order val="1"/>
          <c:tx>
            <c:v>Actual Progress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x"/>
            <c:size val="5"/>
          </c:marker>
          <c:cat>
            <c:multiLvlStrRef>
              <c:f>WebTeam1!$A$3:$B$37</c:f>
              <c:multiLvlStrCache>
                <c:ptCount val="9"/>
                <c:lvl>
                  <c:pt idx="0">
                    <c:v>11/6/14</c:v>
                  </c:pt>
                  <c:pt idx="1">
                    <c:v>11/20/14</c:v>
                  </c:pt>
                  <c:pt idx="2">
                    <c:v>12/4/14</c:v>
                  </c:pt>
                  <c:pt idx="3">
                    <c:v>12/18/14</c:v>
                  </c:pt>
                  <c:pt idx="4">
                    <c:v>1/1/15</c:v>
                  </c:pt>
                  <c:pt idx="5">
                    <c:v>1/15/15</c:v>
                  </c:pt>
                  <c:pt idx="6">
                    <c:v>1/29/15</c:v>
                  </c:pt>
                  <c:pt idx="7">
                    <c:v>2/12/15</c:v>
                  </c:pt>
                  <c:pt idx="8">
                    <c:v>2/26/15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WebTeam1!$K$3:$K$37</c:f>
              <c:numCache>
                <c:formatCode>0.0</c:formatCode>
                <c:ptCount val="9"/>
                <c:pt idx="0">
                  <c:v>6</c:v>
                </c:pt>
                <c:pt idx="1">
                  <c:v>36</c:v>
                </c:pt>
                <c:pt idx="2">
                  <c:v>84</c:v>
                </c:pt>
                <c:pt idx="3">
                  <c:v>96</c:v>
                </c:pt>
                <c:pt idx="4">
                  <c:v>149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WebTeam1!$AA$2</c:f>
              <c:strCache>
                <c:ptCount val="1"/>
                <c:pt idx="0">
                  <c:v>Original Backlog</c:v>
                </c:pt>
              </c:strCache>
            </c:strRef>
          </c:tx>
          <c:spPr>
            <a:ln w="12700">
              <a:solidFill>
                <a:srgbClr val="4600A5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4600A5"/>
                </a:solidFill>
                <a:prstDash val="solid"/>
              </a:ln>
            </c:spPr>
          </c:marker>
          <c:cat>
            <c:multiLvlStrRef>
              <c:f>WebTeam1!$A$3:$B$37</c:f>
              <c:multiLvlStrCache>
                <c:ptCount val="9"/>
                <c:lvl>
                  <c:pt idx="0">
                    <c:v>11/6/14</c:v>
                  </c:pt>
                  <c:pt idx="1">
                    <c:v>11/20/14</c:v>
                  </c:pt>
                  <c:pt idx="2">
                    <c:v>12/4/14</c:v>
                  </c:pt>
                  <c:pt idx="3">
                    <c:v>12/18/14</c:v>
                  </c:pt>
                  <c:pt idx="4">
                    <c:v>1/1/15</c:v>
                  </c:pt>
                  <c:pt idx="5">
                    <c:v>1/15/15</c:v>
                  </c:pt>
                  <c:pt idx="6">
                    <c:v>1/29/15</c:v>
                  </c:pt>
                  <c:pt idx="7">
                    <c:v>2/12/15</c:v>
                  </c:pt>
                  <c:pt idx="8">
                    <c:v>2/26/15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WebTeam1!$AA$3:$AA$37</c:f>
              <c:numCache>
                <c:formatCode>0.0</c:formatCode>
                <c:ptCount val="9"/>
                <c:pt idx="0">
                  <c:v>348.19092000000001</c:v>
                </c:pt>
                <c:pt idx="1">
                  <c:v>348.19092000000001</c:v>
                </c:pt>
                <c:pt idx="2">
                  <c:v>348.19092000000001</c:v>
                </c:pt>
                <c:pt idx="3">
                  <c:v>348.19092000000001</c:v>
                </c:pt>
                <c:pt idx="4">
                  <c:v>348.19092000000001</c:v>
                </c:pt>
                <c:pt idx="5">
                  <c:v>348.19092000000001</c:v>
                </c:pt>
                <c:pt idx="6">
                  <c:v>348.19092000000001</c:v>
                </c:pt>
                <c:pt idx="7">
                  <c:v>348.19092000000001</c:v>
                </c:pt>
                <c:pt idx="8">
                  <c:v>348.19092000000001</c:v>
                </c:pt>
              </c:numCache>
            </c:numRef>
          </c:val>
          <c:smooth val="0"/>
        </c:ser>
        <c:ser>
          <c:idx val="5"/>
          <c:order val="4"/>
          <c:tx>
            <c:v>New Backlog</c:v>
          </c:tx>
          <c:spPr>
            <a:ln w="12700">
              <a:solidFill>
                <a:srgbClr val="9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00000"/>
              </a:solidFill>
              <a:ln>
                <a:solidFill>
                  <a:srgbClr val="900000"/>
                </a:solidFill>
                <a:prstDash val="solid"/>
              </a:ln>
            </c:spPr>
          </c:marker>
          <c:cat>
            <c:multiLvlStrRef>
              <c:f>WebTeam1!$A$3:$B$37</c:f>
              <c:multiLvlStrCache>
                <c:ptCount val="9"/>
                <c:lvl>
                  <c:pt idx="0">
                    <c:v>11/6/14</c:v>
                  </c:pt>
                  <c:pt idx="1">
                    <c:v>11/20/14</c:v>
                  </c:pt>
                  <c:pt idx="2">
                    <c:v>12/4/14</c:v>
                  </c:pt>
                  <c:pt idx="3">
                    <c:v>12/18/14</c:v>
                  </c:pt>
                  <c:pt idx="4">
                    <c:v>1/1/15</c:v>
                  </c:pt>
                  <c:pt idx="5">
                    <c:v>1/15/15</c:v>
                  </c:pt>
                  <c:pt idx="6">
                    <c:v>1/29/15</c:v>
                  </c:pt>
                  <c:pt idx="7">
                    <c:v>2/12/15</c:v>
                  </c:pt>
                  <c:pt idx="8">
                    <c:v>2/26/15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WebTeam1!$AB$3:$AB$37</c:f>
              <c:numCache>
                <c:formatCode>0.0</c:formatCode>
                <c:ptCount val="9"/>
                <c:pt idx="0">
                  <c:v>353.19092000000001</c:v>
                </c:pt>
                <c:pt idx="1">
                  <c:v>363.19092000000001</c:v>
                </c:pt>
                <c:pt idx="2">
                  <c:v>363.19092000000001</c:v>
                </c:pt>
                <c:pt idx="3">
                  <c:v>378.19092000000001</c:v>
                </c:pt>
                <c:pt idx="4">
                  <c:v>378.19092000000001</c:v>
                </c:pt>
                <c:pt idx="5">
                  <c:v>378.19092000000001</c:v>
                </c:pt>
                <c:pt idx="6">
                  <c:v>378.19092000000001</c:v>
                </c:pt>
                <c:pt idx="7">
                  <c:v>378.19092000000001</c:v>
                </c:pt>
                <c:pt idx="8">
                  <c:v>378.19092000000001</c:v>
                </c:pt>
              </c:numCache>
            </c:numRef>
          </c:val>
          <c:smooth val="0"/>
        </c:ser>
        <c:ser>
          <c:idx val="0"/>
          <c:order val="5"/>
          <c:tx>
            <c:v>Future Outlook</c:v>
          </c:tx>
          <c:spPr>
            <a:ln>
              <a:solidFill>
                <a:srgbClr val="008000"/>
              </a:solidFill>
            </a:ln>
          </c:spPr>
          <c:marker>
            <c:spPr>
              <a:noFill/>
              <a:ln>
                <a:noFill/>
              </a:ln>
            </c:spPr>
          </c:marker>
          <c:cat>
            <c:multiLvlStrRef>
              <c:f>WebTeam1!$A$3:$B$37</c:f>
              <c:multiLvlStrCache>
                <c:ptCount val="9"/>
                <c:lvl>
                  <c:pt idx="0">
                    <c:v>11/6/14</c:v>
                  </c:pt>
                  <c:pt idx="1">
                    <c:v>11/20/14</c:v>
                  </c:pt>
                  <c:pt idx="2">
                    <c:v>12/4/14</c:v>
                  </c:pt>
                  <c:pt idx="3">
                    <c:v>12/18/14</c:v>
                  </c:pt>
                  <c:pt idx="4">
                    <c:v>1/1/15</c:v>
                  </c:pt>
                  <c:pt idx="5">
                    <c:v>1/15/15</c:v>
                  </c:pt>
                  <c:pt idx="6">
                    <c:v>1/29/15</c:v>
                  </c:pt>
                  <c:pt idx="7">
                    <c:v>2/12/15</c:v>
                  </c:pt>
                  <c:pt idx="8">
                    <c:v>2/26/15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WebTeam1!$S$3:$S$37</c:f>
              <c:numCache>
                <c:formatCode>0.0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149</c:v>
                </c:pt>
                <c:pt idx="5">
                  <c:v>188.1104</c:v>
                </c:pt>
                <c:pt idx="6">
                  <c:v>227.2208</c:v>
                </c:pt>
                <c:pt idx="7">
                  <c:v>266.33120000000002</c:v>
                </c:pt>
                <c:pt idx="8">
                  <c:v>301.40960000000001</c:v>
                </c:pt>
              </c:numCache>
            </c:numRef>
          </c:val>
          <c:smooth val="0"/>
        </c:ser>
        <c:ser>
          <c:idx val="2"/>
          <c:order val="6"/>
          <c:tx>
            <c:strRef>
              <c:f>WebTeam1!$T$2</c:f>
              <c:strCache>
                <c:ptCount val="1"/>
                <c:pt idx="0">
                  <c:v>Pessimistic Future Outlook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x"/>
            <c:size val="7"/>
            <c:spPr>
              <a:ln>
                <a:noFill/>
              </a:ln>
            </c:spPr>
          </c:marker>
          <c:cat>
            <c:multiLvlStrRef>
              <c:f>WebTeam1!$A$3:$B$37</c:f>
              <c:multiLvlStrCache>
                <c:ptCount val="9"/>
                <c:lvl>
                  <c:pt idx="0">
                    <c:v>11/6/14</c:v>
                  </c:pt>
                  <c:pt idx="1">
                    <c:v>11/20/14</c:v>
                  </c:pt>
                  <c:pt idx="2">
                    <c:v>12/4/14</c:v>
                  </c:pt>
                  <c:pt idx="3">
                    <c:v>12/18/14</c:v>
                  </c:pt>
                  <c:pt idx="4">
                    <c:v>1/1/15</c:v>
                  </c:pt>
                  <c:pt idx="5">
                    <c:v>1/15/15</c:v>
                  </c:pt>
                  <c:pt idx="6">
                    <c:v>1/29/15</c:v>
                  </c:pt>
                  <c:pt idx="7">
                    <c:v>2/12/15</c:v>
                  </c:pt>
                  <c:pt idx="8">
                    <c:v>2/26/15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WebTeam1!$T$3:$T$37</c:f>
              <c:numCache>
                <c:formatCode>0.0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149</c:v>
                </c:pt>
                <c:pt idx="5">
                  <c:v>159.89383999999998</c:v>
                </c:pt>
                <c:pt idx="6">
                  <c:v>193.13767999999999</c:v>
                </c:pt>
                <c:pt idx="7">
                  <c:v>226.38152000000002</c:v>
                </c:pt>
                <c:pt idx="8">
                  <c:v>256.19816000000003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217816"/>
        <c:axId val="372218600"/>
      </c:lineChart>
      <c:catAx>
        <c:axId val="372217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Sprints</a:t>
                </a:r>
              </a:p>
            </c:rich>
          </c:tx>
          <c:layout>
            <c:manualLayout>
              <c:xMode val="edge"/>
              <c:yMode val="edge"/>
              <c:x val="0.461328677198932"/>
              <c:y val="0.9032512827788420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2218600"/>
        <c:crosses val="autoZero"/>
        <c:auto val="0"/>
        <c:lblAlgn val="ctr"/>
        <c:lblOffset val="50"/>
        <c:tickLblSkip val="1"/>
        <c:tickMarkSkip val="1"/>
        <c:noMultiLvlLbl val="0"/>
      </c:catAx>
      <c:valAx>
        <c:axId val="372218600"/>
        <c:scaling>
          <c:orientation val="minMax"/>
          <c:max val="6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2217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498536240662202"/>
          <c:y val="0.195035460992908"/>
          <c:w val="0.153708606546133"/>
          <c:h val="0.500478304573629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lgDash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>
      <c:oddHeader>&amp;A</c:oddHeader>
      <c:oddFooter>Page &amp;P</c:oddFooter>
    </c:headerFooter>
    <c:pageMargins b="1" l="0.75" r="0.75" t="1" header="0.5" footer="0.5"/>
    <c:pageSetup orientation="landscape" horizontalDpi="-2" verticalDpi="0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</a:t>
            </a:r>
            <a:r>
              <a:rPr lang="en-US" baseline="0"/>
              <a:t> Adjusted By S-Curve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Theoretical Velocity</c:v>
          </c:tx>
          <c:marker>
            <c:symbol val="none"/>
          </c:marker>
          <c:val>
            <c:numRef>
              <c:f>WebTeam1!$M$3:$M$37</c:f>
              <c:numCache>
                <c:formatCode>0.0</c:formatCode>
                <c:ptCount val="9"/>
                <c:pt idx="0">
                  <c:v>39.097799999999999</c:v>
                </c:pt>
                <c:pt idx="1">
                  <c:v>38.828160000000004</c:v>
                </c:pt>
                <c:pt idx="2">
                  <c:v>43.142400000000009</c:v>
                </c:pt>
                <c:pt idx="3">
                  <c:v>34.392960000000002</c:v>
                </c:pt>
                <c:pt idx="4">
                  <c:v>40.320000000000007</c:v>
                </c:pt>
                <c:pt idx="5">
                  <c:v>39.110400000000006</c:v>
                </c:pt>
                <c:pt idx="6">
                  <c:v>39.110400000000006</c:v>
                </c:pt>
                <c:pt idx="7">
                  <c:v>39.110400000000006</c:v>
                </c:pt>
                <c:pt idx="8">
                  <c:v>35.078400000000002</c:v>
                </c:pt>
              </c:numCache>
            </c:numRef>
          </c:val>
          <c:smooth val="0"/>
        </c:ser>
        <c:ser>
          <c:idx val="2"/>
          <c:order val="1"/>
          <c:tx>
            <c:v>Planned Velocity</c:v>
          </c:tx>
          <c:spPr>
            <a:ln>
              <a:prstDash val="sysDash"/>
            </a:ln>
          </c:spPr>
          <c:marker>
            <c:symbol val="none"/>
          </c:marker>
          <c:val>
            <c:numRef>
              <c:f>WebTeam1!$P$3:$P$37</c:f>
              <c:numCache>
                <c:formatCode>0.0</c:formatCode>
                <c:ptCount val="9"/>
                <c:pt idx="0">
                  <c:v>39.097799999999999</c:v>
                </c:pt>
                <c:pt idx="1">
                  <c:v>38.828160000000004</c:v>
                </c:pt>
                <c:pt idx="2">
                  <c:v>43.142400000000009</c:v>
                </c:pt>
                <c:pt idx="3">
                  <c:v>34.392960000000002</c:v>
                </c:pt>
                <c:pt idx="4">
                  <c:v>40.320000000000007</c:v>
                </c:pt>
                <c:pt idx="5">
                  <c:v>39.110400000000006</c:v>
                </c:pt>
                <c:pt idx="6">
                  <c:v>39.110400000000006</c:v>
                </c:pt>
                <c:pt idx="7">
                  <c:v>39.110400000000006</c:v>
                </c:pt>
                <c:pt idx="8">
                  <c:v>35.078400000000002</c:v>
                </c:pt>
              </c:numCache>
            </c:numRef>
          </c:val>
          <c:smooth val="0"/>
        </c:ser>
        <c:ser>
          <c:idx val="0"/>
          <c:order val="2"/>
          <c:tx>
            <c:v>Curved Velocity</c:v>
          </c:tx>
          <c:spPr>
            <a:ln>
              <a:prstDash val="dash"/>
            </a:ln>
          </c:spPr>
          <c:marker>
            <c:symbol val="none"/>
          </c:marker>
          <c:val>
            <c:numRef>
              <c:f>WebTeam1!$O$3:$O$37</c:f>
              <c:numCache>
                <c:formatCode>0.0</c:formatCode>
                <c:ptCount val="9"/>
                <c:pt idx="0">
                  <c:v>4.0148668459393013</c:v>
                </c:pt>
                <c:pt idx="1">
                  <c:v>8.5869845951478556</c:v>
                </c:pt>
                <c:pt idx="2">
                  <c:v>14.413015404852144</c:v>
                </c:pt>
                <c:pt idx="3">
                  <c:v>18.985133154060698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218992"/>
        <c:axId val="372213504"/>
      </c:lineChart>
      <c:catAx>
        <c:axId val="37221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72213504"/>
        <c:crosses val="autoZero"/>
        <c:auto val="1"/>
        <c:lblAlgn val="ctr"/>
        <c:lblOffset val="100"/>
        <c:noMultiLvlLbl val="0"/>
      </c:catAx>
      <c:valAx>
        <c:axId val="372213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Points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372218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/>
              <a:t>Web Team 1 Actual/Predicted Velocity</a:t>
            </a:r>
          </a:p>
        </c:rich>
      </c:tx>
      <c:layout>
        <c:manualLayout>
          <c:xMode val="edge"/>
          <c:yMode val="edge"/>
          <c:x val="0.30625012662890799"/>
          <c:y val="3.25813927514380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22004930747"/>
          <c:y val="0.17543902588264099"/>
          <c:w val="0.66291963606840476"/>
          <c:h val="0.51433070866141695"/>
        </c:manualLayout>
      </c:layout>
      <c:lineChart>
        <c:grouping val="standard"/>
        <c:varyColors val="0"/>
        <c:ser>
          <c:idx val="2"/>
          <c:order val="0"/>
          <c:tx>
            <c:v>Forecasted Velocity</c:v>
          </c:tx>
          <c:spPr>
            <a:ln w="31750">
              <a:solidFill>
                <a:srgbClr val="00B05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cat>
            <c:multiLvlStrRef>
              <c:f>WebTeam1!$A$3:$B$37</c:f>
              <c:multiLvlStrCache>
                <c:ptCount val="9"/>
                <c:lvl>
                  <c:pt idx="0">
                    <c:v>11/6/14</c:v>
                  </c:pt>
                  <c:pt idx="1">
                    <c:v>11/20/14</c:v>
                  </c:pt>
                  <c:pt idx="2">
                    <c:v>12/4/14</c:v>
                  </c:pt>
                  <c:pt idx="3">
                    <c:v>12/18/14</c:v>
                  </c:pt>
                  <c:pt idx="4">
                    <c:v>1/1/15</c:v>
                  </c:pt>
                  <c:pt idx="5">
                    <c:v>1/15/15</c:v>
                  </c:pt>
                  <c:pt idx="6">
                    <c:v>1/29/15</c:v>
                  </c:pt>
                  <c:pt idx="7">
                    <c:v>2/12/15</c:v>
                  </c:pt>
                  <c:pt idx="8">
                    <c:v>2/26/15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WebTeam1!$P$3:$P$37</c:f>
              <c:numCache>
                <c:formatCode>0.0</c:formatCode>
                <c:ptCount val="9"/>
                <c:pt idx="0">
                  <c:v>39.097799999999999</c:v>
                </c:pt>
                <c:pt idx="1">
                  <c:v>38.828160000000004</c:v>
                </c:pt>
                <c:pt idx="2">
                  <c:v>43.142400000000009</c:v>
                </c:pt>
                <c:pt idx="3">
                  <c:v>34.392960000000002</c:v>
                </c:pt>
                <c:pt idx="4">
                  <c:v>40.320000000000007</c:v>
                </c:pt>
                <c:pt idx="5">
                  <c:v>39.110400000000006</c:v>
                </c:pt>
                <c:pt idx="6">
                  <c:v>39.110400000000006</c:v>
                </c:pt>
                <c:pt idx="7">
                  <c:v>39.110400000000006</c:v>
                </c:pt>
                <c:pt idx="8">
                  <c:v>35.078400000000002</c:v>
                </c:pt>
              </c:numCache>
            </c:numRef>
          </c:val>
          <c:smooth val="1"/>
        </c:ser>
        <c:ser>
          <c:idx val="0"/>
          <c:order val="1"/>
          <c:tx>
            <c:v>Actual Velocity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multiLvlStrRef>
              <c:f>WebTeam1!$A$3:$B$37</c:f>
              <c:multiLvlStrCache>
                <c:ptCount val="9"/>
                <c:lvl>
                  <c:pt idx="0">
                    <c:v>11/6/14</c:v>
                  </c:pt>
                  <c:pt idx="1">
                    <c:v>11/20/14</c:v>
                  </c:pt>
                  <c:pt idx="2">
                    <c:v>12/4/14</c:v>
                  </c:pt>
                  <c:pt idx="3">
                    <c:v>12/18/14</c:v>
                  </c:pt>
                  <c:pt idx="4">
                    <c:v>1/1/15</c:v>
                  </c:pt>
                  <c:pt idx="5">
                    <c:v>1/15/15</c:v>
                  </c:pt>
                  <c:pt idx="6">
                    <c:v>1/29/15</c:v>
                  </c:pt>
                  <c:pt idx="7">
                    <c:v>2/12/15</c:v>
                  </c:pt>
                  <c:pt idx="8">
                    <c:v>2/26/15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WebTeam1!$J$3:$J$37</c:f>
              <c:numCache>
                <c:formatCode>General</c:formatCode>
                <c:ptCount val="9"/>
                <c:pt idx="0">
                  <c:v>6</c:v>
                </c:pt>
                <c:pt idx="1">
                  <c:v>30</c:v>
                </c:pt>
                <c:pt idx="2">
                  <c:v>48</c:v>
                </c:pt>
                <c:pt idx="3">
                  <c:v>12</c:v>
                </c:pt>
                <c:pt idx="4">
                  <c:v>53</c:v>
                </c:pt>
              </c:numCache>
            </c:numRef>
          </c:val>
          <c:smooth val="1"/>
        </c:ser>
        <c:ser>
          <c:idx val="1"/>
          <c:order val="2"/>
          <c:tx>
            <c:v>Scheduled Velocity</c:v>
          </c:tx>
          <c:cat>
            <c:multiLvlStrRef>
              <c:f>WebTeam1!$A$3:$B$37</c:f>
              <c:multiLvlStrCache>
                <c:ptCount val="9"/>
                <c:lvl>
                  <c:pt idx="0">
                    <c:v>11/6/14</c:v>
                  </c:pt>
                  <c:pt idx="1">
                    <c:v>11/20/14</c:v>
                  </c:pt>
                  <c:pt idx="2">
                    <c:v>12/4/14</c:v>
                  </c:pt>
                  <c:pt idx="3">
                    <c:v>12/18/14</c:v>
                  </c:pt>
                  <c:pt idx="4">
                    <c:v>1/1/15</c:v>
                  </c:pt>
                  <c:pt idx="5">
                    <c:v>1/15/15</c:v>
                  </c:pt>
                  <c:pt idx="6">
                    <c:v>1/29/15</c:v>
                  </c:pt>
                  <c:pt idx="7">
                    <c:v>2/12/15</c:v>
                  </c:pt>
                  <c:pt idx="8">
                    <c:v>2/26/15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WebTeam1!$H$3:$H$37</c:f>
              <c:numCache>
                <c:formatCode>0</c:formatCode>
                <c:ptCount val="9"/>
                <c:pt idx="0">
                  <c:v>38</c:v>
                </c:pt>
                <c:pt idx="1">
                  <c:v>40</c:v>
                </c:pt>
                <c:pt idx="2">
                  <c:v>50</c:v>
                </c:pt>
                <c:pt idx="3">
                  <c:v>40</c:v>
                </c:pt>
                <c:pt idx="4">
                  <c:v>45</c:v>
                </c:pt>
                <c:pt idx="5">
                  <c:v>48</c:v>
                </c:pt>
                <c:pt idx="6">
                  <c:v>32</c:v>
                </c:pt>
                <c:pt idx="7">
                  <c:v>48</c:v>
                </c:pt>
                <c:pt idx="8">
                  <c:v>12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214288"/>
        <c:axId val="372214680"/>
      </c:lineChart>
      <c:lineChart>
        <c:grouping val="standard"/>
        <c:varyColors val="0"/>
        <c:ser>
          <c:idx val="3"/>
          <c:order val="3"/>
          <c:tx>
            <c:v>Available Hours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val>
            <c:numRef>
              <c:f>WebTeam1!$F$3:$F$37</c:f>
              <c:numCache>
                <c:formatCode>0.00</c:formatCode>
                <c:ptCount val="9"/>
                <c:pt idx="0">
                  <c:v>558.54</c:v>
                </c:pt>
                <c:pt idx="1">
                  <c:v>554.68799999999999</c:v>
                </c:pt>
                <c:pt idx="2">
                  <c:v>616.32000000000005</c:v>
                </c:pt>
                <c:pt idx="3">
                  <c:v>491.32799999999997</c:v>
                </c:pt>
                <c:pt idx="4">
                  <c:v>576</c:v>
                </c:pt>
                <c:pt idx="5">
                  <c:v>558.72</c:v>
                </c:pt>
                <c:pt idx="6">
                  <c:v>558.72</c:v>
                </c:pt>
                <c:pt idx="7">
                  <c:v>558.72</c:v>
                </c:pt>
                <c:pt idx="8">
                  <c:v>501.12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313056"/>
        <c:axId val="419314624"/>
      </c:lineChart>
      <c:catAx>
        <c:axId val="37221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45793803491954799"/>
              <c:y val="0.89103413703721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22146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221468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2214288"/>
        <c:crosses val="autoZero"/>
        <c:crossBetween val="between"/>
      </c:valAx>
      <c:valAx>
        <c:axId val="41931462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419313056"/>
        <c:crosses val="max"/>
        <c:crossBetween val="between"/>
      </c:valAx>
      <c:catAx>
        <c:axId val="4193130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9314624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126171114862693"/>
          <c:y val="0.19148936170212799"/>
          <c:w val="0.12649415140619696"/>
          <c:h val="0.2859876026135029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lgDash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>
      <c:oddHeader>&amp;A</c:oddHeader>
      <c:oddFooter>Page &amp;P</c:oddFooter>
    </c:headerFooter>
    <c:pageMargins b="1" l="0.75" r="0.75" t="1" header="0.5" footer="0.5"/>
    <c:pageSetup orientation="landscape" horizontalDpi="-2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698500</xdr:colOff>
      <xdr:row>51</xdr:row>
      <xdr:rowOff>127000</xdr:rowOff>
    </xdr:from>
    <xdr:to>
      <xdr:col>20</xdr:col>
      <xdr:colOff>266700</xdr:colOff>
      <xdr:row>79</xdr:row>
      <xdr:rowOff>88900</xdr:rowOff>
    </xdr:to>
    <xdr:graphicFrame macro="">
      <xdr:nvGraphicFramePr>
        <xdr:cNvPr id="213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355600</xdr:colOff>
      <xdr:row>74</xdr:row>
      <xdr:rowOff>38100</xdr:rowOff>
    </xdr:from>
    <xdr:to>
      <xdr:col>35</xdr:col>
      <xdr:colOff>533400</xdr:colOff>
      <xdr:row>92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22860</xdr:colOff>
      <xdr:row>80</xdr:row>
      <xdr:rowOff>88900</xdr:rowOff>
    </xdr:from>
    <xdr:to>
      <xdr:col>21</xdr:col>
      <xdr:colOff>137160</xdr:colOff>
      <xdr:row>107</xdr:row>
      <xdr:rowOff>63500</xdr:rowOff>
    </xdr:to>
    <xdr:graphicFrame macro="">
      <xdr:nvGraphicFramePr>
        <xdr:cNvPr id="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563880</xdr:colOff>
      <xdr:row>46</xdr:row>
      <xdr:rowOff>160020</xdr:rowOff>
    </xdr:from>
    <xdr:to>
      <xdr:col>11</xdr:col>
      <xdr:colOff>170281</xdr:colOff>
      <xdr:row>51</xdr:row>
      <xdr:rowOff>122015</xdr:rowOff>
    </xdr:to>
    <xdr:grpSp>
      <xdr:nvGrpSpPr>
        <xdr:cNvPr id="18" name="Group 17"/>
        <xdr:cNvGrpSpPr/>
      </xdr:nvGrpSpPr>
      <xdr:grpSpPr>
        <a:xfrm>
          <a:off x="5320030" y="4166870"/>
          <a:ext cx="971651" cy="755745"/>
          <a:chOff x="7772400" y="1101572"/>
          <a:chExt cx="1168501" cy="1097375"/>
        </a:xfrm>
      </xdr:grpSpPr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400" y="1101572"/>
            <a:ext cx="1168501" cy="1097375"/>
          </a:xfrm>
          <a:prstGeom prst="rect">
            <a:avLst/>
          </a:prstGeom>
        </xdr:spPr>
      </xdr:pic>
      <xdr:sp macro="" textlink="">
        <xdr:nvSpPr>
          <xdr:cNvPr id="20" name="TextBox 9"/>
          <xdr:cNvSpPr txBox="1"/>
        </xdr:nvSpPr>
        <xdr:spPr>
          <a:xfrm>
            <a:off x="8177518" y="1798322"/>
            <a:ext cx="284052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r>
              <a:rPr lang="en-US">
                <a:solidFill>
                  <a:schemeClr val="tx1"/>
                </a:solidFill>
              </a:rPr>
              <a:t>6</a:t>
            </a:r>
          </a:p>
        </xdr:txBody>
      </xdr:sp>
    </xdr:grpSp>
    <xdr:clientData/>
  </xdr:twoCellAnchor>
  <xdr:twoCellAnchor>
    <xdr:from>
      <xdr:col>0</xdr:col>
      <xdr:colOff>0</xdr:colOff>
      <xdr:row>43</xdr:row>
      <xdr:rowOff>106681</xdr:rowOff>
    </xdr:from>
    <xdr:to>
      <xdr:col>1</xdr:col>
      <xdr:colOff>381000</xdr:colOff>
      <xdr:row>48</xdr:row>
      <xdr:rowOff>7621</xdr:rowOff>
    </xdr:to>
    <xdr:grpSp>
      <xdr:nvGrpSpPr>
        <xdr:cNvPr id="21" name="Group 20"/>
        <xdr:cNvGrpSpPr/>
      </xdr:nvGrpSpPr>
      <xdr:grpSpPr>
        <a:xfrm>
          <a:off x="0" y="3561081"/>
          <a:ext cx="914400" cy="770890"/>
          <a:chOff x="7772399" y="2671065"/>
          <a:chExt cx="1168501" cy="1117697"/>
        </a:xfrm>
      </xdr:grpSpPr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99" y="2671065"/>
            <a:ext cx="1168501" cy="1117697"/>
          </a:xfrm>
          <a:prstGeom prst="rect">
            <a:avLst/>
          </a:prstGeom>
        </xdr:spPr>
      </xdr:pic>
      <xdr:sp macro="" textlink="">
        <xdr:nvSpPr>
          <xdr:cNvPr id="23" name="TextBox 12"/>
          <xdr:cNvSpPr txBox="1"/>
        </xdr:nvSpPr>
        <xdr:spPr>
          <a:xfrm>
            <a:off x="8188190" y="2686818"/>
            <a:ext cx="284052" cy="3077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r>
              <a:rPr lang="en-US">
                <a:solidFill>
                  <a:schemeClr val="tx1"/>
                </a:solidFill>
              </a:rPr>
              <a:t>7</a:t>
            </a:r>
          </a:p>
        </xdr:txBody>
      </xdr:sp>
    </xdr:grpSp>
    <xdr:clientData/>
  </xdr:twoCellAnchor>
  <xdr:twoCellAnchor>
    <xdr:from>
      <xdr:col>23</xdr:col>
      <xdr:colOff>1371601</xdr:colOff>
      <xdr:row>44</xdr:row>
      <xdr:rowOff>226370</xdr:rowOff>
    </xdr:from>
    <xdr:to>
      <xdr:col>25</xdr:col>
      <xdr:colOff>7620</xdr:colOff>
      <xdr:row>49</xdr:row>
      <xdr:rowOff>114303</xdr:rowOff>
    </xdr:to>
    <xdr:grpSp>
      <xdr:nvGrpSpPr>
        <xdr:cNvPr id="24" name="Group 23"/>
        <xdr:cNvGrpSpPr/>
      </xdr:nvGrpSpPr>
      <xdr:grpSpPr>
        <a:xfrm>
          <a:off x="15297151" y="3845870"/>
          <a:ext cx="814069" cy="751533"/>
          <a:chOff x="7772399" y="2645689"/>
          <a:chExt cx="1168501" cy="1143073"/>
        </a:xfrm>
      </xdr:grpSpPr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99" y="2671065"/>
            <a:ext cx="1168501" cy="1117697"/>
          </a:xfrm>
          <a:prstGeom prst="rect">
            <a:avLst/>
          </a:prstGeom>
        </xdr:spPr>
      </xdr:pic>
      <xdr:sp macro="" textlink="">
        <xdr:nvSpPr>
          <xdr:cNvPr id="26" name="TextBox 16"/>
          <xdr:cNvSpPr txBox="1"/>
        </xdr:nvSpPr>
        <xdr:spPr>
          <a:xfrm>
            <a:off x="8132477" y="2645689"/>
            <a:ext cx="284053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r>
              <a:rPr lang="en-US">
                <a:solidFill>
                  <a:schemeClr val="tx1"/>
                </a:solidFill>
              </a:rPr>
              <a:t>8</a:t>
            </a:r>
          </a:p>
        </xdr:txBody>
      </xdr:sp>
    </xdr:grpSp>
    <xdr:clientData/>
  </xdr:twoCellAnchor>
  <xdr:twoCellAnchor>
    <xdr:from>
      <xdr:col>3</xdr:col>
      <xdr:colOff>167640</xdr:colOff>
      <xdr:row>43</xdr:row>
      <xdr:rowOff>106681</xdr:rowOff>
    </xdr:from>
    <xdr:to>
      <xdr:col>4</xdr:col>
      <xdr:colOff>449580</xdr:colOff>
      <xdr:row>48</xdr:row>
      <xdr:rowOff>7621</xdr:rowOff>
    </xdr:to>
    <xdr:grpSp>
      <xdr:nvGrpSpPr>
        <xdr:cNvPr id="27" name="Group 26"/>
        <xdr:cNvGrpSpPr/>
      </xdr:nvGrpSpPr>
      <xdr:grpSpPr>
        <a:xfrm>
          <a:off x="1926590" y="3561081"/>
          <a:ext cx="916940" cy="770890"/>
          <a:chOff x="7772399" y="2671065"/>
          <a:chExt cx="1168501" cy="1117697"/>
        </a:xfrm>
      </xdr:grpSpPr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99" y="2671065"/>
            <a:ext cx="1168501" cy="1117697"/>
          </a:xfrm>
          <a:prstGeom prst="rect">
            <a:avLst/>
          </a:prstGeom>
        </xdr:spPr>
      </xdr:pic>
      <xdr:sp macro="" textlink="">
        <xdr:nvSpPr>
          <xdr:cNvPr id="29" name="TextBox 12"/>
          <xdr:cNvSpPr txBox="1"/>
        </xdr:nvSpPr>
        <xdr:spPr>
          <a:xfrm>
            <a:off x="8178371" y="2676274"/>
            <a:ext cx="284052" cy="41347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r>
              <a:rPr lang="en-US">
                <a:solidFill>
                  <a:schemeClr val="tx1"/>
                </a:solidFill>
              </a:rPr>
              <a:t>9</a:t>
            </a:r>
          </a:p>
        </xdr:txBody>
      </xdr:sp>
    </xdr:grpSp>
    <xdr:clientData/>
  </xdr:twoCellAnchor>
  <xdr:twoCellAnchor>
    <xdr:from>
      <xdr:col>14</xdr:col>
      <xdr:colOff>662940</xdr:colOff>
      <xdr:row>45</xdr:row>
      <xdr:rowOff>22861</xdr:rowOff>
    </xdr:from>
    <xdr:to>
      <xdr:col>16</xdr:col>
      <xdr:colOff>152400</xdr:colOff>
      <xdr:row>49</xdr:row>
      <xdr:rowOff>160021</xdr:rowOff>
    </xdr:to>
    <xdr:grpSp>
      <xdr:nvGrpSpPr>
        <xdr:cNvPr id="30" name="Group 29"/>
        <xdr:cNvGrpSpPr/>
      </xdr:nvGrpSpPr>
      <xdr:grpSpPr>
        <a:xfrm>
          <a:off x="8746490" y="3870961"/>
          <a:ext cx="930910" cy="772160"/>
          <a:chOff x="7772399" y="2671065"/>
          <a:chExt cx="1168501" cy="1117697"/>
        </a:xfrm>
      </xdr:grpSpPr>
      <xdr:pic>
        <xdr:nvPicPr>
          <xdr:cNvPr id="31" name="Picture 30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99" y="2671065"/>
            <a:ext cx="1168501" cy="1117697"/>
          </a:xfrm>
          <a:prstGeom prst="rect">
            <a:avLst/>
          </a:prstGeom>
        </xdr:spPr>
      </xdr:pic>
      <xdr:sp macro="" textlink="">
        <xdr:nvSpPr>
          <xdr:cNvPr id="32" name="TextBox 12"/>
          <xdr:cNvSpPr txBox="1"/>
        </xdr:nvSpPr>
        <xdr:spPr>
          <a:xfrm>
            <a:off x="8125895" y="2697362"/>
            <a:ext cx="471328" cy="34275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</xdr:grpSp>
    <xdr:clientData/>
  </xdr:twoCellAnchor>
  <xdr:twoCellAnchor>
    <xdr:from>
      <xdr:col>6</xdr:col>
      <xdr:colOff>426720</xdr:colOff>
      <xdr:row>44</xdr:row>
      <xdr:rowOff>1</xdr:rowOff>
    </xdr:from>
    <xdr:to>
      <xdr:col>9</xdr:col>
      <xdr:colOff>91440</xdr:colOff>
      <xdr:row>48</xdr:row>
      <xdr:rowOff>53340</xdr:rowOff>
    </xdr:to>
    <xdr:grpSp>
      <xdr:nvGrpSpPr>
        <xdr:cNvPr id="33" name="Group 32"/>
        <xdr:cNvGrpSpPr/>
      </xdr:nvGrpSpPr>
      <xdr:grpSpPr>
        <a:xfrm>
          <a:off x="3963670" y="3625851"/>
          <a:ext cx="883920" cy="751839"/>
          <a:chOff x="7772399" y="2671065"/>
          <a:chExt cx="1168501" cy="1117697"/>
        </a:xfrm>
      </xdr:grpSpPr>
      <xdr:pic>
        <xdr:nvPicPr>
          <xdr:cNvPr id="34" name="Picture 33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99" y="2671065"/>
            <a:ext cx="1168501" cy="1117697"/>
          </a:xfrm>
          <a:prstGeom prst="rect">
            <a:avLst/>
          </a:prstGeom>
        </xdr:spPr>
      </xdr:pic>
      <xdr:sp macro="" textlink="">
        <xdr:nvSpPr>
          <xdr:cNvPr id="35" name="TextBox 12"/>
          <xdr:cNvSpPr txBox="1"/>
        </xdr:nvSpPr>
        <xdr:spPr>
          <a:xfrm>
            <a:off x="8125895" y="2697362"/>
            <a:ext cx="471328" cy="34275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</xdr:grpSp>
    <xdr:clientData/>
  </xdr:twoCellAnchor>
  <xdr:twoCellAnchor>
    <xdr:from>
      <xdr:col>7</xdr:col>
      <xdr:colOff>571500</xdr:colOff>
      <xdr:row>42</xdr:row>
      <xdr:rowOff>114301</xdr:rowOff>
    </xdr:from>
    <xdr:to>
      <xdr:col>10</xdr:col>
      <xdr:colOff>106680</xdr:colOff>
      <xdr:row>46</xdr:row>
      <xdr:rowOff>152400</xdr:rowOff>
    </xdr:to>
    <xdr:grpSp>
      <xdr:nvGrpSpPr>
        <xdr:cNvPr id="36" name="Group 35"/>
        <xdr:cNvGrpSpPr/>
      </xdr:nvGrpSpPr>
      <xdr:grpSpPr>
        <a:xfrm>
          <a:off x="4667250" y="3397251"/>
          <a:ext cx="887730" cy="761999"/>
          <a:chOff x="7772399" y="2671065"/>
          <a:chExt cx="1168501" cy="1117697"/>
        </a:xfrm>
      </xdr:grpSpPr>
      <xdr:pic>
        <xdr:nvPicPr>
          <xdr:cNvPr id="37" name="Picture 36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99" y="2671065"/>
            <a:ext cx="1168501" cy="1117697"/>
          </a:xfrm>
          <a:prstGeom prst="rect">
            <a:avLst/>
          </a:prstGeom>
        </xdr:spPr>
      </xdr:pic>
      <xdr:sp macro="" textlink="">
        <xdr:nvSpPr>
          <xdr:cNvPr id="38" name="TextBox 12"/>
          <xdr:cNvSpPr txBox="1"/>
        </xdr:nvSpPr>
        <xdr:spPr>
          <a:xfrm>
            <a:off x="8115555" y="2697362"/>
            <a:ext cx="471328" cy="34275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r>
              <a:rPr lang="en-US" sz="1100">
                <a:solidFill>
                  <a:schemeClr val="tx1"/>
                </a:solidFill>
              </a:rPr>
              <a:t>12</a:t>
            </a:r>
          </a:p>
        </xdr:txBody>
      </xdr:sp>
    </xdr:grpSp>
    <xdr:clientData/>
  </xdr:twoCellAnchor>
  <xdr:twoCellAnchor>
    <xdr:from>
      <xdr:col>10</xdr:col>
      <xdr:colOff>495300</xdr:colOff>
      <xdr:row>42</xdr:row>
      <xdr:rowOff>114301</xdr:rowOff>
    </xdr:from>
    <xdr:to>
      <xdr:col>12</xdr:col>
      <xdr:colOff>167640</xdr:colOff>
      <xdr:row>46</xdr:row>
      <xdr:rowOff>152400</xdr:rowOff>
    </xdr:to>
    <xdr:grpSp>
      <xdr:nvGrpSpPr>
        <xdr:cNvPr id="39" name="Group 38"/>
        <xdr:cNvGrpSpPr/>
      </xdr:nvGrpSpPr>
      <xdr:grpSpPr>
        <a:xfrm>
          <a:off x="5943600" y="3397251"/>
          <a:ext cx="878840" cy="761999"/>
          <a:chOff x="7772399" y="2671065"/>
          <a:chExt cx="1168501" cy="1117697"/>
        </a:xfrm>
      </xdr:grpSpPr>
      <xdr:pic>
        <xdr:nvPicPr>
          <xdr:cNvPr id="40" name="Picture 39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99" y="2671065"/>
            <a:ext cx="1168501" cy="1117697"/>
          </a:xfrm>
          <a:prstGeom prst="rect">
            <a:avLst/>
          </a:prstGeom>
        </xdr:spPr>
      </xdr:pic>
      <xdr:sp macro="" textlink="">
        <xdr:nvSpPr>
          <xdr:cNvPr id="41" name="TextBox 12"/>
          <xdr:cNvSpPr txBox="1"/>
        </xdr:nvSpPr>
        <xdr:spPr>
          <a:xfrm>
            <a:off x="8115555" y="2697362"/>
            <a:ext cx="471328" cy="34275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r>
              <a:rPr lang="en-US" sz="1100">
                <a:solidFill>
                  <a:schemeClr val="tx1"/>
                </a:solidFill>
              </a:rPr>
              <a:t>13</a:t>
            </a:r>
          </a:p>
        </xdr:txBody>
      </xdr:sp>
    </xdr:grpSp>
    <xdr:clientData/>
  </xdr:twoCellAnchor>
  <xdr:twoCellAnchor>
    <xdr:from>
      <xdr:col>21</xdr:col>
      <xdr:colOff>396240</xdr:colOff>
      <xdr:row>44</xdr:row>
      <xdr:rowOff>30481</xdr:rowOff>
    </xdr:from>
    <xdr:to>
      <xdr:col>23</xdr:col>
      <xdr:colOff>205740</xdr:colOff>
      <xdr:row>48</xdr:row>
      <xdr:rowOff>83820</xdr:rowOff>
    </xdr:to>
    <xdr:grpSp>
      <xdr:nvGrpSpPr>
        <xdr:cNvPr id="42" name="Group 41"/>
        <xdr:cNvGrpSpPr/>
      </xdr:nvGrpSpPr>
      <xdr:grpSpPr>
        <a:xfrm>
          <a:off x="13254990" y="3656331"/>
          <a:ext cx="876300" cy="751839"/>
          <a:chOff x="7772399" y="2671065"/>
          <a:chExt cx="1168501" cy="1117697"/>
        </a:xfrm>
      </xdr:grpSpPr>
      <xdr:pic>
        <xdr:nvPicPr>
          <xdr:cNvPr id="43" name="Picture 42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99" y="2671065"/>
            <a:ext cx="1168501" cy="1117697"/>
          </a:xfrm>
          <a:prstGeom prst="rect">
            <a:avLst/>
          </a:prstGeom>
        </xdr:spPr>
      </xdr:pic>
      <xdr:sp macro="" textlink="">
        <xdr:nvSpPr>
          <xdr:cNvPr id="44" name="TextBox 12"/>
          <xdr:cNvSpPr txBox="1"/>
        </xdr:nvSpPr>
        <xdr:spPr>
          <a:xfrm>
            <a:off x="8115555" y="2697362"/>
            <a:ext cx="471328" cy="34275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r>
              <a:rPr lang="en-US" sz="1100">
                <a:solidFill>
                  <a:schemeClr val="tx1"/>
                </a:solidFill>
              </a:rPr>
              <a:t>12</a:t>
            </a: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0.01056</cdr:x>
      <cdr:y>0.27872</cdr:y>
    </cdr:from>
    <cdr:to>
      <cdr:x>0.03779</cdr:x>
      <cdr:y>0.66271</cdr:y>
    </cdr:to>
    <cdr:sp macro="" textlink="">
      <cdr:nvSpPr>
        <cdr:cNvPr id="81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3961" y="998208"/>
          <a:ext cx="397032" cy="137522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="wordArtVert" wrap="none" lIns="27432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Backlog</a:t>
          </a:r>
        </a:p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Story Points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0.03759</cdr:x>
      <cdr:y>0.34422</cdr:y>
    </cdr:from>
    <cdr:to>
      <cdr:x>0.05715</cdr:x>
      <cdr:y>0.60228</cdr:y>
    </cdr:to>
    <cdr:sp macro="" textlink="">
      <cdr:nvSpPr>
        <cdr:cNvPr id="819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8042" y="1232806"/>
          <a:ext cx="285177" cy="92421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="wordArtVert" wrap="none" lIns="27432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Velocity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182881</xdr:colOff>
      <xdr:row>0</xdr:row>
      <xdr:rowOff>60960</xdr:rowOff>
    </xdr:from>
    <xdr:to>
      <xdr:col>8</xdr:col>
      <xdr:colOff>403861</xdr:colOff>
      <xdr:row>5</xdr:row>
      <xdr:rowOff>149225</xdr:rowOff>
    </xdr:to>
    <xdr:grpSp>
      <xdr:nvGrpSpPr>
        <xdr:cNvPr id="6" name="Group 5"/>
        <xdr:cNvGrpSpPr/>
      </xdr:nvGrpSpPr>
      <xdr:grpSpPr>
        <a:xfrm>
          <a:off x="6614161" y="60960"/>
          <a:ext cx="822960" cy="926465"/>
          <a:chOff x="6614161" y="60960"/>
          <a:chExt cx="822960" cy="926465"/>
        </a:xfrm>
      </xdr:grpSpPr>
      <xdr:grpSp>
        <xdr:nvGrpSpPr>
          <xdr:cNvPr id="2" name="Group 1"/>
          <xdr:cNvGrpSpPr>
            <a:grpSpLocks/>
          </xdr:cNvGrpSpPr>
        </xdr:nvGrpSpPr>
        <xdr:grpSpPr bwMode="auto">
          <a:xfrm>
            <a:off x="6614161" y="60960"/>
            <a:ext cx="822960" cy="926465"/>
            <a:chOff x="7467600" y="1886375"/>
            <a:chExt cx="1158340" cy="1178662"/>
          </a:xfrm>
        </xdr:grpSpPr>
        <xdr:pic>
          <xdr:nvPicPr>
            <xdr:cNvPr id="3" name="Picture 2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467600" y="1886375"/>
              <a:ext cx="1158340" cy="117866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4" name="TextBox 7"/>
            <xdr:cNvSpPr txBox="1">
              <a:spLocks noChangeArrowheads="1"/>
            </xdr:cNvSpPr>
          </xdr:nvSpPr>
          <xdr:spPr bwMode="auto">
            <a:xfrm>
              <a:off x="7518510" y="2321817"/>
              <a:ext cx="284052" cy="30777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1400" kern="120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1400" kern="120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1400" kern="120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1400" kern="120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1400" kern="120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400" kern="120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400" kern="120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400" kern="120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400" kern="120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r>
                <a:rPr lang="en-US" altLang="en-US"/>
                <a:t>5</a:t>
              </a:r>
            </a:p>
          </xdr:txBody>
        </xdr:sp>
      </xdr:grpSp>
      <xdr:sp macro="" textlink="">
        <xdr:nvSpPr>
          <xdr:cNvPr id="5" name="TextBox 4"/>
          <xdr:cNvSpPr txBox="1"/>
        </xdr:nvSpPr>
        <xdr:spPr>
          <a:xfrm>
            <a:off x="6644640" y="403860"/>
            <a:ext cx="255198" cy="2826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5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0</xdr:row>
      <xdr:rowOff>19050</xdr:rowOff>
    </xdr:from>
    <xdr:to>
      <xdr:col>5</xdr:col>
      <xdr:colOff>237590</xdr:colOff>
      <xdr:row>7</xdr:row>
      <xdr:rowOff>86462</xdr:rowOff>
    </xdr:to>
    <xdr:grpSp>
      <xdr:nvGrpSpPr>
        <xdr:cNvPr id="9" name="Group 8"/>
        <xdr:cNvGrpSpPr/>
      </xdr:nvGrpSpPr>
      <xdr:grpSpPr>
        <a:xfrm>
          <a:off x="3686810" y="19050"/>
          <a:ext cx="1130400" cy="1240892"/>
          <a:chOff x="4235450" y="57150"/>
          <a:chExt cx="1158340" cy="1178662"/>
        </a:xfrm>
      </xdr:grpSpPr>
      <xdr:sp macro="" textlink="">
        <xdr:nvSpPr>
          <xdr:cNvPr id="5" name="TextBox 4"/>
          <xdr:cNvSpPr txBox="1"/>
        </xdr:nvSpPr>
        <xdr:spPr>
          <a:xfrm>
            <a:off x="4292600" y="469900"/>
            <a:ext cx="274434" cy="3345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400"/>
              <a:t>1</a:t>
            </a:r>
          </a:p>
        </xdr:txBody>
      </xdr:sp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5450" y="57150"/>
            <a:ext cx="1158340" cy="1178662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76200</xdr:colOff>
      <xdr:row>59</xdr:row>
      <xdr:rowOff>88900</xdr:rowOff>
    </xdr:from>
    <xdr:to>
      <xdr:col>8</xdr:col>
      <xdr:colOff>2640</xdr:colOff>
      <xdr:row>66</xdr:row>
      <xdr:rowOff>22962</xdr:rowOff>
    </xdr:to>
    <xdr:grpSp>
      <xdr:nvGrpSpPr>
        <xdr:cNvPr id="16" name="Group 15"/>
        <xdr:cNvGrpSpPr/>
      </xdr:nvGrpSpPr>
      <xdr:grpSpPr>
        <a:xfrm>
          <a:off x="5547360" y="10383520"/>
          <a:ext cx="1130400" cy="1160882"/>
          <a:chOff x="6051550" y="5607050"/>
          <a:chExt cx="1158340" cy="1178662"/>
        </a:xfrm>
      </xdr:grpSpPr>
      <xdr:sp macro="" textlink="">
        <xdr:nvSpPr>
          <xdr:cNvPr id="14" name="TextBox 13"/>
          <xdr:cNvSpPr txBox="1"/>
        </xdr:nvSpPr>
        <xdr:spPr>
          <a:xfrm>
            <a:off x="6102350" y="6038850"/>
            <a:ext cx="274434" cy="3345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400"/>
              <a:t>2</a:t>
            </a:r>
          </a:p>
        </xdr:txBody>
      </xdr:sp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51550" y="5607050"/>
            <a:ext cx="1158340" cy="1178662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6</xdr:row>
      <xdr:rowOff>76200</xdr:rowOff>
    </xdr:from>
    <xdr:to>
      <xdr:col>10</xdr:col>
      <xdr:colOff>580490</xdr:colOff>
      <xdr:row>13</xdr:row>
      <xdr:rowOff>143612</xdr:rowOff>
    </xdr:to>
    <xdr:grpSp>
      <xdr:nvGrpSpPr>
        <xdr:cNvPr id="6" name="Group 5"/>
        <xdr:cNvGrpSpPr/>
      </xdr:nvGrpSpPr>
      <xdr:grpSpPr>
        <a:xfrm>
          <a:off x="7680960" y="1447800"/>
          <a:ext cx="1144370" cy="1240892"/>
          <a:chOff x="9201150" y="1968500"/>
          <a:chExt cx="1158340" cy="1178662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01150" y="1968500"/>
            <a:ext cx="1158340" cy="1178662"/>
          </a:xfrm>
          <a:prstGeom prst="rect">
            <a:avLst/>
          </a:prstGeom>
        </xdr:spPr>
      </xdr:pic>
      <xdr:sp macro="" textlink="">
        <xdr:nvSpPr>
          <xdr:cNvPr id="5" name="TextBox 4"/>
          <xdr:cNvSpPr txBox="1"/>
        </xdr:nvSpPr>
        <xdr:spPr>
          <a:xfrm>
            <a:off x="9271000" y="2368550"/>
            <a:ext cx="287258" cy="3691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600"/>
              <a:t>3</a:t>
            </a: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U63"/>
  <sheetViews>
    <sheetView tabSelected="1" workbookViewId="0">
      <pane ySplit="2" topLeftCell="A53" activePane="bottomLeft" state="frozen"/>
      <selection pane="bottomLeft" activeCell="AA63" sqref="AA63"/>
    </sheetView>
  </sheetViews>
  <sheetFormatPr defaultColWidth="8.81640625" defaultRowHeight="12.5"/>
  <cols>
    <col min="1" max="1" width="7.6328125" customWidth="1"/>
    <col min="2" max="2" width="10.453125" customWidth="1"/>
    <col min="3" max="3" width="7.08984375" customWidth="1"/>
    <col min="4" max="4" width="9.08984375" customWidth="1"/>
    <col min="5" max="5" width="8.36328125" style="10" customWidth="1"/>
    <col min="6" max="7" width="8" customWidth="1"/>
    <col min="8" max="8" width="9.453125" style="10" customWidth="1"/>
    <col min="9" max="9" width="7.6328125" hidden="1" customWidth="1"/>
    <col min="10" max="10" width="9.90625" customWidth="1"/>
    <col min="11" max="11" width="9.6328125" style="10" customWidth="1"/>
    <col min="12" max="12" width="7.6328125" customWidth="1"/>
    <col min="13" max="13" width="10.81640625" style="12" customWidth="1"/>
    <col min="14" max="14" width="9.6328125" style="12" customWidth="1"/>
    <col min="15" max="15" width="10.08984375" customWidth="1"/>
    <col min="16" max="16" width="10.54296875" style="10" customWidth="1"/>
    <col min="17" max="19" width="9.6328125" style="10" customWidth="1"/>
    <col min="20" max="20" width="11.1796875" style="10" customWidth="1"/>
    <col min="21" max="22" width="7.6328125" style="12" customWidth="1"/>
    <col min="23" max="23" width="7.6328125" customWidth="1"/>
    <col min="24" max="24" width="21.36328125" customWidth="1"/>
    <col min="25" max="26" width="9.81640625" customWidth="1"/>
    <col min="27" max="28" width="9.6328125" style="10" customWidth="1"/>
    <col min="30" max="30" width="10.453125" bestFit="1" customWidth="1"/>
    <col min="31" max="31" width="13" bestFit="1" customWidth="1"/>
    <col min="32" max="32" width="10.453125" bestFit="1" customWidth="1"/>
    <col min="33" max="33" width="11.453125" customWidth="1"/>
    <col min="34" max="36" width="9.6328125" bestFit="1" customWidth="1"/>
    <col min="37" max="38" width="9.6328125" customWidth="1"/>
    <col min="39" max="39" width="9.08984375" bestFit="1" customWidth="1"/>
    <col min="40" max="40" width="9.08984375" customWidth="1"/>
    <col min="41" max="41" width="11.6328125" customWidth="1"/>
    <col min="42" max="42" width="13" bestFit="1" customWidth="1"/>
  </cols>
  <sheetData>
    <row r="1" spans="1:47" ht="18.5" thickBot="1">
      <c r="A1" s="13" t="s">
        <v>112</v>
      </c>
      <c r="B1" s="187" t="s">
        <v>40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67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7"/>
      <c r="AR1" s="186"/>
      <c r="AS1" s="186"/>
      <c r="AT1" s="186"/>
      <c r="AU1" s="186"/>
    </row>
    <row r="2" spans="1:47" ht="43" customHeight="1" thickBot="1">
      <c r="A2" s="141" t="s">
        <v>79</v>
      </c>
      <c r="B2" s="141" t="s">
        <v>0</v>
      </c>
      <c r="C2" s="141" t="s">
        <v>4</v>
      </c>
      <c r="D2" s="175" t="s">
        <v>9</v>
      </c>
      <c r="E2" s="175" t="s">
        <v>25</v>
      </c>
      <c r="F2" s="141" t="s">
        <v>8</v>
      </c>
      <c r="G2" s="141" t="s">
        <v>117</v>
      </c>
      <c r="H2" s="159" t="s">
        <v>10</v>
      </c>
      <c r="I2" s="2" t="s">
        <v>2</v>
      </c>
      <c r="J2" s="159" t="s">
        <v>37</v>
      </c>
      <c r="K2" s="150" t="s">
        <v>28</v>
      </c>
      <c r="L2" s="159" t="s">
        <v>72</v>
      </c>
      <c r="M2" s="80" t="s">
        <v>56</v>
      </c>
      <c r="N2" s="152" t="s">
        <v>69</v>
      </c>
      <c r="O2" s="150" t="s">
        <v>70</v>
      </c>
      <c r="P2" s="150" t="s">
        <v>11</v>
      </c>
      <c r="Q2" s="150" t="s">
        <v>29</v>
      </c>
      <c r="R2" s="150" t="s">
        <v>74</v>
      </c>
      <c r="S2" s="150" t="s">
        <v>75</v>
      </c>
      <c r="T2" s="150" t="s">
        <v>76</v>
      </c>
      <c r="U2" s="152" t="s">
        <v>3</v>
      </c>
      <c r="V2" s="11" t="s">
        <v>14</v>
      </c>
      <c r="W2" s="82" t="s">
        <v>1</v>
      </c>
      <c r="X2" s="2" t="s">
        <v>6</v>
      </c>
      <c r="Y2" s="150" t="s">
        <v>73</v>
      </c>
      <c r="Z2" s="159" t="s">
        <v>39</v>
      </c>
      <c r="AA2" s="8" t="s">
        <v>26</v>
      </c>
      <c r="AB2" s="8" t="s">
        <v>27</v>
      </c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7"/>
      <c r="AR2" s="136"/>
      <c r="AS2" s="136"/>
      <c r="AT2" s="136"/>
      <c r="AU2" s="136"/>
    </row>
    <row r="3" spans="1:47" ht="17.5" thickBot="1">
      <c r="A3" s="142">
        <f>Settings!C28</f>
        <v>0</v>
      </c>
      <c r="B3" s="143">
        <f>Settings!A28</f>
        <v>41949</v>
      </c>
      <c r="C3" s="144">
        <f>+Availability!G1</f>
        <v>770.4</v>
      </c>
      <c r="D3" s="173">
        <f t="shared" ref="D3:D37" si="0">+C3*Starting_defect_hours</f>
        <v>192.6</v>
      </c>
      <c r="E3" s="174">
        <f>C3*0.025</f>
        <v>19.260000000000002</v>
      </c>
      <c r="F3" s="145">
        <f>+C3-D3-E3</f>
        <v>558.54</v>
      </c>
      <c r="G3" s="145">
        <f>FullTimeE1</f>
        <v>10.7</v>
      </c>
      <c r="H3" s="160">
        <v>38</v>
      </c>
      <c r="I3" s="73"/>
      <c r="J3" s="162">
        <v>6</v>
      </c>
      <c r="K3" s="151">
        <f>J3</f>
        <v>6</v>
      </c>
      <c r="L3" s="162">
        <v>5</v>
      </c>
      <c r="M3" s="81">
        <f>IF(F3=0,#N/A,IF(ISBLANK(Z3),$Y$45*F3,+Z3*F3))</f>
        <v>39.097799999999999</v>
      </c>
      <c r="N3" s="153">
        <v>1</v>
      </c>
      <c r="O3" s="151">
        <f>Proj1_MaxVelocity/(1+Proj1_InitGrowthFactor^((Proj1_VelocityStartGrowth+Proj1_VelGrowthSprints/2-SprintCountProj1)/Proj1_VelGrowthSprints))</f>
        <v>4.0148668459393013</v>
      </c>
      <c r="P3" s="151">
        <f t="shared" ref="P3:P37" si="1">IF(ISNA(O3),M3,IF(UseSCurveSetting="Y",IF(O3&gt;M3,M3,O3),M3))</f>
        <v>39.097799999999999</v>
      </c>
      <c r="Q3" s="154">
        <f t="shared" ref="Q3:Q10" si="2">IF(ISBLANK(J3),P3,J3)</f>
        <v>6</v>
      </c>
      <c r="R3" s="151">
        <f>IF(ISBLANK(H3),P3,H3)</f>
        <v>38</v>
      </c>
      <c r="S3" s="151" t="e">
        <f t="shared" ref="S3:S14" si="3">IF(ISNA(K3),IF(ISNA(K2),S2+M3,K2+M3),IF(ISNA(K4),K3,#N/A))</f>
        <v>#N/A</v>
      </c>
      <c r="T3" s="151" t="e">
        <f t="shared" ref="T3:T37" si="4">IF(ISNA(S2),S3,S3*PessimisticOutlookPercent)</f>
        <v>#N/A</v>
      </c>
      <c r="U3" s="156">
        <f t="shared" ref="U3:U8" si="5">+P3-H3</f>
        <v>1.0977999999999994</v>
      </c>
      <c r="V3" s="25"/>
      <c r="W3" s="83">
        <f t="shared" ref="W3:W37" si="6">IF((F3=0),0,+J3/F3)</f>
        <v>1.074229240519927E-2</v>
      </c>
      <c r="X3" s="68" t="s">
        <v>41</v>
      </c>
      <c r="Y3" s="171">
        <v>1.23E-2</v>
      </c>
      <c r="Z3" s="170"/>
      <c r="AA3" s="86">
        <f>OneTotalPoints</f>
        <v>348.19092000000001</v>
      </c>
      <c r="AB3" s="24">
        <f>+AA3+L3</f>
        <v>353.19092000000001</v>
      </c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7"/>
      <c r="AR3" s="7"/>
      <c r="AS3" s="7"/>
      <c r="AT3" s="7"/>
      <c r="AU3" s="7"/>
    </row>
    <row r="4" spans="1:47" s="15" customFormat="1" ht="13.5" thickBot="1">
      <c r="A4" s="142">
        <f>Settings!C29</f>
        <v>1</v>
      </c>
      <c r="B4" s="143">
        <f>Settings!A29</f>
        <v>41963</v>
      </c>
      <c r="C4" s="144">
        <f>+Availability!N1</f>
        <v>770.4</v>
      </c>
      <c r="D4" s="173">
        <f t="shared" si="0"/>
        <v>192.6</v>
      </c>
      <c r="E4" s="174">
        <f>C4*0.03</f>
        <v>23.111999999999998</v>
      </c>
      <c r="F4" s="145">
        <f>+C4-D4-E4</f>
        <v>554.68799999999999</v>
      </c>
      <c r="G4" s="145">
        <f>FullTimeE2</f>
        <v>10.7</v>
      </c>
      <c r="H4" s="160">
        <v>40</v>
      </c>
      <c r="I4" s="73"/>
      <c r="J4" s="162">
        <v>30</v>
      </c>
      <c r="K4" s="151">
        <f t="shared" ref="K4:K19" si="7">IF(ISBLANK(J4),#N/A,J4+K3)</f>
        <v>36</v>
      </c>
      <c r="L4" s="162">
        <v>10</v>
      </c>
      <c r="M4" s="81">
        <f t="shared" ref="M4:M37" si="8">IF(F4=0,#N/A,IF(ISBLANK(Z4),$Y$45*F4,+Z4*F4))</f>
        <v>38.828160000000004</v>
      </c>
      <c r="N4" s="153">
        <v>2</v>
      </c>
      <c r="O4" s="151">
        <f>IF(N4&lt;MaxSprintsToCurve,Proj1_MaxVelocity/(1+Proj1_InitGrowthFactor^((Proj1_VelocityStartGrowth+Proj1_VelGrowthSprints/2-SprintCountProj1)/Proj1_VelGrowthSprints)),#N/A)</f>
        <v>8.5869845951478556</v>
      </c>
      <c r="P4" s="151">
        <f t="shared" si="1"/>
        <v>38.828160000000004</v>
      </c>
      <c r="Q4" s="154">
        <f t="shared" si="2"/>
        <v>30</v>
      </c>
      <c r="R4" s="151">
        <f t="shared" ref="R4:R37" si="9">IF(ISBLANK(H4),IF(ISNUMBER(P4),P4+R3,#N/A),H4+R3)</f>
        <v>78</v>
      </c>
      <c r="S4" s="151" t="e">
        <f t="shared" si="3"/>
        <v>#N/A</v>
      </c>
      <c r="T4" s="151" t="e">
        <f t="shared" si="4"/>
        <v>#N/A</v>
      </c>
      <c r="U4" s="156">
        <f t="shared" si="5"/>
        <v>-1.171839999999996</v>
      </c>
      <c r="V4" s="25"/>
      <c r="W4" s="83">
        <f t="shared" si="6"/>
        <v>5.4084458290065765E-2</v>
      </c>
      <c r="X4" s="68" t="s">
        <v>41</v>
      </c>
      <c r="Y4" s="171">
        <f>IF(ISBLANK(J4),Pg1_Velocity_Factor,AVERAGE(W3:W4))</f>
        <v>3.2413375347632514E-2</v>
      </c>
      <c r="Z4" s="170"/>
      <c r="AA4" s="24">
        <f>+AA3</f>
        <v>348.19092000000001</v>
      </c>
      <c r="AB4" s="24">
        <f t="shared" ref="AB4:AB37" si="10">+L4+AB3</f>
        <v>363.19092000000001</v>
      </c>
      <c r="AD4" s="63"/>
      <c r="AE4" s="63"/>
      <c r="AF4" s="64"/>
      <c r="AG4" s="63"/>
      <c r="AH4" s="63"/>
      <c r="AI4" s="63"/>
      <c r="AJ4" s="63"/>
      <c r="AK4" s="63"/>
      <c r="AL4" s="63"/>
      <c r="AM4" s="63"/>
      <c r="AN4" s="63"/>
      <c r="AO4" s="63"/>
      <c r="AP4" s="64"/>
      <c r="AQ4" s="137"/>
      <c r="AR4" s="137"/>
      <c r="AS4" s="137"/>
      <c r="AT4" s="137"/>
      <c r="AU4" s="137"/>
    </row>
    <row r="5" spans="1:47" ht="13.5" thickBot="1">
      <c r="A5" s="142">
        <f>Settings!C30</f>
        <v>2</v>
      </c>
      <c r="B5" s="143">
        <f>Settings!A30</f>
        <v>41977</v>
      </c>
      <c r="C5" s="144">
        <f>+Availability!U1</f>
        <v>856</v>
      </c>
      <c r="D5" s="173">
        <f t="shared" si="0"/>
        <v>214</v>
      </c>
      <c r="E5" s="174">
        <f t="shared" ref="E5:E37" si="11">C5*0.03</f>
        <v>25.68</v>
      </c>
      <c r="F5" s="145">
        <f t="shared" ref="F5:F15" si="12">+C5-D5-E5</f>
        <v>616.32000000000005</v>
      </c>
      <c r="G5" s="145">
        <f>FullTimeE3</f>
        <v>10.7</v>
      </c>
      <c r="H5" s="160">
        <v>50</v>
      </c>
      <c r="I5" s="73"/>
      <c r="J5" s="162">
        <v>48</v>
      </c>
      <c r="K5" s="151">
        <f t="shared" si="7"/>
        <v>84</v>
      </c>
      <c r="L5" s="162"/>
      <c r="M5" s="81">
        <f t="shared" si="8"/>
        <v>43.142400000000009</v>
      </c>
      <c r="N5" s="153">
        <v>3</v>
      </c>
      <c r="O5" s="151">
        <f>IF(N5&lt;MaxSprintsToCurve,Proj1_MaxVelocity/(1+Proj1_InitGrowthFactor^((Proj1_VelocityStartGrowth+Proj1_VelGrowthSprints/2-SprintCountProj1)/Proj1_VelGrowthSprints)),#N/A)</f>
        <v>14.413015404852144</v>
      </c>
      <c r="P5" s="151">
        <f t="shared" si="1"/>
        <v>43.142400000000009</v>
      </c>
      <c r="Q5" s="154">
        <f t="shared" si="2"/>
        <v>48</v>
      </c>
      <c r="R5" s="151">
        <f t="shared" si="9"/>
        <v>128</v>
      </c>
      <c r="S5" s="151" t="e">
        <f t="shared" si="3"/>
        <v>#N/A</v>
      </c>
      <c r="T5" s="151" t="e">
        <f t="shared" si="4"/>
        <v>#N/A</v>
      </c>
      <c r="U5" s="156">
        <f t="shared" si="5"/>
        <v>-6.8575999999999908</v>
      </c>
      <c r="V5" s="25"/>
      <c r="W5" s="83">
        <f t="shared" si="6"/>
        <v>7.7881619937694699E-2</v>
      </c>
      <c r="X5" s="68" t="s">
        <v>41</v>
      </c>
      <c r="Y5" s="171">
        <f>IF(ISBLANK(J5),Pg1_Velocity_Factor,AVERAGE(W3:W5))</f>
        <v>4.7569456877653238E-2</v>
      </c>
      <c r="Z5" s="170"/>
      <c r="AA5" s="24">
        <f>+AA4</f>
        <v>348.19092000000001</v>
      </c>
      <c r="AB5" s="24">
        <f t="shared" si="10"/>
        <v>363.19092000000001</v>
      </c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4"/>
      <c r="AQ5" s="7"/>
      <c r="AR5" s="7"/>
      <c r="AS5" s="7"/>
      <c r="AT5" s="7"/>
      <c r="AU5" s="7"/>
    </row>
    <row r="6" spans="1:47" ht="13.5" thickBot="1">
      <c r="A6" s="142">
        <f>Settings!C31</f>
        <v>3</v>
      </c>
      <c r="B6" s="143">
        <f>Settings!A31</f>
        <v>41991</v>
      </c>
      <c r="C6" s="144">
        <f>+Availability!AB1</f>
        <v>682.4</v>
      </c>
      <c r="D6" s="173">
        <f t="shared" si="0"/>
        <v>170.6</v>
      </c>
      <c r="E6" s="174">
        <f t="shared" si="11"/>
        <v>20.471999999999998</v>
      </c>
      <c r="F6" s="145">
        <f t="shared" si="12"/>
        <v>491.32799999999997</v>
      </c>
      <c r="G6" s="145">
        <f>FullTimeE4</f>
        <v>10.7</v>
      </c>
      <c r="H6" s="160">
        <v>40</v>
      </c>
      <c r="I6" s="73"/>
      <c r="J6" s="162">
        <v>12</v>
      </c>
      <c r="K6" s="151">
        <f t="shared" si="7"/>
        <v>96</v>
      </c>
      <c r="L6" s="162">
        <v>15</v>
      </c>
      <c r="M6" s="81">
        <f t="shared" si="8"/>
        <v>34.392960000000002</v>
      </c>
      <c r="N6" s="153">
        <v>4</v>
      </c>
      <c r="O6" s="151">
        <f>IF(N6&lt;MaxSprintsToCurve,(Proj1_MaxVelocity/(1+Proj1_InitGrowthFactor^((Proj1_VelocityStartGrowth+Proj1_VelGrowthSprints/2-SprintCountProj1)/Proj1_VelGrowthSprints))),#N/A)</f>
        <v>18.985133154060698</v>
      </c>
      <c r="P6" s="151">
        <f t="shared" si="1"/>
        <v>34.392960000000002</v>
      </c>
      <c r="Q6" s="154">
        <f t="shared" si="2"/>
        <v>12</v>
      </c>
      <c r="R6" s="151">
        <f t="shared" si="9"/>
        <v>168</v>
      </c>
      <c r="S6" s="151" t="e">
        <f t="shared" si="3"/>
        <v>#N/A</v>
      </c>
      <c r="T6" s="151" t="e">
        <f t="shared" si="4"/>
        <v>#N/A</v>
      </c>
      <c r="U6" s="156">
        <f t="shared" si="5"/>
        <v>-5.6070399999999978</v>
      </c>
      <c r="V6" s="25"/>
      <c r="W6" s="83">
        <f t="shared" si="6"/>
        <v>2.4423602969910124E-2</v>
      </c>
      <c r="X6" s="68"/>
      <c r="Y6" s="171">
        <f t="shared" ref="Y6:Y37" si="13">IF(ISBLANK(J6),Pg1_Velocity_Factor,AVERAGE(W3:W6))</f>
        <v>4.1782993400717457E-2</v>
      </c>
      <c r="Z6" s="170"/>
      <c r="AA6" s="24">
        <f t="shared" ref="AA6:AA37" si="14">+AA5</f>
        <v>348.19092000000001</v>
      </c>
      <c r="AB6" s="24">
        <f t="shared" si="10"/>
        <v>378.19092000000001</v>
      </c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4"/>
      <c r="AQ6" s="7"/>
      <c r="AR6" s="7"/>
      <c r="AS6" s="7"/>
      <c r="AT6" s="7"/>
      <c r="AU6" s="7"/>
    </row>
    <row r="7" spans="1:47" s="50" customFormat="1" ht="13.5" thickBot="1">
      <c r="A7" s="142">
        <f>Settings!C32</f>
        <v>4</v>
      </c>
      <c r="B7" s="143">
        <f>Settings!A32</f>
        <v>42005</v>
      </c>
      <c r="C7" s="144">
        <f>+Availability!AI1</f>
        <v>800</v>
      </c>
      <c r="D7" s="173">
        <f t="shared" si="0"/>
        <v>200</v>
      </c>
      <c r="E7" s="174">
        <f t="shared" si="11"/>
        <v>24</v>
      </c>
      <c r="F7" s="145">
        <f t="shared" si="12"/>
        <v>576</v>
      </c>
      <c r="G7" s="145">
        <f>FullTimeE5</f>
        <v>10.7</v>
      </c>
      <c r="H7" s="160">
        <v>45</v>
      </c>
      <c r="I7" s="73"/>
      <c r="J7" s="162">
        <v>53</v>
      </c>
      <c r="K7" s="151">
        <f t="shared" si="7"/>
        <v>149</v>
      </c>
      <c r="L7" s="162"/>
      <c r="M7" s="81">
        <f t="shared" si="8"/>
        <v>40.320000000000007</v>
      </c>
      <c r="N7" s="153">
        <v>5</v>
      </c>
      <c r="O7" s="151" t="e">
        <f>IF(N7&lt;MaxSprintsToCurve,(Proj1_MaxVelocity/(1+Proj1_InitGrowthFactor^((Proj1_VelocityStartGrowth+Proj1_VelGrowthSprints/2-SprintCountProj1)/Proj1_VelGrowthSprints))),#N/A)</f>
        <v>#N/A</v>
      </c>
      <c r="P7" s="151">
        <f t="shared" si="1"/>
        <v>40.320000000000007</v>
      </c>
      <c r="Q7" s="154">
        <f t="shared" si="2"/>
        <v>53</v>
      </c>
      <c r="R7" s="151">
        <f t="shared" si="9"/>
        <v>213</v>
      </c>
      <c r="S7" s="151">
        <f t="shared" si="3"/>
        <v>149</v>
      </c>
      <c r="T7" s="151">
        <f t="shared" si="4"/>
        <v>149</v>
      </c>
      <c r="U7" s="156">
        <f t="shared" si="5"/>
        <v>-4.6799999999999926</v>
      </c>
      <c r="V7" s="25"/>
      <c r="W7" s="83">
        <f t="shared" si="6"/>
        <v>9.2013888888888895E-2</v>
      </c>
      <c r="X7" s="68" t="s">
        <v>41</v>
      </c>
      <c r="Y7" s="171">
        <f t="shared" si="13"/>
        <v>6.2100892521639868E-2</v>
      </c>
      <c r="Z7" s="170"/>
      <c r="AA7" s="24">
        <f t="shared" si="14"/>
        <v>348.19092000000001</v>
      </c>
      <c r="AB7" s="24">
        <f t="shared" si="10"/>
        <v>378.19092000000001</v>
      </c>
      <c r="AD7" s="63"/>
      <c r="AE7" s="63"/>
      <c r="AF7" s="65"/>
      <c r="AG7" s="63"/>
      <c r="AH7" s="63"/>
      <c r="AI7" s="63"/>
      <c r="AJ7" s="63"/>
      <c r="AK7" s="63"/>
      <c r="AL7" s="63"/>
      <c r="AM7" s="63"/>
      <c r="AN7" s="63"/>
      <c r="AO7" s="63"/>
      <c r="AP7" s="64"/>
      <c r="AQ7" s="138"/>
      <c r="AR7" s="138"/>
      <c r="AS7" s="138"/>
      <c r="AT7" s="138"/>
      <c r="AU7" s="138"/>
    </row>
    <row r="8" spans="1:47" s="50" customFormat="1" ht="13.5" thickBot="1">
      <c r="A8" s="142">
        <f>Settings!C33</f>
        <v>5</v>
      </c>
      <c r="B8" s="143">
        <f>Settings!A33</f>
        <v>42019</v>
      </c>
      <c r="C8" s="146">
        <f>+Availability!AP1</f>
        <v>776</v>
      </c>
      <c r="D8" s="173">
        <f t="shared" si="0"/>
        <v>194</v>
      </c>
      <c r="E8" s="174">
        <f t="shared" si="11"/>
        <v>23.279999999999998</v>
      </c>
      <c r="F8" s="147">
        <f t="shared" si="12"/>
        <v>558.72</v>
      </c>
      <c r="G8" s="145">
        <f>FullTimeE6</f>
        <v>9.6999999999999993</v>
      </c>
      <c r="H8" s="160">
        <v>48</v>
      </c>
      <c r="I8" s="74"/>
      <c r="J8" s="163"/>
      <c r="K8" s="151" t="e">
        <f t="shared" si="7"/>
        <v>#N/A</v>
      </c>
      <c r="L8" s="163"/>
      <c r="M8" s="81">
        <f t="shared" si="8"/>
        <v>39.110400000000006</v>
      </c>
      <c r="N8" s="153">
        <v>6</v>
      </c>
      <c r="O8" s="151" t="e">
        <f t="shared" ref="O8:O37" si="15">IF(N8&lt;MaxSprintsToCurve,Proj1_MaxVelocity/(1+Proj1_OngoingGrowthFactor^((Proj1_VelocityStartGrowth+Proj1_VelGrowthSprints/2-SprintCountProj1)/Proj1_VelGrowthSprints)),#N/A)</f>
        <v>#N/A</v>
      </c>
      <c r="P8" s="151">
        <f t="shared" si="1"/>
        <v>39.110400000000006</v>
      </c>
      <c r="Q8" s="154">
        <f t="shared" si="2"/>
        <v>39.110400000000006</v>
      </c>
      <c r="R8" s="151">
        <f t="shared" si="9"/>
        <v>261</v>
      </c>
      <c r="S8" s="151">
        <f t="shared" si="3"/>
        <v>188.1104</v>
      </c>
      <c r="T8" s="151">
        <f t="shared" si="4"/>
        <v>159.89383999999998</v>
      </c>
      <c r="U8" s="157">
        <f t="shared" si="5"/>
        <v>-8.8895999999999944</v>
      </c>
      <c r="V8" s="31"/>
      <c r="W8" s="83">
        <f t="shared" si="6"/>
        <v>0</v>
      </c>
      <c r="X8" s="68" t="s">
        <v>41</v>
      </c>
      <c r="Y8" s="171">
        <f t="shared" si="13"/>
        <v>7.0000000000000007E-2</v>
      </c>
      <c r="Z8" s="170"/>
      <c r="AA8" s="24">
        <f t="shared" si="14"/>
        <v>348.19092000000001</v>
      </c>
      <c r="AB8" s="24">
        <f t="shared" si="10"/>
        <v>378.19092000000001</v>
      </c>
      <c r="AD8" s="63"/>
      <c r="AE8" s="63"/>
      <c r="AF8" s="66"/>
      <c r="AG8" s="63"/>
      <c r="AH8" s="63"/>
      <c r="AI8" s="63"/>
      <c r="AJ8" s="63"/>
      <c r="AK8" s="63"/>
      <c r="AL8" s="63"/>
      <c r="AM8" s="63"/>
      <c r="AN8" s="63"/>
      <c r="AO8" s="63"/>
      <c r="AP8" s="64"/>
      <c r="AQ8" s="138"/>
      <c r="AR8" s="138"/>
      <c r="AS8" s="138"/>
      <c r="AT8" s="138"/>
      <c r="AU8" s="138"/>
    </row>
    <row r="9" spans="1:47" ht="13.5" thickBot="1">
      <c r="A9" s="142">
        <f>Settings!C34</f>
        <v>6</v>
      </c>
      <c r="B9" s="143">
        <f>Settings!A34</f>
        <v>42033</v>
      </c>
      <c r="C9" s="144">
        <f>+Availability!AW1</f>
        <v>776</v>
      </c>
      <c r="D9" s="173">
        <f t="shared" si="0"/>
        <v>194</v>
      </c>
      <c r="E9" s="174">
        <f t="shared" si="11"/>
        <v>23.279999999999998</v>
      </c>
      <c r="F9" s="145">
        <f t="shared" si="12"/>
        <v>558.72</v>
      </c>
      <c r="G9" s="145">
        <f>FullTimeE7</f>
        <v>9.6999999999999993</v>
      </c>
      <c r="H9" s="160">
        <v>32</v>
      </c>
      <c r="I9" s="73"/>
      <c r="J9" s="162"/>
      <c r="K9" s="151" t="e">
        <f t="shared" si="7"/>
        <v>#N/A</v>
      </c>
      <c r="L9" s="162"/>
      <c r="M9" s="81">
        <f t="shared" si="8"/>
        <v>39.110400000000006</v>
      </c>
      <c r="N9" s="153">
        <v>7</v>
      </c>
      <c r="O9" s="151" t="e">
        <f t="shared" si="15"/>
        <v>#N/A</v>
      </c>
      <c r="P9" s="151">
        <f t="shared" si="1"/>
        <v>39.110400000000006</v>
      </c>
      <c r="Q9" s="154">
        <f t="shared" si="2"/>
        <v>39.110400000000006</v>
      </c>
      <c r="R9" s="151">
        <f t="shared" si="9"/>
        <v>293</v>
      </c>
      <c r="S9" s="151">
        <f t="shared" si="3"/>
        <v>227.2208</v>
      </c>
      <c r="T9" s="151">
        <f t="shared" si="4"/>
        <v>193.13767999999999</v>
      </c>
      <c r="U9" s="156">
        <v>0</v>
      </c>
      <c r="V9" s="25"/>
      <c r="W9" s="83">
        <f t="shared" si="6"/>
        <v>0</v>
      </c>
      <c r="X9" s="68" t="s">
        <v>41</v>
      </c>
      <c r="Y9" s="171">
        <f t="shared" si="13"/>
        <v>7.0000000000000007E-2</v>
      </c>
      <c r="Z9" s="170"/>
      <c r="AA9" s="24">
        <f t="shared" si="14"/>
        <v>348.19092000000001</v>
      </c>
      <c r="AB9" s="24">
        <f t="shared" si="10"/>
        <v>378.19092000000001</v>
      </c>
      <c r="AD9" s="63"/>
      <c r="AE9" s="63"/>
      <c r="AF9" s="66"/>
      <c r="AG9" s="63"/>
      <c r="AH9" s="63"/>
      <c r="AI9" s="63"/>
      <c r="AJ9" s="63"/>
      <c r="AK9" s="63"/>
      <c r="AL9" s="63"/>
      <c r="AM9" s="63"/>
      <c r="AN9" s="63"/>
      <c r="AO9" s="63"/>
      <c r="AP9" s="64"/>
      <c r="AQ9" s="7"/>
      <c r="AR9" s="7"/>
      <c r="AS9" s="7"/>
      <c r="AT9" s="7"/>
      <c r="AU9" s="7"/>
    </row>
    <row r="10" spans="1:47" ht="13.5" thickBot="1">
      <c r="A10" s="142">
        <f>Settings!C35</f>
        <v>7</v>
      </c>
      <c r="B10" s="143">
        <f>Settings!A35</f>
        <v>42047</v>
      </c>
      <c r="C10" s="144">
        <f>+Availability!BD1</f>
        <v>776</v>
      </c>
      <c r="D10" s="173">
        <f t="shared" si="0"/>
        <v>194</v>
      </c>
      <c r="E10" s="174">
        <f t="shared" si="11"/>
        <v>23.279999999999998</v>
      </c>
      <c r="F10" s="145">
        <f t="shared" si="12"/>
        <v>558.72</v>
      </c>
      <c r="G10" s="145">
        <f>FullTimeE8</f>
        <v>9.6999999999999993</v>
      </c>
      <c r="H10" s="160">
        <v>48</v>
      </c>
      <c r="I10" s="73"/>
      <c r="J10" s="162"/>
      <c r="K10" s="151" t="e">
        <f t="shared" si="7"/>
        <v>#N/A</v>
      </c>
      <c r="L10" s="162"/>
      <c r="M10" s="81">
        <f t="shared" si="8"/>
        <v>39.110400000000006</v>
      </c>
      <c r="N10" s="153">
        <v>8</v>
      </c>
      <c r="O10" s="151" t="e">
        <f t="shared" si="15"/>
        <v>#N/A</v>
      </c>
      <c r="P10" s="151">
        <f t="shared" si="1"/>
        <v>39.110400000000006</v>
      </c>
      <c r="Q10" s="154">
        <f t="shared" si="2"/>
        <v>39.110400000000006</v>
      </c>
      <c r="R10" s="151">
        <f t="shared" si="9"/>
        <v>341</v>
      </c>
      <c r="S10" s="151">
        <f t="shared" si="3"/>
        <v>266.33120000000002</v>
      </c>
      <c r="T10" s="151">
        <f t="shared" si="4"/>
        <v>226.38152000000002</v>
      </c>
      <c r="U10" s="156">
        <f t="shared" ref="U10:U15" si="16">+P10-H10</f>
        <v>-8.8895999999999944</v>
      </c>
      <c r="V10" s="25"/>
      <c r="W10" s="83">
        <f t="shared" si="6"/>
        <v>0</v>
      </c>
      <c r="X10" s="68"/>
      <c r="Y10" s="171">
        <f t="shared" si="13"/>
        <v>7.0000000000000007E-2</v>
      </c>
      <c r="Z10" s="170"/>
      <c r="AA10" s="24">
        <f t="shared" si="14"/>
        <v>348.19092000000001</v>
      </c>
      <c r="AB10" s="24">
        <f t="shared" si="10"/>
        <v>378.19092000000001</v>
      </c>
      <c r="AD10" s="63"/>
      <c r="AE10" s="63"/>
      <c r="AF10" s="66"/>
      <c r="AG10" s="63"/>
      <c r="AH10" s="63"/>
      <c r="AI10" s="63"/>
      <c r="AJ10" s="63"/>
      <c r="AK10" s="63"/>
      <c r="AL10" s="63"/>
      <c r="AM10" s="63"/>
      <c r="AN10" s="63"/>
      <c r="AO10" s="63"/>
      <c r="AP10" s="64"/>
      <c r="AQ10" s="7"/>
      <c r="AR10" s="7"/>
      <c r="AS10" s="7"/>
      <c r="AT10" s="7"/>
      <c r="AU10" s="7"/>
    </row>
    <row r="11" spans="1:47" ht="13.5" thickBot="1">
      <c r="A11" s="142">
        <f>Settings!C36</f>
        <v>8</v>
      </c>
      <c r="B11" s="143">
        <f>Settings!A36</f>
        <v>42061</v>
      </c>
      <c r="C11" s="148">
        <f>+Availability!BK1</f>
        <v>696</v>
      </c>
      <c r="D11" s="173">
        <f t="shared" si="0"/>
        <v>174</v>
      </c>
      <c r="E11" s="174">
        <f t="shared" si="11"/>
        <v>20.88</v>
      </c>
      <c r="F11" s="149">
        <f t="shared" si="12"/>
        <v>501.12</v>
      </c>
      <c r="G11" s="145">
        <f>FullTimeE9</f>
        <v>8.6999999999999993</v>
      </c>
      <c r="H11" s="160">
        <v>12</v>
      </c>
      <c r="I11" s="75"/>
      <c r="J11" s="164"/>
      <c r="K11" s="151" t="e">
        <f t="shared" si="7"/>
        <v>#N/A</v>
      </c>
      <c r="L11" s="164"/>
      <c r="M11" s="81">
        <f t="shared" si="8"/>
        <v>35.078400000000002</v>
      </c>
      <c r="N11" s="153">
        <v>9</v>
      </c>
      <c r="O11" s="151" t="e">
        <f t="shared" si="15"/>
        <v>#N/A</v>
      </c>
      <c r="P11" s="151">
        <f t="shared" si="1"/>
        <v>35.078400000000002</v>
      </c>
      <c r="Q11" s="154">
        <f>IF(ISBLANK(J11),P11,J11)</f>
        <v>35.078400000000002</v>
      </c>
      <c r="R11" s="151">
        <f t="shared" si="9"/>
        <v>353</v>
      </c>
      <c r="S11" s="151">
        <f t="shared" si="3"/>
        <v>301.40960000000001</v>
      </c>
      <c r="T11" s="151">
        <f t="shared" si="4"/>
        <v>256.19816000000003</v>
      </c>
      <c r="U11" s="158">
        <f t="shared" si="16"/>
        <v>23.078400000000002</v>
      </c>
      <c r="V11" s="38"/>
      <c r="W11" s="83">
        <f t="shared" si="6"/>
        <v>0</v>
      </c>
      <c r="X11" s="68" t="s">
        <v>41</v>
      </c>
      <c r="Y11" s="171">
        <f t="shared" si="13"/>
        <v>7.0000000000000007E-2</v>
      </c>
      <c r="Z11" s="170"/>
      <c r="AA11" s="24">
        <f t="shared" si="14"/>
        <v>348.19092000000001</v>
      </c>
      <c r="AB11" s="24">
        <f t="shared" si="10"/>
        <v>378.19092000000001</v>
      </c>
      <c r="AD11" s="63"/>
      <c r="AE11" s="63"/>
      <c r="AF11" s="66"/>
      <c r="AG11" s="63"/>
      <c r="AH11" s="63"/>
      <c r="AI11" s="63"/>
      <c r="AJ11" s="63"/>
      <c r="AK11" s="63"/>
      <c r="AL11" s="63"/>
      <c r="AM11" s="63"/>
      <c r="AN11" s="63"/>
      <c r="AO11" s="63"/>
      <c r="AP11" s="64"/>
      <c r="AQ11" s="7"/>
      <c r="AR11" s="7"/>
      <c r="AS11" s="7"/>
      <c r="AT11" s="7"/>
      <c r="AU11" s="7"/>
    </row>
    <row r="12" spans="1:47" ht="13.5" hidden="1" thickBot="1">
      <c r="A12" s="142">
        <f>Settings!C37</f>
        <v>9</v>
      </c>
      <c r="B12" s="143">
        <f>Settings!A37</f>
        <v>42075</v>
      </c>
      <c r="C12" s="146">
        <f>+Availability!BR1</f>
        <v>696</v>
      </c>
      <c r="D12" s="173">
        <f t="shared" si="0"/>
        <v>174</v>
      </c>
      <c r="E12" s="174">
        <f t="shared" si="11"/>
        <v>20.88</v>
      </c>
      <c r="F12" s="145">
        <f t="shared" si="12"/>
        <v>501.12</v>
      </c>
      <c r="G12" s="145">
        <f>FullTimeE10</f>
        <v>8.6999999999999993</v>
      </c>
      <c r="H12" s="160"/>
      <c r="I12" s="74"/>
      <c r="J12" s="163"/>
      <c r="K12" s="151" t="e">
        <f t="shared" si="7"/>
        <v>#N/A</v>
      </c>
      <c r="L12" s="163"/>
      <c r="M12" s="81">
        <f t="shared" si="8"/>
        <v>35.078400000000002</v>
      </c>
      <c r="N12" s="153">
        <v>10</v>
      </c>
      <c r="O12" s="151" t="e">
        <f t="shared" si="15"/>
        <v>#N/A</v>
      </c>
      <c r="P12" s="151">
        <f t="shared" si="1"/>
        <v>35.078400000000002</v>
      </c>
      <c r="Q12" s="151">
        <f>IF(ISBLANK(J12),P12,J12)</f>
        <v>35.078400000000002</v>
      </c>
      <c r="R12" s="151">
        <f t="shared" si="9"/>
        <v>388.07839999999999</v>
      </c>
      <c r="S12" s="151">
        <f t="shared" si="3"/>
        <v>336.488</v>
      </c>
      <c r="T12" s="151">
        <f t="shared" si="4"/>
        <v>286.01479999999998</v>
      </c>
      <c r="U12" s="157">
        <f t="shared" si="16"/>
        <v>35.078400000000002</v>
      </c>
      <c r="V12" s="31"/>
      <c r="W12" s="83">
        <f t="shared" si="6"/>
        <v>0</v>
      </c>
      <c r="X12" s="68" t="s">
        <v>41</v>
      </c>
      <c r="Y12" s="171">
        <f t="shared" si="13"/>
        <v>7.0000000000000007E-2</v>
      </c>
      <c r="Z12" s="170"/>
      <c r="AA12" s="24">
        <f t="shared" si="14"/>
        <v>348.19092000000001</v>
      </c>
      <c r="AB12" s="24">
        <f t="shared" si="10"/>
        <v>378.19092000000001</v>
      </c>
      <c r="AD12" s="63"/>
      <c r="AE12" s="63"/>
      <c r="AF12" s="66"/>
      <c r="AG12" s="63"/>
      <c r="AH12" s="63"/>
      <c r="AI12" s="63"/>
      <c r="AJ12" s="63"/>
      <c r="AK12" s="63"/>
      <c r="AL12" s="63"/>
      <c r="AM12" s="63"/>
      <c r="AN12" s="63"/>
      <c r="AO12" s="63"/>
      <c r="AP12" s="64"/>
      <c r="AQ12" s="7"/>
      <c r="AR12" s="7"/>
      <c r="AS12" s="7"/>
      <c r="AT12" s="7"/>
      <c r="AU12" s="7"/>
    </row>
    <row r="13" spans="1:47" s="50" customFormat="1" ht="13.5" hidden="1" thickBot="1">
      <c r="A13" s="142">
        <f>Settings!C38</f>
        <v>10</v>
      </c>
      <c r="B13" s="143">
        <f>Settings!A38</f>
        <v>42089</v>
      </c>
      <c r="C13" s="146">
        <f>+Availability!BY1</f>
        <v>664</v>
      </c>
      <c r="D13" s="173">
        <f t="shared" si="0"/>
        <v>166</v>
      </c>
      <c r="E13" s="174">
        <f t="shared" si="11"/>
        <v>19.919999999999998</v>
      </c>
      <c r="F13" s="145">
        <f t="shared" si="12"/>
        <v>478.08</v>
      </c>
      <c r="G13" s="145">
        <f>FullTimeE11</f>
        <v>8.6999999999999993</v>
      </c>
      <c r="H13" s="160"/>
      <c r="I13" s="74"/>
      <c r="J13" s="163"/>
      <c r="K13" s="151" t="e">
        <f t="shared" si="7"/>
        <v>#N/A</v>
      </c>
      <c r="L13" s="163"/>
      <c r="M13" s="81">
        <f t="shared" si="8"/>
        <v>33.465600000000002</v>
      </c>
      <c r="N13" s="153">
        <v>11</v>
      </c>
      <c r="O13" s="151" t="e">
        <f t="shared" si="15"/>
        <v>#N/A</v>
      </c>
      <c r="P13" s="151">
        <f t="shared" si="1"/>
        <v>33.465600000000002</v>
      </c>
      <c r="Q13" s="151">
        <f>IF(ISBLANK(J13),P13,J13)</f>
        <v>33.465600000000002</v>
      </c>
      <c r="R13" s="151">
        <f t="shared" si="9"/>
        <v>421.54399999999998</v>
      </c>
      <c r="S13" s="151">
        <f t="shared" si="3"/>
        <v>369.95359999999999</v>
      </c>
      <c r="T13" s="151">
        <f t="shared" si="4"/>
        <v>314.46055999999999</v>
      </c>
      <c r="U13" s="157">
        <f t="shared" si="16"/>
        <v>33.465600000000002</v>
      </c>
      <c r="V13" s="31"/>
      <c r="W13" s="83">
        <f t="shared" si="6"/>
        <v>0</v>
      </c>
      <c r="X13" s="68" t="s">
        <v>41</v>
      </c>
      <c r="Y13" s="171">
        <f t="shared" si="13"/>
        <v>7.0000000000000007E-2</v>
      </c>
      <c r="Z13" s="170"/>
      <c r="AA13" s="24">
        <f t="shared" si="14"/>
        <v>348.19092000000001</v>
      </c>
      <c r="AB13" s="24">
        <f t="shared" si="10"/>
        <v>378.19092000000001</v>
      </c>
      <c r="AD13" s="63"/>
      <c r="AE13" s="63"/>
      <c r="AF13" s="66"/>
      <c r="AG13" s="63"/>
      <c r="AH13" s="63"/>
      <c r="AI13" s="63"/>
      <c r="AJ13" s="63"/>
      <c r="AK13" s="63"/>
      <c r="AL13" s="63"/>
      <c r="AM13" s="63"/>
      <c r="AN13" s="63"/>
      <c r="AO13" s="63"/>
      <c r="AP13" s="64"/>
      <c r="AQ13" s="138"/>
      <c r="AR13" s="138"/>
      <c r="AS13" s="138"/>
      <c r="AT13" s="138"/>
      <c r="AU13" s="138"/>
    </row>
    <row r="14" spans="1:47" ht="13.5" hidden="1" thickBot="1">
      <c r="A14" s="142">
        <f>Settings!C39</f>
        <v>11</v>
      </c>
      <c r="B14" s="143">
        <f>Settings!A39</f>
        <v>42103</v>
      </c>
      <c r="C14" s="144">
        <f>+Availability!CF1</f>
        <v>696</v>
      </c>
      <c r="D14" s="173">
        <f t="shared" si="0"/>
        <v>174</v>
      </c>
      <c r="E14" s="174">
        <f t="shared" si="11"/>
        <v>20.88</v>
      </c>
      <c r="F14" s="145">
        <f t="shared" si="12"/>
        <v>501.12</v>
      </c>
      <c r="G14" s="145">
        <f>FullTimeE12</f>
        <v>8.6999999999999993</v>
      </c>
      <c r="H14" s="160"/>
      <c r="I14" s="73"/>
      <c r="J14" s="162"/>
      <c r="K14" s="151" t="e">
        <f t="shared" si="7"/>
        <v>#N/A</v>
      </c>
      <c r="L14" s="162"/>
      <c r="M14" s="81">
        <f t="shared" si="8"/>
        <v>35.078400000000002</v>
      </c>
      <c r="N14" s="153">
        <v>12</v>
      </c>
      <c r="O14" s="151" t="e">
        <f t="shared" si="15"/>
        <v>#N/A</v>
      </c>
      <c r="P14" s="151">
        <f t="shared" si="1"/>
        <v>35.078400000000002</v>
      </c>
      <c r="Q14" s="151">
        <f>IF(ISBLANK(J14),P14,J14)</f>
        <v>35.078400000000002</v>
      </c>
      <c r="R14" s="151">
        <f t="shared" si="9"/>
        <v>456.62239999999997</v>
      </c>
      <c r="S14" s="151">
        <f t="shared" si="3"/>
        <v>405.03199999999998</v>
      </c>
      <c r="T14" s="151">
        <f t="shared" si="4"/>
        <v>344.27719999999999</v>
      </c>
      <c r="U14" s="157">
        <f t="shared" si="16"/>
        <v>35.078400000000002</v>
      </c>
      <c r="V14" s="31"/>
      <c r="W14" s="83">
        <f t="shared" si="6"/>
        <v>0</v>
      </c>
      <c r="X14" s="68" t="s">
        <v>41</v>
      </c>
      <c r="Y14" s="26">
        <f t="shared" si="13"/>
        <v>7.0000000000000007E-2</v>
      </c>
      <c r="Z14" s="170"/>
      <c r="AA14" s="24">
        <f t="shared" si="14"/>
        <v>348.19092000000001</v>
      </c>
      <c r="AB14" s="24">
        <f t="shared" si="10"/>
        <v>378.19092000000001</v>
      </c>
      <c r="AD14" s="63"/>
      <c r="AE14" s="63"/>
      <c r="AF14" s="66"/>
      <c r="AG14" s="63"/>
      <c r="AH14" s="63"/>
      <c r="AI14" s="63"/>
      <c r="AJ14" s="63"/>
      <c r="AK14" s="63"/>
      <c r="AL14" s="63"/>
      <c r="AM14" s="63"/>
      <c r="AN14" s="63"/>
      <c r="AO14" s="63"/>
      <c r="AP14" s="64"/>
      <c r="AQ14" s="7"/>
      <c r="AR14" s="7"/>
      <c r="AS14" s="7"/>
      <c r="AT14" s="7"/>
      <c r="AU14" s="7"/>
    </row>
    <row r="15" spans="1:47" ht="13.5" hidden="1" thickBot="1">
      <c r="A15" s="142">
        <f>Settings!C40</f>
        <v>12</v>
      </c>
      <c r="B15" s="143">
        <f>Settings!A40</f>
        <v>42117</v>
      </c>
      <c r="C15" s="144">
        <f>+Availability!CM1</f>
        <v>696</v>
      </c>
      <c r="D15" s="173">
        <f t="shared" si="0"/>
        <v>174</v>
      </c>
      <c r="E15" s="174">
        <f t="shared" si="11"/>
        <v>20.88</v>
      </c>
      <c r="F15" s="145">
        <f t="shared" si="12"/>
        <v>501.12</v>
      </c>
      <c r="G15" s="145">
        <f>FullTimeE13</f>
        <v>8.6999999999999993</v>
      </c>
      <c r="H15" s="160"/>
      <c r="I15" s="73"/>
      <c r="J15" s="162"/>
      <c r="K15" s="151" t="e">
        <f t="shared" si="7"/>
        <v>#N/A</v>
      </c>
      <c r="L15" s="162"/>
      <c r="M15" s="81">
        <f t="shared" si="8"/>
        <v>35.078400000000002</v>
      </c>
      <c r="N15" s="153">
        <v>13</v>
      </c>
      <c r="O15" s="151" t="e">
        <f t="shared" si="15"/>
        <v>#N/A</v>
      </c>
      <c r="P15" s="151">
        <f t="shared" si="1"/>
        <v>35.078400000000002</v>
      </c>
      <c r="Q15" s="151">
        <f t="shared" ref="Q15:Q36" si="17">IF(ISBLANK(J15),P15,J15)</f>
        <v>35.078400000000002</v>
      </c>
      <c r="R15" s="151">
        <f t="shared" si="9"/>
        <v>491.70079999999996</v>
      </c>
      <c r="S15" s="151">
        <f t="shared" ref="S15:S37" si="18">IF(ISNA(K15),IF(ISNA(K14),S14+M15,K14+M15),IF(ISNA(K16),K15,#N/A))</f>
        <v>440.11039999999997</v>
      </c>
      <c r="T15" s="151">
        <f t="shared" si="4"/>
        <v>374.09383999999994</v>
      </c>
      <c r="U15" s="157">
        <f t="shared" si="16"/>
        <v>35.078400000000002</v>
      </c>
      <c r="V15" s="31"/>
      <c r="W15" s="83">
        <f t="shared" si="6"/>
        <v>0</v>
      </c>
      <c r="X15" s="68" t="s">
        <v>41</v>
      </c>
      <c r="Y15" s="26">
        <f t="shared" si="13"/>
        <v>7.0000000000000007E-2</v>
      </c>
      <c r="Z15" s="170"/>
      <c r="AA15" s="24">
        <f t="shared" si="14"/>
        <v>348.19092000000001</v>
      </c>
      <c r="AB15" s="24">
        <f t="shared" si="10"/>
        <v>378.19092000000001</v>
      </c>
      <c r="AD15" s="63"/>
      <c r="AE15" s="63"/>
      <c r="AF15" s="66"/>
      <c r="AG15" s="63"/>
      <c r="AH15" s="63"/>
      <c r="AI15" s="63"/>
      <c r="AJ15" s="63"/>
      <c r="AK15" s="63"/>
      <c r="AL15" s="63"/>
      <c r="AM15" s="63"/>
      <c r="AN15" s="63"/>
      <c r="AO15" s="63"/>
      <c r="AP15" s="64"/>
      <c r="AQ15" s="7"/>
      <c r="AR15" s="7"/>
      <c r="AS15" s="7"/>
      <c r="AT15" s="7"/>
      <c r="AU15" s="7"/>
    </row>
    <row r="16" spans="1:47" ht="13.5" hidden="1" thickBot="1">
      <c r="A16" s="142">
        <f>Settings!C41</f>
        <v>13</v>
      </c>
      <c r="B16" s="143">
        <f>Settings!A41</f>
        <v>42131</v>
      </c>
      <c r="C16" s="144">
        <f>+Availability!CT1</f>
        <v>696</v>
      </c>
      <c r="D16" s="173">
        <f t="shared" si="0"/>
        <v>174</v>
      </c>
      <c r="E16" s="174">
        <f t="shared" si="11"/>
        <v>20.88</v>
      </c>
      <c r="F16" s="145">
        <f t="shared" ref="F16:F37" si="19">+C16-D16-E16</f>
        <v>501.12</v>
      </c>
      <c r="G16" s="145">
        <f>FullTimeE14</f>
        <v>8.6999999999999993</v>
      </c>
      <c r="H16" s="160"/>
      <c r="I16" s="73"/>
      <c r="J16" s="162"/>
      <c r="K16" s="151" t="e">
        <f t="shared" si="7"/>
        <v>#N/A</v>
      </c>
      <c r="L16" s="162"/>
      <c r="M16" s="81">
        <f t="shared" si="8"/>
        <v>35.078400000000002</v>
      </c>
      <c r="N16" s="153">
        <v>14</v>
      </c>
      <c r="O16" s="151" t="e">
        <f t="shared" si="15"/>
        <v>#N/A</v>
      </c>
      <c r="P16" s="151">
        <f t="shared" si="1"/>
        <v>35.078400000000002</v>
      </c>
      <c r="Q16" s="151">
        <f t="shared" si="17"/>
        <v>35.078400000000002</v>
      </c>
      <c r="R16" s="151">
        <f t="shared" si="9"/>
        <v>526.77919999999995</v>
      </c>
      <c r="S16" s="151">
        <f t="shared" si="18"/>
        <v>475.18879999999996</v>
      </c>
      <c r="T16" s="151">
        <f t="shared" si="4"/>
        <v>403.91047999999995</v>
      </c>
      <c r="U16" s="157">
        <f t="shared" ref="U16:U37" si="20">+P16-H16</f>
        <v>35.078400000000002</v>
      </c>
      <c r="V16" s="31"/>
      <c r="W16" s="83">
        <f t="shared" si="6"/>
        <v>0</v>
      </c>
      <c r="X16" s="68" t="s">
        <v>41</v>
      </c>
      <c r="Y16" s="26">
        <f t="shared" si="13"/>
        <v>7.0000000000000007E-2</v>
      </c>
      <c r="Z16" s="170"/>
      <c r="AA16" s="24">
        <f t="shared" si="14"/>
        <v>348.19092000000001</v>
      </c>
      <c r="AB16" s="24">
        <f t="shared" si="10"/>
        <v>378.19092000000001</v>
      </c>
      <c r="AD16" s="63"/>
      <c r="AE16" s="63"/>
      <c r="AF16" s="66"/>
      <c r="AG16" s="63"/>
      <c r="AH16" s="63"/>
      <c r="AI16" s="63"/>
      <c r="AJ16" s="63"/>
      <c r="AK16" s="63"/>
      <c r="AL16" s="63"/>
      <c r="AM16" s="63"/>
      <c r="AN16" s="63"/>
      <c r="AO16" s="63"/>
      <c r="AP16" s="64"/>
      <c r="AQ16" s="7"/>
      <c r="AR16" s="7"/>
      <c r="AS16" s="7"/>
      <c r="AT16" s="7"/>
      <c r="AU16" s="7"/>
    </row>
    <row r="17" spans="1:47" ht="13.5" hidden="1" thickBot="1">
      <c r="A17" s="142">
        <f>Settings!C42</f>
        <v>14</v>
      </c>
      <c r="B17" s="143">
        <f>Settings!A42</f>
        <v>42145</v>
      </c>
      <c r="C17" s="144">
        <f>+Availability!DA1</f>
        <v>696</v>
      </c>
      <c r="D17" s="173">
        <f t="shared" si="0"/>
        <v>174</v>
      </c>
      <c r="E17" s="174">
        <f t="shared" si="11"/>
        <v>20.88</v>
      </c>
      <c r="F17" s="145">
        <f t="shared" si="19"/>
        <v>501.12</v>
      </c>
      <c r="G17" s="145">
        <f>FullTimeE15</f>
        <v>8.6999999999999993</v>
      </c>
      <c r="H17" s="160"/>
      <c r="I17" s="73"/>
      <c r="J17" s="162"/>
      <c r="K17" s="151" t="e">
        <f t="shared" si="7"/>
        <v>#N/A</v>
      </c>
      <c r="L17" s="162"/>
      <c r="M17" s="81">
        <f t="shared" si="8"/>
        <v>35.078400000000002</v>
      </c>
      <c r="N17" s="153">
        <v>15</v>
      </c>
      <c r="O17" s="151" t="e">
        <f t="shared" si="15"/>
        <v>#N/A</v>
      </c>
      <c r="P17" s="151">
        <f t="shared" si="1"/>
        <v>35.078400000000002</v>
      </c>
      <c r="Q17" s="151">
        <f t="shared" si="17"/>
        <v>35.078400000000002</v>
      </c>
      <c r="R17" s="151">
        <f t="shared" si="9"/>
        <v>561.85759999999993</v>
      </c>
      <c r="S17" s="151">
        <f t="shared" si="18"/>
        <v>510.26719999999995</v>
      </c>
      <c r="T17" s="151">
        <f t="shared" si="4"/>
        <v>433.72711999999996</v>
      </c>
      <c r="U17" s="157">
        <f t="shared" si="20"/>
        <v>35.078400000000002</v>
      </c>
      <c r="V17" s="31"/>
      <c r="W17" s="83">
        <f t="shared" si="6"/>
        <v>0</v>
      </c>
      <c r="X17" s="68" t="s">
        <v>41</v>
      </c>
      <c r="Y17" s="26">
        <f t="shared" si="13"/>
        <v>7.0000000000000007E-2</v>
      </c>
      <c r="Z17" s="170"/>
      <c r="AA17" s="24">
        <f t="shared" si="14"/>
        <v>348.19092000000001</v>
      </c>
      <c r="AB17" s="24">
        <f t="shared" si="10"/>
        <v>378.19092000000001</v>
      </c>
      <c r="AD17" s="63"/>
      <c r="AE17" s="63"/>
      <c r="AF17" s="66"/>
      <c r="AG17" s="63"/>
      <c r="AH17" s="63"/>
      <c r="AI17" s="63"/>
      <c r="AJ17" s="63"/>
      <c r="AK17" s="63"/>
      <c r="AL17" s="63"/>
      <c r="AM17" s="63"/>
      <c r="AN17" s="63"/>
      <c r="AO17" s="63"/>
      <c r="AP17" s="64"/>
      <c r="AQ17" s="7"/>
      <c r="AR17" s="7"/>
      <c r="AS17" s="7"/>
      <c r="AT17" s="7"/>
      <c r="AU17" s="7"/>
    </row>
    <row r="18" spans="1:47" ht="13.5" hidden="1" thickBot="1">
      <c r="A18" s="142">
        <f>Settings!C43</f>
        <v>15</v>
      </c>
      <c r="B18" s="143">
        <f>Settings!A43</f>
        <v>42159</v>
      </c>
      <c r="C18" s="144">
        <f>+Availability!DH1</f>
        <v>696</v>
      </c>
      <c r="D18" s="173">
        <f t="shared" si="0"/>
        <v>174</v>
      </c>
      <c r="E18" s="174">
        <f t="shared" si="11"/>
        <v>20.88</v>
      </c>
      <c r="F18" s="145">
        <f t="shared" si="19"/>
        <v>501.12</v>
      </c>
      <c r="G18" s="145">
        <f>FullTimeE16</f>
        <v>8.6999999999999993</v>
      </c>
      <c r="H18" s="160"/>
      <c r="I18" s="73"/>
      <c r="J18" s="162"/>
      <c r="K18" s="151" t="e">
        <f t="shared" si="7"/>
        <v>#N/A</v>
      </c>
      <c r="L18" s="162"/>
      <c r="M18" s="81">
        <f t="shared" si="8"/>
        <v>35.078400000000002</v>
      </c>
      <c r="N18" s="153">
        <v>16</v>
      </c>
      <c r="O18" s="151" t="e">
        <f t="shared" si="15"/>
        <v>#N/A</v>
      </c>
      <c r="P18" s="151">
        <f t="shared" si="1"/>
        <v>35.078400000000002</v>
      </c>
      <c r="Q18" s="151">
        <f t="shared" si="17"/>
        <v>35.078400000000002</v>
      </c>
      <c r="R18" s="151">
        <f t="shared" si="9"/>
        <v>596.93599999999992</v>
      </c>
      <c r="S18" s="151">
        <f t="shared" si="18"/>
        <v>545.34559999999999</v>
      </c>
      <c r="T18" s="151">
        <f t="shared" si="4"/>
        <v>463.54375999999996</v>
      </c>
      <c r="U18" s="157">
        <f t="shared" si="20"/>
        <v>35.078400000000002</v>
      </c>
      <c r="V18" s="31"/>
      <c r="W18" s="83">
        <f t="shared" si="6"/>
        <v>0</v>
      </c>
      <c r="X18" s="68"/>
      <c r="Y18" s="26">
        <f t="shared" si="13"/>
        <v>7.0000000000000007E-2</v>
      </c>
      <c r="Z18" s="170"/>
      <c r="AA18" s="24">
        <f t="shared" si="14"/>
        <v>348.19092000000001</v>
      </c>
      <c r="AB18" s="24">
        <f t="shared" si="10"/>
        <v>378.19092000000001</v>
      </c>
      <c r="AD18" s="63"/>
      <c r="AE18" s="63"/>
      <c r="AF18" s="66"/>
      <c r="AG18" s="63"/>
      <c r="AH18" s="63"/>
      <c r="AI18" s="63"/>
      <c r="AJ18" s="63"/>
      <c r="AK18" s="63"/>
      <c r="AL18" s="63"/>
      <c r="AM18" s="63"/>
      <c r="AN18" s="63"/>
      <c r="AO18" s="63"/>
      <c r="AP18" s="64"/>
      <c r="AQ18" s="7"/>
      <c r="AR18" s="7"/>
      <c r="AS18" s="7"/>
      <c r="AT18" s="7"/>
      <c r="AU18" s="7"/>
    </row>
    <row r="19" spans="1:47" ht="13.5" hidden="1" thickBot="1">
      <c r="A19" s="142">
        <f>Settings!C44</f>
        <v>16</v>
      </c>
      <c r="B19" s="143">
        <f>Settings!A44</f>
        <v>42173</v>
      </c>
      <c r="C19" s="144">
        <f>+Availability!DO1</f>
        <v>696</v>
      </c>
      <c r="D19" s="173">
        <f t="shared" si="0"/>
        <v>174</v>
      </c>
      <c r="E19" s="174">
        <f t="shared" si="11"/>
        <v>20.88</v>
      </c>
      <c r="F19" s="145">
        <f t="shared" si="19"/>
        <v>501.12</v>
      </c>
      <c r="G19" s="145">
        <f>FullTimeE16</f>
        <v>8.6999999999999993</v>
      </c>
      <c r="H19" s="160"/>
      <c r="I19" s="73"/>
      <c r="J19" s="162"/>
      <c r="K19" s="151" t="e">
        <f t="shared" si="7"/>
        <v>#N/A</v>
      </c>
      <c r="L19" s="162"/>
      <c r="M19" s="81">
        <f t="shared" si="8"/>
        <v>35.078400000000002</v>
      </c>
      <c r="N19" s="153">
        <v>17</v>
      </c>
      <c r="O19" s="151" t="e">
        <f t="shared" si="15"/>
        <v>#N/A</v>
      </c>
      <c r="P19" s="151">
        <f t="shared" si="1"/>
        <v>35.078400000000002</v>
      </c>
      <c r="Q19" s="151">
        <f t="shared" si="17"/>
        <v>35.078400000000002</v>
      </c>
      <c r="R19" s="151">
        <f t="shared" si="9"/>
        <v>632.01439999999991</v>
      </c>
      <c r="S19" s="151">
        <f t="shared" si="18"/>
        <v>580.42399999999998</v>
      </c>
      <c r="T19" s="151">
        <f t="shared" si="4"/>
        <v>493.36039999999997</v>
      </c>
      <c r="U19" s="157">
        <f t="shared" si="20"/>
        <v>35.078400000000002</v>
      </c>
      <c r="V19" s="31"/>
      <c r="W19" s="83">
        <f t="shared" si="6"/>
        <v>0</v>
      </c>
      <c r="X19" s="68" t="s">
        <v>41</v>
      </c>
      <c r="Y19" s="26">
        <f t="shared" si="13"/>
        <v>7.0000000000000007E-2</v>
      </c>
      <c r="Z19" s="170"/>
      <c r="AA19" s="24">
        <f t="shared" si="14"/>
        <v>348.19092000000001</v>
      </c>
      <c r="AB19" s="24">
        <f t="shared" si="10"/>
        <v>378.19092000000001</v>
      </c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4"/>
      <c r="AQ19" s="7"/>
      <c r="AR19" s="7"/>
      <c r="AS19" s="7"/>
      <c r="AT19" s="7"/>
      <c r="AU19" s="7"/>
    </row>
    <row r="20" spans="1:47" ht="13.5" hidden="1" thickBot="1">
      <c r="A20" s="142">
        <f>Settings!C45</f>
        <v>17</v>
      </c>
      <c r="B20" s="143">
        <f>Settings!A45</f>
        <v>42187</v>
      </c>
      <c r="C20" s="144">
        <f>Availability!DV1</f>
        <v>696</v>
      </c>
      <c r="D20" s="173">
        <f t="shared" si="0"/>
        <v>174</v>
      </c>
      <c r="E20" s="174">
        <f t="shared" si="11"/>
        <v>20.88</v>
      </c>
      <c r="F20" s="145">
        <f t="shared" si="19"/>
        <v>501.12</v>
      </c>
      <c r="G20" s="145">
        <f>FullTimeE17</f>
        <v>8.6999999999999993</v>
      </c>
      <c r="H20" s="160"/>
      <c r="I20" s="73"/>
      <c r="J20" s="162"/>
      <c r="K20" s="151" t="e">
        <f t="shared" ref="K20:K37" si="21">IF(ISBLANK(J20),#N/A,J20+K19)</f>
        <v>#N/A</v>
      </c>
      <c r="L20" s="162"/>
      <c r="M20" s="81">
        <f t="shared" si="8"/>
        <v>35.078400000000002</v>
      </c>
      <c r="N20" s="153">
        <v>18</v>
      </c>
      <c r="O20" s="151" t="e">
        <f t="shared" si="15"/>
        <v>#N/A</v>
      </c>
      <c r="P20" s="151">
        <f t="shared" si="1"/>
        <v>35.078400000000002</v>
      </c>
      <c r="Q20" s="151">
        <f t="shared" si="17"/>
        <v>35.078400000000002</v>
      </c>
      <c r="R20" s="151">
        <f t="shared" si="9"/>
        <v>667.0927999999999</v>
      </c>
      <c r="S20" s="151">
        <f t="shared" si="18"/>
        <v>615.50239999999997</v>
      </c>
      <c r="T20" s="151">
        <f t="shared" si="4"/>
        <v>523.17703999999992</v>
      </c>
      <c r="U20" s="157">
        <f t="shared" si="20"/>
        <v>35.078400000000002</v>
      </c>
      <c r="V20" s="31"/>
      <c r="W20" s="83">
        <f t="shared" si="6"/>
        <v>0</v>
      </c>
      <c r="X20" s="68" t="s">
        <v>41</v>
      </c>
      <c r="Y20" s="26">
        <f t="shared" si="13"/>
        <v>7.0000000000000007E-2</v>
      </c>
      <c r="Z20" s="170"/>
      <c r="AA20" s="24">
        <f t="shared" si="14"/>
        <v>348.19092000000001</v>
      </c>
      <c r="AB20" s="24">
        <f t="shared" si="10"/>
        <v>378.19092000000001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4"/>
      <c r="AQ20" s="7"/>
      <c r="AR20" s="7"/>
      <c r="AS20" s="7"/>
      <c r="AT20" s="7"/>
      <c r="AU20" s="7"/>
    </row>
    <row r="21" spans="1:47" ht="13.5" hidden="1" thickBot="1">
      <c r="A21" s="142">
        <f>Settings!C46</f>
        <v>18</v>
      </c>
      <c r="B21" s="143">
        <f>Settings!A46</f>
        <v>42201</v>
      </c>
      <c r="C21" s="144">
        <f>Availability!EC1</f>
        <v>696</v>
      </c>
      <c r="D21" s="173">
        <f t="shared" si="0"/>
        <v>174</v>
      </c>
      <c r="E21" s="174">
        <f t="shared" si="11"/>
        <v>20.88</v>
      </c>
      <c r="F21" s="145">
        <f t="shared" si="19"/>
        <v>501.12</v>
      </c>
      <c r="G21" s="145">
        <f>FullTimeE18</f>
        <v>8.6999999999999993</v>
      </c>
      <c r="H21" s="160"/>
      <c r="I21" s="73"/>
      <c r="J21" s="162"/>
      <c r="K21" s="151" t="e">
        <f t="shared" si="21"/>
        <v>#N/A</v>
      </c>
      <c r="L21" s="162"/>
      <c r="M21" s="81">
        <f t="shared" si="8"/>
        <v>35.078400000000002</v>
      </c>
      <c r="N21" s="153">
        <v>19</v>
      </c>
      <c r="O21" s="151" t="e">
        <f t="shared" si="15"/>
        <v>#N/A</v>
      </c>
      <c r="P21" s="151">
        <f t="shared" si="1"/>
        <v>35.078400000000002</v>
      </c>
      <c r="Q21" s="151">
        <f t="shared" si="17"/>
        <v>35.078400000000002</v>
      </c>
      <c r="R21" s="151">
        <f t="shared" si="9"/>
        <v>702.17119999999989</v>
      </c>
      <c r="S21" s="151">
        <f t="shared" si="18"/>
        <v>650.58079999999995</v>
      </c>
      <c r="T21" s="151">
        <f t="shared" si="4"/>
        <v>552.99367999999993</v>
      </c>
      <c r="U21" s="157">
        <f t="shared" si="20"/>
        <v>35.078400000000002</v>
      </c>
      <c r="V21" s="31"/>
      <c r="W21" s="83">
        <f t="shared" si="6"/>
        <v>0</v>
      </c>
      <c r="X21" s="68" t="s">
        <v>41</v>
      </c>
      <c r="Y21" s="26">
        <f t="shared" si="13"/>
        <v>7.0000000000000007E-2</v>
      </c>
      <c r="Z21" s="170"/>
      <c r="AA21" s="24">
        <f t="shared" si="14"/>
        <v>348.19092000000001</v>
      </c>
      <c r="AB21" s="24">
        <f t="shared" si="10"/>
        <v>378.19092000000001</v>
      </c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4"/>
      <c r="AQ21" s="7"/>
      <c r="AR21" s="7"/>
      <c r="AS21" s="7"/>
      <c r="AT21" s="7"/>
      <c r="AU21" s="7"/>
    </row>
    <row r="22" spans="1:47" ht="13.5" hidden="1" thickBot="1">
      <c r="A22" s="142">
        <f>Settings!C47</f>
        <v>19</v>
      </c>
      <c r="B22" s="143">
        <f>Settings!A47</f>
        <v>42215</v>
      </c>
      <c r="C22" s="144">
        <f>Availability!EJ1</f>
        <v>696</v>
      </c>
      <c r="D22" s="173">
        <f t="shared" si="0"/>
        <v>174</v>
      </c>
      <c r="E22" s="174">
        <f t="shared" si="11"/>
        <v>20.88</v>
      </c>
      <c r="F22" s="145">
        <f t="shared" si="19"/>
        <v>501.12</v>
      </c>
      <c r="G22" s="145">
        <f>FullTimeE19</f>
        <v>8.6999999999999993</v>
      </c>
      <c r="H22" s="160"/>
      <c r="I22" s="73"/>
      <c r="J22" s="162"/>
      <c r="K22" s="151" t="e">
        <f t="shared" si="21"/>
        <v>#N/A</v>
      </c>
      <c r="L22" s="162"/>
      <c r="M22" s="81">
        <f t="shared" si="8"/>
        <v>35.078400000000002</v>
      </c>
      <c r="N22" s="153">
        <v>20</v>
      </c>
      <c r="O22" s="151" t="e">
        <f t="shared" si="15"/>
        <v>#N/A</v>
      </c>
      <c r="P22" s="151">
        <f t="shared" si="1"/>
        <v>35.078400000000002</v>
      </c>
      <c r="Q22" s="151">
        <f t="shared" si="17"/>
        <v>35.078400000000002</v>
      </c>
      <c r="R22" s="151">
        <f t="shared" si="9"/>
        <v>737.24959999999987</v>
      </c>
      <c r="S22" s="151">
        <f t="shared" si="18"/>
        <v>685.65919999999994</v>
      </c>
      <c r="T22" s="151">
        <f t="shared" si="4"/>
        <v>582.81031999999993</v>
      </c>
      <c r="U22" s="157">
        <f t="shared" si="20"/>
        <v>35.078400000000002</v>
      </c>
      <c r="V22" s="31"/>
      <c r="W22" s="83">
        <f t="shared" si="6"/>
        <v>0</v>
      </c>
      <c r="X22" s="68" t="s">
        <v>41</v>
      </c>
      <c r="Y22" s="26">
        <f t="shared" si="13"/>
        <v>7.0000000000000007E-2</v>
      </c>
      <c r="Z22" s="170"/>
      <c r="AA22" s="24">
        <f t="shared" si="14"/>
        <v>348.19092000000001</v>
      </c>
      <c r="AB22" s="24">
        <f t="shared" si="10"/>
        <v>378.19092000000001</v>
      </c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4"/>
      <c r="AQ22" s="7"/>
      <c r="AR22" s="7"/>
      <c r="AS22" s="7"/>
      <c r="AT22" s="7"/>
      <c r="AU22" s="7"/>
    </row>
    <row r="23" spans="1:47" ht="13.5" hidden="1" thickBot="1">
      <c r="A23" s="142">
        <f>Settings!C48</f>
        <v>20</v>
      </c>
      <c r="B23" s="143">
        <f>Settings!A48</f>
        <v>42229</v>
      </c>
      <c r="C23" s="144">
        <f>Availability!EQ1</f>
        <v>696</v>
      </c>
      <c r="D23" s="173">
        <f t="shared" si="0"/>
        <v>174</v>
      </c>
      <c r="E23" s="174">
        <f t="shared" si="11"/>
        <v>20.88</v>
      </c>
      <c r="F23" s="145">
        <f t="shared" si="19"/>
        <v>501.12</v>
      </c>
      <c r="G23" s="145">
        <f>FullTimeE20</f>
        <v>8.6999999999999993</v>
      </c>
      <c r="H23" s="160"/>
      <c r="I23" s="73"/>
      <c r="J23" s="162"/>
      <c r="K23" s="151" t="e">
        <f t="shared" si="21"/>
        <v>#N/A</v>
      </c>
      <c r="L23" s="162"/>
      <c r="M23" s="81">
        <f t="shared" si="8"/>
        <v>35.078400000000002</v>
      </c>
      <c r="N23" s="153">
        <v>21</v>
      </c>
      <c r="O23" s="151" t="e">
        <f t="shared" si="15"/>
        <v>#N/A</v>
      </c>
      <c r="P23" s="151">
        <f t="shared" si="1"/>
        <v>35.078400000000002</v>
      </c>
      <c r="Q23" s="151">
        <f t="shared" si="17"/>
        <v>35.078400000000002</v>
      </c>
      <c r="R23" s="151">
        <f t="shared" si="9"/>
        <v>772.32799999999986</v>
      </c>
      <c r="S23" s="151">
        <f t="shared" si="18"/>
        <v>720.73759999999993</v>
      </c>
      <c r="T23" s="151">
        <f t="shared" si="4"/>
        <v>612.62695999999994</v>
      </c>
      <c r="U23" s="157">
        <f t="shared" si="20"/>
        <v>35.078400000000002</v>
      </c>
      <c r="V23" s="31"/>
      <c r="W23" s="83">
        <f t="shared" si="6"/>
        <v>0</v>
      </c>
      <c r="X23" s="68" t="s">
        <v>41</v>
      </c>
      <c r="Y23" s="26">
        <f t="shared" si="13"/>
        <v>7.0000000000000007E-2</v>
      </c>
      <c r="Z23" s="170"/>
      <c r="AA23" s="24">
        <f t="shared" si="14"/>
        <v>348.19092000000001</v>
      </c>
      <c r="AB23" s="24">
        <f t="shared" si="10"/>
        <v>378.19092000000001</v>
      </c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4"/>
      <c r="AQ23" s="7"/>
      <c r="AR23" s="7"/>
      <c r="AS23" s="7"/>
      <c r="AT23" s="7"/>
      <c r="AU23" s="7"/>
    </row>
    <row r="24" spans="1:47" ht="13.5" hidden="1" thickBot="1">
      <c r="A24" s="142">
        <f>Settings!C49</f>
        <v>21</v>
      </c>
      <c r="B24" s="143">
        <f>Settings!A49</f>
        <v>42243</v>
      </c>
      <c r="C24" s="144">
        <f>Availability!EX1</f>
        <v>696</v>
      </c>
      <c r="D24" s="173">
        <f t="shared" si="0"/>
        <v>174</v>
      </c>
      <c r="E24" s="174">
        <f t="shared" si="11"/>
        <v>20.88</v>
      </c>
      <c r="F24" s="145">
        <f t="shared" si="19"/>
        <v>501.12</v>
      </c>
      <c r="G24" s="145">
        <f>FullTimeE21</f>
        <v>8.6999999999999993</v>
      </c>
      <c r="H24" s="160"/>
      <c r="I24" s="73"/>
      <c r="J24" s="162"/>
      <c r="K24" s="151" t="e">
        <f t="shared" si="21"/>
        <v>#N/A</v>
      </c>
      <c r="L24" s="162"/>
      <c r="M24" s="81">
        <f t="shared" si="8"/>
        <v>35.078400000000002</v>
      </c>
      <c r="N24" s="153">
        <v>22</v>
      </c>
      <c r="O24" s="151" t="e">
        <f t="shared" si="15"/>
        <v>#N/A</v>
      </c>
      <c r="P24" s="151">
        <f t="shared" si="1"/>
        <v>35.078400000000002</v>
      </c>
      <c r="Q24" s="151">
        <f t="shared" si="17"/>
        <v>35.078400000000002</v>
      </c>
      <c r="R24" s="151">
        <f t="shared" si="9"/>
        <v>807.40639999999985</v>
      </c>
      <c r="S24" s="151">
        <f t="shared" si="18"/>
        <v>755.81599999999992</v>
      </c>
      <c r="T24" s="151">
        <f t="shared" si="4"/>
        <v>642.44359999999995</v>
      </c>
      <c r="U24" s="157">
        <f t="shared" si="20"/>
        <v>35.078400000000002</v>
      </c>
      <c r="V24" s="31"/>
      <c r="W24" s="83">
        <f t="shared" si="6"/>
        <v>0</v>
      </c>
      <c r="X24" s="68" t="s">
        <v>41</v>
      </c>
      <c r="Y24" s="26">
        <f t="shared" si="13"/>
        <v>7.0000000000000007E-2</v>
      </c>
      <c r="Z24" s="170"/>
      <c r="AA24" s="24">
        <f t="shared" si="14"/>
        <v>348.19092000000001</v>
      </c>
      <c r="AB24" s="24">
        <f t="shared" si="10"/>
        <v>378.19092000000001</v>
      </c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4"/>
      <c r="AQ24" s="7"/>
      <c r="AR24" s="7"/>
      <c r="AS24" s="7"/>
      <c r="AT24" s="7"/>
      <c r="AU24" s="7"/>
    </row>
    <row r="25" spans="1:47" ht="13.5" hidden="1" thickBot="1">
      <c r="A25" s="142">
        <f>Settings!C50</f>
        <v>22</v>
      </c>
      <c r="B25" s="143">
        <f>Settings!A50</f>
        <v>42257</v>
      </c>
      <c r="C25" s="144">
        <f>Availability!FE1</f>
        <v>696</v>
      </c>
      <c r="D25" s="173">
        <f t="shared" si="0"/>
        <v>174</v>
      </c>
      <c r="E25" s="174">
        <f t="shared" si="11"/>
        <v>20.88</v>
      </c>
      <c r="F25" s="145">
        <f t="shared" si="19"/>
        <v>501.12</v>
      </c>
      <c r="G25" s="145">
        <f>FullTimeE22</f>
        <v>8.6999999999999993</v>
      </c>
      <c r="H25" s="160"/>
      <c r="I25" s="73"/>
      <c r="J25" s="162"/>
      <c r="K25" s="151" t="e">
        <f t="shared" si="21"/>
        <v>#N/A</v>
      </c>
      <c r="L25" s="162"/>
      <c r="M25" s="81">
        <f t="shared" si="8"/>
        <v>35.078400000000002</v>
      </c>
      <c r="N25" s="153">
        <v>23</v>
      </c>
      <c r="O25" s="151" t="e">
        <f t="shared" si="15"/>
        <v>#N/A</v>
      </c>
      <c r="P25" s="151">
        <f t="shared" si="1"/>
        <v>35.078400000000002</v>
      </c>
      <c r="Q25" s="151">
        <f t="shared" si="17"/>
        <v>35.078400000000002</v>
      </c>
      <c r="R25" s="151">
        <f t="shared" si="9"/>
        <v>842.48479999999984</v>
      </c>
      <c r="S25" s="151">
        <f t="shared" si="18"/>
        <v>790.89439999999991</v>
      </c>
      <c r="T25" s="151">
        <f t="shared" si="4"/>
        <v>672.26023999999995</v>
      </c>
      <c r="U25" s="157">
        <f t="shared" si="20"/>
        <v>35.078400000000002</v>
      </c>
      <c r="V25" s="31"/>
      <c r="W25" s="83">
        <f t="shared" si="6"/>
        <v>0</v>
      </c>
      <c r="X25" s="68" t="s">
        <v>41</v>
      </c>
      <c r="Y25" s="26">
        <f t="shared" si="13"/>
        <v>7.0000000000000007E-2</v>
      </c>
      <c r="Z25" s="170"/>
      <c r="AA25" s="24">
        <f t="shared" si="14"/>
        <v>348.19092000000001</v>
      </c>
      <c r="AB25" s="24">
        <f t="shared" si="10"/>
        <v>378.19092000000001</v>
      </c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4"/>
      <c r="AQ25" s="7"/>
      <c r="AR25" s="7"/>
      <c r="AS25" s="7"/>
      <c r="AT25" s="7"/>
      <c r="AU25" s="7"/>
    </row>
    <row r="26" spans="1:47" ht="13.5" hidden="1" thickBot="1">
      <c r="A26" s="142">
        <f>Settings!C51</f>
        <v>23</v>
      </c>
      <c r="B26" s="143">
        <f>Settings!A51</f>
        <v>42271</v>
      </c>
      <c r="C26" s="144">
        <f>Availability!FL1</f>
        <v>696</v>
      </c>
      <c r="D26" s="173">
        <f t="shared" si="0"/>
        <v>174</v>
      </c>
      <c r="E26" s="174">
        <f t="shared" si="11"/>
        <v>20.88</v>
      </c>
      <c r="F26" s="145">
        <f t="shared" si="19"/>
        <v>501.12</v>
      </c>
      <c r="G26" s="145">
        <f>FullTimeE23</f>
        <v>8.6999999999999993</v>
      </c>
      <c r="H26" s="160"/>
      <c r="I26" s="73"/>
      <c r="J26" s="162"/>
      <c r="K26" s="151" t="e">
        <f t="shared" si="21"/>
        <v>#N/A</v>
      </c>
      <c r="L26" s="162"/>
      <c r="M26" s="81">
        <f t="shared" si="8"/>
        <v>35.078400000000002</v>
      </c>
      <c r="N26" s="153">
        <v>24</v>
      </c>
      <c r="O26" s="151" t="e">
        <f t="shared" si="15"/>
        <v>#N/A</v>
      </c>
      <c r="P26" s="151">
        <f t="shared" si="1"/>
        <v>35.078400000000002</v>
      </c>
      <c r="Q26" s="151">
        <f t="shared" si="17"/>
        <v>35.078400000000002</v>
      </c>
      <c r="R26" s="151">
        <f t="shared" si="9"/>
        <v>877.56319999999982</v>
      </c>
      <c r="S26" s="151">
        <f t="shared" si="18"/>
        <v>825.97279999999989</v>
      </c>
      <c r="T26" s="151">
        <f t="shared" si="4"/>
        <v>702.07687999999985</v>
      </c>
      <c r="U26" s="157">
        <f t="shared" si="20"/>
        <v>35.078400000000002</v>
      </c>
      <c r="V26" s="31"/>
      <c r="W26" s="83">
        <f t="shared" si="6"/>
        <v>0</v>
      </c>
      <c r="X26" s="68"/>
      <c r="Y26" s="26">
        <f t="shared" si="13"/>
        <v>7.0000000000000007E-2</v>
      </c>
      <c r="Z26" s="170"/>
      <c r="AA26" s="24">
        <f t="shared" si="14"/>
        <v>348.19092000000001</v>
      </c>
      <c r="AB26" s="24">
        <f t="shared" si="10"/>
        <v>378.19092000000001</v>
      </c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4"/>
      <c r="AQ26" s="7"/>
      <c r="AR26" s="7"/>
      <c r="AS26" s="7"/>
      <c r="AT26" s="7"/>
      <c r="AU26" s="7"/>
    </row>
    <row r="27" spans="1:47" ht="13.5" hidden="1" thickBot="1">
      <c r="A27" s="142">
        <f>Settings!C52</f>
        <v>24</v>
      </c>
      <c r="B27" s="143">
        <f>Settings!A52</f>
        <v>42285</v>
      </c>
      <c r="C27" s="144">
        <f>Availability!FS1</f>
        <v>696</v>
      </c>
      <c r="D27" s="173">
        <f t="shared" si="0"/>
        <v>174</v>
      </c>
      <c r="E27" s="174">
        <f t="shared" si="11"/>
        <v>20.88</v>
      </c>
      <c r="F27" s="145">
        <f t="shared" si="19"/>
        <v>501.12</v>
      </c>
      <c r="G27" s="145">
        <f>FullTimeE24</f>
        <v>8.6999999999999993</v>
      </c>
      <c r="H27" s="160"/>
      <c r="I27" s="73"/>
      <c r="J27" s="162"/>
      <c r="K27" s="151" t="e">
        <f t="shared" si="21"/>
        <v>#N/A</v>
      </c>
      <c r="L27" s="162"/>
      <c r="M27" s="81">
        <f t="shared" si="8"/>
        <v>35.078400000000002</v>
      </c>
      <c r="N27" s="153">
        <v>25</v>
      </c>
      <c r="O27" s="151" t="e">
        <f t="shared" si="15"/>
        <v>#N/A</v>
      </c>
      <c r="P27" s="151">
        <f t="shared" si="1"/>
        <v>35.078400000000002</v>
      </c>
      <c r="Q27" s="151">
        <f t="shared" si="17"/>
        <v>35.078400000000002</v>
      </c>
      <c r="R27" s="151">
        <f t="shared" si="9"/>
        <v>912.64159999999981</v>
      </c>
      <c r="S27" s="151">
        <f t="shared" si="18"/>
        <v>861.05119999999988</v>
      </c>
      <c r="T27" s="151">
        <f t="shared" si="4"/>
        <v>731.89351999999985</v>
      </c>
      <c r="U27" s="157">
        <f t="shared" si="20"/>
        <v>35.078400000000002</v>
      </c>
      <c r="V27" s="31"/>
      <c r="W27" s="83">
        <f t="shared" si="6"/>
        <v>0</v>
      </c>
      <c r="X27" s="68" t="s">
        <v>41</v>
      </c>
      <c r="Y27" s="26">
        <f t="shared" si="13"/>
        <v>7.0000000000000007E-2</v>
      </c>
      <c r="Z27" s="170"/>
      <c r="AA27" s="24">
        <f t="shared" si="14"/>
        <v>348.19092000000001</v>
      </c>
      <c r="AB27" s="24">
        <f t="shared" si="10"/>
        <v>378.19092000000001</v>
      </c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4"/>
      <c r="AQ27" s="7"/>
      <c r="AR27" s="7"/>
      <c r="AS27" s="7"/>
      <c r="AT27" s="7"/>
      <c r="AU27" s="7"/>
    </row>
    <row r="28" spans="1:47" ht="13.5" hidden="1" thickBot="1">
      <c r="A28" s="142">
        <f>Settings!C53</f>
        <v>25</v>
      </c>
      <c r="B28" s="143">
        <f>Settings!A53</f>
        <v>42299</v>
      </c>
      <c r="C28" s="144">
        <f>Availability!FZ1</f>
        <v>696</v>
      </c>
      <c r="D28" s="173">
        <f t="shared" si="0"/>
        <v>174</v>
      </c>
      <c r="E28" s="174">
        <f t="shared" si="11"/>
        <v>20.88</v>
      </c>
      <c r="F28" s="145">
        <f t="shared" si="19"/>
        <v>501.12</v>
      </c>
      <c r="G28" s="145">
        <f>FullTimeE25</f>
        <v>8.6999999999999993</v>
      </c>
      <c r="H28" s="160"/>
      <c r="I28" s="73"/>
      <c r="J28" s="162"/>
      <c r="K28" s="151" t="e">
        <f t="shared" si="21"/>
        <v>#N/A</v>
      </c>
      <c r="L28" s="162"/>
      <c r="M28" s="81">
        <f t="shared" si="8"/>
        <v>35.078400000000002</v>
      </c>
      <c r="N28" s="153">
        <v>26</v>
      </c>
      <c r="O28" s="151" t="e">
        <f t="shared" si="15"/>
        <v>#N/A</v>
      </c>
      <c r="P28" s="151">
        <f t="shared" si="1"/>
        <v>35.078400000000002</v>
      </c>
      <c r="Q28" s="151">
        <f t="shared" si="17"/>
        <v>35.078400000000002</v>
      </c>
      <c r="R28" s="151">
        <f t="shared" si="9"/>
        <v>947.7199999999998</v>
      </c>
      <c r="S28" s="151">
        <f t="shared" si="18"/>
        <v>896.12959999999987</v>
      </c>
      <c r="T28" s="151">
        <f t="shared" si="4"/>
        <v>761.71015999999986</v>
      </c>
      <c r="U28" s="157">
        <f t="shared" si="20"/>
        <v>35.078400000000002</v>
      </c>
      <c r="V28" s="31"/>
      <c r="W28" s="83">
        <f t="shared" si="6"/>
        <v>0</v>
      </c>
      <c r="X28" s="68" t="s">
        <v>41</v>
      </c>
      <c r="Y28" s="26">
        <f t="shared" si="13"/>
        <v>7.0000000000000007E-2</v>
      </c>
      <c r="Z28" s="170"/>
      <c r="AA28" s="24">
        <f t="shared" si="14"/>
        <v>348.19092000000001</v>
      </c>
      <c r="AB28" s="24">
        <f t="shared" si="10"/>
        <v>378.19092000000001</v>
      </c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4"/>
      <c r="AQ28" s="7"/>
      <c r="AR28" s="7"/>
      <c r="AS28" s="7"/>
      <c r="AT28" s="7"/>
      <c r="AU28" s="7"/>
    </row>
    <row r="29" spans="1:47" ht="13.5" hidden="1" thickBot="1">
      <c r="A29" s="142">
        <f>A28+1</f>
        <v>26</v>
      </c>
      <c r="B29" s="143">
        <f t="shared" ref="B29:B37" si="22">B28+Days_in_iteration-1</f>
        <v>42312</v>
      </c>
      <c r="C29" s="144">
        <f>Availability!GG1</f>
        <v>696</v>
      </c>
      <c r="D29" s="173">
        <f t="shared" si="0"/>
        <v>174</v>
      </c>
      <c r="E29" s="174">
        <f t="shared" si="11"/>
        <v>20.88</v>
      </c>
      <c r="F29" s="145">
        <f t="shared" si="19"/>
        <v>501.12</v>
      </c>
      <c r="G29" s="145">
        <f>FullTimeE26</f>
        <v>8.6999999999999993</v>
      </c>
      <c r="H29" s="161"/>
      <c r="I29" s="73"/>
      <c r="J29" s="162"/>
      <c r="K29" s="151" t="e">
        <f t="shared" si="21"/>
        <v>#N/A</v>
      </c>
      <c r="L29" s="162"/>
      <c r="M29" s="81">
        <f t="shared" si="8"/>
        <v>35.078400000000002</v>
      </c>
      <c r="N29" s="153">
        <v>27</v>
      </c>
      <c r="O29" s="151" t="e">
        <f t="shared" si="15"/>
        <v>#N/A</v>
      </c>
      <c r="P29" s="151">
        <f t="shared" si="1"/>
        <v>35.078400000000002</v>
      </c>
      <c r="Q29" s="151">
        <f t="shared" si="17"/>
        <v>35.078400000000002</v>
      </c>
      <c r="R29" s="151">
        <f t="shared" si="9"/>
        <v>982.79839999999979</v>
      </c>
      <c r="S29" s="151">
        <f t="shared" si="18"/>
        <v>931.20799999999986</v>
      </c>
      <c r="T29" s="151">
        <f t="shared" si="4"/>
        <v>791.52679999999987</v>
      </c>
      <c r="U29" s="157">
        <f t="shared" si="20"/>
        <v>35.078400000000002</v>
      </c>
      <c r="V29" s="31"/>
      <c r="W29" s="83">
        <f t="shared" si="6"/>
        <v>0</v>
      </c>
      <c r="X29" s="68" t="s">
        <v>41</v>
      </c>
      <c r="Y29" s="26">
        <f t="shared" si="13"/>
        <v>7.0000000000000007E-2</v>
      </c>
      <c r="Z29" s="170"/>
      <c r="AA29" s="24">
        <f t="shared" si="14"/>
        <v>348.19092000000001</v>
      </c>
      <c r="AB29" s="24">
        <f t="shared" si="10"/>
        <v>378.19092000000001</v>
      </c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4"/>
      <c r="AQ29" s="7"/>
      <c r="AR29" s="7"/>
      <c r="AS29" s="7"/>
      <c r="AT29" s="7"/>
      <c r="AU29" s="7"/>
    </row>
    <row r="30" spans="1:47" ht="13.5" hidden="1" thickBot="1">
      <c r="A30" s="142">
        <f t="shared" ref="A30:A37" si="23">A29+1</f>
        <v>27</v>
      </c>
      <c r="B30" s="143">
        <f t="shared" si="22"/>
        <v>42325</v>
      </c>
      <c r="C30" s="144">
        <f>C29</f>
        <v>696</v>
      </c>
      <c r="D30" s="173">
        <f t="shared" si="0"/>
        <v>174</v>
      </c>
      <c r="E30" s="174">
        <f t="shared" si="11"/>
        <v>20.88</v>
      </c>
      <c r="F30" s="145">
        <f t="shared" si="19"/>
        <v>501.12</v>
      </c>
      <c r="G30" s="145">
        <f>FullTimeE27</f>
        <v>8.6999999999999993</v>
      </c>
      <c r="H30" s="161"/>
      <c r="I30" s="73"/>
      <c r="J30" s="162"/>
      <c r="K30" s="151" t="e">
        <f t="shared" si="21"/>
        <v>#N/A</v>
      </c>
      <c r="L30" s="162"/>
      <c r="M30" s="81">
        <f t="shared" si="8"/>
        <v>35.078400000000002</v>
      </c>
      <c r="N30" s="153">
        <v>28</v>
      </c>
      <c r="O30" s="151" t="e">
        <f t="shared" si="15"/>
        <v>#N/A</v>
      </c>
      <c r="P30" s="151">
        <f t="shared" si="1"/>
        <v>35.078400000000002</v>
      </c>
      <c r="Q30" s="151">
        <f t="shared" si="17"/>
        <v>35.078400000000002</v>
      </c>
      <c r="R30" s="151">
        <f t="shared" si="9"/>
        <v>1017.8767999999998</v>
      </c>
      <c r="S30" s="151">
        <f t="shared" si="18"/>
        <v>966.28639999999984</v>
      </c>
      <c r="T30" s="151">
        <f t="shared" si="4"/>
        <v>821.34343999999987</v>
      </c>
      <c r="U30" s="157">
        <f t="shared" si="20"/>
        <v>35.078400000000002</v>
      </c>
      <c r="V30" s="31"/>
      <c r="W30" s="83">
        <f t="shared" si="6"/>
        <v>0</v>
      </c>
      <c r="X30" s="68" t="s">
        <v>41</v>
      </c>
      <c r="Y30" s="26">
        <f t="shared" si="13"/>
        <v>7.0000000000000007E-2</v>
      </c>
      <c r="Z30" s="170"/>
      <c r="AA30" s="24">
        <f t="shared" si="14"/>
        <v>348.19092000000001</v>
      </c>
      <c r="AB30" s="24">
        <f t="shared" si="10"/>
        <v>378.19092000000001</v>
      </c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4"/>
      <c r="AQ30" s="7"/>
      <c r="AR30" s="7"/>
      <c r="AS30" s="7"/>
      <c r="AT30" s="7"/>
      <c r="AU30" s="7"/>
    </row>
    <row r="31" spans="1:47" ht="13.5" hidden="1" thickBot="1">
      <c r="A31" s="142">
        <f t="shared" si="23"/>
        <v>28</v>
      </c>
      <c r="B31" s="143">
        <f t="shared" si="22"/>
        <v>42338</v>
      </c>
      <c r="C31" s="144">
        <f t="shared" ref="C31:C37" si="24">+C30</f>
        <v>696</v>
      </c>
      <c r="D31" s="173">
        <f t="shared" si="0"/>
        <v>174</v>
      </c>
      <c r="E31" s="174">
        <f t="shared" si="11"/>
        <v>20.88</v>
      </c>
      <c r="F31" s="145">
        <f t="shared" si="19"/>
        <v>501.12</v>
      </c>
      <c r="G31" s="145">
        <f>G30</f>
        <v>8.6999999999999993</v>
      </c>
      <c r="H31" s="161"/>
      <c r="I31" s="73"/>
      <c r="J31" s="162"/>
      <c r="K31" s="151" t="e">
        <f t="shared" si="21"/>
        <v>#N/A</v>
      </c>
      <c r="L31" s="162"/>
      <c r="M31" s="81">
        <f t="shared" si="8"/>
        <v>35.078400000000002</v>
      </c>
      <c r="N31" s="153">
        <v>29</v>
      </c>
      <c r="O31" s="151" t="e">
        <f t="shared" si="15"/>
        <v>#N/A</v>
      </c>
      <c r="P31" s="151">
        <f t="shared" si="1"/>
        <v>35.078400000000002</v>
      </c>
      <c r="Q31" s="151">
        <f t="shared" si="17"/>
        <v>35.078400000000002</v>
      </c>
      <c r="R31" s="151">
        <f t="shared" si="9"/>
        <v>1052.9551999999999</v>
      </c>
      <c r="S31" s="151">
        <f t="shared" si="18"/>
        <v>1001.3647999999998</v>
      </c>
      <c r="T31" s="151">
        <f t="shared" si="4"/>
        <v>851.16007999999988</v>
      </c>
      <c r="U31" s="157">
        <f t="shared" si="20"/>
        <v>35.078400000000002</v>
      </c>
      <c r="V31" s="31"/>
      <c r="W31" s="83">
        <f t="shared" si="6"/>
        <v>0</v>
      </c>
      <c r="X31" s="68" t="s">
        <v>41</v>
      </c>
      <c r="Y31" s="26">
        <f t="shared" si="13"/>
        <v>7.0000000000000007E-2</v>
      </c>
      <c r="Z31" s="170"/>
      <c r="AA31" s="24">
        <f t="shared" si="14"/>
        <v>348.19092000000001</v>
      </c>
      <c r="AB31" s="24">
        <f t="shared" si="10"/>
        <v>378.19092000000001</v>
      </c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4"/>
      <c r="AQ31" s="7"/>
      <c r="AR31" s="7"/>
      <c r="AS31" s="7"/>
      <c r="AT31" s="7"/>
      <c r="AU31" s="7"/>
    </row>
    <row r="32" spans="1:47" ht="13.5" hidden="1" thickBot="1">
      <c r="A32" s="142">
        <f t="shared" si="23"/>
        <v>29</v>
      </c>
      <c r="B32" s="143">
        <f t="shared" si="22"/>
        <v>42351</v>
      </c>
      <c r="C32" s="144">
        <f t="shared" si="24"/>
        <v>696</v>
      </c>
      <c r="D32" s="173">
        <f t="shared" si="0"/>
        <v>174</v>
      </c>
      <c r="E32" s="174">
        <f t="shared" si="11"/>
        <v>20.88</v>
      </c>
      <c r="F32" s="145">
        <f t="shared" si="19"/>
        <v>501.12</v>
      </c>
      <c r="G32" s="145">
        <f t="shared" ref="G32:G37" si="25">G31</f>
        <v>8.6999999999999993</v>
      </c>
      <c r="H32" s="161"/>
      <c r="I32" s="73"/>
      <c r="J32" s="162"/>
      <c r="K32" s="151" t="e">
        <f t="shared" si="21"/>
        <v>#N/A</v>
      </c>
      <c r="L32" s="162"/>
      <c r="M32" s="81">
        <f t="shared" si="8"/>
        <v>35.078400000000002</v>
      </c>
      <c r="N32" s="153">
        <v>30</v>
      </c>
      <c r="O32" s="151" t="e">
        <f t="shared" si="15"/>
        <v>#N/A</v>
      </c>
      <c r="P32" s="151">
        <f t="shared" si="1"/>
        <v>35.078400000000002</v>
      </c>
      <c r="Q32" s="151">
        <f t="shared" si="17"/>
        <v>35.078400000000002</v>
      </c>
      <c r="R32" s="151">
        <f t="shared" si="9"/>
        <v>1088.0336</v>
      </c>
      <c r="S32" s="151">
        <f t="shared" si="18"/>
        <v>1036.4431999999999</v>
      </c>
      <c r="T32" s="151">
        <f t="shared" si="4"/>
        <v>880.97671999999989</v>
      </c>
      <c r="U32" s="157">
        <f t="shared" si="20"/>
        <v>35.078400000000002</v>
      </c>
      <c r="V32" s="31"/>
      <c r="W32" s="83">
        <f t="shared" si="6"/>
        <v>0</v>
      </c>
      <c r="X32" s="68" t="s">
        <v>41</v>
      </c>
      <c r="Y32" s="26">
        <f t="shared" si="13"/>
        <v>7.0000000000000007E-2</v>
      </c>
      <c r="Z32" s="170"/>
      <c r="AA32" s="24">
        <f t="shared" si="14"/>
        <v>348.19092000000001</v>
      </c>
      <c r="AB32" s="24">
        <f t="shared" si="10"/>
        <v>378.19092000000001</v>
      </c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4"/>
      <c r="AQ32" s="7"/>
      <c r="AR32" s="7"/>
      <c r="AS32" s="7"/>
      <c r="AT32" s="7"/>
      <c r="AU32" s="7"/>
    </row>
    <row r="33" spans="1:47" ht="13.5" hidden="1" thickBot="1">
      <c r="A33" s="142">
        <f t="shared" si="23"/>
        <v>30</v>
      </c>
      <c r="B33" s="143">
        <f t="shared" si="22"/>
        <v>42364</v>
      </c>
      <c r="C33" s="144">
        <f t="shared" si="24"/>
        <v>696</v>
      </c>
      <c r="D33" s="173">
        <f t="shared" si="0"/>
        <v>174</v>
      </c>
      <c r="E33" s="174">
        <f t="shared" si="11"/>
        <v>20.88</v>
      </c>
      <c r="F33" s="145">
        <f t="shared" si="19"/>
        <v>501.12</v>
      </c>
      <c r="G33" s="145">
        <f t="shared" si="25"/>
        <v>8.6999999999999993</v>
      </c>
      <c r="H33" s="161"/>
      <c r="I33" s="73"/>
      <c r="J33" s="162"/>
      <c r="K33" s="151" t="e">
        <f t="shared" si="21"/>
        <v>#N/A</v>
      </c>
      <c r="L33" s="162"/>
      <c r="M33" s="81">
        <f t="shared" si="8"/>
        <v>35.078400000000002</v>
      </c>
      <c r="N33" s="153">
        <v>31</v>
      </c>
      <c r="O33" s="151" t="e">
        <f t="shared" si="15"/>
        <v>#N/A</v>
      </c>
      <c r="P33" s="151">
        <f t="shared" si="1"/>
        <v>35.078400000000002</v>
      </c>
      <c r="Q33" s="151">
        <f t="shared" si="17"/>
        <v>35.078400000000002</v>
      </c>
      <c r="R33" s="151">
        <f t="shared" si="9"/>
        <v>1123.1120000000001</v>
      </c>
      <c r="S33" s="151">
        <f t="shared" si="18"/>
        <v>1071.5216</v>
      </c>
      <c r="T33" s="151">
        <f t="shared" si="4"/>
        <v>910.79336000000001</v>
      </c>
      <c r="U33" s="157">
        <f t="shared" si="20"/>
        <v>35.078400000000002</v>
      </c>
      <c r="V33" s="31"/>
      <c r="W33" s="83">
        <f t="shared" si="6"/>
        <v>0</v>
      </c>
      <c r="X33" s="68" t="s">
        <v>41</v>
      </c>
      <c r="Y33" s="26">
        <f t="shared" si="13"/>
        <v>7.0000000000000007E-2</v>
      </c>
      <c r="Z33" s="170"/>
      <c r="AA33" s="24">
        <f t="shared" si="14"/>
        <v>348.19092000000001</v>
      </c>
      <c r="AB33" s="24">
        <f t="shared" si="10"/>
        <v>378.19092000000001</v>
      </c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4"/>
      <c r="AQ33" s="7"/>
      <c r="AR33" s="7"/>
      <c r="AS33" s="7"/>
      <c r="AT33" s="7"/>
      <c r="AU33" s="7"/>
    </row>
    <row r="34" spans="1:47" ht="13.5" hidden="1" thickBot="1">
      <c r="A34" s="142">
        <f t="shared" si="23"/>
        <v>31</v>
      </c>
      <c r="B34" s="143">
        <f t="shared" si="22"/>
        <v>42377</v>
      </c>
      <c r="C34" s="144">
        <f t="shared" si="24"/>
        <v>696</v>
      </c>
      <c r="D34" s="173">
        <f t="shared" si="0"/>
        <v>174</v>
      </c>
      <c r="E34" s="174">
        <f t="shared" si="11"/>
        <v>20.88</v>
      </c>
      <c r="F34" s="145">
        <f t="shared" si="19"/>
        <v>501.12</v>
      </c>
      <c r="G34" s="145">
        <f t="shared" si="25"/>
        <v>8.6999999999999993</v>
      </c>
      <c r="H34" s="161"/>
      <c r="I34" s="73"/>
      <c r="J34" s="162"/>
      <c r="K34" s="151" t="e">
        <f t="shared" si="21"/>
        <v>#N/A</v>
      </c>
      <c r="L34" s="162"/>
      <c r="M34" s="81">
        <f t="shared" si="8"/>
        <v>35.078400000000002</v>
      </c>
      <c r="N34" s="153">
        <v>32</v>
      </c>
      <c r="O34" s="151" t="e">
        <f t="shared" si="15"/>
        <v>#N/A</v>
      </c>
      <c r="P34" s="151">
        <f t="shared" si="1"/>
        <v>35.078400000000002</v>
      </c>
      <c r="Q34" s="151">
        <f t="shared" si="17"/>
        <v>35.078400000000002</v>
      </c>
      <c r="R34" s="151">
        <f t="shared" si="9"/>
        <v>1158.1904000000002</v>
      </c>
      <c r="S34" s="151">
        <f t="shared" si="18"/>
        <v>1106.6000000000001</v>
      </c>
      <c r="T34" s="151">
        <f t="shared" si="4"/>
        <v>940.61000000000013</v>
      </c>
      <c r="U34" s="157">
        <f t="shared" si="20"/>
        <v>35.078400000000002</v>
      </c>
      <c r="V34" s="31"/>
      <c r="W34" s="83">
        <f t="shared" si="6"/>
        <v>0</v>
      </c>
      <c r="X34" s="68" t="s">
        <v>41</v>
      </c>
      <c r="Y34" s="26">
        <f t="shared" si="13"/>
        <v>7.0000000000000007E-2</v>
      </c>
      <c r="Z34" s="170"/>
      <c r="AA34" s="24">
        <f t="shared" si="14"/>
        <v>348.19092000000001</v>
      </c>
      <c r="AB34" s="24">
        <f t="shared" si="10"/>
        <v>378.19092000000001</v>
      </c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4"/>
      <c r="AQ34" s="7"/>
      <c r="AR34" s="7"/>
      <c r="AS34" s="7"/>
      <c r="AT34" s="7"/>
      <c r="AU34" s="7"/>
    </row>
    <row r="35" spans="1:47" ht="13.5" hidden="1" thickBot="1">
      <c r="A35" s="142">
        <f t="shared" si="23"/>
        <v>32</v>
      </c>
      <c r="B35" s="143">
        <f t="shared" si="22"/>
        <v>42390</v>
      </c>
      <c r="C35" s="144">
        <f t="shared" si="24"/>
        <v>696</v>
      </c>
      <c r="D35" s="173">
        <f t="shared" si="0"/>
        <v>174</v>
      </c>
      <c r="E35" s="174">
        <f t="shared" si="11"/>
        <v>20.88</v>
      </c>
      <c r="F35" s="145">
        <f t="shared" si="19"/>
        <v>501.12</v>
      </c>
      <c r="G35" s="145">
        <f t="shared" si="25"/>
        <v>8.6999999999999993</v>
      </c>
      <c r="H35" s="161"/>
      <c r="I35" s="73"/>
      <c r="J35" s="162"/>
      <c r="K35" s="151" t="e">
        <f t="shared" si="21"/>
        <v>#N/A</v>
      </c>
      <c r="L35" s="162"/>
      <c r="M35" s="81">
        <f t="shared" si="8"/>
        <v>35.078400000000002</v>
      </c>
      <c r="N35" s="153">
        <v>33</v>
      </c>
      <c r="O35" s="151" t="e">
        <f t="shared" si="15"/>
        <v>#N/A</v>
      </c>
      <c r="P35" s="151">
        <f t="shared" si="1"/>
        <v>35.078400000000002</v>
      </c>
      <c r="Q35" s="151">
        <f t="shared" si="17"/>
        <v>35.078400000000002</v>
      </c>
      <c r="R35" s="151">
        <f t="shared" si="9"/>
        <v>1193.2688000000003</v>
      </c>
      <c r="S35" s="151">
        <f t="shared" si="18"/>
        <v>1141.6784000000002</v>
      </c>
      <c r="T35" s="151">
        <f t="shared" si="4"/>
        <v>970.42664000000013</v>
      </c>
      <c r="U35" s="157">
        <f t="shared" si="20"/>
        <v>35.078400000000002</v>
      </c>
      <c r="V35" s="31"/>
      <c r="W35" s="83">
        <f t="shared" si="6"/>
        <v>0</v>
      </c>
      <c r="X35" s="68" t="s">
        <v>41</v>
      </c>
      <c r="Y35" s="26">
        <f t="shared" si="13"/>
        <v>7.0000000000000007E-2</v>
      </c>
      <c r="Z35" s="170"/>
      <c r="AA35" s="24">
        <f t="shared" si="14"/>
        <v>348.19092000000001</v>
      </c>
      <c r="AB35" s="24">
        <f t="shared" si="10"/>
        <v>378.19092000000001</v>
      </c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4"/>
      <c r="AQ35" s="7"/>
      <c r="AR35" s="7"/>
      <c r="AS35" s="7"/>
      <c r="AT35" s="7"/>
      <c r="AU35" s="7"/>
    </row>
    <row r="36" spans="1:47" ht="13.5" hidden="1" thickBot="1">
      <c r="A36" s="142">
        <f t="shared" si="23"/>
        <v>33</v>
      </c>
      <c r="B36" s="143">
        <f t="shared" si="22"/>
        <v>42403</v>
      </c>
      <c r="C36" s="144">
        <f t="shared" si="24"/>
        <v>696</v>
      </c>
      <c r="D36" s="173">
        <f t="shared" si="0"/>
        <v>174</v>
      </c>
      <c r="E36" s="174">
        <f t="shared" si="11"/>
        <v>20.88</v>
      </c>
      <c r="F36" s="145">
        <f t="shared" si="19"/>
        <v>501.12</v>
      </c>
      <c r="G36" s="145">
        <f t="shared" si="25"/>
        <v>8.6999999999999993</v>
      </c>
      <c r="H36" s="161"/>
      <c r="I36" s="73"/>
      <c r="J36" s="162"/>
      <c r="K36" s="151" t="e">
        <f t="shared" si="21"/>
        <v>#N/A</v>
      </c>
      <c r="L36" s="162"/>
      <c r="M36" s="81">
        <f t="shared" si="8"/>
        <v>35.078400000000002</v>
      </c>
      <c r="N36" s="153">
        <v>34</v>
      </c>
      <c r="O36" s="151" t="e">
        <f t="shared" si="15"/>
        <v>#N/A</v>
      </c>
      <c r="P36" s="151">
        <f t="shared" si="1"/>
        <v>35.078400000000002</v>
      </c>
      <c r="Q36" s="151">
        <f t="shared" si="17"/>
        <v>35.078400000000002</v>
      </c>
      <c r="R36" s="151">
        <f t="shared" si="9"/>
        <v>1228.3472000000004</v>
      </c>
      <c r="S36" s="151">
        <f t="shared" si="18"/>
        <v>1176.7568000000003</v>
      </c>
      <c r="T36" s="151">
        <f t="shared" si="4"/>
        <v>1000.2432800000003</v>
      </c>
      <c r="U36" s="157">
        <f t="shared" si="20"/>
        <v>35.078400000000002</v>
      </c>
      <c r="V36" s="31"/>
      <c r="W36" s="83">
        <f t="shared" si="6"/>
        <v>0</v>
      </c>
      <c r="X36" s="68" t="s">
        <v>41</v>
      </c>
      <c r="Y36" s="26">
        <f t="shared" si="13"/>
        <v>7.0000000000000007E-2</v>
      </c>
      <c r="Z36" s="170"/>
      <c r="AA36" s="24">
        <f t="shared" si="14"/>
        <v>348.19092000000001</v>
      </c>
      <c r="AB36" s="24">
        <f t="shared" si="10"/>
        <v>378.19092000000001</v>
      </c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4"/>
      <c r="AQ36" s="7"/>
      <c r="AR36" s="7"/>
      <c r="AS36" s="7"/>
      <c r="AT36" s="7"/>
      <c r="AU36" s="7"/>
    </row>
    <row r="37" spans="1:47" ht="13.5" hidden="1" thickBot="1">
      <c r="A37" s="142">
        <f t="shared" si="23"/>
        <v>34</v>
      </c>
      <c r="B37" s="143">
        <f t="shared" si="22"/>
        <v>42416</v>
      </c>
      <c r="C37" s="144">
        <f t="shared" si="24"/>
        <v>696</v>
      </c>
      <c r="D37" s="173">
        <f t="shared" si="0"/>
        <v>174</v>
      </c>
      <c r="E37" s="174">
        <f t="shared" si="11"/>
        <v>20.88</v>
      </c>
      <c r="F37" s="145">
        <f t="shared" si="19"/>
        <v>501.12</v>
      </c>
      <c r="G37" s="145">
        <f t="shared" si="25"/>
        <v>8.6999999999999993</v>
      </c>
      <c r="H37" s="161"/>
      <c r="I37" s="73"/>
      <c r="J37" s="162"/>
      <c r="K37" s="151" t="e">
        <f t="shared" si="21"/>
        <v>#N/A</v>
      </c>
      <c r="L37" s="162"/>
      <c r="M37" s="81">
        <f t="shared" si="8"/>
        <v>35.078400000000002</v>
      </c>
      <c r="N37" s="153">
        <v>35</v>
      </c>
      <c r="O37" s="151" t="e">
        <f t="shared" si="15"/>
        <v>#N/A</v>
      </c>
      <c r="P37" s="151">
        <f t="shared" si="1"/>
        <v>35.078400000000002</v>
      </c>
      <c r="Q37" s="155">
        <v>12</v>
      </c>
      <c r="R37" s="151">
        <f t="shared" si="9"/>
        <v>1263.4256000000005</v>
      </c>
      <c r="S37" s="151">
        <f t="shared" si="18"/>
        <v>1211.8352000000004</v>
      </c>
      <c r="T37" s="151">
        <f t="shared" si="4"/>
        <v>1030.0599200000004</v>
      </c>
      <c r="U37" s="157">
        <f t="shared" si="20"/>
        <v>35.078400000000002</v>
      </c>
      <c r="V37" s="31"/>
      <c r="W37" s="83">
        <f t="shared" si="6"/>
        <v>0</v>
      </c>
      <c r="X37" s="68" t="s">
        <v>41</v>
      </c>
      <c r="Y37" s="26">
        <f t="shared" si="13"/>
        <v>7.0000000000000007E-2</v>
      </c>
      <c r="Z37" s="170"/>
      <c r="AA37" s="24">
        <f t="shared" si="14"/>
        <v>348.19092000000001</v>
      </c>
      <c r="AB37" s="24">
        <f t="shared" si="10"/>
        <v>378.19092000000001</v>
      </c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4"/>
      <c r="AQ37" s="7"/>
      <c r="AR37" s="7"/>
      <c r="AS37" s="7"/>
      <c r="AT37" s="7"/>
      <c r="AU37" s="7"/>
    </row>
    <row r="38" spans="1:47" ht="13.5" thickBot="1">
      <c r="A38" s="39" t="s">
        <v>36</v>
      </c>
      <c r="B38" s="3"/>
      <c r="C38" s="16"/>
      <c r="D38" s="16"/>
      <c r="E38" s="17"/>
      <c r="F38" s="28"/>
      <c r="G38" s="28"/>
      <c r="H38" s="29">
        <f>SUM(H3:H37)</f>
        <v>353</v>
      </c>
      <c r="I38" s="22"/>
      <c r="J38" s="22">
        <f>SUM(J3:J37)</f>
        <v>149</v>
      </c>
      <c r="K38" s="30"/>
      <c r="L38" s="22">
        <f>SUM(L3:L23)</f>
        <v>30</v>
      </c>
      <c r="M38" s="24"/>
      <c r="N38" s="24"/>
      <c r="O38" s="22"/>
      <c r="P38" s="24">
        <f>SUM(P8:P23)</f>
        <v>571.73759999999993</v>
      </c>
      <c r="Q38" s="30"/>
      <c r="R38" s="30"/>
      <c r="S38" s="30"/>
      <c r="T38" s="30"/>
      <c r="U38" s="35" t="s">
        <v>12</v>
      </c>
      <c r="V38" s="35"/>
      <c r="W38" s="84"/>
      <c r="X38" s="69"/>
      <c r="Y38" s="26"/>
      <c r="Z38" s="170"/>
      <c r="AA38" s="30"/>
      <c r="AB38" s="30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ht="13.5" thickBot="1">
      <c r="A39" s="40" t="s">
        <v>30</v>
      </c>
      <c r="C39" s="16"/>
      <c r="D39" s="16"/>
      <c r="E39" s="17"/>
      <c r="F39" s="33"/>
      <c r="G39" s="33"/>
      <c r="H39" s="18">
        <f>OneTotalPoints-J38</f>
        <v>199.19092000000001</v>
      </c>
      <c r="I39" s="22"/>
      <c r="J39" s="22"/>
      <c r="K39" s="24"/>
      <c r="L39" s="22"/>
      <c r="M39" s="24"/>
      <c r="N39" s="24"/>
      <c r="O39" s="22"/>
      <c r="P39" s="24">
        <f>+P38+J38</f>
        <v>720.73759999999993</v>
      </c>
      <c r="Q39" s="24"/>
      <c r="R39" s="24"/>
      <c r="S39" s="24"/>
      <c r="T39" s="24"/>
      <c r="U39" s="36" t="s">
        <v>13</v>
      </c>
      <c r="V39" s="36"/>
      <c r="W39" s="32"/>
      <c r="X39" s="69"/>
      <c r="Y39" s="27"/>
      <c r="Z39" s="27"/>
      <c r="AA39" s="24"/>
      <c r="AB39" s="24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1:47" ht="13.5" thickBot="1">
      <c r="A40" s="40" t="s">
        <v>15</v>
      </c>
      <c r="B40" s="40"/>
      <c r="C40" s="16"/>
      <c r="D40" s="16"/>
      <c r="E40" s="17"/>
      <c r="F40" s="33"/>
      <c r="G40" s="33"/>
      <c r="H40" s="18"/>
      <c r="I40" s="22"/>
      <c r="J40" s="22"/>
      <c r="K40" s="24"/>
      <c r="L40" s="22"/>
      <c r="M40" s="24"/>
      <c r="N40" s="24"/>
      <c r="O40" s="22"/>
      <c r="P40" s="24"/>
      <c r="Q40" s="24"/>
      <c r="R40" s="24"/>
      <c r="S40" s="24"/>
      <c r="T40" s="24"/>
      <c r="U40" s="36"/>
      <c r="V40" s="36"/>
      <c r="W40" s="32"/>
      <c r="X40" s="69"/>
      <c r="Y40" s="27"/>
      <c r="Z40" s="27"/>
      <c r="AA40" s="24"/>
      <c r="AB40" s="24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ht="17.5" thickBot="1">
      <c r="A41" s="41" t="s">
        <v>5</v>
      </c>
      <c r="B41" s="3"/>
      <c r="C41" s="16"/>
      <c r="D41" s="16"/>
      <c r="E41" s="17"/>
      <c r="F41" s="17"/>
      <c r="G41" s="17"/>
      <c r="H41" s="85">
        <f>P45</f>
        <v>348.19092000000001</v>
      </c>
      <c r="I41" s="22"/>
      <c r="J41" s="22"/>
      <c r="K41" s="24"/>
      <c r="L41" s="22"/>
      <c r="M41" s="24"/>
      <c r="N41" s="24"/>
      <c r="O41" s="22"/>
      <c r="P41" s="24"/>
      <c r="Q41" s="24"/>
      <c r="R41" s="24"/>
      <c r="S41" s="24"/>
      <c r="T41" s="24"/>
      <c r="U41" s="25"/>
      <c r="V41" s="25"/>
      <c r="W41" s="32"/>
      <c r="X41" s="69"/>
      <c r="Y41" s="27"/>
      <c r="Z41" s="27"/>
      <c r="AA41" s="24"/>
      <c r="AB41" s="24"/>
      <c r="AD41" s="7"/>
      <c r="AE41" s="139"/>
      <c r="AF41" s="7"/>
      <c r="AG41" s="7"/>
      <c r="AH41" s="7"/>
      <c r="AI41" s="189"/>
      <c r="AJ41" s="139"/>
      <c r="AK41" s="139"/>
      <c r="AL41" s="7"/>
      <c r="AM41" s="7"/>
      <c r="AN41" s="7"/>
      <c r="AO41" s="7"/>
      <c r="AP41" s="64"/>
      <c r="AQ41" s="7"/>
      <c r="AR41" s="7"/>
      <c r="AS41" s="7"/>
      <c r="AT41" s="7"/>
      <c r="AU41" s="7"/>
    </row>
    <row r="42" spans="1:47" ht="13.5" thickBot="1">
      <c r="A42" s="4"/>
      <c r="B42" s="4"/>
      <c r="C42" s="34"/>
      <c r="D42" s="34"/>
      <c r="E42" s="34"/>
      <c r="F42" s="34"/>
      <c r="G42" s="34"/>
      <c r="H42" s="18"/>
      <c r="I42" s="22"/>
      <c r="J42" s="22"/>
      <c r="K42" s="18"/>
      <c r="L42" s="22"/>
      <c r="M42" s="24"/>
      <c r="N42" s="24"/>
      <c r="O42" s="22"/>
      <c r="P42" s="18"/>
      <c r="Q42" s="18"/>
      <c r="R42" s="18"/>
      <c r="S42" s="18"/>
      <c r="T42" s="18"/>
      <c r="U42" s="24"/>
      <c r="V42" s="24"/>
      <c r="W42" s="32"/>
      <c r="X42" s="70"/>
      <c r="Y42" s="27"/>
      <c r="Z42" s="27"/>
      <c r="AA42" s="18"/>
      <c r="AB42" s="18"/>
      <c r="AD42" s="7"/>
      <c r="AE42" s="7"/>
      <c r="AF42" s="7"/>
      <c r="AG42" s="7"/>
      <c r="AH42" s="7"/>
      <c r="AI42" s="189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spans="1:47" ht="13.5" thickBot="1">
      <c r="A43" s="4"/>
      <c r="B43" s="4"/>
      <c r="C43" s="19"/>
      <c r="D43" s="19"/>
      <c r="E43" s="21"/>
      <c r="F43" s="21"/>
      <c r="G43" s="21"/>
      <c r="H43" s="20"/>
      <c r="I43" s="20"/>
      <c r="J43" s="20"/>
      <c r="K43" s="20"/>
      <c r="L43" s="20"/>
      <c r="M43" s="21"/>
      <c r="N43" s="21"/>
      <c r="O43" s="20"/>
      <c r="P43" s="20"/>
      <c r="Q43" s="20"/>
      <c r="R43" s="20"/>
      <c r="S43" s="20"/>
      <c r="T43" s="20"/>
      <c r="U43" s="21"/>
      <c r="V43" s="21"/>
      <c r="W43" s="32"/>
      <c r="X43" s="37"/>
      <c r="Y43" s="27"/>
      <c r="Z43" s="27"/>
      <c r="AA43" s="20"/>
      <c r="AB43" s="20"/>
    </row>
    <row r="44" spans="1:47" ht="13.5" thickBot="1">
      <c r="A44" s="4"/>
      <c r="B44" s="4"/>
      <c r="C44" s="23"/>
      <c r="D44" s="23"/>
      <c r="E44" s="23"/>
      <c r="F44" s="23"/>
      <c r="G44" s="23"/>
      <c r="H44" s="20"/>
      <c r="I44" s="23"/>
      <c r="J44" s="23"/>
      <c r="K44" s="20"/>
      <c r="L44" s="23"/>
      <c r="M44" s="21"/>
      <c r="N44" s="21"/>
      <c r="O44" s="23"/>
      <c r="P44" s="20"/>
      <c r="Q44" s="20"/>
      <c r="R44" s="20"/>
      <c r="S44" s="20"/>
      <c r="T44" s="20"/>
      <c r="U44" s="21"/>
      <c r="V44" s="21"/>
      <c r="W44" s="32"/>
      <c r="X44" s="58"/>
      <c r="Y44" s="27"/>
      <c r="Z44" s="27"/>
      <c r="AA44" s="20"/>
      <c r="AB44" s="20"/>
    </row>
    <row r="45" spans="1:47" ht="17.5" thickBot="1">
      <c r="A45" s="1"/>
      <c r="B45" s="1"/>
      <c r="C45" s="5"/>
      <c r="D45" s="5"/>
      <c r="E45" s="5"/>
      <c r="F45" s="5"/>
      <c r="G45" s="5"/>
      <c r="H45" s="9"/>
      <c r="I45" s="5"/>
      <c r="J45" s="5"/>
      <c r="K45" s="9"/>
      <c r="L45" s="5"/>
      <c r="M45" s="9"/>
      <c r="N45" s="6"/>
      <c r="O45" s="5"/>
      <c r="P45" s="172">
        <f>SUBTOTAL(109,P3:P37)</f>
        <v>348.19092000000001</v>
      </c>
      <c r="Q45" s="9"/>
      <c r="R45" s="9"/>
      <c r="S45" s="9"/>
      <c r="T45" s="9"/>
      <c r="U45" s="6"/>
      <c r="V45" s="6"/>
      <c r="W45" s="7"/>
      <c r="X45" s="76" t="s">
        <v>78</v>
      </c>
      <c r="Y45" s="77">
        <v>7.0000000000000007E-2</v>
      </c>
      <c r="Z45" s="62"/>
      <c r="AA45" s="9"/>
      <c r="AB45" s="9"/>
    </row>
    <row r="46" spans="1:47">
      <c r="A46" s="78" t="s">
        <v>77</v>
      </c>
      <c r="B46" s="78"/>
      <c r="C46" s="78"/>
      <c r="D46" s="79">
        <v>0.85</v>
      </c>
      <c r="E46"/>
    </row>
    <row r="50" spans="27:30">
      <c r="AA50" s="10" t="s">
        <v>51</v>
      </c>
    </row>
    <row r="51" spans="27:30">
      <c r="AA51" s="10" t="s">
        <v>52</v>
      </c>
      <c r="AC51">
        <f>Proj1Devs</f>
        <v>0</v>
      </c>
    </row>
    <row r="52" spans="27:30">
      <c r="AA52" s="10" t="s">
        <v>54</v>
      </c>
      <c r="AC52">
        <v>8</v>
      </c>
    </row>
    <row r="53" spans="27:30">
      <c r="AA53" s="10" t="s">
        <v>55</v>
      </c>
      <c r="AC53">
        <f>AC52*AC52</f>
        <v>64</v>
      </c>
    </row>
    <row r="54" spans="27:30">
      <c r="AA54" s="10" t="s">
        <v>57</v>
      </c>
      <c r="AB54" s="71">
        <v>0.5</v>
      </c>
      <c r="AC54">
        <f>AC53*AB54</f>
        <v>32</v>
      </c>
    </row>
    <row r="56" spans="27:30">
      <c r="AC56" s="71"/>
    </row>
    <row r="57" spans="27:30">
      <c r="AC57" s="71"/>
    </row>
    <row r="58" spans="27:30">
      <c r="AA58" s="10" t="s">
        <v>58</v>
      </c>
      <c r="AC58">
        <v>23</v>
      </c>
    </row>
    <row r="59" spans="27:30">
      <c r="AA59" s="10" t="s">
        <v>59</v>
      </c>
      <c r="AC59">
        <v>-0.5</v>
      </c>
      <c r="AD59" t="s">
        <v>71</v>
      </c>
    </row>
    <row r="60" spans="27:30">
      <c r="AA60" s="10" t="s">
        <v>60</v>
      </c>
      <c r="AC60">
        <v>6</v>
      </c>
      <c r="AD60" t="s">
        <v>144</v>
      </c>
    </row>
    <row r="61" spans="27:30">
      <c r="AA61" s="10" t="s">
        <v>61</v>
      </c>
      <c r="AC61">
        <v>500</v>
      </c>
      <c r="AD61" t="s">
        <v>145</v>
      </c>
    </row>
    <row r="62" spans="27:30">
      <c r="AA62" s="10" t="s">
        <v>62</v>
      </c>
      <c r="AC62">
        <v>80</v>
      </c>
      <c r="AD62" t="s">
        <v>146</v>
      </c>
    </row>
    <row r="63" spans="27:30">
      <c r="AA63" s="10" t="s">
        <v>148</v>
      </c>
      <c r="AC63">
        <v>5</v>
      </c>
      <c r="AD63" t="s">
        <v>147</v>
      </c>
    </row>
  </sheetData>
  <mergeCells count="4">
    <mergeCell ref="AD1:AP1"/>
    <mergeCell ref="B1:AA1"/>
    <mergeCell ref="AR1:AU1"/>
    <mergeCell ref="AI41:AI42"/>
  </mergeCells>
  <phoneticPr fontId="0" type="noConversion"/>
  <pageMargins left="0.25" right="0.25" top="1" bottom="1" header="0.5" footer="0.5"/>
  <pageSetup scale="93" orientation="landscape"/>
  <headerFooter>
    <oddFooter>Prepared by Shane Hayes &amp;D&amp;RPage &amp;P</oddFooter>
  </headerFooter>
  <drawing r:id="rId1"/>
  <legacyDrawing r:id="rId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35"/>
  <sheetViews>
    <sheetView workbookViewId="0">
      <pane xSplit="1" topLeftCell="BW1" activePane="topRight" state="frozen"/>
      <selection pane="topRight" activeCell="C22" sqref="C22"/>
    </sheetView>
  </sheetViews>
  <sheetFormatPr defaultColWidth="8.81640625" defaultRowHeight="12.5"/>
  <cols>
    <col min="1" max="1" width="30.36328125" bestFit="1" customWidth="1"/>
    <col min="2" max="3" width="12.36328125" customWidth="1"/>
    <col min="6" max="6" width="12.453125" customWidth="1"/>
    <col min="10" max="10" width="2.6328125" customWidth="1"/>
    <col min="11" max="11" width="9.453125" customWidth="1"/>
    <col min="13" max="13" width="12.6328125" customWidth="1"/>
    <col min="17" max="17" width="2.81640625" customWidth="1"/>
    <col min="24" max="24" width="2.6328125" customWidth="1"/>
    <col min="25" max="25" width="9.453125" customWidth="1"/>
    <col min="31" max="31" width="2.6328125" customWidth="1"/>
    <col min="32" max="32" width="9.453125" customWidth="1"/>
    <col min="38" max="38" width="2.6328125" customWidth="1"/>
    <col min="39" max="39" width="9.453125" customWidth="1"/>
    <col min="45" max="45" width="2.6328125" customWidth="1"/>
    <col min="46" max="46" width="9.453125" customWidth="1"/>
    <col min="52" max="52" width="2.6328125" customWidth="1"/>
    <col min="53" max="53" width="9.453125" customWidth="1"/>
    <col min="59" max="59" width="2.6328125" customWidth="1"/>
    <col min="60" max="60" width="9.453125" customWidth="1"/>
    <col min="66" max="66" width="2.6328125" customWidth="1"/>
    <col min="67" max="67" width="9.453125" customWidth="1"/>
    <col min="73" max="73" width="2.6328125" customWidth="1"/>
    <col min="74" max="74" width="9.453125" customWidth="1"/>
    <col min="80" max="80" width="2.6328125" customWidth="1"/>
    <col min="81" max="81" width="9.453125" customWidth="1"/>
    <col min="87" max="87" width="2.6328125" customWidth="1"/>
    <col min="88" max="88" width="9.453125" customWidth="1"/>
    <col min="94" max="94" width="2.6328125" customWidth="1"/>
    <col min="95" max="95" width="9.453125" customWidth="1"/>
    <col min="101" max="101" width="2.6328125" customWidth="1"/>
    <col min="102" max="102" width="9.453125" customWidth="1"/>
    <col min="108" max="108" width="2.6328125" customWidth="1"/>
    <col min="109" max="109" width="9.453125" customWidth="1"/>
    <col min="115" max="115" width="2.6328125" customWidth="1"/>
    <col min="116" max="116" width="9.453125" customWidth="1"/>
    <col min="122" max="122" width="2.6328125" customWidth="1"/>
    <col min="123" max="123" width="9.453125" customWidth="1"/>
    <col min="129" max="129" width="2.6328125" customWidth="1"/>
    <col min="130" max="130" width="9.453125" customWidth="1"/>
    <col min="136" max="136" width="2.6328125" customWidth="1"/>
    <col min="137" max="137" width="9.453125" customWidth="1"/>
    <col min="143" max="143" width="2.6328125" customWidth="1"/>
    <col min="144" max="144" width="9.453125" customWidth="1"/>
    <col min="150" max="150" width="2.6328125" customWidth="1"/>
    <col min="151" max="151" width="9.453125" customWidth="1"/>
    <col min="157" max="157" width="2.6328125" customWidth="1"/>
    <col min="158" max="158" width="9.453125" customWidth="1"/>
    <col min="164" max="164" width="2.6328125" customWidth="1"/>
    <col min="165" max="165" width="9.453125" customWidth="1"/>
    <col min="171" max="171" width="2.6328125" customWidth="1"/>
    <col min="172" max="172" width="9.453125" customWidth="1"/>
    <col min="178" max="178" width="2.6328125" customWidth="1"/>
    <col min="179" max="179" width="9.453125" customWidth="1"/>
    <col min="185" max="185" width="2.6328125" customWidth="1"/>
    <col min="186" max="186" width="9.453125" customWidth="1"/>
  </cols>
  <sheetData>
    <row r="1" spans="1:191">
      <c r="A1" t="s">
        <v>149</v>
      </c>
      <c r="D1" t="s">
        <v>121</v>
      </c>
      <c r="E1">
        <f>Starting_Iteration</f>
        <v>0</v>
      </c>
      <c r="F1" s="72" t="s">
        <v>132</v>
      </c>
      <c r="G1">
        <f>SUMIF(D10:D29,F1,H10:H29)</f>
        <v>770.4</v>
      </c>
      <c r="K1" t="str">
        <f>D1</f>
        <v>Sprint:</v>
      </c>
      <c r="L1">
        <f>+E1+1</f>
        <v>1</v>
      </c>
      <c r="M1" s="42" t="str">
        <f>+F1</f>
        <v>WebTeam1</v>
      </c>
      <c r="N1">
        <f>SUMIF(K10:K29,M1,O10:O29)</f>
        <v>770.4</v>
      </c>
      <c r="R1" t="str">
        <f>K1</f>
        <v>Sprint:</v>
      </c>
      <c r="S1">
        <f>+L1+1</f>
        <v>2</v>
      </c>
      <c r="T1" s="42" t="str">
        <f>+M1</f>
        <v>WebTeam1</v>
      </c>
      <c r="U1">
        <f>SUMIF(R10:R29,T1,V10:V29)</f>
        <v>856</v>
      </c>
      <c r="Y1" t="str">
        <f>R1</f>
        <v>Sprint:</v>
      </c>
      <c r="Z1">
        <f>+S1+1</f>
        <v>3</v>
      </c>
      <c r="AA1" s="42" t="str">
        <f>+T1</f>
        <v>WebTeam1</v>
      </c>
      <c r="AB1">
        <f>SUMIF(Y10:Y29,AA1,AC10:AC29)</f>
        <v>682.4</v>
      </c>
      <c r="AF1" t="str">
        <f>Y1</f>
        <v>Sprint:</v>
      </c>
      <c r="AG1">
        <f>+Z1+1</f>
        <v>4</v>
      </c>
      <c r="AH1" s="42" t="str">
        <f>+AA1</f>
        <v>WebTeam1</v>
      </c>
      <c r="AI1">
        <f>SUMIF(AF10:AF29,AH1,AJ10:AJ29)</f>
        <v>800</v>
      </c>
      <c r="AM1" t="str">
        <f>AF1</f>
        <v>Sprint:</v>
      </c>
      <c r="AN1">
        <f>+AG1+1</f>
        <v>5</v>
      </c>
      <c r="AO1" s="42" t="str">
        <f>+AH1</f>
        <v>WebTeam1</v>
      </c>
      <c r="AP1">
        <f>SUMIF(AM10:AM29,AO1,AQ10:AQ29)</f>
        <v>776</v>
      </c>
      <c r="AT1" t="str">
        <f>AM1</f>
        <v>Sprint:</v>
      </c>
      <c r="AU1">
        <f>+AN1+1</f>
        <v>6</v>
      </c>
      <c r="AV1" s="42" t="str">
        <f>+AO1</f>
        <v>WebTeam1</v>
      </c>
      <c r="AW1">
        <f>SUMIF(AT10:AT29,AV1,AX10:AX29)</f>
        <v>776</v>
      </c>
      <c r="BA1" t="str">
        <f>AT1</f>
        <v>Sprint:</v>
      </c>
      <c r="BB1">
        <f>+AU1+1</f>
        <v>7</v>
      </c>
      <c r="BC1" s="42" t="str">
        <f>+AV1</f>
        <v>WebTeam1</v>
      </c>
      <c r="BD1">
        <f>SUMIF(BA10:BA29,BC1,BE10:BE29)</f>
        <v>776</v>
      </c>
      <c r="BH1" t="str">
        <f>BA1</f>
        <v>Sprint:</v>
      </c>
      <c r="BI1">
        <f>+BB1+1</f>
        <v>8</v>
      </c>
      <c r="BJ1" s="42" t="str">
        <f>+BC1</f>
        <v>WebTeam1</v>
      </c>
      <c r="BK1">
        <f>SUMIF(BH10:BH29,BJ1,BL10:BL29)</f>
        <v>696</v>
      </c>
      <c r="BO1" t="str">
        <f>BH1</f>
        <v>Sprint:</v>
      </c>
      <c r="BP1">
        <f>+BI1+1</f>
        <v>9</v>
      </c>
      <c r="BQ1" s="42" t="str">
        <f>+BJ1</f>
        <v>WebTeam1</v>
      </c>
      <c r="BR1">
        <f>SUMIF(BO10:BO29,BQ1,BS10:BS29)</f>
        <v>696</v>
      </c>
      <c r="BV1" t="str">
        <f>BO1</f>
        <v>Sprint:</v>
      </c>
      <c r="BW1">
        <f>+BP1+1</f>
        <v>10</v>
      </c>
      <c r="BX1" s="42" t="str">
        <f>+BQ1</f>
        <v>WebTeam1</v>
      </c>
      <c r="BY1">
        <f>SUMIF(BV10:BV29,BX1,BZ10:BZ29)</f>
        <v>664</v>
      </c>
      <c r="CC1" t="str">
        <f>BV1</f>
        <v>Sprint:</v>
      </c>
      <c r="CD1">
        <f>+BW1+1</f>
        <v>11</v>
      </c>
      <c r="CE1" s="42" t="str">
        <f>+BX1</f>
        <v>WebTeam1</v>
      </c>
      <c r="CF1">
        <f>SUMIF(CC10:CC29,CE1,CG10:CG29)</f>
        <v>696</v>
      </c>
      <c r="CJ1" t="str">
        <f>CC1</f>
        <v>Sprint:</v>
      </c>
      <c r="CK1">
        <f>+CD1+1</f>
        <v>12</v>
      </c>
      <c r="CL1" s="42" t="str">
        <f>+CE1</f>
        <v>WebTeam1</v>
      </c>
      <c r="CM1">
        <f>SUMIF(CJ10:CJ29,CL1,CN10:CN29)</f>
        <v>696</v>
      </c>
      <c r="CQ1" t="str">
        <f>CJ1</f>
        <v>Sprint:</v>
      </c>
      <c r="CR1">
        <f>+CK1+1</f>
        <v>13</v>
      </c>
      <c r="CS1" s="42" t="str">
        <f>+CL1</f>
        <v>WebTeam1</v>
      </c>
      <c r="CT1">
        <f>SUMIF(CQ10:CQ29,CS1,CU10:CU29)</f>
        <v>696</v>
      </c>
      <c r="CX1" t="str">
        <f>CQ1</f>
        <v>Sprint:</v>
      </c>
      <c r="CY1">
        <f>+CR1+1</f>
        <v>14</v>
      </c>
      <c r="CZ1" s="42" t="str">
        <f>+CS1</f>
        <v>WebTeam1</v>
      </c>
      <c r="DA1">
        <f>SUMIF(CX10:CX29,CZ1,DB10:DB29)</f>
        <v>696</v>
      </c>
      <c r="DE1" t="str">
        <f>CX1</f>
        <v>Sprint:</v>
      </c>
      <c r="DF1">
        <f>+CY1+1</f>
        <v>15</v>
      </c>
      <c r="DG1" s="42" t="str">
        <f>+CZ1</f>
        <v>WebTeam1</v>
      </c>
      <c r="DH1">
        <f>SUMIF(DE10:DE29,DG1,DI10:DI29)</f>
        <v>696</v>
      </c>
      <c r="DL1" t="str">
        <f>DE1</f>
        <v>Sprint:</v>
      </c>
      <c r="DM1">
        <f>+DF1+1</f>
        <v>16</v>
      </c>
      <c r="DN1" s="42" t="str">
        <f>+DG1</f>
        <v>WebTeam1</v>
      </c>
      <c r="DO1">
        <f>SUMIF(DL10:DL29,DN1,DP10:DP29)</f>
        <v>696</v>
      </c>
      <c r="DS1" t="str">
        <f>DL1</f>
        <v>Sprint:</v>
      </c>
      <c r="DT1">
        <f>+DM1+1</f>
        <v>17</v>
      </c>
      <c r="DU1" s="42" t="str">
        <f>+DN1</f>
        <v>WebTeam1</v>
      </c>
      <c r="DV1">
        <f>SUMIF(DS10:DS29,DU1,DW10:DW29)</f>
        <v>696</v>
      </c>
      <c r="DZ1" t="str">
        <f>DS1</f>
        <v>Sprint:</v>
      </c>
      <c r="EA1">
        <f>+DT1+1</f>
        <v>18</v>
      </c>
      <c r="EB1" s="42" t="str">
        <f>+DU1</f>
        <v>WebTeam1</v>
      </c>
      <c r="EC1">
        <f>SUMIF(DZ10:DZ29,EB1,ED10:ED29)</f>
        <v>696</v>
      </c>
      <c r="EG1" t="str">
        <f>DZ1</f>
        <v>Sprint:</v>
      </c>
      <c r="EH1">
        <f>+EA1+1</f>
        <v>19</v>
      </c>
      <c r="EI1" s="42" t="str">
        <f>+EB1</f>
        <v>WebTeam1</v>
      </c>
      <c r="EJ1">
        <f>SUMIF(EG10:EG29,EI1,EK10:EK29)</f>
        <v>696</v>
      </c>
      <c r="EN1" t="str">
        <f>EG1</f>
        <v>Sprint:</v>
      </c>
      <c r="EO1">
        <f>+EH1+1</f>
        <v>20</v>
      </c>
      <c r="EP1" s="42" t="str">
        <f>+EI1</f>
        <v>WebTeam1</v>
      </c>
      <c r="EQ1">
        <f>SUMIF(EN10:EN29,EP1,ER10:ER29)</f>
        <v>696</v>
      </c>
      <c r="EU1" t="str">
        <f>EN1</f>
        <v>Sprint:</v>
      </c>
      <c r="EV1">
        <f>+EO1+1</f>
        <v>21</v>
      </c>
      <c r="EW1" s="42" t="str">
        <f>+EP1</f>
        <v>WebTeam1</v>
      </c>
      <c r="EX1">
        <f>SUMIF(EU10:EU29,EW1,EY10:EY29)</f>
        <v>696</v>
      </c>
      <c r="FB1" t="str">
        <f>EU1</f>
        <v>Sprint:</v>
      </c>
      <c r="FC1">
        <f>+EV1+1</f>
        <v>22</v>
      </c>
      <c r="FD1" s="42" t="str">
        <f>+EW1</f>
        <v>WebTeam1</v>
      </c>
      <c r="FE1">
        <f>SUMIF(FB10:FB29,FD1,FF10:FF29)</f>
        <v>696</v>
      </c>
      <c r="FI1" t="str">
        <f>FB1</f>
        <v>Sprint:</v>
      </c>
      <c r="FJ1">
        <f>+FC1+1</f>
        <v>23</v>
      </c>
      <c r="FK1" s="42" t="str">
        <f>+FD1</f>
        <v>WebTeam1</v>
      </c>
      <c r="FL1">
        <f>SUMIF(FI10:FI29,FK1,FM10:FM29)</f>
        <v>696</v>
      </c>
      <c r="FP1" t="str">
        <f>FI1</f>
        <v>Sprint:</v>
      </c>
      <c r="FQ1">
        <f>+FJ1+1</f>
        <v>24</v>
      </c>
      <c r="FR1" s="42" t="str">
        <f>+FK1</f>
        <v>WebTeam1</v>
      </c>
      <c r="FS1">
        <f>SUMIF(FP10:FP29,FR1,FT10:FT29)</f>
        <v>696</v>
      </c>
      <c r="FW1" t="str">
        <f>FP1</f>
        <v>Sprint:</v>
      </c>
      <c r="FX1">
        <f>+FQ1+1</f>
        <v>25</v>
      </c>
      <c r="FY1" s="42" t="str">
        <f>+FR1</f>
        <v>WebTeam1</v>
      </c>
      <c r="FZ1">
        <f>SUMIF(FW10:FW29,FY1,GA10:GA29)</f>
        <v>696</v>
      </c>
      <c r="GD1" t="str">
        <f>FW1</f>
        <v>Sprint:</v>
      </c>
      <c r="GE1">
        <f>+FX1+1</f>
        <v>26</v>
      </c>
      <c r="GF1" s="42" t="str">
        <f>+FY1</f>
        <v>WebTeam1</v>
      </c>
      <c r="GG1">
        <f>SUMIF(GD10:GD29,GF1,GH10:GH29)</f>
        <v>696</v>
      </c>
    </row>
    <row r="2" spans="1:191">
      <c r="F2" s="43" t="s">
        <v>38</v>
      </c>
      <c r="G2">
        <f>SUMIF(D10:D29,F2,H10:H29)</f>
        <v>0</v>
      </c>
      <c r="M2" s="43" t="str">
        <f>F2</f>
        <v>Proj 2</v>
      </c>
      <c r="N2">
        <f>SUMIF(K10:K29,M2,O10:O29)</f>
        <v>0</v>
      </c>
      <c r="T2" s="43" t="str">
        <f>M2</f>
        <v>Proj 2</v>
      </c>
      <c r="U2">
        <f>SUMIF(R10:R29,T2,V10:V29)</f>
        <v>0</v>
      </c>
      <c r="AA2" s="43" t="str">
        <f>T2</f>
        <v>Proj 2</v>
      </c>
      <c r="AB2">
        <f>SUMIF(Y10:Y29,AA2,AC10:AC29)</f>
        <v>0</v>
      </c>
      <c r="AH2" s="43" t="str">
        <f>AA2</f>
        <v>Proj 2</v>
      </c>
      <c r="AI2">
        <f>SUMIF(AF10:AF29,AH2,AJ10:AJ29)</f>
        <v>0</v>
      </c>
      <c r="AO2" s="43" t="str">
        <f>AH2</f>
        <v>Proj 2</v>
      </c>
      <c r="AP2">
        <f>SUMIF(AM10:AM29,AO2,AQ10:AQ29)</f>
        <v>0</v>
      </c>
      <c r="AV2" s="43" t="str">
        <f>AO2</f>
        <v>Proj 2</v>
      </c>
      <c r="AW2">
        <f>SUMIF(AT10:AT29,AV2,AX10:AX29)</f>
        <v>0</v>
      </c>
      <c r="BC2" s="43" t="str">
        <f>AV2</f>
        <v>Proj 2</v>
      </c>
      <c r="BD2">
        <f>SUMIF(BA10:BA29,BC2,BE10:BE29)</f>
        <v>0</v>
      </c>
      <c r="BJ2" s="43" t="str">
        <f>BC2</f>
        <v>Proj 2</v>
      </c>
      <c r="BK2">
        <f>SUMIF(BH10:BH29,BJ2,BL10:BL29)</f>
        <v>0</v>
      </c>
      <c r="BQ2" s="43" t="str">
        <f>BJ2</f>
        <v>Proj 2</v>
      </c>
      <c r="BR2">
        <f>SUMIF(BO10:BO29,BQ2,BS10:BS29)</f>
        <v>0</v>
      </c>
      <c r="BX2" s="43" t="str">
        <f>BQ2</f>
        <v>Proj 2</v>
      </c>
      <c r="BY2">
        <f>SUMIF(BV10:BV29,BX2,BZ10:BZ29)</f>
        <v>0</v>
      </c>
      <c r="CE2" s="43" t="str">
        <f>BX2</f>
        <v>Proj 2</v>
      </c>
      <c r="CF2">
        <f>SUMIF(CC10:CC29,CE2,CG10:CG29)</f>
        <v>0</v>
      </c>
      <c r="CL2" s="43" t="str">
        <f>CE2</f>
        <v>Proj 2</v>
      </c>
      <c r="CM2">
        <f>SUMIF(CJ10:CJ29,CL2,CN10:CN29)</f>
        <v>0</v>
      </c>
      <c r="CS2" s="43" t="str">
        <f>CL2</f>
        <v>Proj 2</v>
      </c>
      <c r="CT2">
        <f>SUMIF(CQ10:CQ29,CS2,CU10:CU29)</f>
        <v>0</v>
      </c>
      <c r="CZ2" s="43" t="str">
        <f>CS2</f>
        <v>Proj 2</v>
      </c>
      <c r="DA2">
        <f>SUMIF(CX10:CX29,CZ2,DB10:DB29)</f>
        <v>0</v>
      </c>
      <c r="DG2" s="43" t="str">
        <f>CZ2</f>
        <v>Proj 2</v>
      </c>
      <c r="DH2">
        <f>SUMIF(DE10:DE29,DG2,DI10:DI29)</f>
        <v>0</v>
      </c>
      <c r="DN2" s="43" t="str">
        <f>DG2</f>
        <v>Proj 2</v>
      </c>
      <c r="DO2">
        <f>SUMIF(DL10:DL29,DN2,DP10:DP29)</f>
        <v>0</v>
      </c>
      <c r="DU2" s="43" t="str">
        <f>DN2</f>
        <v>Proj 2</v>
      </c>
      <c r="DV2">
        <f>SUMIF(DS10:DS29,DU2,DW10:DW29)</f>
        <v>0</v>
      </c>
      <c r="EB2" s="43" t="str">
        <f>DU2</f>
        <v>Proj 2</v>
      </c>
      <c r="EC2">
        <f>SUMIF(DZ10:DZ29,EB2,ED10:ED29)</f>
        <v>0</v>
      </c>
      <c r="EI2" s="43" t="str">
        <f>EB2</f>
        <v>Proj 2</v>
      </c>
      <c r="EJ2">
        <f>SUMIF(EG10:EG29,EI2,EK10:EK29)</f>
        <v>0</v>
      </c>
      <c r="EP2" s="43" t="str">
        <f>EI2</f>
        <v>Proj 2</v>
      </c>
      <c r="EQ2">
        <f>SUMIF(EN10:EN29,EP2,ER10:ER29)</f>
        <v>0</v>
      </c>
      <c r="EW2" s="43" t="str">
        <f>EP2</f>
        <v>Proj 2</v>
      </c>
      <c r="EX2">
        <f>SUMIF(EU10:EU29,EW2,EY10:EY29)</f>
        <v>0</v>
      </c>
      <c r="FD2" s="43" t="str">
        <f>EW2</f>
        <v>Proj 2</v>
      </c>
      <c r="FE2">
        <f>SUMIF(FB10:FB29,FD2,FF10:FF29)</f>
        <v>0</v>
      </c>
      <c r="FK2" s="43" t="str">
        <f>FD2</f>
        <v>Proj 2</v>
      </c>
      <c r="FL2">
        <f>SUMIF(FI10:FI29,FK2,FM10:FM29)</f>
        <v>0</v>
      </c>
      <c r="FR2" s="43" t="s">
        <v>34</v>
      </c>
      <c r="FS2">
        <f>SUMIF(FP10:FP29,FR2,FT10:FT29)</f>
        <v>0</v>
      </c>
      <c r="FY2" s="43" t="str">
        <f>FR2</f>
        <v>NY Pricing</v>
      </c>
      <c r="FZ2">
        <f>SUMIF(FW10:FW29,FY2,GA10:GA29)</f>
        <v>0</v>
      </c>
      <c r="GF2" s="43" t="str">
        <f>FY2</f>
        <v>NY Pricing</v>
      </c>
      <c r="GG2">
        <f>SUMIF(GD10:GD29,GF2,GH10:GH29)</f>
        <v>0</v>
      </c>
    </row>
    <row r="3" spans="1:191">
      <c r="F3" s="59" t="s">
        <v>31</v>
      </c>
      <c r="G3">
        <f>SUMIF(D10:D29,F3,H10:H29)</f>
        <v>0</v>
      </c>
      <c r="M3" s="44" t="str">
        <f>F3</f>
        <v>Proj 3</v>
      </c>
      <c r="N3">
        <f>SUMIF(K10:K29,M3,O10:O29)</f>
        <v>0</v>
      </c>
      <c r="T3" s="44" t="str">
        <f>M3</f>
        <v>Proj 3</v>
      </c>
      <c r="U3">
        <f>SUMIF(R10:R29,T3,V10:V29)</f>
        <v>0</v>
      </c>
      <c r="AA3" s="44" t="str">
        <f>T3</f>
        <v>Proj 3</v>
      </c>
      <c r="AB3">
        <f>SUMIF(Y10:Y29,AA3,AC10:AC29)</f>
        <v>0</v>
      </c>
      <c r="AH3" s="44" t="str">
        <f>AA3</f>
        <v>Proj 3</v>
      </c>
      <c r="AI3">
        <f>SUMIF(AF10:AF29,AH3,AJ10:AJ29)</f>
        <v>0</v>
      </c>
      <c r="AO3" s="44" t="str">
        <f>AH3</f>
        <v>Proj 3</v>
      </c>
      <c r="AP3">
        <f>SUMIF(AM10:AM29,AO3,AQ10:AQ29)</f>
        <v>0</v>
      </c>
      <c r="AV3" s="44" t="str">
        <f>AO3</f>
        <v>Proj 3</v>
      </c>
      <c r="AW3">
        <f>SUMIF(AT10:AT29,AV3,AX10:AX29)</f>
        <v>0</v>
      </c>
      <c r="BC3" s="44" t="str">
        <f>AV3</f>
        <v>Proj 3</v>
      </c>
      <c r="BD3">
        <f>SUMIF(BA10:BA29,BC3,BE10:BE29)</f>
        <v>0</v>
      </c>
      <c r="BJ3" s="44" t="str">
        <f>BC3</f>
        <v>Proj 3</v>
      </c>
      <c r="BK3">
        <f>SUMIF(BH10:BH29,BJ3,BL10:BL29)</f>
        <v>0</v>
      </c>
      <c r="BQ3" s="44" t="str">
        <f>BJ3</f>
        <v>Proj 3</v>
      </c>
      <c r="BR3">
        <f>SUMIF(BO10:BO29,BQ3,BS10:BS29)</f>
        <v>0</v>
      </c>
      <c r="BX3" s="44" t="str">
        <f>BQ3</f>
        <v>Proj 3</v>
      </c>
      <c r="BY3">
        <f>SUMIF(BV10:BV29,BX3,BZ10:BZ29)</f>
        <v>0</v>
      </c>
      <c r="CE3" s="44" t="str">
        <f>BX3</f>
        <v>Proj 3</v>
      </c>
      <c r="CF3">
        <f>SUMIF(CC10:CC29,CE3,CG10:CG29)</f>
        <v>0</v>
      </c>
      <c r="CL3" s="44" t="str">
        <f>CE3</f>
        <v>Proj 3</v>
      </c>
      <c r="CM3">
        <f>SUMIF(CJ10:CJ29,CL3,CN10:CN29)</f>
        <v>0</v>
      </c>
      <c r="CS3" s="44" t="str">
        <f>CL3</f>
        <v>Proj 3</v>
      </c>
      <c r="CT3">
        <f>SUMIF(CQ10:CQ29,CS3,CU10:CU29)</f>
        <v>0</v>
      </c>
      <c r="CZ3" s="44" t="str">
        <f>CS3</f>
        <v>Proj 3</v>
      </c>
      <c r="DA3">
        <f>SUMIF(CX10:CX29,CZ3,DB10:DB29)</f>
        <v>0</v>
      </c>
      <c r="DG3" s="44" t="str">
        <f>CZ3</f>
        <v>Proj 3</v>
      </c>
      <c r="DH3">
        <f>SUMIF(DE10:DE29,DG3,DI10:DI29)</f>
        <v>0</v>
      </c>
      <c r="DN3" s="44" t="str">
        <f>DG3</f>
        <v>Proj 3</v>
      </c>
      <c r="DO3">
        <f>SUMIF(DL10:DL29,DN3,DP10:DP29)</f>
        <v>0</v>
      </c>
      <c r="DU3" s="44" t="str">
        <f>DN3</f>
        <v>Proj 3</v>
      </c>
      <c r="DV3">
        <f>SUMIF(DS10:DS29,DU3,DW10:DW29)</f>
        <v>0</v>
      </c>
      <c r="EB3" s="44" t="str">
        <f>DU3</f>
        <v>Proj 3</v>
      </c>
      <c r="EC3">
        <f>SUMIF(DZ10:DZ29,EB3,ED10:ED29)</f>
        <v>0</v>
      </c>
      <c r="EI3" s="44" t="str">
        <f>EB3</f>
        <v>Proj 3</v>
      </c>
      <c r="EJ3">
        <f>SUMIF(EG10:EG29,EI3,EK10:EK29)</f>
        <v>0</v>
      </c>
      <c r="EP3" s="44" t="str">
        <f>EI3</f>
        <v>Proj 3</v>
      </c>
      <c r="EQ3">
        <f>SUMIF(EN10:EN29,EP3,ER10:ER29)</f>
        <v>0</v>
      </c>
      <c r="EW3" s="44" t="str">
        <f>EP3</f>
        <v>Proj 3</v>
      </c>
      <c r="EX3">
        <f>SUMIF(EU10:EU29,EW3,EY10:EY29)</f>
        <v>0</v>
      </c>
      <c r="FD3" s="44" t="str">
        <f>EW3</f>
        <v>Proj 3</v>
      </c>
      <c r="FE3">
        <f>SUMIF(FB10:FB29,FD3,FF10:FF29)</f>
        <v>0</v>
      </c>
      <c r="FK3" s="44" t="str">
        <f>FD3</f>
        <v>Proj 3</v>
      </c>
      <c r="FL3">
        <f>SUMIF(FI10:FI29,FK3,FM10:FM29)</f>
        <v>0</v>
      </c>
      <c r="FR3" s="44" t="s">
        <v>35</v>
      </c>
      <c r="FS3">
        <f>SUMIF(FP10:FP29,FR3,FT10:FT29)</f>
        <v>0</v>
      </c>
      <c r="FY3" s="44" t="str">
        <f>FR3</f>
        <v>Online Bill</v>
      </c>
      <c r="FZ3">
        <f>SUMIF(FW10:FW29,FY3,GA10:GA29)</f>
        <v>0</v>
      </c>
      <c r="GF3" s="44" t="str">
        <f>FY3</f>
        <v>Online Bill</v>
      </c>
      <c r="GG3">
        <f>SUMIF(GD10:GD29,GF3,GH10:GH29)</f>
        <v>0</v>
      </c>
    </row>
    <row r="4" spans="1:191">
      <c r="F4" s="60" t="s">
        <v>32</v>
      </c>
      <c r="G4">
        <f>SUMIF(D10:D29,F4,H10:H29)</f>
        <v>0</v>
      </c>
      <c r="M4" s="45" t="str">
        <f>F4</f>
        <v>Proj 4</v>
      </c>
      <c r="N4">
        <f>SUMIF(K10:K29,M4,O10:O29)</f>
        <v>0</v>
      </c>
      <c r="T4" s="45" t="str">
        <f>M4</f>
        <v>Proj 4</v>
      </c>
      <c r="U4">
        <f>SUMIF(R10:R29,T4,V10:V29)</f>
        <v>0</v>
      </c>
      <c r="AA4" s="45" t="str">
        <f>T4</f>
        <v>Proj 4</v>
      </c>
      <c r="AB4">
        <f>SUMIF(Y10:Y29,AA4,AC10:AC29)</f>
        <v>0</v>
      </c>
      <c r="AH4" s="45" t="str">
        <f>AA4</f>
        <v>Proj 4</v>
      </c>
      <c r="AI4">
        <f>SUMIF(AF10:AF29,AH4,AJ10:AJ29)</f>
        <v>0</v>
      </c>
      <c r="AO4" s="45" t="str">
        <f>AH4</f>
        <v>Proj 4</v>
      </c>
      <c r="AP4">
        <f>SUMIF(AM10:AM29,AO4,AQ10:AQ29)</f>
        <v>0</v>
      </c>
      <c r="AV4" s="45" t="str">
        <f>AO4</f>
        <v>Proj 4</v>
      </c>
      <c r="AW4">
        <f>SUMIF(AT10:AT29,AV4,AX10:AX29)</f>
        <v>0</v>
      </c>
      <c r="BC4" s="45" t="str">
        <f>AV4</f>
        <v>Proj 4</v>
      </c>
      <c r="BD4">
        <f>SUMIF(BA10:BA29,BC4,BE10:BE29)</f>
        <v>0</v>
      </c>
      <c r="BJ4" s="45" t="str">
        <f>BC4</f>
        <v>Proj 4</v>
      </c>
      <c r="BK4">
        <f>SUMIF(BH10:BH29,BJ4,BL10:BL29)</f>
        <v>0</v>
      </c>
      <c r="BQ4" s="45" t="str">
        <f>BJ4</f>
        <v>Proj 4</v>
      </c>
      <c r="BR4">
        <f>SUMIF(BO10:BO29,BQ4,BS10:BS29)</f>
        <v>0</v>
      </c>
      <c r="BX4" s="45" t="str">
        <f>BQ4</f>
        <v>Proj 4</v>
      </c>
      <c r="BY4">
        <f>SUMIF(BV10:BV29,BX4,BZ10:BZ29)</f>
        <v>0</v>
      </c>
      <c r="CE4" s="45" t="str">
        <f>BX4</f>
        <v>Proj 4</v>
      </c>
      <c r="CF4">
        <f>SUMIF(CC10:CC29,CE4,CG10:CG29)</f>
        <v>0</v>
      </c>
      <c r="CL4" s="45" t="str">
        <f>CE4</f>
        <v>Proj 4</v>
      </c>
      <c r="CM4">
        <f>SUMIF(CJ10:CJ29,CL4,CN10:CN29)</f>
        <v>0</v>
      </c>
      <c r="CS4" s="45" t="str">
        <f>CL4</f>
        <v>Proj 4</v>
      </c>
      <c r="CT4">
        <f>SUMIF(CQ10:CQ29,CS4,CU10:CU29)</f>
        <v>0</v>
      </c>
      <c r="CZ4" s="45" t="str">
        <f>CS4</f>
        <v>Proj 4</v>
      </c>
      <c r="DA4">
        <f>SUMIF(CX10:CX29,CZ4,DB10:DB29)</f>
        <v>0</v>
      </c>
      <c r="DG4" s="45" t="str">
        <f>CZ4</f>
        <v>Proj 4</v>
      </c>
      <c r="DH4">
        <f>SUMIF(DE10:DE29,DG4,DI10:DI29)</f>
        <v>0</v>
      </c>
      <c r="DN4" s="45" t="str">
        <f>DG4</f>
        <v>Proj 4</v>
      </c>
      <c r="DO4">
        <f>SUMIF(DL10:DL29,DN4,DP10:DP29)</f>
        <v>0</v>
      </c>
      <c r="DU4" s="45" t="str">
        <f>DN4</f>
        <v>Proj 4</v>
      </c>
      <c r="DV4">
        <f>SUMIF(DS10:DS29,DU4,DW10:DW29)</f>
        <v>0</v>
      </c>
      <c r="EB4" s="45" t="str">
        <f>DU4</f>
        <v>Proj 4</v>
      </c>
      <c r="EC4">
        <f>SUMIF(DZ10:DZ29,EB4,ED10:ED29)</f>
        <v>0</v>
      </c>
      <c r="EI4" s="45" t="str">
        <f>EB4</f>
        <v>Proj 4</v>
      </c>
      <c r="EJ4">
        <f>SUMIF(EG10:EG29,EI4,EK10:EK29)</f>
        <v>0</v>
      </c>
      <c r="EP4" s="45" t="str">
        <f>EI4</f>
        <v>Proj 4</v>
      </c>
      <c r="EQ4">
        <f>SUMIF(EN10:EN29,EP4,ER10:ER29)</f>
        <v>0</v>
      </c>
      <c r="EW4" s="45" t="str">
        <f>EP4</f>
        <v>Proj 4</v>
      </c>
      <c r="EX4">
        <f>SUMIF(EU10:EU29,EW4,EY10:EY29)</f>
        <v>0</v>
      </c>
      <c r="FD4" s="45" t="str">
        <f>EW4</f>
        <v>Proj 4</v>
      </c>
      <c r="FE4">
        <f>SUMIF(FB10:FB29,FD4,FF10:FF29)</f>
        <v>0</v>
      </c>
      <c r="FK4" s="45" t="str">
        <f>FD4</f>
        <v>Proj 4</v>
      </c>
      <c r="FL4">
        <f>SUMIF(FI10:FI29,FK4,FM10:FM29)</f>
        <v>0</v>
      </c>
      <c r="FR4" s="45" t="str">
        <f>FK4</f>
        <v>Proj 4</v>
      </c>
      <c r="FS4">
        <f>SUMIF(FP10:FP29,FR4,FT10:FT29)</f>
        <v>0</v>
      </c>
      <c r="FY4" s="45" t="str">
        <f>FR4</f>
        <v>Proj 4</v>
      </c>
      <c r="FZ4">
        <f>SUMIF(FW10:FW29,FY4,GA10:GA29)</f>
        <v>0</v>
      </c>
      <c r="GF4" s="45" t="str">
        <f>FY4</f>
        <v>Proj 4</v>
      </c>
      <c r="GG4">
        <f>SUMIF(GD10:GD29,GF4,GH10:GH29)</f>
        <v>0</v>
      </c>
    </row>
    <row r="5" spans="1:191">
      <c r="F5" s="61" t="s">
        <v>33</v>
      </c>
      <c r="G5">
        <f>SUMIF(D10:D29,F5,H10:H29)</f>
        <v>0</v>
      </c>
      <c r="M5" s="46" t="str">
        <f>F5</f>
        <v>Proj 5</v>
      </c>
      <c r="N5">
        <f>SUMIF(K10:K29,M5,O10:O29)</f>
        <v>0</v>
      </c>
      <c r="T5" s="46" t="str">
        <f>M5</f>
        <v>Proj 5</v>
      </c>
      <c r="U5">
        <f>SUMIF(R10:R29,T5,V10:V29)</f>
        <v>0</v>
      </c>
      <c r="AA5" s="46" t="str">
        <f>T5</f>
        <v>Proj 5</v>
      </c>
      <c r="AB5">
        <f>SUMIF(Y10:Y29,AA5,AC10:AC29)</f>
        <v>0</v>
      </c>
      <c r="AH5" s="46" t="str">
        <f>AA5</f>
        <v>Proj 5</v>
      </c>
      <c r="AI5">
        <f>SUMIF(AF10:AF29,AH5,AJ10:AJ29)</f>
        <v>0</v>
      </c>
      <c r="AO5" s="46" t="str">
        <f>AH5</f>
        <v>Proj 5</v>
      </c>
      <c r="AP5">
        <f>SUMIF(AM10:AM29,AO5,AQ10:AQ29)</f>
        <v>0</v>
      </c>
      <c r="AV5" s="46" t="str">
        <f>AO5</f>
        <v>Proj 5</v>
      </c>
      <c r="AW5">
        <f>SUMIF(AT10:AT29,AV5,AX10:AX29)</f>
        <v>0</v>
      </c>
      <c r="BC5" s="46" t="str">
        <f>AV5</f>
        <v>Proj 5</v>
      </c>
      <c r="BD5">
        <f>SUMIF(BA10:BA29,BC5,BE10:BE29)</f>
        <v>0</v>
      </c>
      <c r="BJ5" s="46" t="str">
        <f>BC5</f>
        <v>Proj 5</v>
      </c>
      <c r="BK5">
        <f>SUMIF(BH10:BH29,BJ5,BL10:BL29)</f>
        <v>0</v>
      </c>
      <c r="BQ5" s="46" t="str">
        <f>BJ5</f>
        <v>Proj 5</v>
      </c>
      <c r="BR5">
        <f>SUMIF(BO10:BO29,BQ5,BS10:BS29)</f>
        <v>0</v>
      </c>
      <c r="BX5" s="46" t="str">
        <f>BQ5</f>
        <v>Proj 5</v>
      </c>
      <c r="BY5">
        <f>SUMIF(BV10:BV29,BX5,BZ10:BZ29)</f>
        <v>0</v>
      </c>
      <c r="CE5" s="46" t="str">
        <f>BX5</f>
        <v>Proj 5</v>
      </c>
      <c r="CF5">
        <f>SUMIF(CC10:CC29,CE5,CG10:CG29)</f>
        <v>0</v>
      </c>
      <c r="CL5" s="46" t="str">
        <f>CE5</f>
        <v>Proj 5</v>
      </c>
      <c r="CM5">
        <f>SUMIF(CJ10:CJ29,CL5,CN10:CN29)</f>
        <v>0</v>
      </c>
      <c r="CS5" s="46" t="str">
        <f>CL5</f>
        <v>Proj 5</v>
      </c>
      <c r="CT5">
        <f>SUMIF(CQ10:CQ29,CS5,CU10:CU29)</f>
        <v>0</v>
      </c>
      <c r="CZ5" s="46" t="str">
        <f>CS5</f>
        <v>Proj 5</v>
      </c>
      <c r="DA5">
        <f>SUMIF(CX10:CX29,CZ5,DB10:DB29)</f>
        <v>0</v>
      </c>
      <c r="DG5" s="46" t="str">
        <f>CZ5</f>
        <v>Proj 5</v>
      </c>
      <c r="DH5">
        <f>SUMIF(DE10:DE29,DG5,DI10:DI29)</f>
        <v>0</v>
      </c>
      <c r="DN5" s="46" t="str">
        <f>DG5</f>
        <v>Proj 5</v>
      </c>
      <c r="DO5">
        <f>SUMIF(DL10:DL29,DN5,DP10:DP29)</f>
        <v>0</v>
      </c>
      <c r="DU5" s="46" t="str">
        <f>DN5</f>
        <v>Proj 5</v>
      </c>
      <c r="DV5">
        <f>SUMIF(DS10:DS29,DU5,DW10:DW29)</f>
        <v>0</v>
      </c>
      <c r="EB5" s="46" t="str">
        <f>DU5</f>
        <v>Proj 5</v>
      </c>
      <c r="EC5">
        <f>SUMIF(DZ10:DZ29,EB5,ED10:ED29)</f>
        <v>0</v>
      </c>
      <c r="EI5" s="46" t="str">
        <f>EB5</f>
        <v>Proj 5</v>
      </c>
      <c r="EJ5">
        <f>SUMIF(EG10:EG29,EI5,EK10:EK29)</f>
        <v>0</v>
      </c>
      <c r="EP5" s="46" t="str">
        <f>EI5</f>
        <v>Proj 5</v>
      </c>
      <c r="EQ5">
        <f>SUMIF(EN10:EN29,EP5,ER10:ER29)</f>
        <v>0</v>
      </c>
      <c r="EW5" s="46" t="str">
        <f>EP5</f>
        <v>Proj 5</v>
      </c>
      <c r="EX5">
        <f>SUMIF(EU10:EU29,EW5,EY10:EY29)</f>
        <v>0</v>
      </c>
      <c r="FD5" s="46" t="str">
        <f>EW5</f>
        <v>Proj 5</v>
      </c>
      <c r="FE5">
        <f>SUMIF(FB10:FB29,FD5,FF10:FF29)</f>
        <v>0</v>
      </c>
      <c r="FK5" s="46" t="str">
        <f>FD5</f>
        <v>Proj 5</v>
      </c>
      <c r="FL5">
        <f>SUMIF(FI10:FI29,FK5,FM10:FM29)</f>
        <v>0</v>
      </c>
      <c r="FR5" s="46" t="str">
        <f>FK5</f>
        <v>Proj 5</v>
      </c>
      <c r="FS5">
        <f>SUMIF(FP10:FP29,FR5,FT10:FT29)</f>
        <v>0</v>
      </c>
      <c r="FY5" s="46" t="str">
        <f>FR5</f>
        <v>Proj 5</v>
      </c>
      <c r="FZ5">
        <f>SUMIF(FW10:FW29,FY5,GA10:GA29)</f>
        <v>0</v>
      </c>
      <c r="GF5" s="46" t="str">
        <f>FY5</f>
        <v>Proj 5</v>
      </c>
      <c r="GG5">
        <f>SUMIF(GD10:GD29,GF5,GH10:GH29)</f>
        <v>0</v>
      </c>
    </row>
    <row r="6" spans="1:191">
      <c r="F6" t="s">
        <v>7</v>
      </c>
      <c r="G6">
        <f>SUM(G1:G5)</f>
        <v>770.4</v>
      </c>
      <c r="M6" t="s">
        <v>7</v>
      </c>
      <c r="N6">
        <f>SUM(N1:N5)</f>
        <v>770.4</v>
      </c>
      <c r="T6" t="s">
        <v>7</v>
      </c>
      <c r="U6">
        <f>SUM(U1:U5)</f>
        <v>856</v>
      </c>
      <c r="AA6" t="s">
        <v>7</v>
      </c>
      <c r="AB6">
        <f>SUM(AB1:AB5)</f>
        <v>682.4</v>
      </c>
      <c r="AH6" t="s">
        <v>7</v>
      </c>
      <c r="AI6">
        <f>SUM(AI1:AI5)</f>
        <v>800</v>
      </c>
      <c r="AO6" t="s">
        <v>7</v>
      </c>
      <c r="AP6">
        <f>SUM(AP1:AP5)</f>
        <v>776</v>
      </c>
      <c r="AV6" t="s">
        <v>7</v>
      </c>
      <c r="AW6">
        <f>SUM(AW1:AW5)</f>
        <v>776</v>
      </c>
      <c r="BC6" t="s">
        <v>7</v>
      </c>
      <c r="BD6">
        <f>SUM(BD1:BD5)</f>
        <v>776</v>
      </c>
      <c r="BJ6" t="s">
        <v>7</v>
      </c>
      <c r="BK6">
        <f>SUM(BK1:BK5)</f>
        <v>696</v>
      </c>
      <c r="BQ6" t="s">
        <v>7</v>
      </c>
      <c r="BR6">
        <f>SUM(BR1:BR5)</f>
        <v>696</v>
      </c>
      <c r="BX6" t="s">
        <v>7</v>
      </c>
      <c r="BY6">
        <f>SUM(BY1:BY5)</f>
        <v>664</v>
      </c>
      <c r="CE6" t="s">
        <v>7</v>
      </c>
      <c r="CF6">
        <f>SUM(CF1:CF5)</f>
        <v>696</v>
      </c>
      <c r="CL6" t="s">
        <v>7</v>
      </c>
      <c r="CM6">
        <f>SUM(CM1:CM5)</f>
        <v>696</v>
      </c>
      <c r="CS6" t="s">
        <v>7</v>
      </c>
      <c r="CT6">
        <f>SUM(CT1:CT5)</f>
        <v>696</v>
      </c>
      <c r="CZ6" t="s">
        <v>7</v>
      </c>
      <c r="DA6">
        <f>SUM(DA1:DA5)</f>
        <v>696</v>
      </c>
      <c r="DG6" t="s">
        <v>7</v>
      </c>
      <c r="DH6">
        <f>SUM(DH1:DH5)</f>
        <v>696</v>
      </c>
      <c r="DN6" t="s">
        <v>7</v>
      </c>
      <c r="DO6">
        <f>SUM(DO1:DO5)</f>
        <v>696</v>
      </c>
      <c r="DU6" t="s">
        <v>7</v>
      </c>
      <c r="DV6">
        <f>SUM(DV1:DV5)</f>
        <v>696</v>
      </c>
      <c r="EB6" t="s">
        <v>7</v>
      </c>
      <c r="EC6">
        <f>SUM(EC1:EC5)</f>
        <v>696</v>
      </c>
      <c r="EI6" t="s">
        <v>7</v>
      </c>
      <c r="EJ6">
        <f>SUM(EJ1:EJ5)</f>
        <v>696</v>
      </c>
      <c r="EP6" t="s">
        <v>7</v>
      </c>
      <c r="EQ6">
        <f>SUM(EQ1:EQ5)</f>
        <v>696</v>
      </c>
      <c r="EW6" t="s">
        <v>7</v>
      </c>
      <c r="EX6">
        <f>SUM(EX1:EX5)</f>
        <v>696</v>
      </c>
      <c r="FD6" t="s">
        <v>7</v>
      </c>
      <c r="FE6">
        <f>SUM(FE1:FE5)</f>
        <v>696</v>
      </c>
      <c r="FK6" t="s">
        <v>7</v>
      </c>
      <c r="FL6">
        <f>SUM(FL1:FL5)</f>
        <v>696</v>
      </c>
      <c r="FR6" t="s">
        <v>7</v>
      </c>
      <c r="FS6">
        <f>SUM(FS1:FS5)</f>
        <v>696</v>
      </c>
      <c r="FY6" t="s">
        <v>7</v>
      </c>
      <c r="FZ6">
        <f>SUM(FZ1:FZ5)</f>
        <v>696</v>
      </c>
      <c r="GF6" t="s">
        <v>7</v>
      </c>
      <c r="GG6">
        <f>SUM(GG1:GG5)</f>
        <v>696</v>
      </c>
    </row>
    <row r="7" spans="1:191">
      <c r="D7" t="s">
        <v>16</v>
      </c>
      <c r="E7" s="47">
        <f>start_date</f>
        <v>41949</v>
      </c>
      <c r="F7" t="s">
        <v>17</v>
      </c>
      <c r="G7" s="47">
        <f>+E7+Days_in_iteration-1</f>
        <v>41962</v>
      </c>
      <c r="H7" s="47"/>
      <c r="K7" t="s">
        <v>16</v>
      </c>
      <c r="L7" s="47">
        <f>+G7+1</f>
        <v>41963</v>
      </c>
      <c r="M7" t="s">
        <v>17</v>
      </c>
      <c r="N7" s="47">
        <f>+L7+Days_in_iteration-1</f>
        <v>41976</v>
      </c>
      <c r="O7" s="47"/>
      <c r="R7" t="s">
        <v>16</v>
      </c>
      <c r="S7" s="47">
        <f>+N7+1</f>
        <v>41977</v>
      </c>
      <c r="T7" t="s">
        <v>17</v>
      </c>
      <c r="U7" s="47">
        <f>+S7+Days_in_iteration-1</f>
        <v>41990</v>
      </c>
      <c r="V7" s="47"/>
      <c r="Y7" t="s">
        <v>16</v>
      </c>
      <c r="Z7" s="47">
        <f>+U7+1</f>
        <v>41991</v>
      </c>
      <c r="AA7" t="s">
        <v>17</v>
      </c>
      <c r="AB7" s="47">
        <f>+Z7+Days_in_iteration-1</f>
        <v>42004</v>
      </c>
      <c r="AC7" s="47"/>
      <c r="AF7" t="s">
        <v>16</v>
      </c>
      <c r="AG7" s="47">
        <f>+AB7+1</f>
        <v>42005</v>
      </c>
      <c r="AH7" t="s">
        <v>17</v>
      </c>
      <c r="AI7" s="47">
        <f>+AG7+Days_in_iteration-1</f>
        <v>42018</v>
      </c>
      <c r="AJ7" s="47"/>
      <c r="AM7" t="s">
        <v>16</v>
      </c>
      <c r="AN7" s="47">
        <f>+AI7+1</f>
        <v>42019</v>
      </c>
      <c r="AO7" t="s">
        <v>17</v>
      </c>
      <c r="AP7" s="47">
        <f>+AN7+Days_in_iteration-1</f>
        <v>42032</v>
      </c>
      <c r="AQ7" s="47"/>
      <c r="AT7" t="s">
        <v>16</v>
      </c>
      <c r="AU7" s="47">
        <f>+AP7+1</f>
        <v>42033</v>
      </c>
      <c r="AV7" t="s">
        <v>17</v>
      </c>
      <c r="AW7" s="47">
        <f>+AU7+Days_in_iteration-1</f>
        <v>42046</v>
      </c>
      <c r="AX7" s="47"/>
      <c r="BA7" t="s">
        <v>16</v>
      </c>
      <c r="BB7" s="47">
        <f>+AW7+1</f>
        <v>42047</v>
      </c>
      <c r="BC7" t="s">
        <v>17</v>
      </c>
      <c r="BD7" s="47">
        <f>+BB7+Days_in_iteration-1</f>
        <v>42060</v>
      </c>
      <c r="BE7" s="47"/>
      <c r="BH7" t="s">
        <v>16</v>
      </c>
      <c r="BI7" s="47">
        <f>+BD7+1</f>
        <v>42061</v>
      </c>
      <c r="BJ7" t="s">
        <v>17</v>
      </c>
      <c r="BK7" s="47">
        <f>+BI7+Days_in_iteration-1</f>
        <v>42074</v>
      </c>
      <c r="BL7" s="47"/>
      <c r="BO7" t="s">
        <v>16</v>
      </c>
      <c r="BP7" s="47">
        <f>+BK7+1</f>
        <v>42075</v>
      </c>
      <c r="BQ7" t="s">
        <v>17</v>
      </c>
      <c r="BR7" s="47">
        <f>+BP7+Days_in_iteration-1</f>
        <v>42088</v>
      </c>
      <c r="BS7" s="47"/>
      <c r="BV7" t="s">
        <v>16</v>
      </c>
      <c r="BW7" s="47">
        <f>+BR7+1</f>
        <v>42089</v>
      </c>
      <c r="BX7" t="s">
        <v>17</v>
      </c>
      <c r="BY7" s="47">
        <f>+BW7+Days_in_iteration-1</f>
        <v>42102</v>
      </c>
      <c r="BZ7" s="47"/>
      <c r="CC7" t="s">
        <v>16</v>
      </c>
      <c r="CD7" s="47">
        <f>+BY7+1</f>
        <v>42103</v>
      </c>
      <c r="CE7" t="s">
        <v>17</v>
      </c>
      <c r="CF7" s="47">
        <f>+CD7+Days_in_iteration-1</f>
        <v>42116</v>
      </c>
      <c r="CG7" s="47"/>
      <c r="CJ7" t="s">
        <v>16</v>
      </c>
      <c r="CK7" s="47">
        <f>+CF7+1</f>
        <v>42117</v>
      </c>
      <c r="CL7" t="s">
        <v>17</v>
      </c>
      <c r="CM7" s="47">
        <f>+CK7+Days_in_iteration-1</f>
        <v>42130</v>
      </c>
      <c r="CN7" s="47"/>
      <c r="CQ7" t="s">
        <v>16</v>
      </c>
      <c r="CR7" s="47">
        <f>+CM7+1</f>
        <v>42131</v>
      </c>
      <c r="CS7" t="s">
        <v>17</v>
      </c>
      <c r="CT7" s="47">
        <f>+CR7+Days_in_iteration-1</f>
        <v>42144</v>
      </c>
      <c r="CU7" s="47"/>
      <c r="CX7" t="s">
        <v>16</v>
      </c>
      <c r="CY7" s="47">
        <f>+CT7+1</f>
        <v>42145</v>
      </c>
      <c r="CZ7" t="s">
        <v>17</v>
      </c>
      <c r="DA7" s="47">
        <f>+CY7+Days_in_iteration-1</f>
        <v>42158</v>
      </c>
      <c r="DB7" s="47"/>
      <c r="DE7" t="s">
        <v>16</v>
      </c>
      <c r="DF7" s="47">
        <f>+DA7+1</f>
        <v>42159</v>
      </c>
      <c r="DG7" t="s">
        <v>17</v>
      </c>
      <c r="DH7" s="47">
        <f>+DF7+Days_in_iteration-1</f>
        <v>42172</v>
      </c>
      <c r="DI7" s="47"/>
      <c r="DL7" t="s">
        <v>16</v>
      </c>
      <c r="DM7" s="47">
        <f>+DH7+1</f>
        <v>42173</v>
      </c>
      <c r="DN7" t="s">
        <v>17</v>
      </c>
      <c r="DO7" s="47">
        <f>+DM7+Days_in_iteration-1</f>
        <v>42186</v>
      </c>
      <c r="DP7" s="47"/>
      <c r="DS7" t="s">
        <v>16</v>
      </c>
      <c r="DT7" s="47">
        <f>+DO7+1</f>
        <v>42187</v>
      </c>
      <c r="DU7" t="s">
        <v>17</v>
      </c>
      <c r="DV7" s="47">
        <f>+DT7+Days_in_iteration-1</f>
        <v>42200</v>
      </c>
      <c r="DW7" s="47"/>
      <c r="DZ7" t="s">
        <v>16</v>
      </c>
      <c r="EA7" s="47">
        <f>+DV7+1</f>
        <v>42201</v>
      </c>
      <c r="EB7" t="s">
        <v>17</v>
      </c>
      <c r="EC7" s="47">
        <f>+EA7+Days_in_iteration-1</f>
        <v>42214</v>
      </c>
      <c r="ED7" s="47"/>
      <c r="EG7" t="s">
        <v>16</v>
      </c>
      <c r="EH7" s="47">
        <f>+EC7+1</f>
        <v>42215</v>
      </c>
      <c r="EI7" t="s">
        <v>17</v>
      </c>
      <c r="EJ7" s="47">
        <f>+EH7+Days_in_iteration-1</f>
        <v>42228</v>
      </c>
      <c r="EK7" s="47"/>
      <c r="EN7" t="s">
        <v>16</v>
      </c>
      <c r="EO7" s="47">
        <f>+EJ7+1</f>
        <v>42229</v>
      </c>
      <c r="EP7" t="s">
        <v>17</v>
      </c>
      <c r="EQ7" s="47">
        <f>+EO7+Days_in_iteration-1</f>
        <v>42242</v>
      </c>
      <c r="ER7" s="47"/>
      <c r="EU7" t="s">
        <v>16</v>
      </c>
      <c r="EV7" s="47">
        <f>+EQ7+1</f>
        <v>42243</v>
      </c>
      <c r="EW7" t="s">
        <v>17</v>
      </c>
      <c r="EX7" s="47">
        <f>+EV7+Days_in_iteration-1</f>
        <v>42256</v>
      </c>
      <c r="EY7" s="47"/>
      <c r="FB7" t="s">
        <v>16</v>
      </c>
      <c r="FC7" s="47">
        <f>+EX7+1</f>
        <v>42257</v>
      </c>
      <c r="FD7" t="s">
        <v>17</v>
      </c>
      <c r="FE7" s="47">
        <f>+FC7+Days_in_iteration-1</f>
        <v>42270</v>
      </c>
      <c r="FF7" s="47"/>
      <c r="FI7" t="s">
        <v>16</v>
      </c>
      <c r="FJ7" s="47">
        <f>+FE7+1</f>
        <v>42271</v>
      </c>
      <c r="FK7" t="s">
        <v>17</v>
      </c>
      <c r="FL7" s="47">
        <f>+FJ7+Days_in_iteration-1</f>
        <v>42284</v>
      </c>
      <c r="FM7" s="47"/>
      <c r="FP7" t="s">
        <v>16</v>
      </c>
      <c r="FQ7" s="47">
        <f>+FL7+1</f>
        <v>42285</v>
      </c>
      <c r="FR7" t="s">
        <v>17</v>
      </c>
      <c r="FS7" s="47">
        <f>+FQ7+Days_in_iteration-1</f>
        <v>42298</v>
      </c>
      <c r="FT7" s="47"/>
      <c r="FW7" t="s">
        <v>16</v>
      </c>
      <c r="FX7" s="47">
        <f>+FS7+1</f>
        <v>42299</v>
      </c>
      <c r="FY7" t="s">
        <v>17</v>
      </c>
      <c r="FZ7" s="47">
        <f>+FX7+Days_in_iteration-1</f>
        <v>42312</v>
      </c>
      <c r="GA7" s="47"/>
      <c r="GD7" t="s">
        <v>16</v>
      </c>
      <c r="GE7" s="47">
        <f>+FZ7+1</f>
        <v>42313</v>
      </c>
      <c r="GF7" t="s">
        <v>17</v>
      </c>
      <c r="GG7" s="47">
        <f>+GE7+Days_in_iteration-1</f>
        <v>42326</v>
      </c>
      <c r="GH7" s="47"/>
    </row>
    <row r="9" spans="1:191" ht="25">
      <c r="A9" s="48" t="s">
        <v>22</v>
      </c>
      <c r="B9" s="48" t="s">
        <v>46</v>
      </c>
      <c r="C9" s="48" t="s">
        <v>53</v>
      </c>
      <c r="D9" s="48" t="s">
        <v>20</v>
      </c>
      <c r="E9" s="48" t="s">
        <v>18</v>
      </c>
      <c r="F9" s="48" t="s">
        <v>107</v>
      </c>
      <c r="G9" s="48" t="s">
        <v>108</v>
      </c>
      <c r="H9" s="48" t="s">
        <v>19</v>
      </c>
      <c r="I9" s="48" t="s">
        <v>6</v>
      </c>
      <c r="J9" s="14"/>
      <c r="K9" s="48" t="s">
        <v>20</v>
      </c>
      <c r="L9" s="48" t="s">
        <v>18</v>
      </c>
      <c r="M9" s="48" t="s">
        <v>107</v>
      </c>
      <c r="N9" s="48" t="s">
        <v>108</v>
      </c>
      <c r="O9" s="48" t="s">
        <v>19</v>
      </c>
      <c r="P9" s="48" t="s">
        <v>6</v>
      </c>
      <c r="Q9" s="14"/>
      <c r="R9" s="48" t="s">
        <v>20</v>
      </c>
      <c r="S9" s="48" t="s">
        <v>18</v>
      </c>
      <c r="T9" s="48" t="str">
        <f>M9</f>
        <v>Holiday</v>
      </c>
      <c r="U9" s="48" t="str">
        <f>N9</f>
        <v>Vacation</v>
      </c>
      <c r="V9" s="48" t="s">
        <v>19</v>
      </c>
      <c r="W9" s="48" t="s">
        <v>6</v>
      </c>
      <c r="X9" s="14"/>
      <c r="Y9" s="48" t="s">
        <v>20</v>
      </c>
      <c r="Z9" s="48" t="s">
        <v>18</v>
      </c>
      <c r="AA9" s="48" t="str">
        <f>T9</f>
        <v>Holiday</v>
      </c>
      <c r="AB9" s="48" t="str">
        <f>U9</f>
        <v>Vacation</v>
      </c>
      <c r="AC9" s="48" t="s">
        <v>19</v>
      </c>
      <c r="AD9" s="48" t="s">
        <v>6</v>
      </c>
      <c r="AE9" s="14"/>
      <c r="AF9" s="48" t="s">
        <v>20</v>
      </c>
      <c r="AG9" s="48" t="s">
        <v>18</v>
      </c>
      <c r="AH9" s="48" t="str">
        <f>AA9</f>
        <v>Holiday</v>
      </c>
      <c r="AI9" s="48" t="str">
        <f>AB9</f>
        <v>Vacation</v>
      </c>
      <c r="AJ9" s="48" t="s">
        <v>19</v>
      </c>
      <c r="AK9" s="48" t="s">
        <v>6</v>
      </c>
      <c r="AL9" s="14"/>
      <c r="AM9" s="48" t="s">
        <v>20</v>
      </c>
      <c r="AN9" s="48" t="s">
        <v>18</v>
      </c>
      <c r="AO9" s="48" t="str">
        <f>AH9</f>
        <v>Holiday</v>
      </c>
      <c r="AP9" s="48" t="str">
        <f>AI9</f>
        <v>Vacation</v>
      </c>
      <c r="AQ9" s="48" t="s">
        <v>19</v>
      </c>
      <c r="AR9" s="48" t="s">
        <v>6</v>
      </c>
      <c r="AS9" s="14"/>
      <c r="AT9" s="48" t="s">
        <v>20</v>
      </c>
      <c r="AU9" s="48" t="s">
        <v>18</v>
      </c>
      <c r="AV9" s="48" t="str">
        <f>AO9</f>
        <v>Holiday</v>
      </c>
      <c r="AW9" s="48" t="str">
        <f>AP9</f>
        <v>Vacation</v>
      </c>
      <c r="AX9" s="48" t="s">
        <v>19</v>
      </c>
      <c r="AY9" s="48" t="s">
        <v>6</v>
      </c>
      <c r="AZ9" s="14"/>
      <c r="BA9" s="48" t="s">
        <v>20</v>
      </c>
      <c r="BB9" s="48" t="s">
        <v>18</v>
      </c>
      <c r="BC9" s="48" t="str">
        <f>AV9</f>
        <v>Holiday</v>
      </c>
      <c r="BD9" s="48" t="str">
        <f>AW9</f>
        <v>Vacation</v>
      </c>
      <c r="BE9" s="48" t="s">
        <v>19</v>
      </c>
      <c r="BF9" s="48" t="s">
        <v>6</v>
      </c>
      <c r="BG9" s="14"/>
      <c r="BH9" s="48" t="s">
        <v>20</v>
      </c>
      <c r="BI9" s="48" t="s">
        <v>18</v>
      </c>
      <c r="BJ9" s="48" t="str">
        <f>BC9</f>
        <v>Holiday</v>
      </c>
      <c r="BK9" s="48" t="str">
        <f>BD9</f>
        <v>Vacation</v>
      </c>
      <c r="BL9" s="48" t="s">
        <v>19</v>
      </c>
      <c r="BM9" s="48" t="s">
        <v>6</v>
      </c>
      <c r="BN9" s="14"/>
      <c r="BO9" s="48" t="s">
        <v>20</v>
      </c>
      <c r="BP9" s="48" t="s">
        <v>18</v>
      </c>
      <c r="BQ9" s="48" t="str">
        <f>BJ9</f>
        <v>Holiday</v>
      </c>
      <c r="BR9" s="48" t="str">
        <f>BK9</f>
        <v>Vacation</v>
      </c>
      <c r="BS9" s="48" t="s">
        <v>19</v>
      </c>
      <c r="BT9" s="48" t="s">
        <v>6</v>
      </c>
      <c r="BU9" s="14"/>
      <c r="BV9" s="48" t="s">
        <v>20</v>
      </c>
      <c r="BW9" s="48" t="s">
        <v>18</v>
      </c>
      <c r="BX9" s="48" t="str">
        <f>BQ9</f>
        <v>Holiday</v>
      </c>
      <c r="BY9" s="48" t="str">
        <f>BR9</f>
        <v>Vacation</v>
      </c>
      <c r="BZ9" s="48" t="s">
        <v>19</v>
      </c>
      <c r="CA9" s="48" t="s">
        <v>6</v>
      </c>
      <c r="CB9" s="14"/>
      <c r="CC9" s="48" t="s">
        <v>20</v>
      </c>
      <c r="CD9" s="48" t="s">
        <v>18</v>
      </c>
      <c r="CE9" s="48" t="str">
        <f>BX9</f>
        <v>Holiday</v>
      </c>
      <c r="CF9" s="48" t="str">
        <f>BY9</f>
        <v>Vacation</v>
      </c>
      <c r="CG9" s="48" t="s">
        <v>19</v>
      </c>
      <c r="CH9" s="48" t="s">
        <v>6</v>
      </c>
      <c r="CI9" s="14"/>
      <c r="CJ9" s="48" t="s">
        <v>20</v>
      </c>
      <c r="CK9" s="48" t="s">
        <v>18</v>
      </c>
      <c r="CL9" s="48" t="str">
        <f>CE9</f>
        <v>Holiday</v>
      </c>
      <c r="CM9" s="48" t="str">
        <f>CF9</f>
        <v>Vacation</v>
      </c>
      <c r="CN9" s="48" t="s">
        <v>19</v>
      </c>
      <c r="CO9" s="48" t="s">
        <v>6</v>
      </c>
      <c r="CP9" s="14"/>
      <c r="CQ9" s="48" t="s">
        <v>20</v>
      </c>
      <c r="CR9" s="48" t="s">
        <v>18</v>
      </c>
      <c r="CS9" s="48" t="str">
        <f>CL9</f>
        <v>Holiday</v>
      </c>
      <c r="CT9" s="48" t="str">
        <f>CM9</f>
        <v>Vacation</v>
      </c>
      <c r="CU9" s="48" t="s">
        <v>19</v>
      </c>
      <c r="CV9" s="48" t="s">
        <v>6</v>
      </c>
      <c r="CW9" s="14"/>
      <c r="CX9" s="48" t="s">
        <v>20</v>
      </c>
      <c r="CY9" s="48" t="s">
        <v>18</v>
      </c>
      <c r="CZ9" s="48" t="str">
        <f>CS9</f>
        <v>Holiday</v>
      </c>
      <c r="DA9" s="48" t="str">
        <f>CT9</f>
        <v>Vacation</v>
      </c>
      <c r="DB9" s="48" t="s">
        <v>19</v>
      </c>
      <c r="DC9" s="48" t="s">
        <v>6</v>
      </c>
      <c r="DD9" s="14"/>
      <c r="DE9" s="48" t="s">
        <v>20</v>
      </c>
      <c r="DF9" s="48" t="s">
        <v>18</v>
      </c>
      <c r="DG9" s="48" t="str">
        <f>CZ9</f>
        <v>Holiday</v>
      </c>
      <c r="DH9" s="48" t="str">
        <f>DA9</f>
        <v>Vacation</v>
      </c>
      <c r="DI9" s="48" t="s">
        <v>19</v>
      </c>
      <c r="DJ9" s="48" t="s">
        <v>6</v>
      </c>
      <c r="DK9" s="14"/>
      <c r="DL9" s="48" t="s">
        <v>20</v>
      </c>
      <c r="DM9" s="48" t="s">
        <v>18</v>
      </c>
      <c r="DN9" s="48" t="str">
        <f>DG9</f>
        <v>Holiday</v>
      </c>
      <c r="DO9" s="48" t="str">
        <f>DH9</f>
        <v>Vacation</v>
      </c>
      <c r="DP9" s="48" t="s">
        <v>19</v>
      </c>
      <c r="DQ9" s="48" t="s">
        <v>6</v>
      </c>
      <c r="DR9" s="14"/>
      <c r="DS9" s="48" t="s">
        <v>20</v>
      </c>
      <c r="DT9" s="48" t="s">
        <v>18</v>
      </c>
      <c r="DU9" s="48" t="str">
        <f>DN9</f>
        <v>Holiday</v>
      </c>
      <c r="DV9" s="48" t="str">
        <f>DO9</f>
        <v>Vacation</v>
      </c>
      <c r="DW9" s="48" t="s">
        <v>19</v>
      </c>
      <c r="DX9" s="48" t="s">
        <v>6</v>
      </c>
      <c r="DY9" s="14"/>
      <c r="DZ9" s="48" t="s">
        <v>20</v>
      </c>
      <c r="EA9" s="48" t="s">
        <v>18</v>
      </c>
      <c r="EB9" s="48" t="str">
        <f>DU9</f>
        <v>Holiday</v>
      </c>
      <c r="EC9" s="48" t="str">
        <f>DV9</f>
        <v>Vacation</v>
      </c>
      <c r="ED9" s="48" t="s">
        <v>19</v>
      </c>
      <c r="EE9" s="48" t="s">
        <v>6</v>
      </c>
      <c r="EF9" s="14"/>
      <c r="EG9" s="48" t="s">
        <v>20</v>
      </c>
      <c r="EH9" s="48" t="s">
        <v>18</v>
      </c>
      <c r="EI9" s="48" t="str">
        <f>EB9</f>
        <v>Holiday</v>
      </c>
      <c r="EJ9" s="48" t="str">
        <f>EC9</f>
        <v>Vacation</v>
      </c>
      <c r="EK9" s="48" t="s">
        <v>19</v>
      </c>
      <c r="EL9" s="48" t="s">
        <v>6</v>
      </c>
      <c r="EM9" s="14"/>
      <c r="EN9" s="48" t="s">
        <v>20</v>
      </c>
      <c r="EO9" s="48" t="s">
        <v>18</v>
      </c>
      <c r="EP9" s="48" t="str">
        <f>EI9</f>
        <v>Holiday</v>
      </c>
      <c r="EQ9" s="48" t="str">
        <f>EJ9</f>
        <v>Vacation</v>
      </c>
      <c r="ER9" s="48" t="s">
        <v>19</v>
      </c>
      <c r="ES9" s="48" t="s">
        <v>6</v>
      </c>
      <c r="ET9" s="14"/>
      <c r="EU9" s="48" t="s">
        <v>20</v>
      </c>
      <c r="EV9" s="48" t="s">
        <v>18</v>
      </c>
      <c r="EW9" s="48" t="str">
        <f>EP9</f>
        <v>Holiday</v>
      </c>
      <c r="EX9" s="48" t="str">
        <f>EQ9</f>
        <v>Vacation</v>
      </c>
      <c r="EY9" s="48" t="s">
        <v>19</v>
      </c>
      <c r="EZ9" s="48" t="s">
        <v>6</v>
      </c>
      <c r="FA9" s="14"/>
      <c r="FB9" s="48" t="s">
        <v>20</v>
      </c>
      <c r="FC9" s="48" t="s">
        <v>18</v>
      </c>
      <c r="FD9" s="48" t="str">
        <f>EW9</f>
        <v>Holiday</v>
      </c>
      <c r="FE9" s="48" t="str">
        <f>EX9</f>
        <v>Vacation</v>
      </c>
      <c r="FF9" s="48" t="s">
        <v>19</v>
      </c>
      <c r="FG9" s="48" t="s">
        <v>6</v>
      </c>
      <c r="FH9" s="14"/>
      <c r="FI9" s="48" t="s">
        <v>20</v>
      </c>
      <c r="FJ9" s="48" t="s">
        <v>18</v>
      </c>
      <c r="FK9" s="48" t="str">
        <f>FD9</f>
        <v>Holiday</v>
      </c>
      <c r="FL9" s="48" t="str">
        <f>FE9</f>
        <v>Vacation</v>
      </c>
      <c r="FM9" s="48" t="s">
        <v>19</v>
      </c>
      <c r="FN9" s="48" t="s">
        <v>6</v>
      </c>
      <c r="FO9" s="14"/>
      <c r="FP9" s="48" t="s">
        <v>20</v>
      </c>
      <c r="FQ9" s="48" t="s">
        <v>18</v>
      </c>
      <c r="FR9" s="48" t="str">
        <f>FK9</f>
        <v>Holiday</v>
      </c>
      <c r="FS9" s="48" t="str">
        <f>FL9</f>
        <v>Vacation</v>
      </c>
      <c r="FT9" s="48" t="s">
        <v>19</v>
      </c>
      <c r="FU9" s="48" t="s">
        <v>6</v>
      </c>
      <c r="FV9" s="14"/>
      <c r="FW9" s="48" t="s">
        <v>20</v>
      </c>
      <c r="FX9" s="48" t="s">
        <v>18</v>
      </c>
      <c r="FY9" s="48" t="str">
        <f>FR9</f>
        <v>Holiday</v>
      </c>
      <c r="FZ9" s="48" t="str">
        <f>FS9</f>
        <v>Vacation</v>
      </c>
      <c r="GA9" s="48" t="s">
        <v>19</v>
      </c>
      <c r="GB9" s="48" t="s">
        <v>6</v>
      </c>
      <c r="GC9" s="14"/>
      <c r="GD9" s="48" t="s">
        <v>20</v>
      </c>
      <c r="GE9" s="48" t="s">
        <v>18</v>
      </c>
      <c r="GF9" s="48" t="str">
        <f>FY9</f>
        <v>Holiday</v>
      </c>
      <c r="GG9" s="48" t="str">
        <f>FZ9</f>
        <v>Vacation</v>
      </c>
      <c r="GH9" s="48" t="s">
        <v>19</v>
      </c>
      <c r="GI9" s="48" t="s">
        <v>6</v>
      </c>
    </row>
    <row r="10" spans="1:191" s="53" customFormat="1">
      <c r="A10" s="110" t="str">
        <f>Person1</f>
        <v>Brian Richards</v>
      </c>
      <c r="B10" s="42" t="s">
        <v>47</v>
      </c>
      <c r="C10" s="42" t="str">
        <f t="shared" ref="C10:C22" si="0">CONCATENATE(D10, " ", B10)</f>
        <v>WebTeam1 Product Owner</v>
      </c>
      <c r="D10" s="135" t="str">
        <f t="shared" ref="D10:D22" si="1">ProjectOne</f>
        <v>WebTeam1</v>
      </c>
      <c r="E10" s="42">
        <f>IF(ISNA(LOOKUP(1,1/(People=$A10)/(TeamStartSprints&lt;=Sprint1)/(TeamEndSprints&gt;=Sprint1),AvailableHours)),0,LOOKUP(1,1/(People=$A10)/(TeamStartSprints&lt;=Sprint1)/(TeamEndSprints&gt;=Sprint1),AvailableHours))</f>
        <v>0</v>
      </c>
      <c r="F10" s="51">
        <f>IF(E10=0,0,VLOOKUP(Sprint1,Settings!$C$28:$E$53,3)*(E10/Hours_in_iteration))</f>
        <v>0</v>
      </c>
      <c r="G10" s="51">
        <f>IF(ISNA(SUMPRODUCT((PersonOnVacation=Availability!A10)*(VacationSprint=Sprint1)*SprintHoursOff)),0,SUMPRODUCT((PersonOnVacation=Availability!A10)*(VacationSprint=Sprint1)*SprintHoursOff))</f>
        <v>0</v>
      </c>
      <c r="H10" s="52">
        <f t="shared" ref="H10:H29" si="2">IF((F10+G10)&gt;E10,0,E10-F10-G10)</f>
        <v>0</v>
      </c>
      <c r="I10" s="42"/>
      <c r="J10" s="27"/>
      <c r="K10" s="176" t="str">
        <f t="shared" ref="K10:K29" si="3">+D10</f>
        <v>WebTeam1</v>
      </c>
      <c r="L10" s="42">
        <f t="shared" ref="L10:L29" si="4">IF(ISNA(LOOKUP(1,1/(People=$A10)/(TeamStartSprints&lt;=Sprint2)/(TeamEndSprints&gt;=Sprint2),AvailableHours)),0,LOOKUP(1,1/(People=$A10)/(TeamStartSprints&lt;=Sprint2)/(TeamEndSprints&gt;=Sprint2),AvailableHours))</f>
        <v>0</v>
      </c>
      <c r="M10" s="51">
        <f>IF(L10=0,0,VLOOKUP(Sprint2,Settings!$C$28:$E$53,3)*(L10/Hours_in_iteration))</f>
        <v>0</v>
      </c>
      <c r="N10" s="51">
        <f>IF(ISNA(SUMPRODUCT((PersonOnVacation=Availability!A10)*(VacationSprint=Sprint2)*SprintHoursOff)),0,SUMPRODUCT((PersonOnVacation=Availability!A10)*(VacationSprint=Sprint2)*SprintHoursOff))</f>
        <v>0</v>
      </c>
      <c r="O10" s="52">
        <f>IF((M10+N10)&gt;L10,0,L10-M10-N10)</f>
        <v>0</v>
      </c>
      <c r="P10" s="42"/>
      <c r="Q10" s="27"/>
      <c r="R10" s="176" t="str">
        <f t="shared" ref="R10:R29" si="5">+K10</f>
        <v>WebTeam1</v>
      </c>
      <c r="S10" s="42">
        <f t="shared" ref="S10:S29" si="6">IF(ISNA(LOOKUP(1,1/(People=$A10)/(TeamStartSprints&lt;=Sprint3)/(TeamEndSprints&gt;=Sprint3),AvailableHours)),0,LOOKUP(1,1/(People=$A10)/(TeamStartSprints&lt;=Sprint3)/(TeamEndSprints&gt;=Sprint3),AvailableHours))</f>
        <v>0</v>
      </c>
      <c r="T10" s="51">
        <f>IF(S10=0,0,VLOOKUP(Sprint3,Settings!$C$28:$E$53,3)*(S10/Hours_in_iteration))</f>
        <v>0</v>
      </c>
      <c r="U10" s="51">
        <f>IF(ISNA(SUMPRODUCT((PersonOnVacation=Availability!A10)*(VacationSprint=Sprint3)*SprintHoursOff)),0,SUMPRODUCT((PersonOnVacation=Availability!A10)*(VacationSprint=Sprint3)*SprintHoursOff))</f>
        <v>0</v>
      </c>
      <c r="V10" s="52">
        <f>IF((T10+U10)&gt;S10,0,S10-T10-U10)</f>
        <v>0</v>
      </c>
      <c r="W10" s="42"/>
      <c r="X10" s="27"/>
      <c r="Y10" s="176" t="str">
        <f t="shared" ref="Y10:Y29" si="7">+R10</f>
        <v>WebTeam1</v>
      </c>
      <c r="Z10" s="42">
        <f t="shared" ref="Z10:Z29" si="8">IF(ISNA(LOOKUP(1,1/(People=$A10)/(TeamStartSprints&lt;=Sprint4)/(TeamEndSprints&gt;=Sprint4),AvailableHours)),0,LOOKUP(1,1/(People=$A10)/(TeamStartSprints&lt;=Sprint4)/(TeamEndSprints&gt;=Sprint4),AvailableHours))</f>
        <v>0</v>
      </c>
      <c r="AA10" s="51">
        <f>IF(Z10=0,0,VLOOKUP(Sprint4,Settings!$C$28:$E$53,3)*(Z10/Hours_in_iteration))</f>
        <v>0</v>
      </c>
      <c r="AB10" s="51">
        <f>IF(ISNA(SUMPRODUCT((PersonOnVacation=Availability!$A10)*(VacationSprint=Sprint4)*SprintHoursOff)),0,SUMPRODUCT((PersonOnVacation=Availability!$A10)*(VacationSprint=Sprint4)*SprintHoursOff))</f>
        <v>0</v>
      </c>
      <c r="AC10" s="52">
        <f>IF((AA10+AB10)&gt;Z10,0,Z10-AA10-AB10)</f>
        <v>0</v>
      </c>
      <c r="AD10" s="42"/>
      <c r="AE10" s="27"/>
      <c r="AF10" s="176" t="str">
        <f t="shared" ref="AF10:AF29" si="9">+Y10</f>
        <v>WebTeam1</v>
      </c>
      <c r="AG10" s="42">
        <f t="shared" ref="AG10:AG29" si="10">IF(ISNA(LOOKUP(1,1/(People=$A10)/(TeamStartSprints&lt;=Sprint5)/(TeamEndSprints&gt;=Sprint5),AvailableHours)),0,LOOKUP(1,1/(People=$A10)/(TeamStartSprints&lt;=Sprint5)/(TeamEndSprints&gt;=Sprint5),AvailableHours))</f>
        <v>0</v>
      </c>
      <c r="AH10" s="51">
        <f>IF(AG10=0,0,VLOOKUP(Sprint5,Settings!$C$28:$E$53,3)*(AG10/Hours_in_iteration))</f>
        <v>0</v>
      </c>
      <c r="AI10" s="51">
        <f>IF(ISNA(SUMPRODUCT((PersonOnVacation=Availability!$A10)*(VacationSprint=Sprint5)*SprintHoursOff)),0,SUMPRODUCT((PersonOnVacation=Availability!$A10)*(VacationSprint=Sprint5)*SprintHoursOff))</f>
        <v>0</v>
      </c>
      <c r="AJ10" s="52">
        <f>IF((AH10+AI10)&gt;AG10,0,AG10-AH10-AI10)</f>
        <v>0</v>
      </c>
      <c r="AK10" s="52"/>
      <c r="AL10" s="27"/>
      <c r="AM10" s="176" t="str">
        <f t="shared" ref="AM10:AM29" si="11">+AF10</f>
        <v>WebTeam1</v>
      </c>
      <c r="AN10" s="42">
        <f t="shared" ref="AN10:AN29" si="12">IF(ISNA(LOOKUP(1,1/(People=$A10)/(TeamStartSprints&lt;=Sprint6)/(TeamEndSprints&gt;=Sprint6),AvailableHours)),0,LOOKUP(1,1/(People=$A10)/(TeamStartSprints&lt;=Sprint6)/(TeamEndSprints&gt;=Sprint6),AvailableHours))</f>
        <v>0</v>
      </c>
      <c r="AO10" s="51">
        <f>IF(AN10=0,0,VLOOKUP(Sprint6,Settings!$C$28:$E$53,3)*(AN10/Hours_in_iteration))</f>
        <v>0</v>
      </c>
      <c r="AP10" s="51">
        <f>IF(ISNA(SUMPRODUCT((PersonOnVacation=Availability!$A10)*(VacationSprint=Sprint6)*SprintHoursOff)),0,SUMPRODUCT((PersonOnVacation=Availability!$A10)*(VacationSprint=Sprint6)*SprintHoursOff))</f>
        <v>0</v>
      </c>
      <c r="AQ10" s="52">
        <f>IF((AO10+AP10)&gt;AN10,0,AN10-AO10-AP10)</f>
        <v>0</v>
      </c>
      <c r="AR10" s="42"/>
      <c r="AS10" s="27"/>
      <c r="AT10" s="176" t="str">
        <f t="shared" ref="AT10:AT29" si="13">+AM10</f>
        <v>WebTeam1</v>
      </c>
      <c r="AU10" s="42">
        <f t="shared" ref="AU10:AU29" si="14">IF(ISNA(LOOKUP(1,1/(People=$A10)/(TeamStartSprints&lt;=Sprint7)/(TeamEndSprints&gt;=Sprint7),AvailableHours)),0,LOOKUP(1,1/(People=$A10)/(TeamStartSprints&lt;=Sprint7)/(TeamEndSprints&gt;=Sprint7),AvailableHours))</f>
        <v>0</v>
      </c>
      <c r="AV10" s="51">
        <f>IF(AU10=0,0,VLOOKUP(Sprint7,Settings!$C$28:$E$53,3)*(AU10/Hours_in_iteration))</f>
        <v>0</v>
      </c>
      <c r="AW10" s="51">
        <f>IF(ISNA(SUMPRODUCT((PersonOnVacation=Availability!$A10)*(VacationSprint=Sprint7)*SprintHoursOff)),0,SUMPRODUCT((PersonOnVacation=Availability!$A10)*(VacationSprint=Sprint7)*SprintHoursOff))</f>
        <v>0</v>
      </c>
      <c r="AX10" s="52">
        <f>IF((AV10+AW10)&gt;AU10,0,AU10-AV10-AW10)</f>
        <v>0</v>
      </c>
      <c r="AY10" s="42"/>
      <c r="AZ10" s="27"/>
      <c r="BA10" s="176" t="str">
        <f t="shared" ref="BA10:BA29" si="15">+AT10</f>
        <v>WebTeam1</v>
      </c>
      <c r="BB10" s="42">
        <f t="shared" ref="BB10:BB29" si="16">IF(ISNA(LOOKUP(1,1/(People=$A10)/(TeamStartSprints&lt;=Sprint8)/(TeamEndSprints&gt;=Sprint8),AvailableHours)),0,LOOKUP(1,1/(People=$A10)/(TeamStartSprints&lt;=Sprint8)/(TeamEndSprints&gt;=Sprint8),AvailableHours))</f>
        <v>0</v>
      </c>
      <c r="BC10" s="51">
        <f>IF(BB10=0,0,VLOOKUP(Sprint8,Settings!$C$28:$E$53,3)*(BB10/Hours_in_iteration))</f>
        <v>0</v>
      </c>
      <c r="BD10" s="51">
        <f>IF(ISNA(SUMPRODUCT((PersonOnVacation=Availability!$A10)*(VacationSprint=Sprint8)*SprintHoursOff)),0,SUMPRODUCT((PersonOnVacation=Availability!$A10)*(VacationSprint=Sprint8)*SprintHoursOff))</f>
        <v>0</v>
      </c>
      <c r="BE10" s="52">
        <f>IF((BC10+BD10)&gt;BB10,0,BB10-BC10-BD10)</f>
        <v>0</v>
      </c>
      <c r="BF10" s="42"/>
      <c r="BG10" s="27"/>
      <c r="BH10" s="176" t="str">
        <f t="shared" ref="BH10:BH29" si="17">+BA10</f>
        <v>WebTeam1</v>
      </c>
      <c r="BI10" s="42">
        <f t="shared" ref="BI10:BI29" si="18">IF(ISNA(LOOKUP(1,1/(People=$A10)/(TeamStartSprints&lt;=Sprint9)/(TeamEndSprints&gt;=Sprint9),AvailableHours)),0,LOOKUP(1,1/(People=$A10)/(TeamStartSprints&lt;=Sprint9)/(TeamEndSprints&gt;=Sprint9),AvailableHours))</f>
        <v>0</v>
      </c>
      <c r="BJ10" s="51">
        <f>IF(BI10=0,0,VLOOKUP(Sprint9,Settings!$C$28:$E$53,3)*(BI10/Hours_in_iteration))</f>
        <v>0</v>
      </c>
      <c r="BK10" s="51">
        <f>IF(ISNA(SUMPRODUCT((PersonOnVacation=Availability!$A10)*(VacationSprint=Sprint9)*SprintHoursOff)),0,SUMPRODUCT((PersonOnVacation=Availability!$A10)*(VacationSprint=Sprint9)*SprintHoursOff))</f>
        <v>0</v>
      </c>
      <c r="BL10" s="52">
        <f>IF((BJ10+BK10)&gt;BI10,0,BI10-BJ10-BK10)</f>
        <v>0</v>
      </c>
      <c r="BM10" s="42"/>
      <c r="BN10" s="27"/>
      <c r="BO10" s="176" t="str">
        <f t="shared" ref="BO10:BO29" si="19">+BH10</f>
        <v>WebTeam1</v>
      </c>
      <c r="BP10" s="42">
        <f t="shared" ref="BP10:BP29" si="20">IF(ISNA(LOOKUP(1,1/(People=$A10)/(TeamStartSprints&lt;=Sprint10)/(TeamEndSprints&gt;=Sprint10),AvailableHours)),0,LOOKUP(1,1/(People=$A10)/(TeamStartSprints&lt;=Sprint10)/(TeamEndSprints&gt;=Sprint10),AvailableHours))</f>
        <v>0</v>
      </c>
      <c r="BQ10" s="51">
        <f>IF(BP10=0,0,VLOOKUP(Sprint10,Settings!$C$28:$E$53,3)*(BP10/Hours_in_iteration))</f>
        <v>0</v>
      </c>
      <c r="BR10" s="51">
        <f>IF(ISNA(SUMPRODUCT((PersonOnVacation=Availability!$A10)*(VacationSprint=Sprint10)*SprintHoursOff)),0,SUMPRODUCT((PersonOnVacation=Availability!$A10)*(VacationSprint=Sprint10)*SprintHoursOff))</f>
        <v>0</v>
      </c>
      <c r="BS10" s="52">
        <f>IF((BQ10+BR10)&gt;BP10,0,BP10-BQ10-BR10)</f>
        <v>0</v>
      </c>
      <c r="BT10" s="42"/>
      <c r="BU10" s="27"/>
      <c r="BV10" s="176" t="str">
        <f t="shared" ref="BV10:BV29" si="21">+BO10</f>
        <v>WebTeam1</v>
      </c>
      <c r="BW10" s="42">
        <f t="shared" ref="BW10:BW29" si="22">IF(ISNA(LOOKUP(1,1/(People=$A10)/(TeamStartSprints&lt;=Sprint11)/(TeamEndSprints&gt;=Sprint11),AvailableHours)),0,LOOKUP(1,1/(People=$A10)/(TeamStartSprints&lt;=Sprint11)/(TeamEndSprints&gt;=Sprint11),AvailableHours))</f>
        <v>0</v>
      </c>
      <c r="BX10" s="51">
        <f>IF(BW10=0,0,VLOOKUP(Sprint11,Settings!$C$28:$E$53,3)*(BW10/Hours_in_iteration))</f>
        <v>0</v>
      </c>
      <c r="BY10" s="51">
        <f>IF(ISNA(SUMPRODUCT((PersonOnVacation=Availability!$A10)*(VacationSprint=Sprint11)*SprintHoursOff)),0,SUMPRODUCT((PersonOnVacation=Availability!$A10)*(VacationSprint=Sprint11)*SprintHoursOff))</f>
        <v>0</v>
      </c>
      <c r="BZ10" s="52">
        <f>IF((BX10+BY10)&gt;BW10,0,BW10-BX10-BY10)</f>
        <v>0</v>
      </c>
      <c r="CA10" s="42"/>
      <c r="CB10" s="27"/>
      <c r="CC10" s="176" t="str">
        <f t="shared" ref="CC10:CC29" si="23">+BV10</f>
        <v>WebTeam1</v>
      </c>
      <c r="CD10" s="42">
        <f t="shared" ref="CD10:CD29" si="24">IF(ISNA(LOOKUP(1,1/(People=$A10)/(TeamStartSprints&lt;=Sprint12)/(TeamEndSprints&gt;=Sprint12),AvailableHours)),0,LOOKUP(1,1/(People=$A10)/(TeamStartSprints&lt;=Sprint12)/(TeamEndSprints&gt;=Sprint12),AvailableHours))</f>
        <v>0</v>
      </c>
      <c r="CE10" s="51">
        <f>IF(CD10=0,0,VLOOKUP(Sprint12,Settings!$C$28:$E$53,3)*(CD10/Hours_in_iteration))</f>
        <v>0</v>
      </c>
      <c r="CF10" s="51">
        <f>IF(ISNA(SUMPRODUCT((PersonOnVacation=Availability!$A10)*(VacationSprint=Sprint12)*SprintHoursOff)),0,SUMPRODUCT((PersonOnVacation=Availability!$A10)*(VacationSprint=Sprint12)*SprintHoursOff))</f>
        <v>0</v>
      </c>
      <c r="CG10" s="52">
        <f>IF((CE10+CF10)&gt;CD10,0,CD10-CE10-CF10)</f>
        <v>0</v>
      </c>
      <c r="CH10" s="42"/>
      <c r="CI10" s="27"/>
      <c r="CJ10" s="176" t="str">
        <f t="shared" ref="CJ10:CJ29" si="25">+CC10</f>
        <v>WebTeam1</v>
      </c>
      <c r="CK10" s="42">
        <f t="shared" ref="CK10:CK29" si="26">IF(ISNA(LOOKUP(1,1/(People=$A10)/(TeamStartSprints&lt;=Sprint13)/(TeamEndSprints&gt;=Sprint13),AvailableHours)),0,LOOKUP(1,1/(People=$A10)/(TeamStartSprints&lt;=Sprint13)/(TeamEndSprints&gt;=Sprint13),AvailableHours))</f>
        <v>0</v>
      </c>
      <c r="CL10" s="51">
        <f>IF(CK10=0,0,VLOOKUP(Sprint13,Settings!$C$28:$E$53,3)*(CK10/Hours_in_iteration))</f>
        <v>0</v>
      </c>
      <c r="CM10" s="51">
        <f>IF(ISNA(SUMPRODUCT((PersonOnVacation=Availability!$A10)*(VacationSprint=Sprint13)*SprintHoursOff)),0,SUMPRODUCT((PersonOnVacation=Availability!$A10)*(VacationSprint=Sprint13)*SprintHoursOff))</f>
        <v>0</v>
      </c>
      <c r="CN10" s="52">
        <f>IF((CL10+CM10)&gt;CK10,0,CK10-CL10-CM10)</f>
        <v>0</v>
      </c>
      <c r="CO10" s="42"/>
      <c r="CP10" s="27"/>
      <c r="CQ10" s="176" t="str">
        <f t="shared" ref="CQ10:CQ29" si="27">+CJ10</f>
        <v>WebTeam1</v>
      </c>
      <c r="CR10" s="42">
        <f t="shared" ref="CR10:CR29" si="28">IF(ISNA(LOOKUP(1,1/(People=$A10)/(TeamStartSprints&lt;=Sprint14)/(TeamEndSprints&gt;=Sprint14),AvailableHours)),0,LOOKUP(1,1/(People=$A10)/(TeamStartSprints&lt;=Sprint14)/(TeamEndSprints&gt;=Sprint14),AvailableHours))</f>
        <v>0</v>
      </c>
      <c r="CS10" s="51">
        <f>IF(CR10=0,0,VLOOKUP(Sprint14,Settings!$C$28:$E$53,3)*(CR10/Hours_in_iteration))</f>
        <v>0</v>
      </c>
      <c r="CT10" s="51">
        <f>IF(ISNA(SUMPRODUCT((PersonOnVacation=Availability!$A10)*(VacationSprint=Sprint14)*SprintHoursOff)),0,SUMPRODUCT((PersonOnVacation=Availability!$A10)*(VacationSprint=Sprint14)*SprintHoursOff))</f>
        <v>0</v>
      </c>
      <c r="CU10" s="52">
        <f>IF((CS10+CT10)&gt;CR10,0,CR10-CS10-CT10)</f>
        <v>0</v>
      </c>
      <c r="CV10" s="42"/>
      <c r="CW10" s="27"/>
      <c r="CX10" s="176" t="str">
        <f t="shared" ref="CX10:CX29" si="29">+CQ10</f>
        <v>WebTeam1</v>
      </c>
      <c r="CY10" s="42">
        <f t="shared" ref="CY10:CY29" si="30">IF(ISNA(LOOKUP(1,1/(People=$A10)/(TeamStartSprints&lt;=Sprint15)/(TeamEndSprints&gt;=Sprint15),AvailableHours)),0,LOOKUP(1,1/(People=$A10)/(TeamStartSprints&lt;=Sprint15)/(TeamEndSprints&gt;=Sprint15),AvailableHours))</f>
        <v>0</v>
      </c>
      <c r="CZ10" s="51">
        <f>IF(CY10=0,0,VLOOKUP(Sprint15,Settings!$C$28:$E$53,3)*(CY10/Hours_in_iteration))</f>
        <v>0</v>
      </c>
      <c r="DA10" s="51">
        <f>IF(ISNA(SUMPRODUCT((PersonOnVacation=Availability!$A10)*(VacationSprint=Sprint15)*SprintHoursOff)),0,SUMPRODUCT((PersonOnVacation=Availability!$A10)*(VacationSprint=Sprint15)*SprintHoursOff))</f>
        <v>0</v>
      </c>
      <c r="DB10" s="52">
        <f>IF((CZ10+DA10)&gt;CY10,0,CY10-CZ10-DA10)</f>
        <v>0</v>
      </c>
      <c r="DC10" s="42"/>
      <c r="DD10" s="27"/>
      <c r="DE10" s="176" t="str">
        <f t="shared" ref="DE10:DE29" si="31">+CX10</f>
        <v>WebTeam1</v>
      </c>
      <c r="DF10" s="42">
        <f t="shared" ref="DF10:DF29" si="32">IF(ISNA(LOOKUP(1,1/(People=$A10)/(TeamStartSprints&lt;=Sprint16)/(TeamEndSprints&gt;=Sprint16),AvailableHours)),0,LOOKUP(1,1/(People=$A10)/(TeamStartSprints&lt;=Sprint16)/(TeamEndSprints&gt;=Sprint16),AvailableHours))</f>
        <v>0</v>
      </c>
      <c r="DG10" s="51">
        <f>IF(DF10=0,0,VLOOKUP(Sprint16,Settings!$C$28:$E$53,3)*(DF10/Hours_in_iteration))</f>
        <v>0</v>
      </c>
      <c r="DH10" s="51">
        <f>IF(ISNA(SUMPRODUCT((PersonOnVacation=Availability!$A10)*(VacationSprint=Sprint16)*SprintHoursOff)),0,SUMPRODUCT((PersonOnVacation=Availability!$A10)*(VacationSprint=Sprint16)*SprintHoursOff))</f>
        <v>0</v>
      </c>
      <c r="DI10" s="52">
        <f>IF((DG10+DH10)&gt;DF10,0,DF10-DG10-DH10)</f>
        <v>0</v>
      </c>
      <c r="DJ10" s="42"/>
      <c r="DK10" s="27"/>
      <c r="DL10" s="176" t="str">
        <f t="shared" ref="DL10:DL29" si="33">+DE10</f>
        <v>WebTeam1</v>
      </c>
      <c r="DM10" s="42">
        <f t="shared" ref="DM10:DM29" si="34">IF(ISNA(LOOKUP(1,1/(People=$A10)/(TeamStartSprints&lt;=Sprint17)/(TeamEndSprints&gt;=Sprint17),AvailableHours)),0,LOOKUP(1,1/(People=$A10)/(TeamStartSprints&lt;=Sprint17)/(TeamEndSprints&gt;=Sprint17),AvailableHours))</f>
        <v>0</v>
      </c>
      <c r="DN10" s="51">
        <f>IF(DM10=0,0,VLOOKUP(Sprint17,Settings!$C$28:$E$53,3)*(DM10/Hours_in_iteration))</f>
        <v>0</v>
      </c>
      <c r="DO10" s="51">
        <f>IF(ISNA(SUMPRODUCT((PersonOnVacation=Availability!$A10)*(VacationSprint=Sprint17)*SprintHoursOff)),0,SUMPRODUCT((PersonOnVacation=Availability!$A10)*(VacationSprint=Sprint17)*SprintHoursOff))</f>
        <v>0</v>
      </c>
      <c r="DP10" s="52">
        <f>IF((DN10+DO10)&gt;DM10,0,DM10-DN10-DO10)</f>
        <v>0</v>
      </c>
      <c r="DQ10" s="42"/>
      <c r="DR10" s="27"/>
      <c r="DS10" s="176" t="str">
        <f t="shared" ref="DS10:DS29" si="35">+DL10</f>
        <v>WebTeam1</v>
      </c>
      <c r="DT10" s="42">
        <f t="shared" ref="DT10:DT29" si="36">IF(ISNA(LOOKUP(1,1/(People=$A10)/(TeamStartSprints&lt;=Sprint18)/(TeamEndSprints&gt;=Sprint18),AvailableHours)),0,LOOKUP(1,1/(People=$A10)/(TeamStartSprints&lt;=Sprint18)/(TeamEndSprints&gt;=Sprint18),AvailableHours))</f>
        <v>0</v>
      </c>
      <c r="DU10" s="51">
        <f>IF(DT10=0,0,VLOOKUP(Sprint18,Settings!$C$28:$E$53,3)*(DT10/Hours_in_iteration))</f>
        <v>0</v>
      </c>
      <c r="DV10" s="51">
        <f>IF(ISNA(SUMPRODUCT((PersonOnVacation=Availability!$A10)*(VacationSprint=Sprint18)*SprintHoursOff)),0,SUMPRODUCT((PersonOnVacation=Availability!$A10)*(VacationSprint=Sprint18)*SprintHoursOff))</f>
        <v>0</v>
      </c>
      <c r="DW10" s="52">
        <f>IF((DU10+DV10)&gt;DT10,0,DT10-DU10-DV10)</f>
        <v>0</v>
      </c>
      <c r="DX10" s="42"/>
      <c r="DY10" s="27"/>
      <c r="DZ10" s="176" t="str">
        <f t="shared" ref="DZ10:DZ29" si="37">+DS10</f>
        <v>WebTeam1</v>
      </c>
      <c r="EA10" s="42">
        <f t="shared" ref="EA10:EA29" si="38">IF(ISNA(LOOKUP(1,1/(People=$A10)/(TeamStartSprints&lt;=Sprint19)/(TeamEndSprints&gt;=Sprint19),AvailableHours)),0,LOOKUP(1,1/(People=$A10)/(TeamStartSprints&lt;=Sprint19)/(TeamEndSprints&gt;=Sprint19),AvailableHours))</f>
        <v>0</v>
      </c>
      <c r="EB10" s="51">
        <f>IF(EA10=0,0,VLOOKUP(Sprint19,Settings!$C$28:$E$53,3)*(EA10/Hours_in_iteration))</f>
        <v>0</v>
      </c>
      <c r="EC10" s="51">
        <f>IF(ISNA(SUMPRODUCT((PersonOnVacation=Availability!$A10)*(VacationSprint=Sprint19)*SprintHoursOff)),0,SUMPRODUCT((PersonOnVacation=Availability!$A10)*(VacationSprint=Sprint19)*SprintHoursOff))</f>
        <v>0</v>
      </c>
      <c r="ED10" s="52">
        <f>IF((EB10+EC10)&gt;EA10,0,EA10-EB10-EC10)</f>
        <v>0</v>
      </c>
      <c r="EE10" s="42"/>
      <c r="EF10" s="27"/>
      <c r="EG10" s="176" t="str">
        <f t="shared" ref="EG10:EG29" si="39">+DZ10</f>
        <v>WebTeam1</v>
      </c>
      <c r="EH10" s="42">
        <f t="shared" ref="EH10:EH29" si="40">IF(ISNA(LOOKUP(1,1/(People=$A10)/(TeamStartSprints&lt;=Sprint20)/(TeamEndSprints&gt;=Sprint20),AvailableHours)),0,LOOKUP(1,1/(People=$A10)/(TeamStartSprints&lt;=Sprint20)/(TeamEndSprints&gt;=Sprint20),AvailableHours))</f>
        <v>0</v>
      </c>
      <c r="EI10" s="51">
        <f>IF(EH10=0,0,VLOOKUP(Sprint20,Settings!$C$28:$E$53,3)*(EH10/Hours_in_iteration))</f>
        <v>0</v>
      </c>
      <c r="EJ10" s="51">
        <f>IF(ISNA(SUMPRODUCT((PersonOnVacation=Availability!$A10)*(VacationSprint=Sprint20)*SprintHoursOff)),0,SUMPRODUCT((PersonOnVacation=Availability!$A10)*(VacationSprint=Sprint20)*SprintHoursOff))</f>
        <v>0</v>
      </c>
      <c r="EK10" s="52">
        <f>IF((EI10+EJ10)&gt;EH10,0,EH10-EI10-EJ10)</f>
        <v>0</v>
      </c>
      <c r="EL10" s="42"/>
      <c r="EM10" s="27"/>
      <c r="EN10" s="176" t="str">
        <f t="shared" ref="EN10:EN29" si="41">+EG10</f>
        <v>WebTeam1</v>
      </c>
      <c r="EO10" s="42">
        <f t="shared" ref="EO10:EO29" si="42">IF(ISNA(LOOKUP(1,1/(People=$A10)/(TeamStartSprints&lt;=Sprint21)/(TeamEndSprints&gt;=Sprint21),AvailableHours)),0,LOOKUP(1,1/(People=$A10)/(TeamStartSprints&lt;=Sprint21)/(TeamEndSprints&gt;=Sprint21),AvailableHours))</f>
        <v>0</v>
      </c>
      <c r="EP10" s="51">
        <f>IF(EO10=0,0,VLOOKUP(Sprint21,Settings!$C$28:$E$53,3)*(EO10/Hours_in_iteration))</f>
        <v>0</v>
      </c>
      <c r="EQ10" s="51">
        <f>IF(ISNA(SUMPRODUCT((PersonOnVacation=Availability!$A10)*(VacationSprint=Sprint21)*SprintHoursOff)),0,SUMPRODUCT((PersonOnVacation=Availability!$A10)*(VacationSprint=Sprint21)*SprintHoursOff))</f>
        <v>0</v>
      </c>
      <c r="ER10" s="52">
        <f>IF((EP10+EQ10)&gt;EO10,0,EO10-EP10-EQ10)</f>
        <v>0</v>
      </c>
      <c r="ES10" s="42"/>
      <c r="ET10" s="27"/>
      <c r="EU10" s="176" t="str">
        <f t="shared" ref="EU10:EU29" si="43">+EN10</f>
        <v>WebTeam1</v>
      </c>
      <c r="EV10" s="42">
        <f t="shared" ref="EV10:EV29" si="44">IF(ISNA(LOOKUP(1,1/(People=$A10)/(TeamStartSprints&lt;=Sprint22)/(TeamEndSprints&gt;=Sprint22),AvailableHours)),0,LOOKUP(1,1/(People=$A10)/(TeamStartSprints&lt;=Sprint22)/(TeamEndSprints&gt;=Sprint22),AvailableHours))</f>
        <v>0</v>
      </c>
      <c r="EW10" s="51">
        <f>IF(EV10=0,0,VLOOKUP(Sprint22,Settings!$C$28:$E$53,3)*(EV10/Hours_in_iteration))</f>
        <v>0</v>
      </c>
      <c r="EX10" s="51">
        <f>IF(ISNA(SUMPRODUCT((PersonOnVacation=Availability!$A10)*(VacationSprint=Sprint22)*SprintHoursOff)),0,SUMPRODUCT((PersonOnVacation=Availability!$A10)*(VacationSprint=Sprint22)*SprintHoursOff))</f>
        <v>0</v>
      </c>
      <c r="EY10" s="52">
        <f>IF((EW10+EX10)&gt;EV10,0,EV10-EW10-EX10)</f>
        <v>0</v>
      </c>
      <c r="EZ10" s="42"/>
      <c r="FA10" s="27"/>
      <c r="FB10" s="176" t="str">
        <f t="shared" ref="FB10:FB29" si="45">+EU10</f>
        <v>WebTeam1</v>
      </c>
      <c r="FC10" s="42">
        <f t="shared" ref="FC10:FC29" si="46">IF(ISNA(LOOKUP(1,1/(People=$A10)/(TeamStartSprints&lt;=Sprint23)/(TeamEndSprints&gt;=Sprint23),AvailableHours)),0,LOOKUP(1,1/(People=$A10)/(TeamStartSprints&lt;=Sprint23)/(TeamEndSprints&gt;=Sprint23),AvailableHours))</f>
        <v>0</v>
      </c>
      <c r="FD10" s="51">
        <f>IF(FC10=0,0,VLOOKUP(Sprint23,Settings!$C$28:$E$53,3)*(FC10/Hours_in_iteration))</f>
        <v>0</v>
      </c>
      <c r="FE10" s="51">
        <f>IF(ISNA(SUMPRODUCT((PersonOnVacation=Availability!$A10)*(VacationSprint=Sprint23)*SprintHoursOff)),0,SUMPRODUCT((PersonOnVacation=Availability!$A10)*(VacationSprint=Sprint23)*SprintHoursOff))</f>
        <v>0</v>
      </c>
      <c r="FF10" s="52">
        <f>IF((FD10+FE10)&gt;FC10,0,FC10-FD10-FE10)</f>
        <v>0</v>
      </c>
      <c r="FG10" s="42"/>
      <c r="FH10" s="27"/>
      <c r="FI10" s="176" t="str">
        <f t="shared" ref="FI10:FI29" si="47">+FB10</f>
        <v>WebTeam1</v>
      </c>
      <c r="FJ10" s="42">
        <f t="shared" ref="FJ10:FJ29" si="48">IF(ISNA(LOOKUP(1,1/(People=$A10)/(TeamStartSprints&lt;=Sprint24)/(TeamEndSprints&gt;=Sprint24),AvailableHours)),0,LOOKUP(1,1/(People=$A10)/(TeamStartSprints&lt;=Sprint24)/(TeamEndSprints&gt;=Sprint24),AvailableHours))</f>
        <v>0</v>
      </c>
      <c r="FK10" s="51">
        <f>IF(FJ10=0,0,VLOOKUP(Sprint24,Settings!$C$28:$E$53,3)*(FJ10/Hours_in_iteration))</f>
        <v>0</v>
      </c>
      <c r="FL10" s="51">
        <f>IF(ISNA(SUMPRODUCT((PersonOnVacation=Availability!$A10)*(VacationSprint=Sprint24)*SprintHoursOff)),0,SUMPRODUCT((PersonOnVacation=Availability!$A10)*(VacationSprint=Sprint24)*SprintHoursOff))</f>
        <v>0</v>
      </c>
      <c r="FM10" s="52">
        <f>IF((FK10+FL10)&gt;FJ10,0,FJ10-FK10-FL10)</f>
        <v>0</v>
      </c>
      <c r="FN10" s="42"/>
      <c r="FO10" s="27"/>
      <c r="FP10" s="176" t="str">
        <f t="shared" ref="FP10:FP29" si="49">+FI10</f>
        <v>WebTeam1</v>
      </c>
      <c r="FQ10" s="42">
        <f t="shared" ref="FQ10:FQ29" si="50">IF(ISNA(LOOKUP(1,1/(People=$A10)/(TeamStartSprints&lt;=Sprint25)/(TeamEndSprints&gt;=Sprint25),AvailableHours)),0,LOOKUP(1,1/(People=$A10)/(TeamStartSprints&lt;=Sprint25)/(TeamEndSprints&gt;=Sprint25),AvailableHours))</f>
        <v>0</v>
      </c>
      <c r="FR10" s="51">
        <f>IF(FQ10=0,0,VLOOKUP(Sprint25,Settings!$C$28:$E$53,3)*(FQ10/Hours_in_iteration))</f>
        <v>0</v>
      </c>
      <c r="FS10" s="51">
        <f>IF(ISNA(SUMPRODUCT((PersonOnVacation=Availability!$A10)*(VacationSprint=Sprint25)*SprintHoursOff)),0,SUMPRODUCT((PersonOnVacation=Availability!$A10)*(VacationSprint=Sprint25)*SprintHoursOff))</f>
        <v>0</v>
      </c>
      <c r="FT10" s="52">
        <f>IF((FR10+FS10)&gt;FQ10,0,FQ10-FR10-FS10)</f>
        <v>0</v>
      </c>
      <c r="FU10" s="42"/>
      <c r="FV10" s="27"/>
      <c r="FW10" s="176" t="str">
        <f t="shared" ref="FW10:FW29" si="51">+FP10</f>
        <v>WebTeam1</v>
      </c>
      <c r="FX10" s="42">
        <f t="shared" ref="FX10:FX29" si="52">IF(ISNA(LOOKUP(1,1/(People=$A10)/(TeamStartSprints&lt;=Sprint26)/(TeamEndSprints&gt;=Sprint26),AvailableHours)),0,LOOKUP(1,1/(People=$A10)/(TeamStartSprints&lt;=Sprint26)/(TeamEndSprints&gt;=Sprint26),AvailableHours))</f>
        <v>0</v>
      </c>
      <c r="FY10" s="51">
        <f>IF(FX10=0,0,VLOOKUP(Sprint26,Settings!$C$28:$E$53,3)*(FX10/Hours_in_iteration))</f>
        <v>0</v>
      </c>
      <c r="FZ10" s="51">
        <f>IF(ISNA(SUMPRODUCT((PersonOnVacation=Availability!$A10)*(VacationSprint=Sprint26)*SprintHoursOff)),0,SUMPRODUCT((PersonOnVacation=Availability!$A10)*(VacationSprint=Sprint26)*SprintHoursOff))</f>
        <v>0</v>
      </c>
      <c r="GA10" s="52">
        <f>IF((FY10+FZ10)&gt;FX10,0,FX10-FY10-FZ10)</f>
        <v>0</v>
      </c>
      <c r="GB10" s="42"/>
      <c r="GC10" s="27"/>
      <c r="GD10" s="176" t="str">
        <f t="shared" ref="GD10:GD29" si="53">+FW10</f>
        <v>WebTeam1</v>
      </c>
      <c r="GE10" s="42">
        <f t="shared" ref="GE10:GE29" si="54">IF(ISNA(LOOKUP(1,1/(People=$A10)/(TeamStartSprints&lt;=Sprint27)/(TeamEndSprints&gt;=Sprint27),AvailableHours)),0,LOOKUP(1,1/(People=$A10)/(TeamStartSprints&lt;=Sprint27)/(TeamEndSprints&gt;=Sprint27),AvailableHours))</f>
        <v>0</v>
      </c>
      <c r="GF10" s="51">
        <f>IF(GE10=0,0,VLOOKUP(Sprint27,Settings!$C$28:$E$53,3)*(GE10/Hours_in_iteration))</f>
        <v>0</v>
      </c>
      <c r="GG10" s="51">
        <f>IF(ISNA(SUMPRODUCT((PersonOnVacation=Availability!$A10)*(VacationSprint=Sprint27)*SprintHoursOff)),0,SUMPRODUCT((PersonOnVacation=Availability!$A10)*(VacationSprint=Sprint27)*SprintHoursOff))</f>
        <v>0</v>
      </c>
      <c r="GH10" s="52">
        <f>IF((GF10+GG10)&gt;GE10,0,GE10-GF10-GG10)</f>
        <v>0</v>
      </c>
      <c r="GI10" s="42"/>
    </row>
    <row r="11" spans="1:191" s="53" customFormat="1">
      <c r="A11" s="110" t="str">
        <f>Person2</f>
        <v>Paula Wyatt</v>
      </c>
      <c r="B11" s="42" t="s">
        <v>48</v>
      </c>
      <c r="C11" s="42" t="str">
        <f t="shared" si="0"/>
        <v>WebTeam1 Scrum Master</v>
      </c>
      <c r="D11" s="135" t="str">
        <f t="shared" si="1"/>
        <v>WebTeam1</v>
      </c>
      <c r="E11" s="42">
        <f t="shared" ref="E11:E29" si="55">IF(ISNA(LOOKUP(1,1/(People=A11)/(TeamStartSprints&lt;=Sprint1)/(TeamEndSprints&gt;=Sprint1),AvailableHours)),0,LOOKUP(1,1/(People=A11)/(TeamStartSprints&lt;=Sprint1)/(TeamEndSprints&gt;=Sprint1),AvailableHours))</f>
        <v>40</v>
      </c>
      <c r="F11" s="51">
        <f>IF(E11=0,0,VLOOKUP(Sprint1,Settings!$C$28:$E$53,3)*(E11/Hours_in_iteration))</f>
        <v>4</v>
      </c>
      <c r="G11" s="51">
        <f>IF(ISNA(SUMPRODUCT((PersonOnVacation=Availability!A11)*(VacationSprint=Sprint1)*SprintHoursOff)),0,SUMPRODUCT((PersonOnVacation=Availability!A11)*(VacationSprint=Sprint1)*SprintHoursOff))</f>
        <v>0</v>
      </c>
      <c r="H11" s="52">
        <f t="shared" si="2"/>
        <v>36</v>
      </c>
      <c r="I11" s="42"/>
      <c r="J11" s="27"/>
      <c r="K11" s="176" t="str">
        <f t="shared" si="3"/>
        <v>WebTeam1</v>
      </c>
      <c r="L11" s="42">
        <f t="shared" si="4"/>
        <v>40</v>
      </c>
      <c r="M11" s="51">
        <f>IF(L11=0,0,VLOOKUP(Sprint2,Settings!$C$28:$E$53,3)*(L11/Hours_in_iteration))</f>
        <v>4</v>
      </c>
      <c r="N11" s="51">
        <f>IF(ISNA(SUMPRODUCT((PersonOnVacation=Availability!A11)*(VacationSprint=Sprint2)*SprintHoursOff)),0,SUMPRODUCT((PersonOnVacation=Availability!A11)*(VacationSprint=Sprint2)*SprintHoursOff))</f>
        <v>0</v>
      </c>
      <c r="O11" s="52">
        <f t="shared" ref="O11:O29" si="56">IF((M11+N11)&gt;L11,0,L11-M11-N11)</f>
        <v>36</v>
      </c>
      <c r="P11" s="42"/>
      <c r="Q11" s="27"/>
      <c r="R11" s="176" t="str">
        <f t="shared" si="5"/>
        <v>WebTeam1</v>
      </c>
      <c r="S11" s="42">
        <f t="shared" si="6"/>
        <v>40</v>
      </c>
      <c r="T11" s="51">
        <f>IF(S11=0,0,VLOOKUP(Sprint3,Settings!$C$28:$E$53,3)*(S11/Hours_in_iteration))</f>
        <v>0</v>
      </c>
      <c r="U11" s="51">
        <f>IF(ISNA(SUMPRODUCT((PersonOnVacation=Availability!A11)*(VacationSprint=Sprint3)*SprintHoursOff)),0,SUMPRODUCT((PersonOnVacation=Availability!A11)*(VacationSprint=Sprint3)*SprintHoursOff))</f>
        <v>0</v>
      </c>
      <c r="V11" s="52">
        <f t="shared" ref="V11:V29" si="57">IF((T11+U11)&gt;S11,0,S11-T11-U11)</f>
        <v>40</v>
      </c>
      <c r="W11" s="42"/>
      <c r="X11" s="27"/>
      <c r="Y11" s="176" t="str">
        <f t="shared" si="7"/>
        <v>WebTeam1</v>
      </c>
      <c r="Z11" s="42">
        <f t="shared" si="8"/>
        <v>40</v>
      </c>
      <c r="AA11" s="51">
        <f>IF(Z11=0,0,VLOOKUP(Sprint4,Settings!$C$28:$E$53,3)*(Z11/Hours_in_iteration))</f>
        <v>4</v>
      </c>
      <c r="AB11" s="51">
        <f>IF(ISNA(SUMPRODUCT((PersonOnVacation=Availability!$A11)*(VacationSprint=Sprint4)*SprintHoursOff)),0,SUMPRODUCT((PersonOnVacation=Availability!$A11)*(VacationSprint=Sprint4)*SprintHoursOff))</f>
        <v>0</v>
      </c>
      <c r="AC11" s="52">
        <f t="shared" ref="AC11:AC29" si="58">IF((AA11+AB11)&gt;Z11,0,Z11-AA11-AB11)</f>
        <v>36</v>
      </c>
      <c r="AD11" s="42"/>
      <c r="AE11" s="27"/>
      <c r="AF11" s="176" t="str">
        <f t="shared" si="9"/>
        <v>WebTeam1</v>
      </c>
      <c r="AG11" s="42">
        <f t="shared" si="10"/>
        <v>40</v>
      </c>
      <c r="AH11" s="51">
        <f>IF(AG11=0,0,VLOOKUP(Sprint5,Settings!$C$28:$E$53,3)*(AG11/Hours_in_iteration))</f>
        <v>0</v>
      </c>
      <c r="AI11" s="51">
        <f>IF(ISNA(SUMPRODUCT((PersonOnVacation=Availability!$A11)*(VacationSprint=Sprint5)*SprintHoursOff)),0,SUMPRODUCT((PersonOnVacation=Availability!$A11)*(VacationSprint=Sprint5)*SprintHoursOff))</f>
        <v>0</v>
      </c>
      <c r="AJ11" s="52">
        <f t="shared" ref="AJ11:AJ29" si="59">IF((AH11+AI11)&gt;AG11,0,AG11-AH11-AI11)</f>
        <v>40</v>
      </c>
      <c r="AK11" s="42"/>
      <c r="AL11" s="27"/>
      <c r="AM11" s="176" t="str">
        <f t="shared" si="11"/>
        <v>WebTeam1</v>
      </c>
      <c r="AN11" s="42">
        <f t="shared" si="12"/>
        <v>40</v>
      </c>
      <c r="AO11" s="51">
        <f>IF(AN11=0,0,VLOOKUP(Sprint6,Settings!$C$28:$E$53,3)*(AN11/Hours_in_iteration))</f>
        <v>0</v>
      </c>
      <c r="AP11" s="51">
        <f>IF(ISNA(SUMPRODUCT((PersonOnVacation=Availability!$A11)*(VacationSprint=Sprint6)*SprintHoursOff)),0,SUMPRODUCT((PersonOnVacation=Availability!$A11)*(VacationSprint=Sprint6)*SprintHoursOff))</f>
        <v>0</v>
      </c>
      <c r="AQ11" s="52">
        <f t="shared" ref="AQ11:AQ29" si="60">IF((AO11+AP11)&gt;AN11,0,AN11-AO11-AP11)</f>
        <v>40</v>
      </c>
      <c r="AR11" s="42"/>
      <c r="AS11" s="27"/>
      <c r="AT11" s="176" t="str">
        <f t="shared" si="13"/>
        <v>WebTeam1</v>
      </c>
      <c r="AU11" s="42">
        <f t="shared" si="14"/>
        <v>40</v>
      </c>
      <c r="AV11" s="51">
        <f>IF(AU11=0,0,VLOOKUP(Sprint7,Settings!$C$28:$E$53,3)*(AU11/Hours_in_iteration))</f>
        <v>0</v>
      </c>
      <c r="AW11" s="51">
        <f>IF(ISNA(SUMPRODUCT((PersonOnVacation=Availability!$A11)*(VacationSprint=Sprint7)*SprintHoursOff)),0,SUMPRODUCT((PersonOnVacation=Availability!$A11)*(VacationSprint=Sprint7)*SprintHoursOff))</f>
        <v>0</v>
      </c>
      <c r="AX11" s="52">
        <f t="shared" ref="AX11:AX29" si="61">IF((AV11+AW11)&gt;AU11,0,AU11-AV11-AW11)</f>
        <v>40</v>
      </c>
      <c r="AY11" s="42"/>
      <c r="AZ11" s="27"/>
      <c r="BA11" s="176" t="str">
        <f t="shared" si="15"/>
        <v>WebTeam1</v>
      </c>
      <c r="BB11" s="42">
        <f t="shared" si="16"/>
        <v>40</v>
      </c>
      <c r="BC11" s="51">
        <f>IF(BB11=0,0,VLOOKUP(Sprint8,Settings!$C$28:$E$53,3)*(BB11/Hours_in_iteration))</f>
        <v>0</v>
      </c>
      <c r="BD11" s="51">
        <f>IF(ISNA(SUMPRODUCT((PersonOnVacation=Availability!$A11)*(VacationSprint=Sprint8)*SprintHoursOff)),0,SUMPRODUCT((PersonOnVacation=Availability!$A11)*(VacationSprint=Sprint8)*SprintHoursOff))</f>
        <v>0</v>
      </c>
      <c r="BE11" s="52">
        <f t="shared" ref="BE11:BE29" si="62">IF((BC11+BD11)&gt;BB11,0,BB11-BC11-BD11)</f>
        <v>40</v>
      </c>
      <c r="BF11" s="42"/>
      <c r="BG11" s="27"/>
      <c r="BH11" s="176" t="str">
        <f t="shared" si="17"/>
        <v>WebTeam1</v>
      </c>
      <c r="BI11" s="42">
        <f t="shared" si="18"/>
        <v>40</v>
      </c>
      <c r="BJ11" s="51">
        <f>IF(BI11=0,0,VLOOKUP(Sprint9,Settings!$C$28:$E$53,3)*(BI11/Hours_in_iteration))</f>
        <v>0</v>
      </c>
      <c r="BK11" s="51">
        <f>IF(ISNA(SUMPRODUCT((PersonOnVacation=Availability!$A11)*(VacationSprint=Sprint9)*SprintHoursOff)),0,SUMPRODUCT((PersonOnVacation=Availability!$A11)*(VacationSprint=Sprint9)*SprintHoursOff))</f>
        <v>0</v>
      </c>
      <c r="BL11" s="52">
        <f t="shared" ref="BL11:BL29" si="63">IF((BJ11+BK11)&gt;BI11,0,BI11-BJ11-BK11)</f>
        <v>40</v>
      </c>
      <c r="BM11" s="42"/>
      <c r="BN11" s="27"/>
      <c r="BO11" s="176" t="str">
        <f t="shared" si="19"/>
        <v>WebTeam1</v>
      </c>
      <c r="BP11" s="42">
        <f t="shared" si="20"/>
        <v>40</v>
      </c>
      <c r="BQ11" s="51">
        <f>IF(BP11=0,0,VLOOKUP(Sprint10,Settings!$C$28:$E$53,3)*(BP11/Hours_in_iteration))</f>
        <v>0</v>
      </c>
      <c r="BR11" s="51">
        <f>IF(ISNA(SUMPRODUCT((PersonOnVacation=Availability!$A11)*(VacationSprint=Sprint10)*SprintHoursOff)),0,SUMPRODUCT((PersonOnVacation=Availability!$A11)*(VacationSprint=Sprint10)*SprintHoursOff))</f>
        <v>0</v>
      </c>
      <c r="BS11" s="52">
        <f t="shared" ref="BS11:BS29" si="64">IF((BQ11+BR11)&gt;BP11,0,BP11-BQ11-BR11)</f>
        <v>40</v>
      </c>
      <c r="BT11" s="42"/>
      <c r="BU11" s="27"/>
      <c r="BV11" s="176" t="str">
        <f t="shared" si="21"/>
        <v>WebTeam1</v>
      </c>
      <c r="BW11" s="42">
        <f t="shared" si="22"/>
        <v>40</v>
      </c>
      <c r="BX11" s="51">
        <f>IF(BW11=0,0,VLOOKUP(Sprint11,Settings!$C$28:$E$53,3)*(BW11/Hours_in_iteration))</f>
        <v>0</v>
      </c>
      <c r="BY11" s="51">
        <f>IF(ISNA(SUMPRODUCT((PersonOnVacation=Availability!$A11)*(VacationSprint=Sprint11)*SprintHoursOff)),0,SUMPRODUCT((PersonOnVacation=Availability!$A11)*(VacationSprint=Sprint11)*SprintHoursOff))</f>
        <v>0</v>
      </c>
      <c r="BZ11" s="52">
        <f t="shared" ref="BZ11:BZ29" si="65">IF((BX11+BY11)&gt;BW11,0,BW11-BX11-BY11)</f>
        <v>40</v>
      </c>
      <c r="CA11" s="42"/>
      <c r="CB11" s="27"/>
      <c r="CC11" s="176" t="str">
        <f t="shared" si="23"/>
        <v>WebTeam1</v>
      </c>
      <c r="CD11" s="42">
        <f t="shared" si="24"/>
        <v>40</v>
      </c>
      <c r="CE11" s="51">
        <f>IF(CD11=0,0,VLOOKUP(Sprint12,Settings!$C$28:$E$53,3)*(CD11/Hours_in_iteration))</f>
        <v>0</v>
      </c>
      <c r="CF11" s="51">
        <f>IF(ISNA(SUMPRODUCT((PersonOnVacation=Availability!$A11)*(VacationSprint=Sprint12)*SprintHoursOff)),0,SUMPRODUCT((PersonOnVacation=Availability!$A11)*(VacationSprint=Sprint12)*SprintHoursOff))</f>
        <v>0</v>
      </c>
      <c r="CG11" s="52">
        <f t="shared" ref="CG11:CG29" si="66">IF((CE11+CF11)&gt;CD11,0,CD11-CE11-CF11)</f>
        <v>40</v>
      </c>
      <c r="CH11" s="42"/>
      <c r="CI11" s="27"/>
      <c r="CJ11" s="176" t="str">
        <f t="shared" si="25"/>
        <v>WebTeam1</v>
      </c>
      <c r="CK11" s="42">
        <f t="shared" si="26"/>
        <v>40</v>
      </c>
      <c r="CL11" s="51">
        <f>IF(CK11=0,0,VLOOKUP(Sprint13,Settings!$C$28:$E$53,3)*(CK11/Hours_in_iteration))</f>
        <v>0</v>
      </c>
      <c r="CM11" s="51">
        <f>IF(ISNA(SUMPRODUCT((PersonOnVacation=Availability!$A11)*(VacationSprint=Sprint13)*SprintHoursOff)),0,SUMPRODUCT((PersonOnVacation=Availability!$A11)*(VacationSprint=Sprint13)*SprintHoursOff))</f>
        <v>0</v>
      </c>
      <c r="CN11" s="52">
        <f t="shared" ref="CN11:CN29" si="67">IF((CL11+CM11)&gt;CK11,0,CK11-CL11-CM11)</f>
        <v>40</v>
      </c>
      <c r="CO11" s="42"/>
      <c r="CP11" s="27"/>
      <c r="CQ11" s="176" t="str">
        <f t="shared" si="27"/>
        <v>WebTeam1</v>
      </c>
      <c r="CR11" s="42">
        <f t="shared" si="28"/>
        <v>40</v>
      </c>
      <c r="CS11" s="51">
        <f>IF(CR11=0,0,VLOOKUP(Sprint14,Settings!$C$28:$E$53,3)*(CR11/Hours_in_iteration))</f>
        <v>0</v>
      </c>
      <c r="CT11" s="51">
        <f>IF(ISNA(SUMPRODUCT((PersonOnVacation=Availability!$A11)*(VacationSprint=Sprint14)*SprintHoursOff)),0,SUMPRODUCT((PersonOnVacation=Availability!$A11)*(VacationSprint=Sprint14)*SprintHoursOff))</f>
        <v>0</v>
      </c>
      <c r="CU11" s="52">
        <f t="shared" ref="CU11:CU29" si="68">IF((CS11+CT11)&gt;CR11,0,CR11-CS11-CT11)</f>
        <v>40</v>
      </c>
      <c r="CV11" s="42"/>
      <c r="CW11" s="27"/>
      <c r="CX11" s="176" t="str">
        <f t="shared" si="29"/>
        <v>WebTeam1</v>
      </c>
      <c r="CY11" s="42">
        <f t="shared" si="30"/>
        <v>40</v>
      </c>
      <c r="CZ11" s="51">
        <f>IF(CY11=0,0,VLOOKUP(Sprint15,Settings!$C$28:$E$53,3)*(CY11/Hours_in_iteration))</f>
        <v>0</v>
      </c>
      <c r="DA11" s="51">
        <f>IF(ISNA(SUMPRODUCT((PersonOnVacation=Availability!$A11)*(VacationSprint=Sprint15)*SprintHoursOff)),0,SUMPRODUCT((PersonOnVacation=Availability!$A11)*(VacationSprint=Sprint15)*SprintHoursOff))</f>
        <v>0</v>
      </c>
      <c r="DB11" s="52">
        <f t="shared" ref="DB11:DB29" si="69">IF((CZ11+DA11)&gt;CY11,0,CY11-CZ11-DA11)</f>
        <v>40</v>
      </c>
      <c r="DC11" s="42"/>
      <c r="DD11" s="27"/>
      <c r="DE11" s="176" t="str">
        <f t="shared" si="31"/>
        <v>WebTeam1</v>
      </c>
      <c r="DF11" s="42">
        <f t="shared" si="32"/>
        <v>40</v>
      </c>
      <c r="DG11" s="51">
        <f>IF(DF11=0,0,VLOOKUP(Sprint16,Settings!$C$28:$E$53,3)*(DF11/Hours_in_iteration))</f>
        <v>0</v>
      </c>
      <c r="DH11" s="51">
        <f>IF(ISNA(SUMPRODUCT((PersonOnVacation=Availability!$A11)*(VacationSprint=Sprint16)*SprintHoursOff)),0,SUMPRODUCT((PersonOnVacation=Availability!$A11)*(VacationSprint=Sprint16)*SprintHoursOff))</f>
        <v>0</v>
      </c>
      <c r="DI11" s="52">
        <f t="shared" ref="DI11:DI29" si="70">IF((DG11+DH11)&gt;DF11,0,DF11-DG11-DH11)</f>
        <v>40</v>
      </c>
      <c r="DJ11" s="42"/>
      <c r="DK11" s="27"/>
      <c r="DL11" s="176" t="str">
        <f t="shared" si="33"/>
        <v>WebTeam1</v>
      </c>
      <c r="DM11" s="42">
        <f t="shared" si="34"/>
        <v>40</v>
      </c>
      <c r="DN11" s="51">
        <f>IF(DM11=0,0,VLOOKUP(Sprint17,Settings!$C$28:$E$53,3)*(DM11/Hours_in_iteration))</f>
        <v>0</v>
      </c>
      <c r="DO11" s="51">
        <f>IF(ISNA(SUMPRODUCT((PersonOnVacation=Availability!$A11)*(VacationSprint=Sprint17)*SprintHoursOff)),0,SUMPRODUCT((PersonOnVacation=Availability!$A11)*(VacationSprint=Sprint17)*SprintHoursOff))</f>
        <v>0</v>
      </c>
      <c r="DP11" s="52">
        <f t="shared" ref="DP11:DP29" si="71">IF((DN11+DO11)&gt;DM11,0,DM11-DN11-DO11)</f>
        <v>40</v>
      </c>
      <c r="DQ11" s="42"/>
      <c r="DR11" s="27"/>
      <c r="DS11" s="176" t="str">
        <f t="shared" si="35"/>
        <v>WebTeam1</v>
      </c>
      <c r="DT11" s="42">
        <f t="shared" si="36"/>
        <v>40</v>
      </c>
      <c r="DU11" s="51">
        <f>IF(DT11=0,0,VLOOKUP(Sprint18,Settings!$C$28:$E$53,3)*(DT11/Hours_in_iteration))</f>
        <v>0</v>
      </c>
      <c r="DV11" s="51">
        <f>IF(ISNA(SUMPRODUCT((PersonOnVacation=Availability!$A11)*(VacationSprint=Sprint18)*SprintHoursOff)),0,SUMPRODUCT((PersonOnVacation=Availability!$A11)*(VacationSprint=Sprint18)*SprintHoursOff))</f>
        <v>0</v>
      </c>
      <c r="DW11" s="52">
        <f t="shared" ref="DW11:DW29" si="72">IF((DU11+DV11)&gt;DT11,0,DT11-DU11-DV11)</f>
        <v>40</v>
      </c>
      <c r="DX11" s="42"/>
      <c r="DY11" s="27"/>
      <c r="DZ11" s="176" t="str">
        <f t="shared" si="37"/>
        <v>WebTeam1</v>
      </c>
      <c r="EA11" s="42">
        <f t="shared" si="38"/>
        <v>40</v>
      </c>
      <c r="EB11" s="51">
        <f>IF(EA11=0,0,VLOOKUP(Sprint19,Settings!$C$28:$E$53,3)*(EA11/Hours_in_iteration))</f>
        <v>0</v>
      </c>
      <c r="EC11" s="51">
        <f>IF(ISNA(SUMPRODUCT((PersonOnVacation=Availability!$A11)*(VacationSprint=Sprint19)*SprintHoursOff)),0,SUMPRODUCT((PersonOnVacation=Availability!$A11)*(VacationSprint=Sprint19)*SprintHoursOff))</f>
        <v>0</v>
      </c>
      <c r="ED11" s="52">
        <f t="shared" ref="ED11:ED29" si="73">IF((EB11+EC11)&gt;EA11,0,EA11-EB11-EC11)</f>
        <v>40</v>
      </c>
      <c r="EE11" s="42"/>
      <c r="EF11" s="27"/>
      <c r="EG11" s="176" t="str">
        <f t="shared" si="39"/>
        <v>WebTeam1</v>
      </c>
      <c r="EH11" s="42">
        <f t="shared" si="40"/>
        <v>40</v>
      </c>
      <c r="EI11" s="51">
        <f>IF(EH11=0,0,VLOOKUP(Sprint20,Settings!$C$28:$E$53,3)*(EH11/Hours_in_iteration))</f>
        <v>0</v>
      </c>
      <c r="EJ11" s="51">
        <f>IF(ISNA(SUMPRODUCT((PersonOnVacation=Availability!$A11)*(VacationSprint=Sprint20)*SprintHoursOff)),0,SUMPRODUCT((PersonOnVacation=Availability!$A11)*(VacationSprint=Sprint20)*SprintHoursOff))</f>
        <v>0</v>
      </c>
      <c r="EK11" s="52">
        <f t="shared" ref="EK11:EK29" si="74">IF((EI11+EJ11)&gt;EH11,0,EH11-EI11-EJ11)</f>
        <v>40</v>
      </c>
      <c r="EL11" s="42"/>
      <c r="EM11" s="27"/>
      <c r="EN11" s="176" t="str">
        <f t="shared" si="41"/>
        <v>WebTeam1</v>
      </c>
      <c r="EO11" s="42">
        <f t="shared" si="42"/>
        <v>40</v>
      </c>
      <c r="EP11" s="51">
        <f>IF(EO11=0,0,VLOOKUP(Sprint21,Settings!$C$28:$E$53,3)*(EO11/Hours_in_iteration))</f>
        <v>0</v>
      </c>
      <c r="EQ11" s="51">
        <f>IF(ISNA(SUMPRODUCT((PersonOnVacation=Availability!$A11)*(VacationSprint=Sprint21)*SprintHoursOff)),0,SUMPRODUCT((PersonOnVacation=Availability!$A11)*(VacationSprint=Sprint21)*SprintHoursOff))</f>
        <v>0</v>
      </c>
      <c r="ER11" s="52">
        <f t="shared" ref="ER11:ER29" si="75">IF((EP11+EQ11)&gt;EO11,0,EO11-EP11-EQ11)</f>
        <v>40</v>
      </c>
      <c r="ES11" s="42"/>
      <c r="ET11" s="27"/>
      <c r="EU11" s="176" t="str">
        <f t="shared" si="43"/>
        <v>WebTeam1</v>
      </c>
      <c r="EV11" s="42">
        <f t="shared" si="44"/>
        <v>40</v>
      </c>
      <c r="EW11" s="51">
        <f>IF(EV11=0,0,VLOOKUP(Sprint22,Settings!$C$28:$E$53,3)*(EV11/Hours_in_iteration))</f>
        <v>0</v>
      </c>
      <c r="EX11" s="51">
        <f>IF(ISNA(SUMPRODUCT((PersonOnVacation=Availability!$A11)*(VacationSprint=Sprint22)*SprintHoursOff)),0,SUMPRODUCT((PersonOnVacation=Availability!$A11)*(VacationSprint=Sprint22)*SprintHoursOff))</f>
        <v>0</v>
      </c>
      <c r="EY11" s="52">
        <f t="shared" ref="EY11:EY29" si="76">IF((EW11+EX11)&gt;EV11,0,EV11-EW11-EX11)</f>
        <v>40</v>
      </c>
      <c r="EZ11" s="42"/>
      <c r="FA11" s="27"/>
      <c r="FB11" s="176" t="str">
        <f t="shared" si="45"/>
        <v>WebTeam1</v>
      </c>
      <c r="FC11" s="42">
        <f t="shared" si="46"/>
        <v>40</v>
      </c>
      <c r="FD11" s="51">
        <f>IF(FC11=0,0,VLOOKUP(Sprint23,Settings!$C$28:$E$53,3)*(FC11/Hours_in_iteration))</f>
        <v>0</v>
      </c>
      <c r="FE11" s="51">
        <f>IF(ISNA(SUMPRODUCT((PersonOnVacation=Availability!$A11)*(VacationSprint=Sprint23)*SprintHoursOff)),0,SUMPRODUCT((PersonOnVacation=Availability!$A11)*(VacationSprint=Sprint23)*SprintHoursOff))</f>
        <v>0</v>
      </c>
      <c r="FF11" s="52">
        <f t="shared" ref="FF11:FF29" si="77">IF((FD11+FE11)&gt;FC11,0,FC11-FD11-FE11)</f>
        <v>40</v>
      </c>
      <c r="FG11" s="42"/>
      <c r="FH11" s="27"/>
      <c r="FI11" s="176" t="str">
        <f t="shared" si="47"/>
        <v>WebTeam1</v>
      </c>
      <c r="FJ11" s="42">
        <f t="shared" si="48"/>
        <v>40</v>
      </c>
      <c r="FK11" s="51">
        <f>IF(FJ11=0,0,VLOOKUP(Sprint24,Settings!$C$28:$E$53,3)*(FJ11/Hours_in_iteration))</f>
        <v>0</v>
      </c>
      <c r="FL11" s="51">
        <f>IF(ISNA(SUMPRODUCT((PersonOnVacation=Availability!$A11)*(VacationSprint=Sprint24)*SprintHoursOff)),0,SUMPRODUCT((PersonOnVacation=Availability!$A11)*(VacationSprint=Sprint24)*SprintHoursOff))</f>
        <v>0</v>
      </c>
      <c r="FM11" s="52">
        <f t="shared" ref="FM11:FM29" si="78">IF((FK11+FL11)&gt;FJ11,0,FJ11-FK11-FL11)</f>
        <v>40</v>
      </c>
      <c r="FN11" s="42"/>
      <c r="FO11" s="27"/>
      <c r="FP11" s="176" t="str">
        <f t="shared" si="49"/>
        <v>WebTeam1</v>
      </c>
      <c r="FQ11" s="42">
        <f t="shared" si="50"/>
        <v>40</v>
      </c>
      <c r="FR11" s="51">
        <f>IF(FQ11=0,0,VLOOKUP(Sprint25,Settings!$C$28:$E$53,3)*(FQ11/Hours_in_iteration))</f>
        <v>0</v>
      </c>
      <c r="FS11" s="51">
        <f>IF(ISNA(SUMPRODUCT((PersonOnVacation=Availability!$A11)*(VacationSprint=Sprint25)*SprintHoursOff)),0,SUMPRODUCT((PersonOnVacation=Availability!$A11)*(VacationSprint=Sprint25)*SprintHoursOff))</f>
        <v>0</v>
      </c>
      <c r="FT11" s="52">
        <f t="shared" ref="FT11:FT29" si="79">IF((FR11+FS11)&gt;FQ11,0,FQ11-FR11-FS11)</f>
        <v>40</v>
      </c>
      <c r="FU11" s="42"/>
      <c r="FV11" s="27"/>
      <c r="FW11" s="176" t="str">
        <f t="shared" si="51"/>
        <v>WebTeam1</v>
      </c>
      <c r="FX11" s="42">
        <f t="shared" si="52"/>
        <v>40</v>
      </c>
      <c r="FY11" s="51">
        <f>IF(FX11=0,0,VLOOKUP(Sprint26,Settings!$C$28:$E$53,3)*(FX11/Hours_in_iteration))</f>
        <v>0</v>
      </c>
      <c r="FZ11" s="51">
        <f>IF(ISNA(SUMPRODUCT((PersonOnVacation=Availability!$A11)*(VacationSprint=Sprint26)*SprintHoursOff)),0,SUMPRODUCT((PersonOnVacation=Availability!$A11)*(VacationSprint=Sprint26)*SprintHoursOff))</f>
        <v>0</v>
      </c>
      <c r="GA11" s="52">
        <f t="shared" ref="GA11:GA29" si="80">IF((FY11+FZ11)&gt;FX11,0,FX11-FY11-FZ11)</f>
        <v>40</v>
      </c>
      <c r="GB11" s="42"/>
      <c r="GC11" s="27"/>
      <c r="GD11" s="176" t="str">
        <f t="shared" si="53"/>
        <v>WebTeam1</v>
      </c>
      <c r="GE11" s="42">
        <f t="shared" si="54"/>
        <v>40</v>
      </c>
      <c r="GF11" s="51">
        <f>IF(GE11=0,0,VLOOKUP(Sprint27,Settings!$C$28:$E$53,3)*(GE11/Hours_in_iteration))</f>
        <v>0</v>
      </c>
      <c r="GG11" s="51">
        <f>IF(ISNA(SUMPRODUCT((PersonOnVacation=Availability!$A11)*(VacationSprint=Sprint27)*SprintHoursOff)),0,SUMPRODUCT((PersonOnVacation=Availability!$A11)*(VacationSprint=Sprint27)*SprintHoursOff))</f>
        <v>0</v>
      </c>
      <c r="GH11" s="52">
        <f t="shared" ref="GH11:GH29" si="81">IF((GF11+GG11)&gt;GE11,0,GE11-GF11-GG11)</f>
        <v>40</v>
      </c>
      <c r="GI11" s="42"/>
    </row>
    <row r="12" spans="1:191" s="54" customFormat="1">
      <c r="A12" s="110" t="str">
        <f>Person3</f>
        <v>Russel Miller</v>
      </c>
      <c r="B12" s="42" t="s">
        <v>49</v>
      </c>
      <c r="C12" s="42" t="str">
        <f t="shared" si="0"/>
        <v>WebTeam1 Dev</v>
      </c>
      <c r="D12" s="135" t="str">
        <f t="shared" si="1"/>
        <v>WebTeam1</v>
      </c>
      <c r="E12" s="42">
        <f t="shared" si="55"/>
        <v>80</v>
      </c>
      <c r="F12" s="51">
        <f>IF(E12=0,0,VLOOKUP(Sprint1,Settings!$C$28:$E$53,3)*(E12/Hours_in_iteration))</f>
        <v>8</v>
      </c>
      <c r="G12" s="51">
        <f>IF(ISNA(SUMPRODUCT((PersonOnVacation=Availability!A12)*(VacationSprint=Sprint1)*SprintHoursOff)),0,SUMPRODUCT((PersonOnVacation=Availability!A12)*(VacationSprint=Sprint1)*SprintHoursOff))</f>
        <v>0</v>
      </c>
      <c r="H12" s="52">
        <f t="shared" si="2"/>
        <v>72</v>
      </c>
      <c r="I12" s="42"/>
      <c r="J12" s="27"/>
      <c r="K12" s="176" t="str">
        <f t="shared" si="3"/>
        <v>WebTeam1</v>
      </c>
      <c r="L12" s="42">
        <f t="shared" si="4"/>
        <v>80</v>
      </c>
      <c r="M12" s="51">
        <f>IF(L12=0,0,VLOOKUP(Sprint2,Settings!$C$28:$E$53,3)*(L12/Hours_in_iteration))</f>
        <v>8</v>
      </c>
      <c r="N12" s="51">
        <f>IF(ISNA(SUMPRODUCT((PersonOnVacation=Availability!A12)*(VacationSprint=Sprint2)*SprintHoursOff)),0,SUMPRODUCT((PersonOnVacation=Availability!A12)*(VacationSprint=Sprint2)*SprintHoursOff))</f>
        <v>0</v>
      </c>
      <c r="O12" s="52">
        <f t="shared" si="56"/>
        <v>72</v>
      </c>
      <c r="P12" s="42"/>
      <c r="Q12" s="27"/>
      <c r="R12" s="176" t="str">
        <f t="shared" si="5"/>
        <v>WebTeam1</v>
      </c>
      <c r="S12" s="42">
        <f t="shared" si="6"/>
        <v>80</v>
      </c>
      <c r="T12" s="51">
        <f>IF(S12=0,0,VLOOKUP(Sprint3,Settings!$C$28:$E$53,3)*(S12/Hours_in_iteration))</f>
        <v>0</v>
      </c>
      <c r="U12" s="51">
        <f>IF(ISNA(SUMPRODUCT((PersonOnVacation=Availability!A12)*(VacationSprint=Sprint3)*SprintHoursOff)),0,SUMPRODUCT((PersonOnVacation=Availability!A12)*(VacationSprint=Sprint3)*SprintHoursOff))</f>
        <v>0</v>
      </c>
      <c r="V12" s="52">
        <f t="shared" si="57"/>
        <v>80</v>
      </c>
      <c r="W12" s="42"/>
      <c r="X12" s="27"/>
      <c r="Y12" s="176" t="str">
        <f t="shared" si="7"/>
        <v>WebTeam1</v>
      </c>
      <c r="Z12" s="42">
        <f t="shared" si="8"/>
        <v>80</v>
      </c>
      <c r="AA12" s="51">
        <f>IF(Z12=0,0,VLOOKUP(Sprint4,Settings!$C$28:$E$53,3)*(Z12/Hours_in_iteration))</f>
        <v>8</v>
      </c>
      <c r="AB12" s="51">
        <f>IF(ISNA(SUMPRODUCT((PersonOnVacation=Availability!$A12)*(VacationSprint=Sprint4)*SprintHoursOff)),0,SUMPRODUCT((PersonOnVacation=Availability!$A12)*(VacationSprint=Sprint4)*SprintHoursOff))</f>
        <v>16</v>
      </c>
      <c r="AC12" s="52">
        <f t="shared" si="58"/>
        <v>56</v>
      </c>
      <c r="AD12" s="42"/>
      <c r="AE12" s="27"/>
      <c r="AF12" s="176" t="str">
        <f t="shared" si="9"/>
        <v>WebTeam1</v>
      </c>
      <c r="AG12" s="42">
        <f t="shared" si="10"/>
        <v>80</v>
      </c>
      <c r="AH12" s="51">
        <f>IF(AG12=0,0,VLOOKUP(Sprint5,Settings!$C$28:$E$53,3)*(AG12/Hours_in_iteration))</f>
        <v>0</v>
      </c>
      <c r="AI12" s="51">
        <f>IF(ISNA(SUMPRODUCT((PersonOnVacation=Availability!$A12)*(VacationSprint=Sprint5)*SprintHoursOff)),0,SUMPRODUCT((PersonOnVacation=Availability!$A12)*(VacationSprint=Sprint5)*SprintHoursOff))</f>
        <v>0</v>
      </c>
      <c r="AJ12" s="52">
        <f t="shared" si="59"/>
        <v>80</v>
      </c>
      <c r="AK12" s="42"/>
      <c r="AL12" s="27"/>
      <c r="AM12" s="176" t="str">
        <f t="shared" si="11"/>
        <v>WebTeam1</v>
      </c>
      <c r="AN12" s="42">
        <f t="shared" si="12"/>
        <v>80</v>
      </c>
      <c r="AO12" s="51">
        <f>IF(AN12=0,0,VLOOKUP(Sprint6,Settings!$C$28:$E$53,3)*(AN12/Hours_in_iteration))</f>
        <v>0</v>
      </c>
      <c r="AP12" s="51">
        <f>IF(ISNA(SUMPRODUCT((PersonOnVacation=Availability!$A12)*(VacationSprint=Sprint6)*SprintHoursOff)),0,SUMPRODUCT((PersonOnVacation=Availability!$A12)*(VacationSprint=Sprint6)*SprintHoursOff))</f>
        <v>0</v>
      </c>
      <c r="AQ12" s="52">
        <f t="shared" si="60"/>
        <v>80</v>
      </c>
      <c r="AR12" s="42"/>
      <c r="AS12" s="27"/>
      <c r="AT12" s="176" t="str">
        <f t="shared" si="13"/>
        <v>WebTeam1</v>
      </c>
      <c r="AU12" s="42">
        <f t="shared" si="14"/>
        <v>80</v>
      </c>
      <c r="AV12" s="51">
        <f>IF(AU12=0,0,VLOOKUP(Sprint7,Settings!$C$28:$E$53,3)*(AU12/Hours_in_iteration))</f>
        <v>0</v>
      </c>
      <c r="AW12" s="51">
        <f>IF(ISNA(SUMPRODUCT((PersonOnVacation=Availability!$A12)*(VacationSprint=Sprint7)*SprintHoursOff)),0,SUMPRODUCT((PersonOnVacation=Availability!$A12)*(VacationSprint=Sprint7)*SprintHoursOff))</f>
        <v>0</v>
      </c>
      <c r="AX12" s="52">
        <f t="shared" si="61"/>
        <v>80</v>
      </c>
      <c r="AY12" s="42"/>
      <c r="AZ12" s="27"/>
      <c r="BA12" s="176" t="str">
        <f t="shared" si="15"/>
        <v>WebTeam1</v>
      </c>
      <c r="BB12" s="42">
        <f t="shared" si="16"/>
        <v>80</v>
      </c>
      <c r="BC12" s="51">
        <f>IF(BB12=0,0,VLOOKUP(Sprint8,Settings!$C$28:$E$53,3)*(BB12/Hours_in_iteration))</f>
        <v>0</v>
      </c>
      <c r="BD12" s="51">
        <f>IF(ISNA(SUMPRODUCT((PersonOnVacation=Availability!$A12)*(VacationSprint=Sprint8)*SprintHoursOff)),0,SUMPRODUCT((PersonOnVacation=Availability!$A12)*(VacationSprint=Sprint8)*SprintHoursOff))</f>
        <v>0</v>
      </c>
      <c r="BE12" s="52">
        <f t="shared" si="62"/>
        <v>80</v>
      </c>
      <c r="BF12" s="42"/>
      <c r="BG12" s="27"/>
      <c r="BH12" s="176" t="str">
        <f t="shared" si="17"/>
        <v>WebTeam1</v>
      </c>
      <c r="BI12" s="42">
        <f t="shared" si="18"/>
        <v>80</v>
      </c>
      <c r="BJ12" s="51">
        <f>IF(BI12=0,0,VLOOKUP(Sprint9,Settings!$C$28:$E$53,3)*(BI12/Hours_in_iteration))</f>
        <v>0</v>
      </c>
      <c r="BK12" s="51">
        <f>IF(ISNA(SUMPRODUCT((PersonOnVacation=Availability!$A12)*(VacationSprint=Sprint9)*SprintHoursOff)),0,SUMPRODUCT((PersonOnVacation=Availability!$A12)*(VacationSprint=Sprint9)*SprintHoursOff))</f>
        <v>0</v>
      </c>
      <c r="BL12" s="52">
        <f t="shared" si="63"/>
        <v>80</v>
      </c>
      <c r="BM12" s="42"/>
      <c r="BN12" s="27"/>
      <c r="BO12" s="176" t="str">
        <f t="shared" si="19"/>
        <v>WebTeam1</v>
      </c>
      <c r="BP12" s="42">
        <f t="shared" si="20"/>
        <v>80</v>
      </c>
      <c r="BQ12" s="51">
        <f>IF(BP12=0,0,VLOOKUP(Sprint10,Settings!$C$28:$E$53,3)*(BP12/Hours_in_iteration))</f>
        <v>0</v>
      </c>
      <c r="BR12" s="51">
        <f>IF(ISNA(SUMPRODUCT((PersonOnVacation=Availability!$A12)*(VacationSprint=Sprint10)*SprintHoursOff)),0,SUMPRODUCT((PersonOnVacation=Availability!$A12)*(VacationSprint=Sprint10)*SprintHoursOff))</f>
        <v>0</v>
      </c>
      <c r="BS12" s="52">
        <f t="shared" si="64"/>
        <v>80</v>
      </c>
      <c r="BT12" s="42"/>
      <c r="BU12" s="27"/>
      <c r="BV12" s="176" t="str">
        <f t="shared" si="21"/>
        <v>WebTeam1</v>
      </c>
      <c r="BW12" s="42">
        <f t="shared" si="22"/>
        <v>80</v>
      </c>
      <c r="BX12" s="51">
        <f>IF(BW12=0,0,VLOOKUP(Sprint11,Settings!$C$28:$E$53,3)*(BW12/Hours_in_iteration))</f>
        <v>0</v>
      </c>
      <c r="BY12" s="51">
        <f>IF(ISNA(SUMPRODUCT((PersonOnVacation=Availability!$A12)*(VacationSprint=Sprint11)*SprintHoursOff)),0,SUMPRODUCT((PersonOnVacation=Availability!$A12)*(VacationSprint=Sprint11)*SprintHoursOff))</f>
        <v>0</v>
      </c>
      <c r="BZ12" s="52">
        <f t="shared" si="65"/>
        <v>80</v>
      </c>
      <c r="CA12" s="42"/>
      <c r="CB12" s="27"/>
      <c r="CC12" s="176" t="str">
        <f t="shared" si="23"/>
        <v>WebTeam1</v>
      </c>
      <c r="CD12" s="42">
        <f t="shared" si="24"/>
        <v>80</v>
      </c>
      <c r="CE12" s="51">
        <f>IF(CD12=0,0,VLOOKUP(Sprint12,Settings!$C$28:$E$53,3)*(CD12/Hours_in_iteration))</f>
        <v>0</v>
      </c>
      <c r="CF12" s="51">
        <f>IF(ISNA(SUMPRODUCT((PersonOnVacation=Availability!$A12)*(VacationSprint=Sprint12)*SprintHoursOff)),0,SUMPRODUCT((PersonOnVacation=Availability!$A12)*(VacationSprint=Sprint12)*SprintHoursOff))</f>
        <v>0</v>
      </c>
      <c r="CG12" s="52">
        <f t="shared" si="66"/>
        <v>80</v>
      </c>
      <c r="CH12" s="42"/>
      <c r="CI12" s="27"/>
      <c r="CJ12" s="176" t="str">
        <f t="shared" si="25"/>
        <v>WebTeam1</v>
      </c>
      <c r="CK12" s="42">
        <f t="shared" si="26"/>
        <v>80</v>
      </c>
      <c r="CL12" s="51">
        <f>IF(CK12=0,0,VLOOKUP(Sprint13,Settings!$C$28:$E$53,3)*(CK12/Hours_in_iteration))</f>
        <v>0</v>
      </c>
      <c r="CM12" s="51">
        <f>IF(ISNA(SUMPRODUCT((PersonOnVacation=Availability!$A12)*(VacationSprint=Sprint13)*SprintHoursOff)),0,SUMPRODUCT((PersonOnVacation=Availability!$A12)*(VacationSprint=Sprint13)*SprintHoursOff))</f>
        <v>0</v>
      </c>
      <c r="CN12" s="52">
        <f t="shared" si="67"/>
        <v>80</v>
      </c>
      <c r="CO12" s="42"/>
      <c r="CP12" s="27"/>
      <c r="CQ12" s="176" t="str">
        <f t="shared" si="27"/>
        <v>WebTeam1</v>
      </c>
      <c r="CR12" s="42">
        <f t="shared" si="28"/>
        <v>80</v>
      </c>
      <c r="CS12" s="51">
        <f>IF(CR12=0,0,VLOOKUP(Sprint14,Settings!$C$28:$E$53,3)*(CR12/Hours_in_iteration))</f>
        <v>0</v>
      </c>
      <c r="CT12" s="51">
        <f>IF(ISNA(SUMPRODUCT((PersonOnVacation=Availability!$A12)*(VacationSprint=Sprint14)*SprintHoursOff)),0,SUMPRODUCT((PersonOnVacation=Availability!$A12)*(VacationSprint=Sprint14)*SprintHoursOff))</f>
        <v>0</v>
      </c>
      <c r="CU12" s="52">
        <f t="shared" si="68"/>
        <v>80</v>
      </c>
      <c r="CV12" s="42"/>
      <c r="CW12" s="27"/>
      <c r="CX12" s="176" t="str">
        <f t="shared" si="29"/>
        <v>WebTeam1</v>
      </c>
      <c r="CY12" s="42">
        <f t="shared" si="30"/>
        <v>80</v>
      </c>
      <c r="CZ12" s="51">
        <f>IF(CY12=0,0,VLOOKUP(Sprint15,Settings!$C$28:$E$53,3)*(CY12/Hours_in_iteration))</f>
        <v>0</v>
      </c>
      <c r="DA12" s="51">
        <f>IF(ISNA(SUMPRODUCT((PersonOnVacation=Availability!$A12)*(VacationSprint=Sprint15)*SprintHoursOff)),0,SUMPRODUCT((PersonOnVacation=Availability!$A12)*(VacationSprint=Sprint15)*SprintHoursOff))</f>
        <v>0</v>
      </c>
      <c r="DB12" s="52">
        <f t="shared" si="69"/>
        <v>80</v>
      </c>
      <c r="DC12" s="42"/>
      <c r="DD12" s="27"/>
      <c r="DE12" s="176" t="str">
        <f t="shared" si="31"/>
        <v>WebTeam1</v>
      </c>
      <c r="DF12" s="42">
        <f t="shared" si="32"/>
        <v>80</v>
      </c>
      <c r="DG12" s="51">
        <f>IF(DF12=0,0,VLOOKUP(Sprint16,Settings!$C$28:$E$53,3)*(DF12/Hours_in_iteration))</f>
        <v>0</v>
      </c>
      <c r="DH12" s="51">
        <f>IF(ISNA(SUMPRODUCT((PersonOnVacation=Availability!$A12)*(VacationSprint=Sprint16)*SprintHoursOff)),0,SUMPRODUCT((PersonOnVacation=Availability!$A12)*(VacationSprint=Sprint16)*SprintHoursOff))</f>
        <v>0</v>
      </c>
      <c r="DI12" s="52">
        <f t="shared" si="70"/>
        <v>80</v>
      </c>
      <c r="DJ12" s="42"/>
      <c r="DK12" s="27"/>
      <c r="DL12" s="176" t="str">
        <f t="shared" si="33"/>
        <v>WebTeam1</v>
      </c>
      <c r="DM12" s="42">
        <f t="shared" si="34"/>
        <v>80</v>
      </c>
      <c r="DN12" s="51">
        <f>IF(DM12=0,0,VLOOKUP(Sprint17,Settings!$C$28:$E$53,3)*(DM12/Hours_in_iteration))</f>
        <v>0</v>
      </c>
      <c r="DO12" s="51">
        <f>IF(ISNA(SUMPRODUCT((PersonOnVacation=Availability!$A12)*(VacationSprint=Sprint17)*SprintHoursOff)),0,SUMPRODUCT((PersonOnVacation=Availability!$A12)*(VacationSprint=Sprint17)*SprintHoursOff))</f>
        <v>0</v>
      </c>
      <c r="DP12" s="52">
        <f t="shared" si="71"/>
        <v>80</v>
      </c>
      <c r="DQ12" s="42"/>
      <c r="DR12" s="27"/>
      <c r="DS12" s="176" t="str">
        <f t="shared" si="35"/>
        <v>WebTeam1</v>
      </c>
      <c r="DT12" s="42">
        <f t="shared" si="36"/>
        <v>80</v>
      </c>
      <c r="DU12" s="51">
        <f>IF(DT12=0,0,VLOOKUP(Sprint18,Settings!$C$28:$E$53,3)*(DT12/Hours_in_iteration))</f>
        <v>0</v>
      </c>
      <c r="DV12" s="51">
        <f>IF(ISNA(SUMPRODUCT((PersonOnVacation=Availability!$A12)*(VacationSprint=Sprint18)*SprintHoursOff)),0,SUMPRODUCT((PersonOnVacation=Availability!$A12)*(VacationSprint=Sprint18)*SprintHoursOff))</f>
        <v>0</v>
      </c>
      <c r="DW12" s="52">
        <f t="shared" si="72"/>
        <v>80</v>
      </c>
      <c r="DX12" s="42"/>
      <c r="DY12" s="27"/>
      <c r="DZ12" s="176" t="str">
        <f t="shared" si="37"/>
        <v>WebTeam1</v>
      </c>
      <c r="EA12" s="42">
        <f t="shared" si="38"/>
        <v>80</v>
      </c>
      <c r="EB12" s="51">
        <f>IF(EA12=0,0,VLOOKUP(Sprint19,Settings!$C$28:$E$53,3)*(EA12/Hours_in_iteration))</f>
        <v>0</v>
      </c>
      <c r="EC12" s="51">
        <f>IF(ISNA(SUMPRODUCT((PersonOnVacation=Availability!$A12)*(VacationSprint=Sprint19)*SprintHoursOff)),0,SUMPRODUCT((PersonOnVacation=Availability!$A12)*(VacationSprint=Sprint19)*SprintHoursOff))</f>
        <v>0</v>
      </c>
      <c r="ED12" s="52">
        <f t="shared" si="73"/>
        <v>80</v>
      </c>
      <c r="EE12" s="42"/>
      <c r="EF12" s="27"/>
      <c r="EG12" s="176" t="str">
        <f t="shared" si="39"/>
        <v>WebTeam1</v>
      </c>
      <c r="EH12" s="42">
        <f t="shared" si="40"/>
        <v>80</v>
      </c>
      <c r="EI12" s="51">
        <f>IF(EH12=0,0,VLOOKUP(Sprint20,Settings!$C$28:$E$53,3)*(EH12/Hours_in_iteration))</f>
        <v>0</v>
      </c>
      <c r="EJ12" s="51">
        <f>IF(ISNA(SUMPRODUCT((PersonOnVacation=Availability!$A12)*(VacationSprint=Sprint20)*SprintHoursOff)),0,SUMPRODUCT((PersonOnVacation=Availability!$A12)*(VacationSprint=Sprint20)*SprintHoursOff))</f>
        <v>0</v>
      </c>
      <c r="EK12" s="52">
        <f t="shared" si="74"/>
        <v>80</v>
      </c>
      <c r="EL12" s="42"/>
      <c r="EM12" s="27"/>
      <c r="EN12" s="176" t="str">
        <f t="shared" si="41"/>
        <v>WebTeam1</v>
      </c>
      <c r="EO12" s="42">
        <f t="shared" si="42"/>
        <v>80</v>
      </c>
      <c r="EP12" s="51">
        <f>IF(EO12=0,0,VLOOKUP(Sprint21,Settings!$C$28:$E$53,3)*(EO12/Hours_in_iteration))</f>
        <v>0</v>
      </c>
      <c r="EQ12" s="51">
        <f>IF(ISNA(SUMPRODUCT((PersonOnVacation=Availability!$A12)*(VacationSprint=Sprint21)*SprintHoursOff)),0,SUMPRODUCT((PersonOnVacation=Availability!$A12)*(VacationSprint=Sprint21)*SprintHoursOff))</f>
        <v>0</v>
      </c>
      <c r="ER12" s="52">
        <f t="shared" si="75"/>
        <v>80</v>
      </c>
      <c r="ES12" s="42"/>
      <c r="ET12" s="27"/>
      <c r="EU12" s="176" t="str">
        <f t="shared" si="43"/>
        <v>WebTeam1</v>
      </c>
      <c r="EV12" s="42">
        <f t="shared" si="44"/>
        <v>80</v>
      </c>
      <c r="EW12" s="51">
        <f>IF(EV12=0,0,VLOOKUP(Sprint22,Settings!$C$28:$E$53,3)*(EV12/Hours_in_iteration))</f>
        <v>0</v>
      </c>
      <c r="EX12" s="51">
        <f>IF(ISNA(SUMPRODUCT((PersonOnVacation=Availability!$A12)*(VacationSprint=Sprint22)*SprintHoursOff)),0,SUMPRODUCT((PersonOnVacation=Availability!$A12)*(VacationSprint=Sprint22)*SprintHoursOff))</f>
        <v>0</v>
      </c>
      <c r="EY12" s="52">
        <f t="shared" si="76"/>
        <v>80</v>
      </c>
      <c r="EZ12" s="42"/>
      <c r="FA12" s="27"/>
      <c r="FB12" s="176" t="str">
        <f t="shared" si="45"/>
        <v>WebTeam1</v>
      </c>
      <c r="FC12" s="42">
        <f t="shared" si="46"/>
        <v>80</v>
      </c>
      <c r="FD12" s="51">
        <f>IF(FC12=0,0,VLOOKUP(Sprint23,Settings!$C$28:$E$53,3)*(FC12/Hours_in_iteration))</f>
        <v>0</v>
      </c>
      <c r="FE12" s="51">
        <f>IF(ISNA(SUMPRODUCT((PersonOnVacation=Availability!$A12)*(VacationSprint=Sprint23)*SprintHoursOff)),0,SUMPRODUCT((PersonOnVacation=Availability!$A12)*(VacationSprint=Sprint23)*SprintHoursOff))</f>
        <v>0</v>
      </c>
      <c r="FF12" s="52">
        <f t="shared" si="77"/>
        <v>80</v>
      </c>
      <c r="FG12" s="42"/>
      <c r="FH12" s="27"/>
      <c r="FI12" s="176" t="str">
        <f t="shared" si="47"/>
        <v>WebTeam1</v>
      </c>
      <c r="FJ12" s="42">
        <f t="shared" si="48"/>
        <v>80</v>
      </c>
      <c r="FK12" s="51">
        <f>IF(FJ12=0,0,VLOOKUP(Sprint24,Settings!$C$28:$E$53,3)*(FJ12/Hours_in_iteration))</f>
        <v>0</v>
      </c>
      <c r="FL12" s="51">
        <f>IF(ISNA(SUMPRODUCT((PersonOnVacation=Availability!$A12)*(VacationSprint=Sprint24)*SprintHoursOff)),0,SUMPRODUCT((PersonOnVacation=Availability!$A12)*(VacationSprint=Sprint24)*SprintHoursOff))</f>
        <v>0</v>
      </c>
      <c r="FM12" s="52">
        <f t="shared" si="78"/>
        <v>80</v>
      </c>
      <c r="FN12" s="42"/>
      <c r="FO12" s="27"/>
      <c r="FP12" s="176" t="str">
        <f t="shared" si="49"/>
        <v>WebTeam1</v>
      </c>
      <c r="FQ12" s="42">
        <f t="shared" si="50"/>
        <v>80</v>
      </c>
      <c r="FR12" s="51">
        <f>IF(FQ12=0,0,VLOOKUP(Sprint25,Settings!$C$28:$E$53,3)*(FQ12/Hours_in_iteration))</f>
        <v>0</v>
      </c>
      <c r="FS12" s="51">
        <f>IF(ISNA(SUMPRODUCT((PersonOnVacation=Availability!$A12)*(VacationSprint=Sprint25)*SprintHoursOff)),0,SUMPRODUCT((PersonOnVacation=Availability!$A12)*(VacationSprint=Sprint25)*SprintHoursOff))</f>
        <v>0</v>
      </c>
      <c r="FT12" s="52">
        <f t="shared" si="79"/>
        <v>80</v>
      </c>
      <c r="FU12" s="42"/>
      <c r="FV12" s="27"/>
      <c r="FW12" s="176" t="str">
        <f t="shared" si="51"/>
        <v>WebTeam1</v>
      </c>
      <c r="FX12" s="42">
        <f t="shared" si="52"/>
        <v>80</v>
      </c>
      <c r="FY12" s="51">
        <f>IF(FX12=0,0,VLOOKUP(Sprint26,Settings!$C$28:$E$53,3)*(FX12/Hours_in_iteration))</f>
        <v>0</v>
      </c>
      <c r="FZ12" s="51">
        <f>IF(ISNA(SUMPRODUCT((PersonOnVacation=Availability!$A12)*(VacationSprint=Sprint26)*SprintHoursOff)),0,SUMPRODUCT((PersonOnVacation=Availability!$A12)*(VacationSprint=Sprint26)*SprintHoursOff))</f>
        <v>0</v>
      </c>
      <c r="GA12" s="52">
        <f t="shared" si="80"/>
        <v>80</v>
      </c>
      <c r="GB12" s="42"/>
      <c r="GC12" s="27"/>
      <c r="GD12" s="176" t="str">
        <f t="shared" si="53"/>
        <v>WebTeam1</v>
      </c>
      <c r="GE12" s="42">
        <f t="shared" si="54"/>
        <v>80</v>
      </c>
      <c r="GF12" s="51">
        <f>IF(GE12=0,0,VLOOKUP(Sprint27,Settings!$C$28:$E$53,3)*(GE12/Hours_in_iteration))</f>
        <v>0</v>
      </c>
      <c r="GG12" s="51">
        <f>IF(ISNA(SUMPRODUCT((PersonOnVacation=Availability!$A12)*(VacationSprint=Sprint27)*SprintHoursOff)),0,SUMPRODUCT((PersonOnVacation=Availability!$A12)*(VacationSprint=Sprint27)*SprintHoursOff))</f>
        <v>0</v>
      </c>
      <c r="GH12" s="52">
        <f t="shared" si="81"/>
        <v>80</v>
      </c>
      <c r="GI12" s="42"/>
    </row>
    <row r="13" spans="1:191" s="54" customFormat="1">
      <c r="A13" s="110" t="str">
        <f>Person4</f>
        <v>Ronald Morris</v>
      </c>
      <c r="B13" s="42" t="s">
        <v>49</v>
      </c>
      <c r="C13" s="42" t="str">
        <f t="shared" si="0"/>
        <v>WebTeam1 Dev</v>
      </c>
      <c r="D13" s="135" t="str">
        <f t="shared" si="1"/>
        <v>WebTeam1</v>
      </c>
      <c r="E13" s="42">
        <f t="shared" si="55"/>
        <v>80</v>
      </c>
      <c r="F13" s="51">
        <f>IF(E13=0,0,VLOOKUP(Sprint1,Settings!$C$28:$E$53,3)*(E13/Hours_in_iteration))</f>
        <v>8</v>
      </c>
      <c r="G13" s="51">
        <f>IF(ISNA(SUMPRODUCT((PersonOnVacation=Availability!A13)*(VacationSprint=Sprint1)*SprintHoursOff)),0,SUMPRODUCT((PersonOnVacation=Availability!A13)*(VacationSprint=Sprint1)*SprintHoursOff))</f>
        <v>0</v>
      </c>
      <c r="H13" s="52">
        <f t="shared" si="2"/>
        <v>72</v>
      </c>
      <c r="I13" s="42"/>
      <c r="J13" s="27"/>
      <c r="K13" s="176" t="str">
        <f t="shared" si="3"/>
        <v>WebTeam1</v>
      </c>
      <c r="L13" s="42">
        <f t="shared" si="4"/>
        <v>80</v>
      </c>
      <c r="M13" s="51">
        <f>IF(L13=0,0,VLOOKUP(Sprint2,Settings!$C$28:$E$53,3)*(L13/Hours_in_iteration))</f>
        <v>8</v>
      </c>
      <c r="N13" s="51">
        <f>IF(ISNA(SUMPRODUCT((PersonOnVacation=Availability!A13)*(VacationSprint=Sprint2)*SprintHoursOff)),0,SUMPRODUCT((PersonOnVacation=Availability!A13)*(VacationSprint=Sprint2)*SprintHoursOff))</f>
        <v>0</v>
      </c>
      <c r="O13" s="52">
        <f t="shared" si="56"/>
        <v>72</v>
      </c>
      <c r="P13" s="42"/>
      <c r="Q13" s="27"/>
      <c r="R13" s="176" t="str">
        <f t="shared" si="5"/>
        <v>WebTeam1</v>
      </c>
      <c r="S13" s="42">
        <f t="shared" si="6"/>
        <v>80</v>
      </c>
      <c r="T13" s="51">
        <f>IF(S13=0,0,VLOOKUP(Sprint3,Settings!$C$28:$E$53,3)*(S13/Hours_in_iteration))</f>
        <v>0</v>
      </c>
      <c r="U13" s="51">
        <f>IF(ISNA(SUMPRODUCT((PersonOnVacation=Availability!A13)*(VacationSprint=Sprint3)*SprintHoursOff)),0,SUMPRODUCT((PersonOnVacation=Availability!A13)*(VacationSprint=Sprint3)*SprintHoursOff))</f>
        <v>0</v>
      </c>
      <c r="V13" s="52">
        <f t="shared" si="57"/>
        <v>80</v>
      </c>
      <c r="W13" s="42"/>
      <c r="X13" s="27"/>
      <c r="Y13" s="176" t="str">
        <f t="shared" si="7"/>
        <v>WebTeam1</v>
      </c>
      <c r="Z13" s="42">
        <f t="shared" si="8"/>
        <v>80</v>
      </c>
      <c r="AA13" s="51">
        <f>IF(Z13=0,0,VLOOKUP(Sprint4,Settings!$C$28:$E$53,3)*(Z13/Hours_in_iteration))</f>
        <v>8</v>
      </c>
      <c r="AB13" s="51">
        <f>IF(ISNA(SUMPRODUCT((PersonOnVacation=Availability!$A13)*(VacationSprint=Sprint4)*SprintHoursOff)),0,SUMPRODUCT((PersonOnVacation=Availability!$A13)*(VacationSprint=Sprint4)*SprintHoursOff))</f>
        <v>0</v>
      </c>
      <c r="AC13" s="52">
        <f t="shared" si="58"/>
        <v>72</v>
      </c>
      <c r="AD13" s="42"/>
      <c r="AE13" s="27"/>
      <c r="AF13" s="176" t="str">
        <f t="shared" si="9"/>
        <v>WebTeam1</v>
      </c>
      <c r="AG13" s="42">
        <f t="shared" si="10"/>
        <v>80</v>
      </c>
      <c r="AH13" s="51">
        <f>IF(AG13=0,0,VLOOKUP(Sprint5,Settings!$C$28:$E$53,3)*(AG13/Hours_in_iteration))</f>
        <v>0</v>
      </c>
      <c r="AI13" s="51">
        <f>IF(ISNA(SUMPRODUCT((PersonOnVacation=Availability!$A13)*(VacationSprint=Sprint5)*SprintHoursOff)),0,SUMPRODUCT((PersonOnVacation=Availability!$A13)*(VacationSprint=Sprint5)*SprintHoursOff))</f>
        <v>0</v>
      </c>
      <c r="AJ13" s="52">
        <f t="shared" si="59"/>
        <v>80</v>
      </c>
      <c r="AK13" s="42"/>
      <c r="AL13" s="27"/>
      <c r="AM13" s="176" t="str">
        <f t="shared" si="11"/>
        <v>WebTeam1</v>
      </c>
      <c r="AN13" s="42">
        <f t="shared" si="12"/>
        <v>80</v>
      </c>
      <c r="AO13" s="51">
        <f>IF(AN13=0,0,VLOOKUP(Sprint6,Settings!$C$28:$E$53,3)*(AN13/Hours_in_iteration))</f>
        <v>0</v>
      </c>
      <c r="AP13" s="51">
        <f>IF(ISNA(SUMPRODUCT((PersonOnVacation=Availability!$A13)*(VacationSprint=Sprint6)*SprintHoursOff)),0,SUMPRODUCT((PersonOnVacation=Availability!$A13)*(VacationSprint=Sprint6)*SprintHoursOff))</f>
        <v>0</v>
      </c>
      <c r="AQ13" s="52">
        <f t="shared" si="60"/>
        <v>80</v>
      </c>
      <c r="AR13" s="42"/>
      <c r="AS13" s="27"/>
      <c r="AT13" s="176" t="str">
        <f t="shared" si="13"/>
        <v>WebTeam1</v>
      </c>
      <c r="AU13" s="42">
        <f t="shared" si="14"/>
        <v>80</v>
      </c>
      <c r="AV13" s="51">
        <f>IF(AU13=0,0,VLOOKUP(Sprint7,Settings!$C$28:$E$53,3)*(AU13/Hours_in_iteration))</f>
        <v>0</v>
      </c>
      <c r="AW13" s="51">
        <f>IF(ISNA(SUMPRODUCT((PersonOnVacation=Availability!$A13)*(VacationSprint=Sprint7)*SprintHoursOff)),0,SUMPRODUCT((PersonOnVacation=Availability!$A13)*(VacationSprint=Sprint7)*SprintHoursOff))</f>
        <v>0</v>
      </c>
      <c r="AX13" s="52">
        <f t="shared" si="61"/>
        <v>80</v>
      </c>
      <c r="AY13" s="42"/>
      <c r="AZ13" s="27"/>
      <c r="BA13" s="176" t="str">
        <f t="shared" si="15"/>
        <v>WebTeam1</v>
      </c>
      <c r="BB13" s="42">
        <f t="shared" si="16"/>
        <v>80</v>
      </c>
      <c r="BC13" s="51">
        <f>IF(BB13=0,0,VLOOKUP(Sprint8,Settings!$C$28:$E$53,3)*(BB13/Hours_in_iteration))</f>
        <v>0</v>
      </c>
      <c r="BD13" s="51">
        <f>IF(ISNA(SUMPRODUCT((PersonOnVacation=Availability!$A13)*(VacationSprint=Sprint8)*SprintHoursOff)),0,SUMPRODUCT((PersonOnVacation=Availability!$A13)*(VacationSprint=Sprint8)*SprintHoursOff))</f>
        <v>0</v>
      </c>
      <c r="BE13" s="52">
        <f t="shared" si="62"/>
        <v>80</v>
      </c>
      <c r="BF13" s="42"/>
      <c r="BG13" s="27"/>
      <c r="BH13" s="176" t="str">
        <f t="shared" si="17"/>
        <v>WebTeam1</v>
      </c>
      <c r="BI13" s="42">
        <f t="shared" si="18"/>
        <v>80</v>
      </c>
      <c r="BJ13" s="51">
        <f>IF(BI13=0,0,VLOOKUP(Sprint9,Settings!$C$28:$E$53,3)*(BI13/Hours_in_iteration))</f>
        <v>0</v>
      </c>
      <c r="BK13" s="51">
        <f>IF(ISNA(SUMPRODUCT((PersonOnVacation=Availability!$A13)*(VacationSprint=Sprint9)*SprintHoursOff)),0,SUMPRODUCT((PersonOnVacation=Availability!$A13)*(VacationSprint=Sprint9)*SprintHoursOff))</f>
        <v>0</v>
      </c>
      <c r="BL13" s="52">
        <f t="shared" si="63"/>
        <v>80</v>
      </c>
      <c r="BM13" s="42"/>
      <c r="BN13" s="27"/>
      <c r="BO13" s="176" t="str">
        <f t="shared" si="19"/>
        <v>WebTeam1</v>
      </c>
      <c r="BP13" s="42">
        <f t="shared" si="20"/>
        <v>80</v>
      </c>
      <c r="BQ13" s="51">
        <f>IF(BP13=0,0,VLOOKUP(Sprint10,Settings!$C$28:$E$53,3)*(BP13/Hours_in_iteration))</f>
        <v>0</v>
      </c>
      <c r="BR13" s="51">
        <f>IF(ISNA(SUMPRODUCT((PersonOnVacation=Availability!$A13)*(VacationSprint=Sprint10)*SprintHoursOff)),0,SUMPRODUCT((PersonOnVacation=Availability!$A13)*(VacationSprint=Sprint10)*SprintHoursOff))</f>
        <v>0</v>
      </c>
      <c r="BS13" s="52">
        <f t="shared" si="64"/>
        <v>80</v>
      </c>
      <c r="BT13" s="42"/>
      <c r="BU13" s="27"/>
      <c r="BV13" s="176" t="str">
        <f t="shared" si="21"/>
        <v>WebTeam1</v>
      </c>
      <c r="BW13" s="42">
        <f t="shared" si="22"/>
        <v>80</v>
      </c>
      <c r="BX13" s="51">
        <f>IF(BW13=0,0,VLOOKUP(Sprint11,Settings!$C$28:$E$53,3)*(BW13/Hours_in_iteration))</f>
        <v>0</v>
      </c>
      <c r="BY13" s="51">
        <f>IF(ISNA(SUMPRODUCT((PersonOnVacation=Availability!$A13)*(VacationSprint=Sprint11)*SprintHoursOff)),0,SUMPRODUCT((PersonOnVacation=Availability!$A13)*(VacationSprint=Sprint11)*SprintHoursOff))</f>
        <v>32</v>
      </c>
      <c r="BZ13" s="52">
        <f t="shared" si="65"/>
        <v>48</v>
      </c>
      <c r="CA13" s="42"/>
      <c r="CB13" s="27"/>
      <c r="CC13" s="176" t="str">
        <f t="shared" si="23"/>
        <v>WebTeam1</v>
      </c>
      <c r="CD13" s="42">
        <f t="shared" si="24"/>
        <v>80</v>
      </c>
      <c r="CE13" s="51">
        <f>IF(CD13=0,0,VLOOKUP(Sprint12,Settings!$C$28:$E$53,3)*(CD13/Hours_in_iteration))</f>
        <v>0</v>
      </c>
      <c r="CF13" s="51">
        <f>IF(ISNA(SUMPRODUCT((PersonOnVacation=Availability!$A13)*(VacationSprint=Sprint12)*SprintHoursOff)),0,SUMPRODUCT((PersonOnVacation=Availability!$A13)*(VacationSprint=Sprint12)*SprintHoursOff))</f>
        <v>0</v>
      </c>
      <c r="CG13" s="52">
        <f t="shared" si="66"/>
        <v>80</v>
      </c>
      <c r="CH13" s="42"/>
      <c r="CI13" s="27"/>
      <c r="CJ13" s="176" t="str">
        <f t="shared" si="25"/>
        <v>WebTeam1</v>
      </c>
      <c r="CK13" s="42">
        <f t="shared" si="26"/>
        <v>80</v>
      </c>
      <c r="CL13" s="51">
        <f>IF(CK13=0,0,VLOOKUP(Sprint13,Settings!$C$28:$E$53,3)*(CK13/Hours_in_iteration))</f>
        <v>0</v>
      </c>
      <c r="CM13" s="51">
        <f>IF(ISNA(SUMPRODUCT((PersonOnVacation=Availability!$A13)*(VacationSprint=Sprint13)*SprintHoursOff)),0,SUMPRODUCT((PersonOnVacation=Availability!$A13)*(VacationSprint=Sprint13)*SprintHoursOff))</f>
        <v>0</v>
      </c>
      <c r="CN13" s="52">
        <f t="shared" si="67"/>
        <v>80</v>
      </c>
      <c r="CO13" s="42"/>
      <c r="CP13" s="27"/>
      <c r="CQ13" s="176" t="str">
        <f t="shared" si="27"/>
        <v>WebTeam1</v>
      </c>
      <c r="CR13" s="42">
        <f t="shared" si="28"/>
        <v>80</v>
      </c>
      <c r="CS13" s="51">
        <f>IF(CR13=0,0,VLOOKUP(Sprint14,Settings!$C$28:$E$53,3)*(CR13/Hours_in_iteration))</f>
        <v>0</v>
      </c>
      <c r="CT13" s="51">
        <f>IF(ISNA(SUMPRODUCT((PersonOnVacation=Availability!$A13)*(VacationSprint=Sprint14)*SprintHoursOff)),0,SUMPRODUCT((PersonOnVacation=Availability!$A13)*(VacationSprint=Sprint14)*SprintHoursOff))</f>
        <v>0</v>
      </c>
      <c r="CU13" s="52">
        <f t="shared" si="68"/>
        <v>80</v>
      </c>
      <c r="CV13" s="42"/>
      <c r="CW13" s="27"/>
      <c r="CX13" s="176" t="str">
        <f t="shared" si="29"/>
        <v>WebTeam1</v>
      </c>
      <c r="CY13" s="42">
        <f t="shared" si="30"/>
        <v>80</v>
      </c>
      <c r="CZ13" s="51">
        <f>IF(CY13=0,0,VLOOKUP(Sprint15,Settings!$C$28:$E$53,3)*(CY13/Hours_in_iteration))</f>
        <v>0</v>
      </c>
      <c r="DA13" s="51">
        <f>IF(ISNA(SUMPRODUCT((PersonOnVacation=Availability!$A13)*(VacationSprint=Sprint15)*SprintHoursOff)),0,SUMPRODUCT((PersonOnVacation=Availability!$A13)*(VacationSprint=Sprint15)*SprintHoursOff))</f>
        <v>0</v>
      </c>
      <c r="DB13" s="52">
        <f t="shared" si="69"/>
        <v>80</v>
      </c>
      <c r="DC13" s="42"/>
      <c r="DD13" s="27"/>
      <c r="DE13" s="176" t="str">
        <f t="shared" si="31"/>
        <v>WebTeam1</v>
      </c>
      <c r="DF13" s="42">
        <f t="shared" si="32"/>
        <v>80</v>
      </c>
      <c r="DG13" s="51">
        <f>IF(DF13=0,0,VLOOKUP(Sprint16,Settings!$C$28:$E$53,3)*(DF13/Hours_in_iteration))</f>
        <v>0</v>
      </c>
      <c r="DH13" s="51">
        <f>IF(ISNA(SUMPRODUCT((PersonOnVacation=Availability!$A13)*(VacationSprint=Sprint16)*SprintHoursOff)),0,SUMPRODUCT((PersonOnVacation=Availability!$A13)*(VacationSprint=Sprint16)*SprintHoursOff))</f>
        <v>0</v>
      </c>
      <c r="DI13" s="52">
        <f t="shared" si="70"/>
        <v>80</v>
      </c>
      <c r="DJ13" s="42"/>
      <c r="DK13" s="27"/>
      <c r="DL13" s="176" t="str">
        <f t="shared" si="33"/>
        <v>WebTeam1</v>
      </c>
      <c r="DM13" s="42">
        <f t="shared" si="34"/>
        <v>80</v>
      </c>
      <c r="DN13" s="51">
        <f>IF(DM13=0,0,VLOOKUP(Sprint17,Settings!$C$28:$E$53,3)*(DM13/Hours_in_iteration))</f>
        <v>0</v>
      </c>
      <c r="DO13" s="51">
        <f>IF(ISNA(SUMPRODUCT((PersonOnVacation=Availability!$A13)*(VacationSprint=Sprint17)*SprintHoursOff)),0,SUMPRODUCT((PersonOnVacation=Availability!$A13)*(VacationSprint=Sprint17)*SprintHoursOff))</f>
        <v>0</v>
      </c>
      <c r="DP13" s="52">
        <f t="shared" si="71"/>
        <v>80</v>
      </c>
      <c r="DQ13" s="42"/>
      <c r="DR13" s="27"/>
      <c r="DS13" s="176" t="str">
        <f t="shared" si="35"/>
        <v>WebTeam1</v>
      </c>
      <c r="DT13" s="42">
        <f t="shared" si="36"/>
        <v>80</v>
      </c>
      <c r="DU13" s="51">
        <f>IF(DT13=0,0,VLOOKUP(Sprint18,Settings!$C$28:$E$53,3)*(DT13/Hours_in_iteration))</f>
        <v>0</v>
      </c>
      <c r="DV13" s="51">
        <f>IF(ISNA(SUMPRODUCT((PersonOnVacation=Availability!$A13)*(VacationSprint=Sprint18)*SprintHoursOff)),0,SUMPRODUCT((PersonOnVacation=Availability!$A13)*(VacationSprint=Sprint18)*SprintHoursOff))</f>
        <v>0</v>
      </c>
      <c r="DW13" s="52">
        <f t="shared" si="72"/>
        <v>80</v>
      </c>
      <c r="DX13" s="42"/>
      <c r="DY13" s="27"/>
      <c r="DZ13" s="176" t="str">
        <f t="shared" si="37"/>
        <v>WebTeam1</v>
      </c>
      <c r="EA13" s="42">
        <f t="shared" si="38"/>
        <v>80</v>
      </c>
      <c r="EB13" s="51">
        <f>IF(EA13=0,0,VLOOKUP(Sprint19,Settings!$C$28:$E$53,3)*(EA13/Hours_in_iteration))</f>
        <v>0</v>
      </c>
      <c r="EC13" s="51">
        <f>IF(ISNA(SUMPRODUCT((PersonOnVacation=Availability!$A13)*(VacationSprint=Sprint19)*SprintHoursOff)),0,SUMPRODUCT((PersonOnVacation=Availability!$A13)*(VacationSprint=Sprint19)*SprintHoursOff))</f>
        <v>0</v>
      </c>
      <c r="ED13" s="52">
        <f t="shared" si="73"/>
        <v>80</v>
      </c>
      <c r="EE13" s="42"/>
      <c r="EF13" s="27"/>
      <c r="EG13" s="176" t="str">
        <f t="shared" si="39"/>
        <v>WebTeam1</v>
      </c>
      <c r="EH13" s="42">
        <f t="shared" si="40"/>
        <v>80</v>
      </c>
      <c r="EI13" s="51">
        <f>IF(EH13=0,0,VLOOKUP(Sprint20,Settings!$C$28:$E$53,3)*(EH13/Hours_in_iteration))</f>
        <v>0</v>
      </c>
      <c r="EJ13" s="51">
        <f>IF(ISNA(SUMPRODUCT((PersonOnVacation=Availability!$A13)*(VacationSprint=Sprint20)*SprintHoursOff)),0,SUMPRODUCT((PersonOnVacation=Availability!$A13)*(VacationSprint=Sprint20)*SprintHoursOff))</f>
        <v>0</v>
      </c>
      <c r="EK13" s="52">
        <f t="shared" si="74"/>
        <v>80</v>
      </c>
      <c r="EL13" s="42"/>
      <c r="EM13" s="27"/>
      <c r="EN13" s="176" t="str">
        <f t="shared" si="41"/>
        <v>WebTeam1</v>
      </c>
      <c r="EO13" s="42">
        <f t="shared" si="42"/>
        <v>80</v>
      </c>
      <c r="EP13" s="51">
        <f>IF(EO13=0,0,VLOOKUP(Sprint21,Settings!$C$28:$E$53,3)*(EO13/Hours_in_iteration))</f>
        <v>0</v>
      </c>
      <c r="EQ13" s="51">
        <f>IF(ISNA(SUMPRODUCT((PersonOnVacation=Availability!$A13)*(VacationSprint=Sprint21)*SprintHoursOff)),0,SUMPRODUCT((PersonOnVacation=Availability!$A13)*(VacationSprint=Sprint21)*SprintHoursOff))</f>
        <v>0</v>
      </c>
      <c r="ER13" s="52">
        <f t="shared" si="75"/>
        <v>80</v>
      </c>
      <c r="ES13" s="42"/>
      <c r="ET13" s="27"/>
      <c r="EU13" s="176" t="str">
        <f t="shared" si="43"/>
        <v>WebTeam1</v>
      </c>
      <c r="EV13" s="42">
        <f t="shared" si="44"/>
        <v>80</v>
      </c>
      <c r="EW13" s="51">
        <f>IF(EV13=0,0,VLOOKUP(Sprint22,Settings!$C$28:$E$53,3)*(EV13/Hours_in_iteration))</f>
        <v>0</v>
      </c>
      <c r="EX13" s="51">
        <f>IF(ISNA(SUMPRODUCT((PersonOnVacation=Availability!$A13)*(VacationSprint=Sprint22)*SprintHoursOff)),0,SUMPRODUCT((PersonOnVacation=Availability!$A13)*(VacationSprint=Sprint22)*SprintHoursOff))</f>
        <v>0</v>
      </c>
      <c r="EY13" s="52">
        <f t="shared" si="76"/>
        <v>80</v>
      </c>
      <c r="EZ13" s="42"/>
      <c r="FA13" s="27"/>
      <c r="FB13" s="176" t="str">
        <f t="shared" si="45"/>
        <v>WebTeam1</v>
      </c>
      <c r="FC13" s="42">
        <f t="shared" si="46"/>
        <v>80</v>
      </c>
      <c r="FD13" s="51">
        <f>IF(FC13=0,0,VLOOKUP(Sprint23,Settings!$C$28:$E$53,3)*(FC13/Hours_in_iteration))</f>
        <v>0</v>
      </c>
      <c r="FE13" s="51">
        <f>IF(ISNA(SUMPRODUCT((PersonOnVacation=Availability!$A13)*(VacationSprint=Sprint23)*SprintHoursOff)),0,SUMPRODUCT((PersonOnVacation=Availability!$A13)*(VacationSprint=Sprint23)*SprintHoursOff))</f>
        <v>0</v>
      </c>
      <c r="FF13" s="52">
        <f t="shared" si="77"/>
        <v>80</v>
      </c>
      <c r="FG13" s="42"/>
      <c r="FH13" s="27"/>
      <c r="FI13" s="176" t="str">
        <f t="shared" si="47"/>
        <v>WebTeam1</v>
      </c>
      <c r="FJ13" s="42">
        <f t="shared" si="48"/>
        <v>80</v>
      </c>
      <c r="FK13" s="51">
        <f>IF(FJ13=0,0,VLOOKUP(Sprint24,Settings!$C$28:$E$53,3)*(FJ13/Hours_in_iteration))</f>
        <v>0</v>
      </c>
      <c r="FL13" s="51">
        <f>IF(ISNA(SUMPRODUCT((PersonOnVacation=Availability!$A13)*(VacationSprint=Sprint24)*SprintHoursOff)),0,SUMPRODUCT((PersonOnVacation=Availability!$A13)*(VacationSprint=Sprint24)*SprintHoursOff))</f>
        <v>0</v>
      </c>
      <c r="FM13" s="52">
        <f t="shared" si="78"/>
        <v>80</v>
      </c>
      <c r="FN13" s="42"/>
      <c r="FO13" s="27"/>
      <c r="FP13" s="176" t="str">
        <f t="shared" si="49"/>
        <v>WebTeam1</v>
      </c>
      <c r="FQ13" s="42">
        <f t="shared" si="50"/>
        <v>80</v>
      </c>
      <c r="FR13" s="51">
        <f>IF(FQ13=0,0,VLOOKUP(Sprint25,Settings!$C$28:$E$53,3)*(FQ13/Hours_in_iteration))</f>
        <v>0</v>
      </c>
      <c r="FS13" s="51">
        <f>IF(ISNA(SUMPRODUCT((PersonOnVacation=Availability!$A13)*(VacationSprint=Sprint25)*SprintHoursOff)),0,SUMPRODUCT((PersonOnVacation=Availability!$A13)*(VacationSprint=Sprint25)*SprintHoursOff))</f>
        <v>0</v>
      </c>
      <c r="FT13" s="52">
        <f t="shared" si="79"/>
        <v>80</v>
      </c>
      <c r="FU13" s="42"/>
      <c r="FV13" s="27"/>
      <c r="FW13" s="176" t="str">
        <f t="shared" si="51"/>
        <v>WebTeam1</v>
      </c>
      <c r="FX13" s="42">
        <f t="shared" si="52"/>
        <v>80</v>
      </c>
      <c r="FY13" s="51">
        <f>IF(FX13=0,0,VLOOKUP(Sprint26,Settings!$C$28:$E$53,3)*(FX13/Hours_in_iteration))</f>
        <v>0</v>
      </c>
      <c r="FZ13" s="51">
        <f>IF(ISNA(SUMPRODUCT((PersonOnVacation=Availability!$A13)*(VacationSprint=Sprint26)*SprintHoursOff)),0,SUMPRODUCT((PersonOnVacation=Availability!$A13)*(VacationSprint=Sprint26)*SprintHoursOff))</f>
        <v>0</v>
      </c>
      <c r="GA13" s="52">
        <f t="shared" si="80"/>
        <v>80</v>
      </c>
      <c r="GB13" s="42"/>
      <c r="GC13" s="27"/>
      <c r="GD13" s="176" t="str">
        <f t="shared" si="53"/>
        <v>WebTeam1</v>
      </c>
      <c r="GE13" s="42">
        <f t="shared" si="54"/>
        <v>80</v>
      </c>
      <c r="GF13" s="51">
        <f>IF(GE13=0,0,VLOOKUP(Sprint27,Settings!$C$28:$E$53,3)*(GE13/Hours_in_iteration))</f>
        <v>0</v>
      </c>
      <c r="GG13" s="51">
        <f>IF(ISNA(SUMPRODUCT((PersonOnVacation=Availability!$A13)*(VacationSprint=Sprint27)*SprintHoursOff)),0,SUMPRODUCT((PersonOnVacation=Availability!$A13)*(VacationSprint=Sprint27)*SprintHoursOff))</f>
        <v>0</v>
      </c>
      <c r="GH13" s="52">
        <f t="shared" si="81"/>
        <v>80</v>
      </c>
      <c r="GI13" s="42"/>
    </row>
    <row r="14" spans="1:191" s="55" customFormat="1">
      <c r="A14" s="110" t="str">
        <f>Person5</f>
        <v>Janis Bauer</v>
      </c>
      <c r="B14" s="42" t="s">
        <v>49</v>
      </c>
      <c r="C14" s="42" t="str">
        <f t="shared" si="0"/>
        <v>WebTeam1 Dev</v>
      </c>
      <c r="D14" s="135" t="str">
        <f t="shared" si="1"/>
        <v>WebTeam1</v>
      </c>
      <c r="E14" s="42">
        <f t="shared" si="55"/>
        <v>80</v>
      </c>
      <c r="F14" s="51">
        <f>IF(E14=0,0,VLOOKUP(Sprint1,Settings!$C$28:$E$53,3)*(E14/Hours_in_iteration))</f>
        <v>8</v>
      </c>
      <c r="G14" s="51">
        <f>IF(ISNA(SUMPRODUCT((PersonOnVacation=Availability!A14)*(VacationSprint=Sprint1)*SprintHoursOff)),0,SUMPRODUCT((PersonOnVacation=Availability!A14)*(VacationSprint=Sprint1)*SprintHoursOff))</f>
        <v>0</v>
      </c>
      <c r="H14" s="52">
        <f t="shared" si="2"/>
        <v>72</v>
      </c>
      <c r="I14" s="42"/>
      <c r="J14" s="27"/>
      <c r="K14" s="176" t="str">
        <f t="shared" si="3"/>
        <v>WebTeam1</v>
      </c>
      <c r="L14" s="42">
        <f t="shared" si="4"/>
        <v>80</v>
      </c>
      <c r="M14" s="51">
        <f>IF(L14=0,0,VLOOKUP(Sprint2,Settings!$C$28:$E$53,3)*(L14/Hours_in_iteration))</f>
        <v>8</v>
      </c>
      <c r="N14" s="51">
        <f>IF(ISNA(SUMPRODUCT((PersonOnVacation=Availability!A14)*(VacationSprint=Sprint2)*SprintHoursOff)),0,SUMPRODUCT((PersonOnVacation=Availability!A14)*(VacationSprint=Sprint2)*SprintHoursOff))</f>
        <v>0</v>
      </c>
      <c r="O14" s="52">
        <f t="shared" si="56"/>
        <v>72</v>
      </c>
      <c r="P14" s="42"/>
      <c r="Q14" s="27"/>
      <c r="R14" s="176" t="str">
        <f t="shared" si="5"/>
        <v>WebTeam1</v>
      </c>
      <c r="S14" s="42">
        <f t="shared" si="6"/>
        <v>80</v>
      </c>
      <c r="T14" s="51">
        <f>IF(S14=0,0,VLOOKUP(Sprint3,Settings!$C$28:$E$53,3)*(S14/Hours_in_iteration))</f>
        <v>0</v>
      </c>
      <c r="U14" s="51">
        <f>IF(ISNA(SUMPRODUCT((PersonOnVacation=Availability!A14)*(VacationSprint=Sprint3)*SprintHoursOff)),0,SUMPRODUCT((PersonOnVacation=Availability!A14)*(VacationSprint=Sprint3)*SprintHoursOff))</f>
        <v>0</v>
      </c>
      <c r="V14" s="52">
        <f t="shared" si="57"/>
        <v>80</v>
      </c>
      <c r="W14" s="42"/>
      <c r="X14" s="27"/>
      <c r="Y14" s="176" t="str">
        <f t="shared" si="7"/>
        <v>WebTeam1</v>
      </c>
      <c r="Z14" s="42">
        <f t="shared" si="8"/>
        <v>80</v>
      </c>
      <c r="AA14" s="51">
        <f>IF(Z14=0,0,VLOOKUP(Sprint4,Settings!$C$28:$E$53,3)*(Z14/Hours_in_iteration))</f>
        <v>8</v>
      </c>
      <c r="AB14" s="51">
        <f>IF(ISNA(SUMPRODUCT((PersonOnVacation=Availability!$A14)*(VacationSprint=Sprint4)*SprintHoursOff)),0,SUMPRODUCT((PersonOnVacation=Availability!$A14)*(VacationSprint=Sprint4)*SprintHoursOff))</f>
        <v>0</v>
      </c>
      <c r="AC14" s="52">
        <f t="shared" si="58"/>
        <v>72</v>
      </c>
      <c r="AD14" s="42"/>
      <c r="AE14" s="27"/>
      <c r="AF14" s="176" t="str">
        <f t="shared" si="9"/>
        <v>WebTeam1</v>
      </c>
      <c r="AG14" s="42">
        <f t="shared" si="10"/>
        <v>80</v>
      </c>
      <c r="AH14" s="51">
        <f>IF(AG14=0,0,VLOOKUP(Sprint5,Settings!$C$28:$E$53,3)*(AG14/Hours_in_iteration))</f>
        <v>0</v>
      </c>
      <c r="AI14" s="51">
        <f>IF(ISNA(SUMPRODUCT((PersonOnVacation=Availability!$A14)*(VacationSprint=Sprint5)*SprintHoursOff)),0,SUMPRODUCT((PersonOnVacation=Availability!$A14)*(VacationSprint=Sprint5)*SprintHoursOff))</f>
        <v>40</v>
      </c>
      <c r="AJ14" s="52">
        <f t="shared" si="59"/>
        <v>40</v>
      </c>
      <c r="AK14" s="42"/>
      <c r="AL14" s="27"/>
      <c r="AM14" s="176" t="str">
        <f t="shared" si="11"/>
        <v>WebTeam1</v>
      </c>
      <c r="AN14" s="42">
        <f t="shared" si="12"/>
        <v>80</v>
      </c>
      <c r="AO14" s="51">
        <f>IF(AN14=0,0,VLOOKUP(Sprint6,Settings!$C$28:$E$53,3)*(AN14/Hours_in_iteration))</f>
        <v>0</v>
      </c>
      <c r="AP14" s="51">
        <f>IF(ISNA(SUMPRODUCT((PersonOnVacation=Availability!$A14)*(VacationSprint=Sprint6)*SprintHoursOff)),0,SUMPRODUCT((PersonOnVacation=Availability!$A14)*(VacationSprint=Sprint6)*SprintHoursOff))</f>
        <v>0</v>
      </c>
      <c r="AQ14" s="52">
        <f t="shared" si="60"/>
        <v>80</v>
      </c>
      <c r="AR14" s="42"/>
      <c r="AS14" s="27"/>
      <c r="AT14" s="176" t="str">
        <f t="shared" si="13"/>
        <v>WebTeam1</v>
      </c>
      <c r="AU14" s="42">
        <f t="shared" si="14"/>
        <v>80</v>
      </c>
      <c r="AV14" s="51">
        <f>IF(AU14=0,0,VLOOKUP(Sprint7,Settings!$C$28:$E$53,3)*(AU14/Hours_in_iteration))</f>
        <v>0</v>
      </c>
      <c r="AW14" s="51">
        <f>IF(ISNA(SUMPRODUCT((PersonOnVacation=Availability!$A14)*(VacationSprint=Sprint7)*SprintHoursOff)),0,SUMPRODUCT((PersonOnVacation=Availability!$A14)*(VacationSprint=Sprint7)*SprintHoursOff))</f>
        <v>0</v>
      </c>
      <c r="AX14" s="52">
        <f t="shared" si="61"/>
        <v>80</v>
      </c>
      <c r="AY14" s="42"/>
      <c r="AZ14" s="27"/>
      <c r="BA14" s="176" t="str">
        <f t="shared" si="15"/>
        <v>WebTeam1</v>
      </c>
      <c r="BB14" s="42">
        <f t="shared" si="16"/>
        <v>80</v>
      </c>
      <c r="BC14" s="51">
        <f>IF(BB14=0,0,VLOOKUP(Sprint8,Settings!$C$28:$E$53,3)*(BB14/Hours_in_iteration))</f>
        <v>0</v>
      </c>
      <c r="BD14" s="51">
        <f>IF(ISNA(SUMPRODUCT((PersonOnVacation=Availability!$A14)*(VacationSprint=Sprint8)*SprintHoursOff)),0,SUMPRODUCT((PersonOnVacation=Availability!$A14)*(VacationSprint=Sprint8)*SprintHoursOff))</f>
        <v>0</v>
      </c>
      <c r="BE14" s="52">
        <f t="shared" si="62"/>
        <v>80</v>
      </c>
      <c r="BF14" s="42"/>
      <c r="BG14" s="27"/>
      <c r="BH14" s="176" t="str">
        <f t="shared" si="17"/>
        <v>WebTeam1</v>
      </c>
      <c r="BI14" s="42">
        <f t="shared" si="18"/>
        <v>80</v>
      </c>
      <c r="BJ14" s="51">
        <f>IF(BI14=0,0,VLOOKUP(Sprint9,Settings!$C$28:$E$53,3)*(BI14/Hours_in_iteration))</f>
        <v>0</v>
      </c>
      <c r="BK14" s="51">
        <f>IF(ISNA(SUMPRODUCT((PersonOnVacation=Availability!$A14)*(VacationSprint=Sprint9)*SprintHoursOff)),0,SUMPRODUCT((PersonOnVacation=Availability!$A14)*(VacationSprint=Sprint9)*SprintHoursOff))</f>
        <v>0</v>
      </c>
      <c r="BL14" s="52">
        <f t="shared" si="63"/>
        <v>80</v>
      </c>
      <c r="BM14" s="42"/>
      <c r="BN14" s="27"/>
      <c r="BO14" s="176" t="str">
        <f t="shared" si="19"/>
        <v>WebTeam1</v>
      </c>
      <c r="BP14" s="42">
        <f t="shared" si="20"/>
        <v>80</v>
      </c>
      <c r="BQ14" s="51">
        <f>IF(BP14=0,0,VLOOKUP(Sprint10,Settings!$C$28:$E$53,3)*(BP14/Hours_in_iteration))</f>
        <v>0</v>
      </c>
      <c r="BR14" s="51">
        <f>IF(ISNA(SUMPRODUCT((PersonOnVacation=Availability!$A14)*(VacationSprint=Sprint10)*SprintHoursOff)),0,SUMPRODUCT((PersonOnVacation=Availability!$A14)*(VacationSprint=Sprint10)*SprintHoursOff))</f>
        <v>0</v>
      </c>
      <c r="BS14" s="52">
        <f t="shared" si="64"/>
        <v>80</v>
      </c>
      <c r="BT14" s="42"/>
      <c r="BU14" s="27"/>
      <c r="BV14" s="176" t="str">
        <f t="shared" si="21"/>
        <v>WebTeam1</v>
      </c>
      <c r="BW14" s="42">
        <f t="shared" si="22"/>
        <v>80</v>
      </c>
      <c r="BX14" s="51">
        <f>IF(BW14=0,0,VLOOKUP(Sprint11,Settings!$C$28:$E$53,3)*(BW14/Hours_in_iteration))</f>
        <v>0</v>
      </c>
      <c r="BY14" s="51">
        <f>IF(ISNA(SUMPRODUCT((PersonOnVacation=Availability!$A14)*(VacationSprint=Sprint11)*SprintHoursOff)),0,SUMPRODUCT((PersonOnVacation=Availability!$A14)*(VacationSprint=Sprint11)*SprintHoursOff))</f>
        <v>0</v>
      </c>
      <c r="BZ14" s="52">
        <f t="shared" si="65"/>
        <v>80</v>
      </c>
      <c r="CA14" s="42"/>
      <c r="CB14" s="27"/>
      <c r="CC14" s="176" t="str">
        <f t="shared" si="23"/>
        <v>WebTeam1</v>
      </c>
      <c r="CD14" s="42">
        <f t="shared" si="24"/>
        <v>80</v>
      </c>
      <c r="CE14" s="51">
        <f>IF(CD14=0,0,VLOOKUP(Sprint12,Settings!$C$28:$E$53,3)*(CD14/Hours_in_iteration))</f>
        <v>0</v>
      </c>
      <c r="CF14" s="51">
        <f>IF(ISNA(SUMPRODUCT((PersonOnVacation=Availability!$A14)*(VacationSprint=Sprint12)*SprintHoursOff)),0,SUMPRODUCT((PersonOnVacation=Availability!$A14)*(VacationSprint=Sprint12)*SprintHoursOff))</f>
        <v>0</v>
      </c>
      <c r="CG14" s="52">
        <f t="shared" si="66"/>
        <v>80</v>
      </c>
      <c r="CH14" s="42"/>
      <c r="CI14" s="27"/>
      <c r="CJ14" s="176" t="str">
        <f t="shared" si="25"/>
        <v>WebTeam1</v>
      </c>
      <c r="CK14" s="42">
        <f t="shared" si="26"/>
        <v>80</v>
      </c>
      <c r="CL14" s="51">
        <f>IF(CK14=0,0,VLOOKUP(Sprint13,Settings!$C$28:$E$53,3)*(CK14/Hours_in_iteration))</f>
        <v>0</v>
      </c>
      <c r="CM14" s="51">
        <f>IF(ISNA(SUMPRODUCT((PersonOnVacation=Availability!$A14)*(VacationSprint=Sprint13)*SprintHoursOff)),0,SUMPRODUCT((PersonOnVacation=Availability!$A14)*(VacationSprint=Sprint13)*SprintHoursOff))</f>
        <v>0</v>
      </c>
      <c r="CN14" s="52">
        <f t="shared" si="67"/>
        <v>80</v>
      </c>
      <c r="CO14" s="42"/>
      <c r="CP14" s="27"/>
      <c r="CQ14" s="176" t="str">
        <f t="shared" si="27"/>
        <v>WebTeam1</v>
      </c>
      <c r="CR14" s="42">
        <f t="shared" si="28"/>
        <v>80</v>
      </c>
      <c r="CS14" s="51">
        <f>IF(CR14=0,0,VLOOKUP(Sprint14,Settings!$C$28:$E$53,3)*(CR14/Hours_in_iteration))</f>
        <v>0</v>
      </c>
      <c r="CT14" s="51">
        <f>IF(ISNA(SUMPRODUCT((PersonOnVacation=Availability!$A14)*(VacationSprint=Sprint14)*SprintHoursOff)),0,SUMPRODUCT((PersonOnVacation=Availability!$A14)*(VacationSprint=Sprint14)*SprintHoursOff))</f>
        <v>0</v>
      </c>
      <c r="CU14" s="52">
        <f t="shared" si="68"/>
        <v>80</v>
      </c>
      <c r="CV14" s="42"/>
      <c r="CW14" s="27"/>
      <c r="CX14" s="176" t="str">
        <f t="shared" si="29"/>
        <v>WebTeam1</v>
      </c>
      <c r="CY14" s="42">
        <f t="shared" si="30"/>
        <v>80</v>
      </c>
      <c r="CZ14" s="51">
        <f>IF(CY14=0,0,VLOOKUP(Sprint15,Settings!$C$28:$E$53,3)*(CY14/Hours_in_iteration))</f>
        <v>0</v>
      </c>
      <c r="DA14" s="51">
        <f>IF(ISNA(SUMPRODUCT((PersonOnVacation=Availability!$A14)*(VacationSprint=Sprint15)*SprintHoursOff)),0,SUMPRODUCT((PersonOnVacation=Availability!$A14)*(VacationSprint=Sprint15)*SprintHoursOff))</f>
        <v>0</v>
      </c>
      <c r="DB14" s="52">
        <f t="shared" si="69"/>
        <v>80</v>
      </c>
      <c r="DC14" s="42"/>
      <c r="DD14" s="27"/>
      <c r="DE14" s="176" t="str">
        <f t="shared" si="31"/>
        <v>WebTeam1</v>
      </c>
      <c r="DF14" s="42">
        <f t="shared" si="32"/>
        <v>80</v>
      </c>
      <c r="DG14" s="51">
        <f>IF(DF14=0,0,VLOOKUP(Sprint16,Settings!$C$28:$E$53,3)*(DF14/Hours_in_iteration))</f>
        <v>0</v>
      </c>
      <c r="DH14" s="51">
        <f>IF(ISNA(SUMPRODUCT((PersonOnVacation=Availability!$A14)*(VacationSprint=Sprint16)*SprintHoursOff)),0,SUMPRODUCT((PersonOnVacation=Availability!$A14)*(VacationSprint=Sprint16)*SprintHoursOff))</f>
        <v>0</v>
      </c>
      <c r="DI14" s="52">
        <f t="shared" si="70"/>
        <v>80</v>
      </c>
      <c r="DJ14" s="42"/>
      <c r="DK14" s="27"/>
      <c r="DL14" s="176" t="str">
        <f t="shared" si="33"/>
        <v>WebTeam1</v>
      </c>
      <c r="DM14" s="42">
        <f t="shared" si="34"/>
        <v>80</v>
      </c>
      <c r="DN14" s="51">
        <f>IF(DM14=0,0,VLOOKUP(Sprint17,Settings!$C$28:$E$53,3)*(DM14/Hours_in_iteration))</f>
        <v>0</v>
      </c>
      <c r="DO14" s="51">
        <f>IF(ISNA(SUMPRODUCT((PersonOnVacation=Availability!$A14)*(VacationSprint=Sprint17)*SprintHoursOff)),0,SUMPRODUCT((PersonOnVacation=Availability!$A14)*(VacationSprint=Sprint17)*SprintHoursOff))</f>
        <v>0</v>
      </c>
      <c r="DP14" s="52">
        <f t="shared" si="71"/>
        <v>80</v>
      </c>
      <c r="DQ14" s="42"/>
      <c r="DR14" s="27"/>
      <c r="DS14" s="176" t="str">
        <f t="shared" si="35"/>
        <v>WebTeam1</v>
      </c>
      <c r="DT14" s="42">
        <f t="shared" si="36"/>
        <v>80</v>
      </c>
      <c r="DU14" s="51">
        <f>IF(DT14=0,0,VLOOKUP(Sprint18,Settings!$C$28:$E$53,3)*(DT14/Hours_in_iteration))</f>
        <v>0</v>
      </c>
      <c r="DV14" s="51">
        <f>IF(ISNA(SUMPRODUCT((PersonOnVacation=Availability!$A14)*(VacationSprint=Sprint18)*SprintHoursOff)),0,SUMPRODUCT((PersonOnVacation=Availability!$A14)*(VacationSprint=Sprint18)*SprintHoursOff))</f>
        <v>0</v>
      </c>
      <c r="DW14" s="52">
        <f t="shared" si="72"/>
        <v>80</v>
      </c>
      <c r="DX14" s="42"/>
      <c r="DY14" s="27"/>
      <c r="DZ14" s="176" t="str">
        <f t="shared" si="37"/>
        <v>WebTeam1</v>
      </c>
      <c r="EA14" s="42">
        <f t="shared" si="38"/>
        <v>80</v>
      </c>
      <c r="EB14" s="51">
        <f>IF(EA14=0,0,VLOOKUP(Sprint19,Settings!$C$28:$E$53,3)*(EA14/Hours_in_iteration))</f>
        <v>0</v>
      </c>
      <c r="EC14" s="51">
        <f>IF(ISNA(SUMPRODUCT((PersonOnVacation=Availability!$A14)*(VacationSprint=Sprint19)*SprintHoursOff)),0,SUMPRODUCT((PersonOnVacation=Availability!$A14)*(VacationSprint=Sprint19)*SprintHoursOff))</f>
        <v>0</v>
      </c>
      <c r="ED14" s="52">
        <f t="shared" si="73"/>
        <v>80</v>
      </c>
      <c r="EE14" s="42"/>
      <c r="EF14" s="27"/>
      <c r="EG14" s="176" t="str">
        <f t="shared" si="39"/>
        <v>WebTeam1</v>
      </c>
      <c r="EH14" s="42">
        <f t="shared" si="40"/>
        <v>80</v>
      </c>
      <c r="EI14" s="51">
        <f>IF(EH14=0,0,VLOOKUP(Sprint20,Settings!$C$28:$E$53,3)*(EH14/Hours_in_iteration))</f>
        <v>0</v>
      </c>
      <c r="EJ14" s="51">
        <f>IF(ISNA(SUMPRODUCT((PersonOnVacation=Availability!$A14)*(VacationSprint=Sprint20)*SprintHoursOff)),0,SUMPRODUCT((PersonOnVacation=Availability!$A14)*(VacationSprint=Sprint20)*SprintHoursOff))</f>
        <v>0</v>
      </c>
      <c r="EK14" s="52">
        <f t="shared" si="74"/>
        <v>80</v>
      </c>
      <c r="EL14" s="42"/>
      <c r="EM14" s="27"/>
      <c r="EN14" s="176" t="str">
        <f t="shared" si="41"/>
        <v>WebTeam1</v>
      </c>
      <c r="EO14" s="42">
        <f t="shared" si="42"/>
        <v>80</v>
      </c>
      <c r="EP14" s="51">
        <f>IF(EO14=0,0,VLOOKUP(Sprint21,Settings!$C$28:$E$53,3)*(EO14/Hours_in_iteration))</f>
        <v>0</v>
      </c>
      <c r="EQ14" s="51">
        <f>IF(ISNA(SUMPRODUCT((PersonOnVacation=Availability!$A14)*(VacationSprint=Sprint21)*SprintHoursOff)),0,SUMPRODUCT((PersonOnVacation=Availability!$A14)*(VacationSprint=Sprint21)*SprintHoursOff))</f>
        <v>0</v>
      </c>
      <c r="ER14" s="52">
        <f t="shared" si="75"/>
        <v>80</v>
      </c>
      <c r="ES14" s="42"/>
      <c r="ET14" s="27"/>
      <c r="EU14" s="176" t="str">
        <f t="shared" si="43"/>
        <v>WebTeam1</v>
      </c>
      <c r="EV14" s="42">
        <f t="shared" si="44"/>
        <v>80</v>
      </c>
      <c r="EW14" s="51">
        <f>IF(EV14=0,0,VLOOKUP(Sprint22,Settings!$C$28:$E$53,3)*(EV14/Hours_in_iteration))</f>
        <v>0</v>
      </c>
      <c r="EX14" s="51">
        <f>IF(ISNA(SUMPRODUCT((PersonOnVacation=Availability!$A14)*(VacationSprint=Sprint22)*SprintHoursOff)),0,SUMPRODUCT((PersonOnVacation=Availability!$A14)*(VacationSprint=Sprint22)*SprintHoursOff))</f>
        <v>0</v>
      </c>
      <c r="EY14" s="52">
        <f t="shared" si="76"/>
        <v>80</v>
      </c>
      <c r="EZ14" s="42"/>
      <c r="FA14" s="27"/>
      <c r="FB14" s="176" t="str">
        <f t="shared" si="45"/>
        <v>WebTeam1</v>
      </c>
      <c r="FC14" s="42">
        <f t="shared" si="46"/>
        <v>80</v>
      </c>
      <c r="FD14" s="51">
        <f>IF(FC14=0,0,VLOOKUP(Sprint23,Settings!$C$28:$E$53,3)*(FC14/Hours_in_iteration))</f>
        <v>0</v>
      </c>
      <c r="FE14" s="51">
        <f>IF(ISNA(SUMPRODUCT((PersonOnVacation=Availability!$A14)*(VacationSprint=Sprint23)*SprintHoursOff)),0,SUMPRODUCT((PersonOnVacation=Availability!$A14)*(VacationSprint=Sprint23)*SprintHoursOff))</f>
        <v>0</v>
      </c>
      <c r="FF14" s="52">
        <f t="shared" si="77"/>
        <v>80</v>
      </c>
      <c r="FG14" s="42"/>
      <c r="FH14" s="27"/>
      <c r="FI14" s="176" t="str">
        <f t="shared" si="47"/>
        <v>WebTeam1</v>
      </c>
      <c r="FJ14" s="42">
        <f t="shared" si="48"/>
        <v>80</v>
      </c>
      <c r="FK14" s="51">
        <f>IF(FJ14=0,0,VLOOKUP(Sprint24,Settings!$C$28:$E$53,3)*(FJ14/Hours_in_iteration))</f>
        <v>0</v>
      </c>
      <c r="FL14" s="51">
        <f>IF(ISNA(SUMPRODUCT((PersonOnVacation=Availability!$A14)*(VacationSprint=Sprint24)*SprintHoursOff)),0,SUMPRODUCT((PersonOnVacation=Availability!$A14)*(VacationSprint=Sprint24)*SprintHoursOff))</f>
        <v>0</v>
      </c>
      <c r="FM14" s="52">
        <f t="shared" si="78"/>
        <v>80</v>
      </c>
      <c r="FN14" s="42"/>
      <c r="FO14" s="27"/>
      <c r="FP14" s="176" t="str">
        <f t="shared" si="49"/>
        <v>WebTeam1</v>
      </c>
      <c r="FQ14" s="42">
        <f t="shared" si="50"/>
        <v>80</v>
      </c>
      <c r="FR14" s="51">
        <f>IF(FQ14=0,0,VLOOKUP(Sprint25,Settings!$C$28:$E$53,3)*(FQ14/Hours_in_iteration))</f>
        <v>0</v>
      </c>
      <c r="FS14" s="51">
        <f>IF(ISNA(SUMPRODUCT((PersonOnVacation=Availability!$A14)*(VacationSprint=Sprint25)*SprintHoursOff)),0,SUMPRODUCT((PersonOnVacation=Availability!$A14)*(VacationSprint=Sprint25)*SprintHoursOff))</f>
        <v>0</v>
      </c>
      <c r="FT14" s="52">
        <f t="shared" si="79"/>
        <v>80</v>
      </c>
      <c r="FU14" s="42"/>
      <c r="FV14" s="27"/>
      <c r="FW14" s="176" t="str">
        <f t="shared" si="51"/>
        <v>WebTeam1</v>
      </c>
      <c r="FX14" s="42">
        <f t="shared" si="52"/>
        <v>80</v>
      </c>
      <c r="FY14" s="51">
        <f>IF(FX14=0,0,VLOOKUP(Sprint26,Settings!$C$28:$E$53,3)*(FX14/Hours_in_iteration))</f>
        <v>0</v>
      </c>
      <c r="FZ14" s="51">
        <f>IF(ISNA(SUMPRODUCT((PersonOnVacation=Availability!$A14)*(VacationSprint=Sprint26)*SprintHoursOff)),0,SUMPRODUCT((PersonOnVacation=Availability!$A14)*(VacationSprint=Sprint26)*SprintHoursOff))</f>
        <v>0</v>
      </c>
      <c r="GA14" s="52">
        <f t="shared" si="80"/>
        <v>80</v>
      </c>
      <c r="GB14" s="42"/>
      <c r="GC14" s="27"/>
      <c r="GD14" s="176" t="str">
        <f t="shared" si="53"/>
        <v>WebTeam1</v>
      </c>
      <c r="GE14" s="42">
        <f t="shared" si="54"/>
        <v>80</v>
      </c>
      <c r="GF14" s="51">
        <f>IF(GE14=0,0,VLOOKUP(Sprint27,Settings!$C$28:$E$53,3)*(GE14/Hours_in_iteration))</f>
        <v>0</v>
      </c>
      <c r="GG14" s="51">
        <f>IF(ISNA(SUMPRODUCT((PersonOnVacation=Availability!$A14)*(VacationSprint=Sprint27)*SprintHoursOff)),0,SUMPRODUCT((PersonOnVacation=Availability!$A14)*(VacationSprint=Sprint27)*SprintHoursOff))</f>
        <v>0</v>
      </c>
      <c r="GH14" s="52">
        <f t="shared" si="81"/>
        <v>80</v>
      </c>
      <c r="GI14" s="42"/>
    </row>
    <row r="15" spans="1:191" s="55" customFormat="1">
      <c r="A15" s="110" t="str">
        <f>Person6</f>
        <v>Carol Saunders</v>
      </c>
      <c r="B15" s="42" t="s">
        <v>49</v>
      </c>
      <c r="C15" s="42" t="str">
        <f t="shared" si="0"/>
        <v>WebTeam1 Dev</v>
      </c>
      <c r="D15" s="135" t="str">
        <f t="shared" si="1"/>
        <v>WebTeam1</v>
      </c>
      <c r="E15" s="42">
        <f t="shared" si="55"/>
        <v>80</v>
      </c>
      <c r="F15" s="51">
        <f>IF(E15=0,0,VLOOKUP(Sprint1,Settings!$C$28:$E$53,3)*(E15/Hours_in_iteration))</f>
        <v>8</v>
      </c>
      <c r="G15" s="51">
        <f>IF(ISNA(SUMPRODUCT((PersonOnVacation=Availability!A15)*(VacationSprint=Sprint1)*SprintHoursOff)),0,SUMPRODUCT((PersonOnVacation=Availability!A15)*(VacationSprint=Sprint1)*SprintHoursOff))</f>
        <v>0</v>
      </c>
      <c r="H15" s="52">
        <f t="shared" si="2"/>
        <v>72</v>
      </c>
      <c r="I15" s="42"/>
      <c r="J15" s="27"/>
      <c r="K15" s="176" t="str">
        <f t="shared" si="3"/>
        <v>WebTeam1</v>
      </c>
      <c r="L15" s="42">
        <f t="shared" si="4"/>
        <v>80</v>
      </c>
      <c r="M15" s="51">
        <f>IF(L15=0,0,VLOOKUP(Sprint2,Settings!$C$28:$E$53,3)*(L15/Hours_in_iteration))</f>
        <v>8</v>
      </c>
      <c r="N15" s="51">
        <f>IF(ISNA(SUMPRODUCT((PersonOnVacation=Availability!A15)*(VacationSprint=Sprint2)*SprintHoursOff)),0,SUMPRODUCT((PersonOnVacation=Availability!A15)*(VacationSprint=Sprint2)*SprintHoursOff))</f>
        <v>0</v>
      </c>
      <c r="O15" s="52">
        <f t="shared" si="56"/>
        <v>72</v>
      </c>
      <c r="P15" s="42"/>
      <c r="Q15" s="27"/>
      <c r="R15" s="176" t="str">
        <f t="shared" si="5"/>
        <v>WebTeam1</v>
      </c>
      <c r="S15" s="42">
        <f t="shared" si="6"/>
        <v>80</v>
      </c>
      <c r="T15" s="51">
        <f>IF(S15=0,0,VLOOKUP(Sprint3,Settings!$C$28:$E$53,3)*(S15/Hours_in_iteration))</f>
        <v>0</v>
      </c>
      <c r="U15" s="51">
        <f>IF(ISNA(SUMPRODUCT((PersonOnVacation=Availability!A15)*(VacationSprint=Sprint3)*SprintHoursOff)),0,SUMPRODUCT((PersonOnVacation=Availability!A15)*(VacationSprint=Sprint3)*SprintHoursOff))</f>
        <v>0</v>
      </c>
      <c r="V15" s="52">
        <f t="shared" si="57"/>
        <v>80</v>
      </c>
      <c r="W15" s="42"/>
      <c r="X15" s="27"/>
      <c r="Y15" s="176" t="str">
        <f t="shared" si="7"/>
        <v>WebTeam1</v>
      </c>
      <c r="Z15" s="42">
        <f t="shared" si="8"/>
        <v>80</v>
      </c>
      <c r="AA15" s="51">
        <f>IF(Z15=0,0,VLOOKUP(Sprint4,Settings!$C$28:$E$53,3)*(Z15/Hours_in_iteration))</f>
        <v>8</v>
      </c>
      <c r="AB15" s="51">
        <f>IF(ISNA(SUMPRODUCT((PersonOnVacation=Availability!$A15)*(VacationSprint=Sprint4)*SprintHoursOff)),0,SUMPRODUCT((PersonOnVacation=Availability!$A15)*(VacationSprint=Sprint4)*SprintHoursOff))</f>
        <v>0</v>
      </c>
      <c r="AC15" s="52">
        <f t="shared" si="58"/>
        <v>72</v>
      </c>
      <c r="AD15" s="42"/>
      <c r="AE15" s="27"/>
      <c r="AF15" s="176" t="str">
        <f t="shared" si="9"/>
        <v>WebTeam1</v>
      </c>
      <c r="AG15" s="42">
        <f t="shared" si="10"/>
        <v>80</v>
      </c>
      <c r="AH15" s="51">
        <f>IF(AG15=0,0,VLOOKUP(Sprint5,Settings!$C$28:$E$53,3)*(AG15/Hours_in_iteration))</f>
        <v>0</v>
      </c>
      <c r="AI15" s="51">
        <f>IF(ISNA(SUMPRODUCT((PersonOnVacation=Availability!$A15)*(VacationSprint=Sprint5)*SprintHoursOff)),0,SUMPRODUCT((PersonOnVacation=Availability!$A15)*(VacationSprint=Sprint5)*SprintHoursOff))</f>
        <v>0</v>
      </c>
      <c r="AJ15" s="52">
        <f t="shared" si="59"/>
        <v>80</v>
      </c>
      <c r="AK15" s="42"/>
      <c r="AL15" s="27"/>
      <c r="AM15" s="176" t="str">
        <f t="shared" si="11"/>
        <v>WebTeam1</v>
      </c>
      <c r="AN15" s="42">
        <f t="shared" si="12"/>
        <v>80</v>
      </c>
      <c r="AO15" s="51">
        <f>IF(AN15=0,0,VLOOKUP(Sprint6,Settings!$C$28:$E$53,3)*(AN15/Hours_in_iteration))</f>
        <v>0</v>
      </c>
      <c r="AP15" s="51">
        <f>IF(ISNA(SUMPRODUCT((PersonOnVacation=Availability!$A15)*(VacationSprint=Sprint6)*SprintHoursOff)),0,SUMPRODUCT((PersonOnVacation=Availability!$A15)*(VacationSprint=Sprint6)*SprintHoursOff))</f>
        <v>0</v>
      </c>
      <c r="AQ15" s="52">
        <f t="shared" si="60"/>
        <v>80</v>
      </c>
      <c r="AR15" s="42"/>
      <c r="AS15" s="27"/>
      <c r="AT15" s="176" t="str">
        <f t="shared" si="13"/>
        <v>WebTeam1</v>
      </c>
      <c r="AU15" s="42">
        <f t="shared" si="14"/>
        <v>80</v>
      </c>
      <c r="AV15" s="51">
        <f>IF(AU15=0,0,VLOOKUP(Sprint7,Settings!$C$28:$E$53,3)*(AU15/Hours_in_iteration))</f>
        <v>0</v>
      </c>
      <c r="AW15" s="51">
        <f>IF(ISNA(SUMPRODUCT((PersonOnVacation=Availability!$A15)*(VacationSprint=Sprint7)*SprintHoursOff)),0,SUMPRODUCT((PersonOnVacation=Availability!$A15)*(VacationSprint=Sprint7)*SprintHoursOff))</f>
        <v>0</v>
      </c>
      <c r="AX15" s="52">
        <f t="shared" si="61"/>
        <v>80</v>
      </c>
      <c r="AY15" s="42"/>
      <c r="AZ15" s="27"/>
      <c r="BA15" s="176" t="str">
        <f t="shared" si="15"/>
        <v>WebTeam1</v>
      </c>
      <c r="BB15" s="42">
        <f t="shared" si="16"/>
        <v>80</v>
      </c>
      <c r="BC15" s="51">
        <f>IF(BB15=0,0,VLOOKUP(Sprint8,Settings!$C$28:$E$53,3)*(BB15/Hours_in_iteration))</f>
        <v>0</v>
      </c>
      <c r="BD15" s="51">
        <f>IF(ISNA(SUMPRODUCT((PersonOnVacation=Availability!$A15)*(VacationSprint=Sprint8)*SprintHoursOff)),0,SUMPRODUCT((PersonOnVacation=Availability!$A15)*(VacationSprint=Sprint8)*SprintHoursOff))</f>
        <v>0</v>
      </c>
      <c r="BE15" s="52">
        <f t="shared" si="62"/>
        <v>80</v>
      </c>
      <c r="BF15" s="42"/>
      <c r="BG15" s="27"/>
      <c r="BH15" s="176" t="str">
        <f t="shared" si="17"/>
        <v>WebTeam1</v>
      </c>
      <c r="BI15" s="42">
        <f t="shared" si="18"/>
        <v>0</v>
      </c>
      <c r="BJ15" s="51">
        <f>IF(BI15=0,0,VLOOKUP(Sprint9,Settings!$C$28:$E$53,3)*(BI15/Hours_in_iteration))</f>
        <v>0</v>
      </c>
      <c r="BK15" s="51">
        <f>IF(ISNA(SUMPRODUCT((PersonOnVacation=Availability!$A15)*(VacationSprint=Sprint9)*SprintHoursOff)),0,SUMPRODUCT((PersonOnVacation=Availability!$A15)*(VacationSprint=Sprint9)*SprintHoursOff))</f>
        <v>0</v>
      </c>
      <c r="BL15" s="52">
        <f t="shared" si="63"/>
        <v>0</v>
      </c>
      <c r="BM15" s="42"/>
      <c r="BN15" s="27"/>
      <c r="BO15" s="176" t="str">
        <f t="shared" si="19"/>
        <v>WebTeam1</v>
      </c>
      <c r="BP15" s="42">
        <f t="shared" si="20"/>
        <v>0</v>
      </c>
      <c r="BQ15" s="51">
        <f>IF(BP15=0,0,VLOOKUP(Sprint10,Settings!$C$28:$E$53,3)*(BP15/Hours_in_iteration))</f>
        <v>0</v>
      </c>
      <c r="BR15" s="51">
        <f>IF(ISNA(SUMPRODUCT((PersonOnVacation=Availability!$A15)*(VacationSprint=Sprint10)*SprintHoursOff)),0,SUMPRODUCT((PersonOnVacation=Availability!$A15)*(VacationSprint=Sprint10)*SprintHoursOff))</f>
        <v>0</v>
      </c>
      <c r="BS15" s="52">
        <f t="shared" si="64"/>
        <v>0</v>
      </c>
      <c r="BT15" s="42"/>
      <c r="BU15" s="27"/>
      <c r="BV15" s="176" t="str">
        <f t="shared" si="21"/>
        <v>WebTeam1</v>
      </c>
      <c r="BW15" s="42">
        <f t="shared" si="22"/>
        <v>0</v>
      </c>
      <c r="BX15" s="51">
        <f>IF(BW15=0,0,VLOOKUP(Sprint11,Settings!$C$28:$E$53,3)*(BW15/Hours_in_iteration))</f>
        <v>0</v>
      </c>
      <c r="BY15" s="51">
        <f>IF(ISNA(SUMPRODUCT((PersonOnVacation=Availability!$A15)*(VacationSprint=Sprint11)*SprintHoursOff)),0,SUMPRODUCT((PersonOnVacation=Availability!$A15)*(VacationSprint=Sprint11)*SprintHoursOff))</f>
        <v>0</v>
      </c>
      <c r="BZ15" s="52">
        <f t="shared" si="65"/>
        <v>0</v>
      </c>
      <c r="CA15" s="42"/>
      <c r="CB15" s="27"/>
      <c r="CC15" s="176" t="str">
        <f t="shared" si="23"/>
        <v>WebTeam1</v>
      </c>
      <c r="CD15" s="42">
        <f t="shared" si="24"/>
        <v>0</v>
      </c>
      <c r="CE15" s="51">
        <f>IF(CD15=0,0,VLOOKUP(Sprint12,Settings!$C$28:$E$53,3)*(CD15/Hours_in_iteration))</f>
        <v>0</v>
      </c>
      <c r="CF15" s="51">
        <f>IF(ISNA(SUMPRODUCT((PersonOnVacation=Availability!$A15)*(VacationSprint=Sprint12)*SprintHoursOff)),0,SUMPRODUCT((PersonOnVacation=Availability!$A15)*(VacationSprint=Sprint12)*SprintHoursOff))</f>
        <v>0</v>
      </c>
      <c r="CG15" s="52">
        <f t="shared" si="66"/>
        <v>0</v>
      </c>
      <c r="CH15" s="42"/>
      <c r="CI15" s="27"/>
      <c r="CJ15" s="176" t="str">
        <f t="shared" si="25"/>
        <v>WebTeam1</v>
      </c>
      <c r="CK15" s="42">
        <f t="shared" si="26"/>
        <v>0</v>
      </c>
      <c r="CL15" s="51">
        <f>IF(CK15=0,0,VLOOKUP(Sprint13,Settings!$C$28:$E$53,3)*(CK15/Hours_in_iteration))</f>
        <v>0</v>
      </c>
      <c r="CM15" s="51">
        <f>IF(ISNA(SUMPRODUCT((PersonOnVacation=Availability!$A15)*(VacationSprint=Sprint13)*SprintHoursOff)),0,SUMPRODUCT((PersonOnVacation=Availability!$A15)*(VacationSprint=Sprint13)*SprintHoursOff))</f>
        <v>0</v>
      </c>
      <c r="CN15" s="52">
        <f t="shared" si="67"/>
        <v>0</v>
      </c>
      <c r="CO15" s="42"/>
      <c r="CP15" s="27"/>
      <c r="CQ15" s="176" t="str">
        <f t="shared" si="27"/>
        <v>WebTeam1</v>
      </c>
      <c r="CR15" s="42">
        <f t="shared" si="28"/>
        <v>0</v>
      </c>
      <c r="CS15" s="51">
        <f>IF(CR15=0,0,VLOOKUP(Sprint14,Settings!$C$28:$E$53,3)*(CR15/Hours_in_iteration))</f>
        <v>0</v>
      </c>
      <c r="CT15" s="51">
        <f>IF(ISNA(SUMPRODUCT((PersonOnVacation=Availability!$A15)*(VacationSprint=Sprint14)*SprintHoursOff)),0,SUMPRODUCT((PersonOnVacation=Availability!$A15)*(VacationSprint=Sprint14)*SprintHoursOff))</f>
        <v>0</v>
      </c>
      <c r="CU15" s="52">
        <f t="shared" si="68"/>
        <v>0</v>
      </c>
      <c r="CV15" s="42"/>
      <c r="CW15" s="27"/>
      <c r="CX15" s="176" t="str">
        <f t="shared" si="29"/>
        <v>WebTeam1</v>
      </c>
      <c r="CY15" s="42">
        <f t="shared" si="30"/>
        <v>0</v>
      </c>
      <c r="CZ15" s="51">
        <f>IF(CY15=0,0,VLOOKUP(Sprint15,Settings!$C$28:$E$53,3)*(CY15/Hours_in_iteration))</f>
        <v>0</v>
      </c>
      <c r="DA15" s="51">
        <f>IF(ISNA(SUMPRODUCT((PersonOnVacation=Availability!$A15)*(VacationSprint=Sprint15)*SprintHoursOff)),0,SUMPRODUCT((PersonOnVacation=Availability!$A15)*(VacationSprint=Sprint15)*SprintHoursOff))</f>
        <v>0</v>
      </c>
      <c r="DB15" s="52">
        <f t="shared" si="69"/>
        <v>0</v>
      </c>
      <c r="DC15" s="42"/>
      <c r="DD15" s="27"/>
      <c r="DE15" s="176" t="str">
        <f t="shared" si="31"/>
        <v>WebTeam1</v>
      </c>
      <c r="DF15" s="42">
        <f t="shared" si="32"/>
        <v>0</v>
      </c>
      <c r="DG15" s="51">
        <f>IF(DF15=0,0,VLOOKUP(Sprint16,Settings!$C$28:$E$53,3)*(DF15/Hours_in_iteration))</f>
        <v>0</v>
      </c>
      <c r="DH15" s="51">
        <f>IF(ISNA(SUMPRODUCT((PersonOnVacation=Availability!$A15)*(VacationSprint=Sprint16)*SprintHoursOff)),0,SUMPRODUCT((PersonOnVacation=Availability!$A15)*(VacationSprint=Sprint16)*SprintHoursOff))</f>
        <v>0</v>
      </c>
      <c r="DI15" s="52">
        <f t="shared" si="70"/>
        <v>0</v>
      </c>
      <c r="DJ15" s="42"/>
      <c r="DK15" s="27"/>
      <c r="DL15" s="176" t="str">
        <f t="shared" si="33"/>
        <v>WebTeam1</v>
      </c>
      <c r="DM15" s="42">
        <f t="shared" si="34"/>
        <v>0</v>
      </c>
      <c r="DN15" s="51">
        <f>IF(DM15=0,0,VLOOKUP(Sprint17,Settings!$C$28:$E$53,3)*(DM15/Hours_in_iteration))</f>
        <v>0</v>
      </c>
      <c r="DO15" s="51">
        <f>IF(ISNA(SUMPRODUCT((PersonOnVacation=Availability!$A15)*(VacationSprint=Sprint17)*SprintHoursOff)),0,SUMPRODUCT((PersonOnVacation=Availability!$A15)*(VacationSprint=Sprint17)*SprintHoursOff))</f>
        <v>0</v>
      </c>
      <c r="DP15" s="52">
        <f t="shared" si="71"/>
        <v>0</v>
      </c>
      <c r="DQ15" s="42"/>
      <c r="DR15" s="27"/>
      <c r="DS15" s="176" t="str">
        <f t="shared" si="35"/>
        <v>WebTeam1</v>
      </c>
      <c r="DT15" s="42">
        <f t="shared" si="36"/>
        <v>0</v>
      </c>
      <c r="DU15" s="51">
        <f>IF(DT15=0,0,VLOOKUP(Sprint18,Settings!$C$28:$E$53,3)*(DT15/Hours_in_iteration))</f>
        <v>0</v>
      </c>
      <c r="DV15" s="51">
        <f>IF(ISNA(SUMPRODUCT((PersonOnVacation=Availability!$A15)*(VacationSprint=Sprint18)*SprintHoursOff)),0,SUMPRODUCT((PersonOnVacation=Availability!$A15)*(VacationSprint=Sprint18)*SprintHoursOff))</f>
        <v>0</v>
      </c>
      <c r="DW15" s="52">
        <f t="shared" si="72"/>
        <v>0</v>
      </c>
      <c r="DX15" s="42"/>
      <c r="DY15" s="27"/>
      <c r="DZ15" s="176" t="str">
        <f t="shared" si="37"/>
        <v>WebTeam1</v>
      </c>
      <c r="EA15" s="42">
        <f t="shared" si="38"/>
        <v>0</v>
      </c>
      <c r="EB15" s="51">
        <f>IF(EA15=0,0,VLOOKUP(Sprint19,Settings!$C$28:$E$53,3)*(EA15/Hours_in_iteration))</f>
        <v>0</v>
      </c>
      <c r="EC15" s="51">
        <f>IF(ISNA(SUMPRODUCT((PersonOnVacation=Availability!$A15)*(VacationSprint=Sprint19)*SprintHoursOff)),0,SUMPRODUCT((PersonOnVacation=Availability!$A15)*(VacationSprint=Sprint19)*SprintHoursOff))</f>
        <v>0</v>
      </c>
      <c r="ED15" s="52">
        <f t="shared" si="73"/>
        <v>0</v>
      </c>
      <c r="EE15" s="42"/>
      <c r="EF15" s="27"/>
      <c r="EG15" s="176" t="str">
        <f t="shared" si="39"/>
        <v>WebTeam1</v>
      </c>
      <c r="EH15" s="42">
        <f t="shared" si="40"/>
        <v>0</v>
      </c>
      <c r="EI15" s="51">
        <f>IF(EH15=0,0,VLOOKUP(Sprint20,Settings!$C$28:$E$53,3)*(EH15/Hours_in_iteration))</f>
        <v>0</v>
      </c>
      <c r="EJ15" s="51">
        <f>IF(ISNA(SUMPRODUCT((PersonOnVacation=Availability!$A15)*(VacationSprint=Sprint20)*SprintHoursOff)),0,SUMPRODUCT((PersonOnVacation=Availability!$A15)*(VacationSprint=Sprint20)*SprintHoursOff))</f>
        <v>0</v>
      </c>
      <c r="EK15" s="52">
        <f t="shared" si="74"/>
        <v>0</v>
      </c>
      <c r="EL15" s="42"/>
      <c r="EM15" s="27"/>
      <c r="EN15" s="176" t="str">
        <f t="shared" si="41"/>
        <v>WebTeam1</v>
      </c>
      <c r="EO15" s="42">
        <f t="shared" si="42"/>
        <v>0</v>
      </c>
      <c r="EP15" s="51">
        <f>IF(EO15=0,0,VLOOKUP(Sprint21,Settings!$C$28:$E$53,3)*(EO15/Hours_in_iteration))</f>
        <v>0</v>
      </c>
      <c r="EQ15" s="51">
        <f>IF(ISNA(SUMPRODUCT((PersonOnVacation=Availability!$A15)*(VacationSprint=Sprint21)*SprintHoursOff)),0,SUMPRODUCT((PersonOnVacation=Availability!$A15)*(VacationSprint=Sprint21)*SprintHoursOff))</f>
        <v>0</v>
      </c>
      <c r="ER15" s="52">
        <f t="shared" si="75"/>
        <v>0</v>
      </c>
      <c r="ES15" s="42"/>
      <c r="ET15" s="27"/>
      <c r="EU15" s="176" t="str">
        <f t="shared" si="43"/>
        <v>WebTeam1</v>
      </c>
      <c r="EV15" s="42">
        <f t="shared" si="44"/>
        <v>0</v>
      </c>
      <c r="EW15" s="51">
        <f>IF(EV15=0,0,VLOOKUP(Sprint22,Settings!$C$28:$E$53,3)*(EV15/Hours_in_iteration))</f>
        <v>0</v>
      </c>
      <c r="EX15" s="51">
        <f>IF(ISNA(SUMPRODUCT((PersonOnVacation=Availability!$A15)*(VacationSprint=Sprint22)*SprintHoursOff)),0,SUMPRODUCT((PersonOnVacation=Availability!$A15)*(VacationSprint=Sprint22)*SprintHoursOff))</f>
        <v>0</v>
      </c>
      <c r="EY15" s="52">
        <f t="shared" si="76"/>
        <v>0</v>
      </c>
      <c r="EZ15" s="42"/>
      <c r="FA15" s="27"/>
      <c r="FB15" s="176" t="str">
        <f t="shared" si="45"/>
        <v>WebTeam1</v>
      </c>
      <c r="FC15" s="42">
        <f t="shared" si="46"/>
        <v>0</v>
      </c>
      <c r="FD15" s="51">
        <f>IF(FC15=0,0,VLOOKUP(Sprint23,Settings!$C$28:$E$53,3)*(FC15/Hours_in_iteration))</f>
        <v>0</v>
      </c>
      <c r="FE15" s="51">
        <f>IF(ISNA(SUMPRODUCT((PersonOnVacation=Availability!$A15)*(VacationSprint=Sprint23)*SprintHoursOff)),0,SUMPRODUCT((PersonOnVacation=Availability!$A15)*(VacationSprint=Sprint23)*SprintHoursOff))</f>
        <v>0</v>
      </c>
      <c r="FF15" s="52">
        <f t="shared" si="77"/>
        <v>0</v>
      </c>
      <c r="FG15" s="42"/>
      <c r="FH15" s="27"/>
      <c r="FI15" s="176" t="str">
        <f t="shared" si="47"/>
        <v>WebTeam1</v>
      </c>
      <c r="FJ15" s="42">
        <f t="shared" si="48"/>
        <v>0</v>
      </c>
      <c r="FK15" s="51">
        <f>IF(FJ15=0,0,VLOOKUP(Sprint24,Settings!$C$28:$E$53,3)*(FJ15/Hours_in_iteration))</f>
        <v>0</v>
      </c>
      <c r="FL15" s="51">
        <f>IF(ISNA(SUMPRODUCT((PersonOnVacation=Availability!$A15)*(VacationSprint=Sprint24)*SprintHoursOff)),0,SUMPRODUCT((PersonOnVacation=Availability!$A15)*(VacationSprint=Sprint24)*SprintHoursOff))</f>
        <v>0</v>
      </c>
      <c r="FM15" s="52">
        <f t="shared" si="78"/>
        <v>0</v>
      </c>
      <c r="FN15" s="42"/>
      <c r="FO15" s="27"/>
      <c r="FP15" s="176" t="str">
        <f t="shared" si="49"/>
        <v>WebTeam1</v>
      </c>
      <c r="FQ15" s="42">
        <f t="shared" si="50"/>
        <v>0</v>
      </c>
      <c r="FR15" s="51">
        <f>IF(FQ15=0,0,VLOOKUP(Sprint25,Settings!$C$28:$E$53,3)*(FQ15/Hours_in_iteration))</f>
        <v>0</v>
      </c>
      <c r="FS15" s="51">
        <f>IF(ISNA(SUMPRODUCT((PersonOnVacation=Availability!$A15)*(VacationSprint=Sprint25)*SprintHoursOff)),0,SUMPRODUCT((PersonOnVacation=Availability!$A15)*(VacationSprint=Sprint25)*SprintHoursOff))</f>
        <v>0</v>
      </c>
      <c r="FT15" s="52">
        <f t="shared" si="79"/>
        <v>0</v>
      </c>
      <c r="FU15" s="42"/>
      <c r="FV15" s="27"/>
      <c r="FW15" s="176" t="str">
        <f t="shared" si="51"/>
        <v>WebTeam1</v>
      </c>
      <c r="FX15" s="42">
        <f t="shared" si="52"/>
        <v>0</v>
      </c>
      <c r="FY15" s="51">
        <f>IF(FX15=0,0,VLOOKUP(Sprint26,Settings!$C$28:$E$53,3)*(FX15/Hours_in_iteration))</f>
        <v>0</v>
      </c>
      <c r="FZ15" s="51">
        <f>IF(ISNA(SUMPRODUCT((PersonOnVacation=Availability!$A15)*(VacationSprint=Sprint26)*SprintHoursOff)),0,SUMPRODUCT((PersonOnVacation=Availability!$A15)*(VacationSprint=Sprint26)*SprintHoursOff))</f>
        <v>0</v>
      </c>
      <c r="GA15" s="52">
        <f t="shared" si="80"/>
        <v>0</v>
      </c>
      <c r="GB15" s="42"/>
      <c r="GC15" s="27"/>
      <c r="GD15" s="176" t="str">
        <f t="shared" si="53"/>
        <v>WebTeam1</v>
      </c>
      <c r="GE15" s="42">
        <f t="shared" si="54"/>
        <v>0</v>
      </c>
      <c r="GF15" s="51">
        <f>IF(GE15=0,0,VLOOKUP(Sprint27,Settings!$C$28:$E$53,3)*(GE15/Hours_in_iteration))</f>
        <v>0</v>
      </c>
      <c r="GG15" s="51">
        <f>IF(ISNA(SUMPRODUCT((PersonOnVacation=Availability!$A15)*(VacationSprint=Sprint27)*SprintHoursOff)),0,SUMPRODUCT((PersonOnVacation=Availability!$A15)*(VacationSprint=Sprint27)*SprintHoursOff))</f>
        <v>0</v>
      </c>
      <c r="GH15" s="52">
        <f t="shared" si="81"/>
        <v>0</v>
      </c>
      <c r="GI15" s="42"/>
    </row>
    <row r="16" spans="1:191" s="56" customFormat="1">
      <c r="A16" s="110" t="str">
        <f>Person7</f>
        <v>Stanley Burns</v>
      </c>
      <c r="B16" s="42" t="s">
        <v>49</v>
      </c>
      <c r="C16" s="42" t="str">
        <f t="shared" si="0"/>
        <v>WebTeam1 Dev</v>
      </c>
      <c r="D16" s="135" t="str">
        <f t="shared" si="1"/>
        <v>WebTeam1</v>
      </c>
      <c r="E16" s="42">
        <f t="shared" si="55"/>
        <v>80</v>
      </c>
      <c r="F16" s="51">
        <f>IF(E16=0,0,VLOOKUP(Sprint1,Settings!$C$28:$E$53,3)*(E16/Hours_in_iteration))</f>
        <v>8</v>
      </c>
      <c r="G16" s="51">
        <f>IF(ISNA(SUMPRODUCT((PersonOnVacation=Availability!A16)*(VacationSprint=Sprint1)*SprintHoursOff)),0,SUMPRODUCT((PersonOnVacation=Availability!A16)*(VacationSprint=Sprint1)*SprintHoursOff))</f>
        <v>0</v>
      </c>
      <c r="H16" s="52">
        <f t="shared" si="2"/>
        <v>72</v>
      </c>
      <c r="I16" s="42"/>
      <c r="J16" s="27"/>
      <c r="K16" s="176" t="str">
        <f t="shared" si="3"/>
        <v>WebTeam1</v>
      </c>
      <c r="L16" s="42">
        <f t="shared" si="4"/>
        <v>80</v>
      </c>
      <c r="M16" s="51">
        <f>IF(L16=0,0,VLOOKUP(Sprint2,Settings!$C$28:$E$53,3)*(L16/Hours_in_iteration))</f>
        <v>8</v>
      </c>
      <c r="N16" s="51">
        <f>IF(ISNA(SUMPRODUCT((PersonOnVacation=Availability!A16)*(VacationSprint=Sprint2)*SprintHoursOff)),0,SUMPRODUCT((PersonOnVacation=Availability!A16)*(VacationSprint=Sprint2)*SprintHoursOff))</f>
        <v>0</v>
      </c>
      <c r="O16" s="52">
        <f t="shared" si="56"/>
        <v>72</v>
      </c>
      <c r="P16" s="42"/>
      <c r="Q16" s="27"/>
      <c r="R16" s="176" t="str">
        <f t="shared" si="5"/>
        <v>WebTeam1</v>
      </c>
      <c r="S16" s="42">
        <f t="shared" si="6"/>
        <v>80</v>
      </c>
      <c r="T16" s="51">
        <f>IF(S16=0,0,VLOOKUP(Sprint3,Settings!$C$28:$E$53,3)*(S16/Hours_in_iteration))</f>
        <v>0</v>
      </c>
      <c r="U16" s="51">
        <f>IF(ISNA(SUMPRODUCT((PersonOnVacation=Availability!A16)*(VacationSprint=Sprint3)*SprintHoursOff)),0,SUMPRODUCT((PersonOnVacation=Availability!A16)*(VacationSprint=Sprint3)*SprintHoursOff))</f>
        <v>0</v>
      </c>
      <c r="V16" s="52">
        <f t="shared" si="57"/>
        <v>80</v>
      </c>
      <c r="W16" s="42"/>
      <c r="X16" s="27"/>
      <c r="Y16" s="176" t="str">
        <f t="shared" si="7"/>
        <v>WebTeam1</v>
      </c>
      <c r="Z16" s="42">
        <f t="shared" si="8"/>
        <v>80</v>
      </c>
      <c r="AA16" s="51">
        <f>IF(Z16=0,0,VLOOKUP(Sprint4,Settings!$C$28:$E$53,3)*(Z16/Hours_in_iteration))</f>
        <v>8</v>
      </c>
      <c r="AB16" s="51">
        <f>IF(ISNA(SUMPRODUCT((PersonOnVacation=Availability!$A16)*(VacationSprint=Sprint4)*SprintHoursOff)),0,SUMPRODUCT((PersonOnVacation=Availability!$A16)*(VacationSprint=Sprint4)*SprintHoursOff))</f>
        <v>80</v>
      </c>
      <c r="AC16" s="52">
        <f t="shared" si="58"/>
        <v>0</v>
      </c>
      <c r="AD16" s="42"/>
      <c r="AE16" s="27"/>
      <c r="AF16" s="176" t="str">
        <f t="shared" si="9"/>
        <v>WebTeam1</v>
      </c>
      <c r="AG16" s="42">
        <f t="shared" si="10"/>
        <v>80</v>
      </c>
      <c r="AH16" s="51">
        <f>IF(AG16=0,0,VLOOKUP(Sprint5,Settings!$C$28:$E$53,3)*(AG16/Hours_in_iteration))</f>
        <v>0</v>
      </c>
      <c r="AI16" s="51">
        <f>IF(ISNA(SUMPRODUCT((PersonOnVacation=Availability!$A16)*(VacationSprint=Sprint5)*SprintHoursOff)),0,SUMPRODUCT((PersonOnVacation=Availability!$A16)*(VacationSprint=Sprint5)*SprintHoursOff))</f>
        <v>0</v>
      </c>
      <c r="AJ16" s="52">
        <f t="shared" si="59"/>
        <v>80</v>
      </c>
      <c r="AK16" s="42"/>
      <c r="AL16" s="27"/>
      <c r="AM16" s="176" t="str">
        <f t="shared" si="11"/>
        <v>WebTeam1</v>
      </c>
      <c r="AN16" s="42">
        <f t="shared" si="12"/>
        <v>80</v>
      </c>
      <c r="AO16" s="51">
        <f>IF(AN16=0,0,VLOOKUP(Sprint6,Settings!$C$28:$E$53,3)*(AN16/Hours_in_iteration))</f>
        <v>0</v>
      </c>
      <c r="AP16" s="51">
        <f>IF(ISNA(SUMPRODUCT((PersonOnVacation=Availability!$A16)*(VacationSprint=Sprint6)*SprintHoursOff)),0,SUMPRODUCT((PersonOnVacation=Availability!$A16)*(VacationSprint=Sprint6)*SprintHoursOff))</f>
        <v>0</v>
      </c>
      <c r="AQ16" s="52">
        <f t="shared" si="60"/>
        <v>80</v>
      </c>
      <c r="AR16" s="42"/>
      <c r="AS16" s="27"/>
      <c r="AT16" s="176" t="str">
        <f t="shared" si="13"/>
        <v>WebTeam1</v>
      </c>
      <c r="AU16" s="42">
        <f t="shared" si="14"/>
        <v>80</v>
      </c>
      <c r="AV16" s="51">
        <f>IF(AU16=0,0,VLOOKUP(Sprint7,Settings!$C$28:$E$53,3)*(AU16/Hours_in_iteration))</f>
        <v>0</v>
      </c>
      <c r="AW16" s="51">
        <f>IF(ISNA(SUMPRODUCT((PersonOnVacation=Availability!$A16)*(VacationSprint=Sprint7)*SprintHoursOff)),0,SUMPRODUCT((PersonOnVacation=Availability!$A16)*(VacationSprint=Sprint7)*SprintHoursOff))</f>
        <v>0</v>
      </c>
      <c r="AX16" s="52">
        <f t="shared" si="61"/>
        <v>80</v>
      </c>
      <c r="AY16" s="42"/>
      <c r="AZ16" s="27"/>
      <c r="BA16" s="176" t="str">
        <f t="shared" si="15"/>
        <v>WebTeam1</v>
      </c>
      <c r="BB16" s="42">
        <f t="shared" si="16"/>
        <v>80</v>
      </c>
      <c r="BC16" s="51">
        <f>IF(BB16=0,0,VLOOKUP(Sprint8,Settings!$C$28:$E$53,3)*(BB16/Hours_in_iteration))</f>
        <v>0</v>
      </c>
      <c r="BD16" s="51">
        <f>IF(ISNA(SUMPRODUCT((PersonOnVacation=Availability!$A16)*(VacationSprint=Sprint8)*SprintHoursOff)),0,SUMPRODUCT((PersonOnVacation=Availability!$A16)*(VacationSprint=Sprint8)*SprintHoursOff))</f>
        <v>0</v>
      </c>
      <c r="BE16" s="52">
        <f t="shared" si="62"/>
        <v>80</v>
      </c>
      <c r="BF16" s="42"/>
      <c r="BG16" s="27"/>
      <c r="BH16" s="176" t="str">
        <f t="shared" si="17"/>
        <v>WebTeam1</v>
      </c>
      <c r="BI16" s="42">
        <f t="shared" si="18"/>
        <v>80</v>
      </c>
      <c r="BJ16" s="51">
        <f>IF(BI16=0,0,VLOOKUP(Sprint9,Settings!$C$28:$E$53,3)*(BI16/Hours_in_iteration))</f>
        <v>0</v>
      </c>
      <c r="BK16" s="51">
        <f>IF(ISNA(SUMPRODUCT((PersonOnVacation=Availability!$A16)*(VacationSprint=Sprint9)*SprintHoursOff)),0,SUMPRODUCT((PersonOnVacation=Availability!$A16)*(VacationSprint=Sprint9)*SprintHoursOff))</f>
        <v>0</v>
      </c>
      <c r="BL16" s="52">
        <f t="shared" si="63"/>
        <v>80</v>
      </c>
      <c r="BM16" s="42"/>
      <c r="BN16" s="27"/>
      <c r="BO16" s="176" t="str">
        <f t="shared" si="19"/>
        <v>WebTeam1</v>
      </c>
      <c r="BP16" s="42">
        <f t="shared" si="20"/>
        <v>80</v>
      </c>
      <c r="BQ16" s="51">
        <f>IF(BP16=0,0,VLOOKUP(Sprint10,Settings!$C$28:$E$53,3)*(BP16/Hours_in_iteration))</f>
        <v>0</v>
      </c>
      <c r="BR16" s="51">
        <f>IF(ISNA(SUMPRODUCT((PersonOnVacation=Availability!$A16)*(VacationSprint=Sprint10)*SprintHoursOff)),0,SUMPRODUCT((PersonOnVacation=Availability!$A16)*(VacationSprint=Sprint10)*SprintHoursOff))</f>
        <v>0</v>
      </c>
      <c r="BS16" s="52">
        <f t="shared" si="64"/>
        <v>80</v>
      </c>
      <c r="BT16" s="42"/>
      <c r="BU16" s="27"/>
      <c r="BV16" s="176" t="str">
        <f t="shared" si="21"/>
        <v>WebTeam1</v>
      </c>
      <c r="BW16" s="42">
        <f t="shared" si="22"/>
        <v>80</v>
      </c>
      <c r="BX16" s="51">
        <f>IF(BW16=0,0,VLOOKUP(Sprint11,Settings!$C$28:$E$53,3)*(BW16/Hours_in_iteration))</f>
        <v>0</v>
      </c>
      <c r="BY16" s="51">
        <f>IF(ISNA(SUMPRODUCT((PersonOnVacation=Availability!$A16)*(VacationSprint=Sprint11)*SprintHoursOff)),0,SUMPRODUCT((PersonOnVacation=Availability!$A16)*(VacationSprint=Sprint11)*SprintHoursOff))</f>
        <v>0</v>
      </c>
      <c r="BZ16" s="52">
        <f t="shared" si="65"/>
        <v>80</v>
      </c>
      <c r="CA16" s="42"/>
      <c r="CB16" s="27"/>
      <c r="CC16" s="176" t="str">
        <f t="shared" si="23"/>
        <v>WebTeam1</v>
      </c>
      <c r="CD16" s="42">
        <f t="shared" si="24"/>
        <v>80</v>
      </c>
      <c r="CE16" s="51">
        <f>IF(CD16=0,0,VLOOKUP(Sprint12,Settings!$C$28:$E$53,3)*(CD16/Hours_in_iteration))</f>
        <v>0</v>
      </c>
      <c r="CF16" s="51">
        <f>IF(ISNA(SUMPRODUCT((PersonOnVacation=Availability!$A16)*(VacationSprint=Sprint12)*SprintHoursOff)),0,SUMPRODUCT((PersonOnVacation=Availability!$A16)*(VacationSprint=Sprint12)*SprintHoursOff))</f>
        <v>0</v>
      </c>
      <c r="CG16" s="52">
        <f t="shared" si="66"/>
        <v>80</v>
      </c>
      <c r="CH16" s="42"/>
      <c r="CI16" s="27"/>
      <c r="CJ16" s="176" t="str">
        <f t="shared" si="25"/>
        <v>WebTeam1</v>
      </c>
      <c r="CK16" s="42">
        <f t="shared" si="26"/>
        <v>80</v>
      </c>
      <c r="CL16" s="51">
        <f>IF(CK16=0,0,VLOOKUP(Sprint13,Settings!$C$28:$E$53,3)*(CK16/Hours_in_iteration))</f>
        <v>0</v>
      </c>
      <c r="CM16" s="51">
        <f>IF(ISNA(SUMPRODUCT((PersonOnVacation=Availability!$A16)*(VacationSprint=Sprint13)*SprintHoursOff)),0,SUMPRODUCT((PersonOnVacation=Availability!$A16)*(VacationSprint=Sprint13)*SprintHoursOff))</f>
        <v>0</v>
      </c>
      <c r="CN16" s="52">
        <f t="shared" si="67"/>
        <v>80</v>
      </c>
      <c r="CO16" s="42"/>
      <c r="CP16" s="27"/>
      <c r="CQ16" s="176" t="str">
        <f t="shared" si="27"/>
        <v>WebTeam1</v>
      </c>
      <c r="CR16" s="42">
        <f t="shared" si="28"/>
        <v>80</v>
      </c>
      <c r="CS16" s="51">
        <f>IF(CR16=0,0,VLOOKUP(Sprint14,Settings!$C$28:$E$53,3)*(CR16/Hours_in_iteration))</f>
        <v>0</v>
      </c>
      <c r="CT16" s="51">
        <f>IF(ISNA(SUMPRODUCT((PersonOnVacation=Availability!$A16)*(VacationSprint=Sprint14)*SprintHoursOff)),0,SUMPRODUCT((PersonOnVacation=Availability!$A16)*(VacationSprint=Sprint14)*SprintHoursOff))</f>
        <v>0</v>
      </c>
      <c r="CU16" s="52">
        <f t="shared" si="68"/>
        <v>80</v>
      </c>
      <c r="CV16" s="42"/>
      <c r="CW16" s="27"/>
      <c r="CX16" s="176" t="str">
        <f t="shared" si="29"/>
        <v>WebTeam1</v>
      </c>
      <c r="CY16" s="42">
        <f t="shared" si="30"/>
        <v>80</v>
      </c>
      <c r="CZ16" s="51">
        <f>IF(CY16=0,0,VLOOKUP(Sprint15,Settings!$C$28:$E$53,3)*(CY16/Hours_in_iteration))</f>
        <v>0</v>
      </c>
      <c r="DA16" s="51">
        <f>IF(ISNA(SUMPRODUCT((PersonOnVacation=Availability!$A16)*(VacationSprint=Sprint15)*SprintHoursOff)),0,SUMPRODUCT((PersonOnVacation=Availability!$A16)*(VacationSprint=Sprint15)*SprintHoursOff))</f>
        <v>0</v>
      </c>
      <c r="DB16" s="52">
        <f t="shared" si="69"/>
        <v>80</v>
      </c>
      <c r="DC16" s="42"/>
      <c r="DD16" s="27"/>
      <c r="DE16" s="176" t="str">
        <f t="shared" si="31"/>
        <v>WebTeam1</v>
      </c>
      <c r="DF16" s="42">
        <f t="shared" si="32"/>
        <v>80</v>
      </c>
      <c r="DG16" s="51">
        <f>IF(DF16=0,0,VLOOKUP(Sprint16,Settings!$C$28:$E$53,3)*(DF16/Hours_in_iteration))</f>
        <v>0</v>
      </c>
      <c r="DH16" s="51">
        <f>IF(ISNA(SUMPRODUCT((PersonOnVacation=Availability!$A16)*(VacationSprint=Sprint16)*SprintHoursOff)),0,SUMPRODUCT((PersonOnVacation=Availability!$A16)*(VacationSprint=Sprint16)*SprintHoursOff))</f>
        <v>0</v>
      </c>
      <c r="DI16" s="52">
        <f t="shared" si="70"/>
        <v>80</v>
      </c>
      <c r="DJ16" s="42"/>
      <c r="DK16" s="27"/>
      <c r="DL16" s="176" t="str">
        <f t="shared" si="33"/>
        <v>WebTeam1</v>
      </c>
      <c r="DM16" s="42">
        <f t="shared" si="34"/>
        <v>80</v>
      </c>
      <c r="DN16" s="51">
        <f>IF(DM16=0,0,VLOOKUP(Sprint17,Settings!$C$28:$E$53,3)*(DM16/Hours_in_iteration))</f>
        <v>0</v>
      </c>
      <c r="DO16" s="51">
        <f>IF(ISNA(SUMPRODUCT((PersonOnVacation=Availability!$A16)*(VacationSprint=Sprint17)*SprintHoursOff)),0,SUMPRODUCT((PersonOnVacation=Availability!$A16)*(VacationSprint=Sprint17)*SprintHoursOff))</f>
        <v>0</v>
      </c>
      <c r="DP16" s="52">
        <f t="shared" si="71"/>
        <v>80</v>
      </c>
      <c r="DQ16" s="42"/>
      <c r="DR16" s="27"/>
      <c r="DS16" s="176" t="str">
        <f t="shared" si="35"/>
        <v>WebTeam1</v>
      </c>
      <c r="DT16" s="42">
        <f t="shared" si="36"/>
        <v>80</v>
      </c>
      <c r="DU16" s="51">
        <f>IF(DT16=0,0,VLOOKUP(Sprint18,Settings!$C$28:$E$53,3)*(DT16/Hours_in_iteration))</f>
        <v>0</v>
      </c>
      <c r="DV16" s="51">
        <f>IF(ISNA(SUMPRODUCT((PersonOnVacation=Availability!$A16)*(VacationSprint=Sprint18)*SprintHoursOff)),0,SUMPRODUCT((PersonOnVacation=Availability!$A16)*(VacationSprint=Sprint18)*SprintHoursOff))</f>
        <v>0</v>
      </c>
      <c r="DW16" s="52">
        <f t="shared" si="72"/>
        <v>80</v>
      </c>
      <c r="DX16" s="42"/>
      <c r="DY16" s="27"/>
      <c r="DZ16" s="176" t="str">
        <f t="shared" si="37"/>
        <v>WebTeam1</v>
      </c>
      <c r="EA16" s="42">
        <f t="shared" si="38"/>
        <v>80</v>
      </c>
      <c r="EB16" s="51">
        <f>IF(EA16=0,0,VLOOKUP(Sprint19,Settings!$C$28:$E$53,3)*(EA16/Hours_in_iteration))</f>
        <v>0</v>
      </c>
      <c r="EC16" s="51">
        <f>IF(ISNA(SUMPRODUCT((PersonOnVacation=Availability!$A16)*(VacationSprint=Sprint19)*SprintHoursOff)),0,SUMPRODUCT((PersonOnVacation=Availability!$A16)*(VacationSprint=Sprint19)*SprintHoursOff))</f>
        <v>0</v>
      </c>
      <c r="ED16" s="52">
        <f t="shared" si="73"/>
        <v>80</v>
      </c>
      <c r="EE16" s="42"/>
      <c r="EF16" s="27"/>
      <c r="EG16" s="176" t="str">
        <f t="shared" si="39"/>
        <v>WebTeam1</v>
      </c>
      <c r="EH16" s="42">
        <f t="shared" si="40"/>
        <v>80</v>
      </c>
      <c r="EI16" s="51">
        <f>IF(EH16=0,0,VLOOKUP(Sprint20,Settings!$C$28:$E$53,3)*(EH16/Hours_in_iteration))</f>
        <v>0</v>
      </c>
      <c r="EJ16" s="51">
        <f>IF(ISNA(SUMPRODUCT((PersonOnVacation=Availability!$A16)*(VacationSprint=Sprint20)*SprintHoursOff)),0,SUMPRODUCT((PersonOnVacation=Availability!$A16)*(VacationSprint=Sprint20)*SprintHoursOff))</f>
        <v>0</v>
      </c>
      <c r="EK16" s="52">
        <f t="shared" si="74"/>
        <v>80</v>
      </c>
      <c r="EL16" s="42"/>
      <c r="EM16" s="27"/>
      <c r="EN16" s="176" t="str">
        <f t="shared" si="41"/>
        <v>WebTeam1</v>
      </c>
      <c r="EO16" s="42">
        <f t="shared" si="42"/>
        <v>80</v>
      </c>
      <c r="EP16" s="51">
        <f>IF(EO16=0,0,VLOOKUP(Sprint21,Settings!$C$28:$E$53,3)*(EO16/Hours_in_iteration))</f>
        <v>0</v>
      </c>
      <c r="EQ16" s="51">
        <f>IF(ISNA(SUMPRODUCT((PersonOnVacation=Availability!$A16)*(VacationSprint=Sprint21)*SprintHoursOff)),0,SUMPRODUCT((PersonOnVacation=Availability!$A16)*(VacationSprint=Sprint21)*SprintHoursOff))</f>
        <v>0</v>
      </c>
      <c r="ER16" s="52">
        <f t="shared" si="75"/>
        <v>80</v>
      </c>
      <c r="ES16" s="42"/>
      <c r="ET16" s="27"/>
      <c r="EU16" s="176" t="str">
        <f t="shared" si="43"/>
        <v>WebTeam1</v>
      </c>
      <c r="EV16" s="42">
        <f t="shared" si="44"/>
        <v>80</v>
      </c>
      <c r="EW16" s="51">
        <f>IF(EV16=0,0,VLOOKUP(Sprint22,Settings!$C$28:$E$53,3)*(EV16/Hours_in_iteration))</f>
        <v>0</v>
      </c>
      <c r="EX16" s="51">
        <f>IF(ISNA(SUMPRODUCT((PersonOnVacation=Availability!$A16)*(VacationSprint=Sprint22)*SprintHoursOff)),0,SUMPRODUCT((PersonOnVacation=Availability!$A16)*(VacationSprint=Sprint22)*SprintHoursOff))</f>
        <v>0</v>
      </c>
      <c r="EY16" s="52">
        <f t="shared" si="76"/>
        <v>80</v>
      </c>
      <c r="EZ16" s="42"/>
      <c r="FA16" s="27"/>
      <c r="FB16" s="176" t="str">
        <f t="shared" si="45"/>
        <v>WebTeam1</v>
      </c>
      <c r="FC16" s="42">
        <f t="shared" si="46"/>
        <v>80</v>
      </c>
      <c r="FD16" s="51">
        <f>IF(FC16=0,0,VLOOKUP(Sprint23,Settings!$C$28:$E$53,3)*(FC16/Hours_in_iteration))</f>
        <v>0</v>
      </c>
      <c r="FE16" s="51">
        <f>IF(ISNA(SUMPRODUCT((PersonOnVacation=Availability!$A16)*(VacationSprint=Sprint23)*SprintHoursOff)),0,SUMPRODUCT((PersonOnVacation=Availability!$A16)*(VacationSprint=Sprint23)*SprintHoursOff))</f>
        <v>0</v>
      </c>
      <c r="FF16" s="52">
        <f t="shared" si="77"/>
        <v>80</v>
      </c>
      <c r="FG16" s="42"/>
      <c r="FH16" s="27"/>
      <c r="FI16" s="176" t="str">
        <f t="shared" si="47"/>
        <v>WebTeam1</v>
      </c>
      <c r="FJ16" s="42">
        <f t="shared" si="48"/>
        <v>80</v>
      </c>
      <c r="FK16" s="51">
        <f>IF(FJ16=0,0,VLOOKUP(Sprint24,Settings!$C$28:$E$53,3)*(FJ16/Hours_in_iteration))</f>
        <v>0</v>
      </c>
      <c r="FL16" s="51">
        <f>IF(ISNA(SUMPRODUCT((PersonOnVacation=Availability!$A16)*(VacationSprint=Sprint24)*SprintHoursOff)),0,SUMPRODUCT((PersonOnVacation=Availability!$A16)*(VacationSprint=Sprint24)*SprintHoursOff))</f>
        <v>0</v>
      </c>
      <c r="FM16" s="52">
        <f t="shared" si="78"/>
        <v>80</v>
      </c>
      <c r="FN16" s="42"/>
      <c r="FO16" s="27"/>
      <c r="FP16" s="176" t="str">
        <f t="shared" si="49"/>
        <v>WebTeam1</v>
      </c>
      <c r="FQ16" s="42">
        <f t="shared" si="50"/>
        <v>80</v>
      </c>
      <c r="FR16" s="51">
        <f>IF(FQ16=0,0,VLOOKUP(Sprint25,Settings!$C$28:$E$53,3)*(FQ16/Hours_in_iteration))</f>
        <v>0</v>
      </c>
      <c r="FS16" s="51">
        <f>IF(ISNA(SUMPRODUCT((PersonOnVacation=Availability!$A16)*(VacationSprint=Sprint25)*SprintHoursOff)),0,SUMPRODUCT((PersonOnVacation=Availability!$A16)*(VacationSprint=Sprint25)*SprintHoursOff))</f>
        <v>0</v>
      </c>
      <c r="FT16" s="52">
        <f t="shared" si="79"/>
        <v>80</v>
      </c>
      <c r="FU16" s="42"/>
      <c r="FV16" s="27"/>
      <c r="FW16" s="176" t="str">
        <f t="shared" si="51"/>
        <v>WebTeam1</v>
      </c>
      <c r="FX16" s="42">
        <f t="shared" si="52"/>
        <v>80</v>
      </c>
      <c r="FY16" s="51">
        <f>IF(FX16=0,0,VLOOKUP(Sprint26,Settings!$C$28:$E$53,3)*(FX16/Hours_in_iteration))</f>
        <v>0</v>
      </c>
      <c r="FZ16" s="51">
        <f>IF(ISNA(SUMPRODUCT((PersonOnVacation=Availability!$A16)*(VacationSprint=Sprint26)*SprintHoursOff)),0,SUMPRODUCT((PersonOnVacation=Availability!$A16)*(VacationSprint=Sprint26)*SprintHoursOff))</f>
        <v>0</v>
      </c>
      <c r="GA16" s="52">
        <f t="shared" si="80"/>
        <v>80</v>
      </c>
      <c r="GB16" s="42"/>
      <c r="GC16" s="27"/>
      <c r="GD16" s="176" t="str">
        <f t="shared" si="53"/>
        <v>WebTeam1</v>
      </c>
      <c r="GE16" s="42">
        <f t="shared" si="54"/>
        <v>80</v>
      </c>
      <c r="GF16" s="51">
        <f>IF(GE16=0,0,VLOOKUP(Sprint27,Settings!$C$28:$E$53,3)*(GE16/Hours_in_iteration))</f>
        <v>0</v>
      </c>
      <c r="GG16" s="51">
        <f>IF(ISNA(SUMPRODUCT((PersonOnVacation=Availability!$A16)*(VacationSprint=Sprint27)*SprintHoursOff)),0,SUMPRODUCT((PersonOnVacation=Availability!$A16)*(VacationSprint=Sprint27)*SprintHoursOff))</f>
        <v>0</v>
      </c>
      <c r="GH16" s="52">
        <f t="shared" si="81"/>
        <v>80</v>
      </c>
      <c r="GI16" s="42"/>
    </row>
    <row r="17" spans="1:191" s="56" customFormat="1">
      <c r="A17" s="110" t="str">
        <f>Person8</f>
        <v>Joseph Formkan</v>
      </c>
      <c r="B17" s="42" t="s">
        <v>50</v>
      </c>
      <c r="C17" s="42" t="str">
        <f t="shared" si="0"/>
        <v>WebTeam1 QA</v>
      </c>
      <c r="D17" s="135" t="str">
        <f t="shared" si="1"/>
        <v>WebTeam1</v>
      </c>
      <c r="E17" s="42">
        <f t="shared" si="55"/>
        <v>80</v>
      </c>
      <c r="F17" s="51">
        <f>IF(E17=0,0,VLOOKUP(Sprint1,Settings!$C$28:$E$53,3)*(E17/Hours_in_iteration))</f>
        <v>8</v>
      </c>
      <c r="G17" s="51">
        <f>IF(ISNA(SUMPRODUCT((PersonOnVacation=Availability!A17)*(VacationSprint=Sprint1)*SprintHoursOff)),0,SUMPRODUCT((PersonOnVacation=Availability!A17)*(VacationSprint=Sprint1)*SprintHoursOff))</f>
        <v>0</v>
      </c>
      <c r="H17" s="52">
        <f t="shared" si="2"/>
        <v>72</v>
      </c>
      <c r="I17" s="42"/>
      <c r="J17" s="27"/>
      <c r="K17" s="176" t="str">
        <f t="shared" si="3"/>
        <v>WebTeam1</v>
      </c>
      <c r="L17" s="42">
        <f t="shared" si="4"/>
        <v>80</v>
      </c>
      <c r="M17" s="51">
        <f>IF(L17=0,0,VLOOKUP(Sprint2,Settings!$C$28:$E$53,3)*(L17/Hours_in_iteration))</f>
        <v>8</v>
      </c>
      <c r="N17" s="51">
        <f>IF(ISNA(SUMPRODUCT((PersonOnVacation=Availability!A17)*(VacationSprint=Sprint2)*SprintHoursOff)),0,SUMPRODUCT((PersonOnVacation=Availability!A17)*(VacationSprint=Sprint2)*SprintHoursOff))</f>
        <v>0</v>
      </c>
      <c r="O17" s="52">
        <f t="shared" si="56"/>
        <v>72</v>
      </c>
      <c r="P17" s="42"/>
      <c r="Q17" s="27"/>
      <c r="R17" s="176" t="str">
        <f t="shared" si="5"/>
        <v>WebTeam1</v>
      </c>
      <c r="S17" s="42">
        <f t="shared" si="6"/>
        <v>80</v>
      </c>
      <c r="T17" s="51">
        <f>IF(S17=0,0,VLOOKUP(Sprint3,Settings!$C$28:$E$53,3)*(S17/Hours_in_iteration))</f>
        <v>0</v>
      </c>
      <c r="U17" s="51">
        <f>IF(ISNA(SUMPRODUCT((PersonOnVacation=Availability!A17)*(VacationSprint=Sprint3)*SprintHoursOff)),0,SUMPRODUCT((PersonOnVacation=Availability!A17)*(VacationSprint=Sprint3)*SprintHoursOff))</f>
        <v>0</v>
      </c>
      <c r="V17" s="52">
        <f t="shared" si="57"/>
        <v>80</v>
      </c>
      <c r="W17" s="42"/>
      <c r="X17" s="27"/>
      <c r="Y17" s="176" t="str">
        <f t="shared" si="7"/>
        <v>WebTeam1</v>
      </c>
      <c r="Z17" s="42">
        <f t="shared" si="8"/>
        <v>80</v>
      </c>
      <c r="AA17" s="51">
        <f>IF(Z17=0,0,VLOOKUP(Sprint4,Settings!$C$28:$E$53,3)*(Z17/Hours_in_iteration))</f>
        <v>8</v>
      </c>
      <c r="AB17" s="51">
        <f>IF(ISNA(SUMPRODUCT((PersonOnVacation=Availability!$A17)*(VacationSprint=Sprint4)*SprintHoursOff)),0,SUMPRODUCT((PersonOnVacation=Availability!$A17)*(VacationSprint=Sprint4)*SprintHoursOff))</f>
        <v>0</v>
      </c>
      <c r="AC17" s="52">
        <f t="shared" si="58"/>
        <v>72</v>
      </c>
      <c r="AD17" s="42"/>
      <c r="AE17" s="27"/>
      <c r="AF17" s="176" t="str">
        <f t="shared" si="9"/>
        <v>WebTeam1</v>
      </c>
      <c r="AG17" s="42">
        <f t="shared" si="10"/>
        <v>80</v>
      </c>
      <c r="AH17" s="51">
        <f>IF(AG17=0,0,VLOOKUP(Sprint5,Settings!$C$28:$E$53,3)*(AG17/Hours_in_iteration))</f>
        <v>0</v>
      </c>
      <c r="AI17" s="51">
        <f>IF(ISNA(SUMPRODUCT((PersonOnVacation=Availability!$A17)*(VacationSprint=Sprint5)*SprintHoursOff)),0,SUMPRODUCT((PersonOnVacation=Availability!$A17)*(VacationSprint=Sprint5)*SprintHoursOff))</f>
        <v>0</v>
      </c>
      <c r="AJ17" s="52">
        <f t="shared" si="59"/>
        <v>80</v>
      </c>
      <c r="AK17" s="42"/>
      <c r="AL17" s="27"/>
      <c r="AM17" s="176" t="str">
        <f t="shared" si="11"/>
        <v>WebTeam1</v>
      </c>
      <c r="AN17" s="42">
        <f t="shared" si="12"/>
        <v>80</v>
      </c>
      <c r="AO17" s="51">
        <f>IF(AN17=0,0,VLOOKUP(Sprint6,Settings!$C$28:$E$53,3)*(AN17/Hours_in_iteration))</f>
        <v>0</v>
      </c>
      <c r="AP17" s="51">
        <f>IF(ISNA(SUMPRODUCT((PersonOnVacation=Availability!$A17)*(VacationSprint=Sprint6)*SprintHoursOff)),0,SUMPRODUCT((PersonOnVacation=Availability!$A17)*(VacationSprint=Sprint6)*SprintHoursOff))</f>
        <v>0</v>
      </c>
      <c r="AQ17" s="52">
        <f t="shared" si="60"/>
        <v>80</v>
      </c>
      <c r="AR17" s="42"/>
      <c r="AS17" s="27"/>
      <c r="AT17" s="176" t="str">
        <f t="shared" si="13"/>
        <v>WebTeam1</v>
      </c>
      <c r="AU17" s="42">
        <f t="shared" si="14"/>
        <v>80</v>
      </c>
      <c r="AV17" s="51">
        <f>IF(AU17=0,0,VLOOKUP(Sprint7,Settings!$C$28:$E$53,3)*(AU17/Hours_in_iteration))</f>
        <v>0</v>
      </c>
      <c r="AW17" s="51">
        <f>IF(ISNA(SUMPRODUCT((PersonOnVacation=Availability!$A17)*(VacationSprint=Sprint7)*SprintHoursOff)),0,SUMPRODUCT((PersonOnVacation=Availability!$A17)*(VacationSprint=Sprint7)*SprintHoursOff))</f>
        <v>0</v>
      </c>
      <c r="AX17" s="52">
        <f t="shared" si="61"/>
        <v>80</v>
      </c>
      <c r="AY17" s="42"/>
      <c r="AZ17" s="27"/>
      <c r="BA17" s="176" t="str">
        <f t="shared" si="15"/>
        <v>WebTeam1</v>
      </c>
      <c r="BB17" s="42">
        <f t="shared" si="16"/>
        <v>80</v>
      </c>
      <c r="BC17" s="51">
        <f>IF(BB17=0,0,VLOOKUP(Sprint8,Settings!$C$28:$E$53,3)*(BB17/Hours_in_iteration))</f>
        <v>0</v>
      </c>
      <c r="BD17" s="51">
        <f>IF(ISNA(SUMPRODUCT((PersonOnVacation=Availability!$A17)*(VacationSprint=Sprint8)*SprintHoursOff)),0,SUMPRODUCT((PersonOnVacation=Availability!$A17)*(VacationSprint=Sprint8)*SprintHoursOff))</f>
        <v>0</v>
      </c>
      <c r="BE17" s="52">
        <f t="shared" si="62"/>
        <v>80</v>
      </c>
      <c r="BF17" s="42"/>
      <c r="BG17" s="27"/>
      <c r="BH17" s="176" t="str">
        <f t="shared" si="17"/>
        <v>WebTeam1</v>
      </c>
      <c r="BI17" s="42">
        <f t="shared" si="18"/>
        <v>80</v>
      </c>
      <c r="BJ17" s="51">
        <f>IF(BI17=0,0,VLOOKUP(Sprint9,Settings!$C$28:$E$53,3)*(BI17/Hours_in_iteration))</f>
        <v>0</v>
      </c>
      <c r="BK17" s="51">
        <f>IF(ISNA(SUMPRODUCT((PersonOnVacation=Availability!$A17)*(VacationSprint=Sprint9)*SprintHoursOff)),0,SUMPRODUCT((PersonOnVacation=Availability!$A17)*(VacationSprint=Sprint9)*SprintHoursOff))</f>
        <v>0</v>
      </c>
      <c r="BL17" s="52">
        <f t="shared" si="63"/>
        <v>80</v>
      </c>
      <c r="BM17" s="42"/>
      <c r="BN17" s="27"/>
      <c r="BO17" s="176" t="str">
        <f t="shared" si="19"/>
        <v>WebTeam1</v>
      </c>
      <c r="BP17" s="42">
        <f t="shared" si="20"/>
        <v>80</v>
      </c>
      <c r="BQ17" s="51">
        <f>IF(BP17=0,0,VLOOKUP(Sprint10,Settings!$C$28:$E$53,3)*(BP17/Hours_in_iteration))</f>
        <v>0</v>
      </c>
      <c r="BR17" s="51">
        <f>IF(ISNA(SUMPRODUCT((PersonOnVacation=Availability!$A17)*(VacationSprint=Sprint10)*SprintHoursOff)),0,SUMPRODUCT((PersonOnVacation=Availability!$A17)*(VacationSprint=Sprint10)*SprintHoursOff))</f>
        <v>0</v>
      </c>
      <c r="BS17" s="52">
        <f t="shared" si="64"/>
        <v>80</v>
      </c>
      <c r="BT17" s="42"/>
      <c r="BU17" s="27"/>
      <c r="BV17" s="176" t="str">
        <f t="shared" si="21"/>
        <v>WebTeam1</v>
      </c>
      <c r="BW17" s="42">
        <f t="shared" si="22"/>
        <v>80</v>
      </c>
      <c r="BX17" s="51">
        <f>IF(BW17=0,0,VLOOKUP(Sprint11,Settings!$C$28:$E$53,3)*(BW17/Hours_in_iteration))</f>
        <v>0</v>
      </c>
      <c r="BY17" s="51">
        <f>IF(ISNA(SUMPRODUCT((PersonOnVacation=Availability!$A17)*(VacationSprint=Sprint11)*SprintHoursOff)),0,SUMPRODUCT((PersonOnVacation=Availability!$A17)*(VacationSprint=Sprint11)*SprintHoursOff))</f>
        <v>0</v>
      </c>
      <c r="BZ17" s="52">
        <f t="shared" si="65"/>
        <v>80</v>
      </c>
      <c r="CA17" s="42"/>
      <c r="CB17" s="27"/>
      <c r="CC17" s="176" t="str">
        <f t="shared" si="23"/>
        <v>WebTeam1</v>
      </c>
      <c r="CD17" s="42">
        <f t="shared" si="24"/>
        <v>80</v>
      </c>
      <c r="CE17" s="51">
        <f>IF(CD17=0,0,VLOOKUP(Sprint12,Settings!$C$28:$E$53,3)*(CD17/Hours_in_iteration))</f>
        <v>0</v>
      </c>
      <c r="CF17" s="51">
        <f>IF(ISNA(SUMPRODUCT((PersonOnVacation=Availability!$A17)*(VacationSprint=Sprint12)*SprintHoursOff)),0,SUMPRODUCT((PersonOnVacation=Availability!$A17)*(VacationSprint=Sprint12)*SprintHoursOff))</f>
        <v>0</v>
      </c>
      <c r="CG17" s="52">
        <f t="shared" si="66"/>
        <v>80</v>
      </c>
      <c r="CH17" s="42"/>
      <c r="CI17" s="27"/>
      <c r="CJ17" s="176" t="str">
        <f t="shared" si="25"/>
        <v>WebTeam1</v>
      </c>
      <c r="CK17" s="42">
        <f t="shared" si="26"/>
        <v>80</v>
      </c>
      <c r="CL17" s="51">
        <f>IF(CK17=0,0,VLOOKUP(Sprint13,Settings!$C$28:$E$53,3)*(CK17/Hours_in_iteration))</f>
        <v>0</v>
      </c>
      <c r="CM17" s="51">
        <f>IF(ISNA(SUMPRODUCT((PersonOnVacation=Availability!$A17)*(VacationSprint=Sprint13)*SprintHoursOff)),0,SUMPRODUCT((PersonOnVacation=Availability!$A17)*(VacationSprint=Sprint13)*SprintHoursOff))</f>
        <v>0</v>
      </c>
      <c r="CN17" s="52">
        <f t="shared" si="67"/>
        <v>80</v>
      </c>
      <c r="CO17" s="42"/>
      <c r="CP17" s="27"/>
      <c r="CQ17" s="176" t="str">
        <f t="shared" si="27"/>
        <v>WebTeam1</v>
      </c>
      <c r="CR17" s="42">
        <f t="shared" si="28"/>
        <v>80</v>
      </c>
      <c r="CS17" s="51">
        <f>IF(CR17=0,0,VLOOKUP(Sprint14,Settings!$C$28:$E$53,3)*(CR17/Hours_in_iteration))</f>
        <v>0</v>
      </c>
      <c r="CT17" s="51">
        <f>IF(ISNA(SUMPRODUCT((PersonOnVacation=Availability!$A17)*(VacationSprint=Sprint14)*SprintHoursOff)),0,SUMPRODUCT((PersonOnVacation=Availability!$A17)*(VacationSprint=Sprint14)*SprintHoursOff))</f>
        <v>0</v>
      </c>
      <c r="CU17" s="52">
        <f t="shared" si="68"/>
        <v>80</v>
      </c>
      <c r="CV17" s="42"/>
      <c r="CW17" s="27"/>
      <c r="CX17" s="176" t="str">
        <f t="shared" si="29"/>
        <v>WebTeam1</v>
      </c>
      <c r="CY17" s="42">
        <f t="shared" si="30"/>
        <v>80</v>
      </c>
      <c r="CZ17" s="51">
        <f>IF(CY17=0,0,VLOOKUP(Sprint15,Settings!$C$28:$E$53,3)*(CY17/Hours_in_iteration))</f>
        <v>0</v>
      </c>
      <c r="DA17" s="51">
        <f>IF(ISNA(SUMPRODUCT((PersonOnVacation=Availability!$A17)*(VacationSprint=Sprint15)*SprintHoursOff)),0,SUMPRODUCT((PersonOnVacation=Availability!$A17)*(VacationSprint=Sprint15)*SprintHoursOff))</f>
        <v>0</v>
      </c>
      <c r="DB17" s="52">
        <f t="shared" si="69"/>
        <v>80</v>
      </c>
      <c r="DC17" s="42"/>
      <c r="DD17" s="27"/>
      <c r="DE17" s="176" t="str">
        <f t="shared" si="31"/>
        <v>WebTeam1</v>
      </c>
      <c r="DF17" s="42">
        <f t="shared" si="32"/>
        <v>80</v>
      </c>
      <c r="DG17" s="51">
        <f>IF(DF17=0,0,VLOOKUP(Sprint16,Settings!$C$28:$E$53,3)*(DF17/Hours_in_iteration))</f>
        <v>0</v>
      </c>
      <c r="DH17" s="51">
        <f>IF(ISNA(SUMPRODUCT((PersonOnVacation=Availability!$A17)*(VacationSprint=Sprint16)*SprintHoursOff)),0,SUMPRODUCT((PersonOnVacation=Availability!$A17)*(VacationSprint=Sprint16)*SprintHoursOff))</f>
        <v>0</v>
      </c>
      <c r="DI17" s="52">
        <f t="shared" si="70"/>
        <v>80</v>
      </c>
      <c r="DJ17" s="42"/>
      <c r="DK17" s="27"/>
      <c r="DL17" s="176" t="str">
        <f t="shared" si="33"/>
        <v>WebTeam1</v>
      </c>
      <c r="DM17" s="42">
        <f t="shared" si="34"/>
        <v>80</v>
      </c>
      <c r="DN17" s="51">
        <f>IF(DM17=0,0,VLOOKUP(Sprint17,Settings!$C$28:$E$53,3)*(DM17/Hours_in_iteration))</f>
        <v>0</v>
      </c>
      <c r="DO17" s="51">
        <f>IF(ISNA(SUMPRODUCT((PersonOnVacation=Availability!$A17)*(VacationSprint=Sprint17)*SprintHoursOff)),0,SUMPRODUCT((PersonOnVacation=Availability!$A17)*(VacationSprint=Sprint17)*SprintHoursOff))</f>
        <v>0</v>
      </c>
      <c r="DP17" s="52">
        <f t="shared" si="71"/>
        <v>80</v>
      </c>
      <c r="DQ17" s="42"/>
      <c r="DR17" s="27"/>
      <c r="DS17" s="176" t="str">
        <f t="shared" si="35"/>
        <v>WebTeam1</v>
      </c>
      <c r="DT17" s="42">
        <f t="shared" si="36"/>
        <v>80</v>
      </c>
      <c r="DU17" s="51">
        <f>IF(DT17=0,0,VLOOKUP(Sprint18,Settings!$C$28:$E$53,3)*(DT17/Hours_in_iteration))</f>
        <v>0</v>
      </c>
      <c r="DV17" s="51">
        <f>IF(ISNA(SUMPRODUCT((PersonOnVacation=Availability!$A17)*(VacationSprint=Sprint18)*SprintHoursOff)),0,SUMPRODUCT((PersonOnVacation=Availability!$A17)*(VacationSprint=Sprint18)*SprintHoursOff))</f>
        <v>0</v>
      </c>
      <c r="DW17" s="52">
        <f t="shared" si="72"/>
        <v>80</v>
      </c>
      <c r="DX17" s="42"/>
      <c r="DY17" s="27"/>
      <c r="DZ17" s="176" t="str">
        <f t="shared" si="37"/>
        <v>WebTeam1</v>
      </c>
      <c r="EA17" s="42">
        <f t="shared" si="38"/>
        <v>80</v>
      </c>
      <c r="EB17" s="51">
        <f>IF(EA17=0,0,VLOOKUP(Sprint19,Settings!$C$28:$E$53,3)*(EA17/Hours_in_iteration))</f>
        <v>0</v>
      </c>
      <c r="EC17" s="51">
        <f>IF(ISNA(SUMPRODUCT((PersonOnVacation=Availability!$A17)*(VacationSprint=Sprint19)*SprintHoursOff)),0,SUMPRODUCT((PersonOnVacation=Availability!$A17)*(VacationSprint=Sprint19)*SprintHoursOff))</f>
        <v>0</v>
      </c>
      <c r="ED17" s="52">
        <f t="shared" si="73"/>
        <v>80</v>
      </c>
      <c r="EE17" s="42"/>
      <c r="EF17" s="27"/>
      <c r="EG17" s="176" t="str">
        <f t="shared" si="39"/>
        <v>WebTeam1</v>
      </c>
      <c r="EH17" s="42">
        <f t="shared" si="40"/>
        <v>80</v>
      </c>
      <c r="EI17" s="51">
        <f>IF(EH17=0,0,VLOOKUP(Sprint20,Settings!$C$28:$E$53,3)*(EH17/Hours_in_iteration))</f>
        <v>0</v>
      </c>
      <c r="EJ17" s="51">
        <f>IF(ISNA(SUMPRODUCT((PersonOnVacation=Availability!$A17)*(VacationSprint=Sprint20)*SprintHoursOff)),0,SUMPRODUCT((PersonOnVacation=Availability!$A17)*(VacationSprint=Sprint20)*SprintHoursOff))</f>
        <v>0</v>
      </c>
      <c r="EK17" s="52">
        <f t="shared" si="74"/>
        <v>80</v>
      </c>
      <c r="EL17" s="42"/>
      <c r="EM17" s="27"/>
      <c r="EN17" s="176" t="str">
        <f t="shared" si="41"/>
        <v>WebTeam1</v>
      </c>
      <c r="EO17" s="42">
        <f t="shared" si="42"/>
        <v>80</v>
      </c>
      <c r="EP17" s="51">
        <f>IF(EO17=0,0,VLOOKUP(Sprint21,Settings!$C$28:$E$53,3)*(EO17/Hours_in_iteration))</f>
        <v>0</v>
      </c>
      <c r="EQ17" s="51">
        <f>IF(ISNA(SUMPRODUCT((PersonOnVacation=Availability!$A17)*(VacationSprint=Sprint21)*SprintHoursOff)),0,SUMPRODUCT((PersonOnVacation=Availability!$A17)*(VacationSprint=Sprint21)*SprintHoursOff))</f>
        <v>0</v>
      </c>
      <c r="ER17" s="52">
        <f t="shared" si="75"/>
        <v>80</v>
      </c>
      <c r="ES17" s="42"/>
      <c r="ET17" s="27"/>
      <c r="EU17" s="176" t="str">
        <f t="shared" si="43"/>
        <v>WebTeam1</v>
      </c>
      <c r="EV17" s="42">
        <f t="shared" si="44"/>
        <v>80</v>
      </c>
      <c r="EW17" s="51">
        <f>IF(EV17=0,0,VLOOKUP(Sprint22,Settings!$C$28:$E$53,3)*(EV17/Hours_in_iteration))</f>
        <v>0</v>
      </c>
      <c r="EX17" s="51">
        <f>IF(ISNA(SUMPRODUCT((PersonOnVacation=Availability!$A17)*(VacationSprint=Sprint22)*SprintHoursOff)),0,SUMPRODUCT((PersonOnVacation=Availability!$A17)*(VacationSprint=Sprint22)*SprintHoursOff))</f>
        <v>0</v>
      </c>
      <c r="EY17" s="52">
        <f t="shared" si="76"/>
        <v>80</v>
      </c>
      <c r="EZ17" s="42"/>
      <c r="FA17" s="27"/>
      <c r="FB17" s="176" t="str">
        <f t="shared" si="45"/>
        <v>WebTeam1</v>
      </c>
      <c r="FC17" s="42">
        <f t="shared" si="46"/>
        <v>80</v>
      </c>
      <c r="FD17" s="51">
        <f>IF(FC17=0,0,VLOOKUP(Sprint23,Settings!$C$28:$E$53,3)*(FC17/Hours_in_iteration))</f>
        <v>0</v>
      </c>
      <c r="FE17" s="51">
        <f>IF(ISNA(SUMPRODUCT((PersonOnVacation=Availability!$A17)*(VacationSprint=Sprint23)*SprintHoursOff)),0,SUMPRODUCT((PersonOnVacation=Availability!$A17)*(VacationSprint=Sprint23)*SprintHoursOff))</f>
        <v>0</v>
      </c>
      <c r="FF17" s="52">
        <f t="shared" si="77"/>
        <v>80</v>
      </c>
      <c r="FG17" s="42"/>
      <c r="FH17" s="27"/>
      <c r="FI17" s="176" t="str">
        <f t="shared" si="47"/>
        <v>WebTeam1</v>
      </c>
      <c r="FJ17" s="42">
        <f t="shared" si="48"/>
        <v>80</v>
      </c>
      <c r="FK17" s="51">
        <f>IF(FJ17=0,0,VLOOKUP(Sprint24,Settings!$C$28:$E$53,3)*(FJ17/Hours_in_iteration))</f>
        <v>0</v>
      </c>
      <c r="FL17" s="51">
        <f>IF(ISNA(SUMPRODUCT((PersonOnVacation=Availability!$A17)*(VacationSprint=Sprint24)*SprintHoursOff)),0,SUMPRODUCT((PersonOnVacation=Availability!$A17)*(VacationSprint=Sprint24)*SprintHoursOff))</f>
        <v>0</v>
      </c>
      <c r="FM17" s="52">
        <f t="shared" si="78"/>
        <v>80</v>
      </c>
      <c r="FN17" s="42"/>
      <c r="FO17" s="27"/>
      <c r="FP17" s="176" t="str">
        <f t="shared" si="49"/>
        <v>WebTeam1</v>
      </c>
      <c r="FQ17" s="42">
        <f t="shared" si="50"/>
        <v>80</v>
      </c>
      <c r="FR17" s="51">
        <f>IF(FQ17=0,0,VLOOKUP(Sprint25,Settings!$C$28:$E$53,3)*(FQ17/Hours_in_iteration))</f>
        <v>0</v>
      </c>
      <c r="FS17" s="51">
        <f>IF(ISNA(SUMPRODUCT((PersonOnVacation=Availability!$A17)*(VacationSprint=Sprint25)*SprintHoursOff)),0,SUMPRODUCT((PersonOnVacation=Availability!$A17)*(VacationSprint=Sprint25)*SprintHoursOff))</f>
        <v>0</v>
      </c>
      <c r="FT17" s="52">
        <f t="shared" si="79"/>
        <v>80</v>
      </c>
      <c r="FU17" s="42"/>
      <c r="FV17" s="27"/>
      <c r="FW17" s="176" t="str">
        <f t="shared" si="51"/>
        <v>WebTeam1</v>
      </c>
      <c r="FX17" s="42">
        <f t="shared" si="52"/>
        <v>80</v>
      </c>
      <c r="FY17" s="51">
        <f>IF(FX17=0,0,VLOOKUP(Sprint26,Settings!$C$28:$E$53,3)*(FX17/Hours_in_iteration))</f>
        <v>0</v>
      </c>
      <c r="FZ17" s="51">
        <f>IF(ISNA(SUMPRODUCT((PersonOnVacation=Availability!$A17)*(VacationSprint=Sprint26)*SprintHoursOff)),0,SUMPRODUCT((PersonOnVacation=Availability!$A17)*(VacationSprint=Sprint26)*SprintHoursOff))</f>
        <v>0</v>
      </c>
      <c r="GA17" s="52">
        <f t="shared" si="80"/>
        <v>80</v>
      </c>
      <c r="GB17" s="42"/>
      <c r="GC17" s="27"/>
      <c r="GD17" s="176" t="str">
        <f t="shared" si="53"/>
        <v>WebTeam1</v>
      </c>
      <c r="GE17" s="42">
        <f t="shared" si="54"/>
        <v>80</v>
      </c>
      <c r="GF17" s="51">
        <f>IF(GE17=0,0,VLOOKUP(Sprint27,Settings!$C$28:$E$53,3)*(GE17/Hours_in_iteration))</f>
        <v>0</v>
      </c>
      <c r="GG17" s="51">
        <f>IF(ISNA(SUMPRODUCT((PersonOnVacation=Availability!$A17)*(VacationSprint=Sprint27)*SprintHoursOff)),0,SUMPRODUCT((PersonOnVacation=Availability!$A17)*(VacationSprint=Sprint27)*SprintHoursOff))</f>
        <v>0</v>
      </c>
      <c r="GH17" s="52">
        <f t="shared" si="81"/>
        <v>80</v>
      </c>
      <c r="GI17" s="42"/>
    </row>
    <row r="18" spans="1:191" s="56" customFormat="1">
      <c r="A18" s="110" t="str">
        <f>Person9</f>
        <v>Dean Morris</v>
      </c>
      <c r="B18" s="42" t="s">
        <v>50</v>
      </c>
      <c r="C18" s="42" t="str">
        <f t="shared" si="0"/>
        <v>WebTeam1 QA</v>
      </c>
      <c r="D18" s="135" t="str">
        <f t="shared" si="1"/>
        <v>WebTeam1</v>
      </c>
      <c r="E18" s="42">
        <f t="shared" si="55"/>
        <v>80</v>
      </c>
      <c r="F18" s="51">
        <f>IF(E18=0,0,VLOOKUP(Sprint1,Settings!$C$28:$E$53,3)*(E18/Hours_in_iteration))</f>
        <v>8</v>
      </c>
      <c r="G18" s="51">
        <f>IF(ISNA(SUMPRODUCT((PersonOnVacation=Availability!A18)*(VacationSprint=Sprint1)*SprintHoursOff)),0,SUMPRODUCT((PersonOnVacation=Availability!A18)*(VacationSprint=Sprint1)*SprintHoursOff))</f>
        <v>0</v>
      </c>
      <c r="H18" s="52">
        <f t="shared" si="2"/>
        <v>72</v>
      </c>
      <c r="I18" s="42"/>
      <c r="J18" s="27"/>
      <c r="K18" s="176" t="str">
        <f t="shared" si="3"/>
        <v>WebTeam1</v>
      </c>
      <c r="L18" s="42">
        <f t="shared" si="4"/>
        <v>80</v>
      </c>
      <c r="M18" s="51">
        <f>IF(L18=0,0,VLOOKUP(Sprint2,Settings!$C$28:$E$53,3)*(L18/Hours_in_iteration))</f>
        <v>8</v>
      </c>
      <c r="N18" s="51">
        <f>IF(ISNA(SUMPRODUCT((PersonOnVacation=Availability!A18)*(VacationSprint=Sprint2)*SprintHoursOff)),0,SUMPRODUCT((PersonOnVacation=Availability!A18)*(VacationSprint=Sprint2)*SprintHoursOff))</f>
        <v>0</v>
      </c>
      <c r="O18" s="52">
        <f t="shared" si="56"/>
        <v>72</v>
      </c>
      <c r="P18" s="42"/>
      <c r="Q18" s="27"/>
      <c r="R18" s="176" t="str">
        <f t="shared" si="5"/>
        <v>WebTeam1</v>
      </c>
      <c r="S18" s="42">
        <f t="shared" si="6"/>
        <v>80</v>
      </c>
      <c r="T18" s="51">
        <f>IF(S18=0,0,VLOOKUP(Sprint3,Settings!$C$28:$E$53,3)*(S18/Hours_in_iteration))</f>
        <v>0</v>
      </c>
      <c r="U18" s="51">
        <f>IF(ISNA(SUMPRODUCT((PersonOnVacation=Availability!A18)*(VacationSprint=Sprint3)*SprintHoursOff)),0,SUMPRODUCT((PersonOnVacation=Availability!A18)*(VacationSprint=Sprint3)*SprintHoursOff))</f>
        <v>0</v>
      </c>
      <c r="V18" s="52">
        <f t="shared" si="57"/>
        <v>80</v>
      </c>
      <c r="W18" s="42"/>
      <c r="X18" s="27"/>
      <c r="Y18" s="176" t="str">
        <f t="shared" si="7"/>
        <v>WebTeam1</v>
      </c>
      <c r="Z18" s="42">
        <f t="shared" si="8"/>
        <v>80</v>
      </c>
      <c r="AA18" s="51">
        <f>IF(Z18=0,0,VLOOKUP(Sprint4,Settings!$C$28:$E$53,3)*(Z18/Hours_in_iteration))</f>
        <v>8</v>
      </c>
      <c r="AB18" s="51">
        <f>IF(ISNA(SUMPRODUCT((PersonOnVacation=Availability!$A18)*(VacationSprint=Sprint4)*SprintHoursOff)),0,SUMPRODUCT((PersonOnVacation=Availability!$A18)*(VacationSprint=Sprint4)*SprintHoursOff))</f>
        <v>0</v>
      </c>
      <c r="AC18" s="52">
        <f t="shared" si="58"/>
        <v>72</v>
      </c>
      <c r="AD18" s="42"/>
      <c r="AE18" s="27"/>
      <c r="AF18" s="176" t="str">
        <f t="shared" si="9"/>
        <v>WebTeam1</v>
      </c>
      <c r="AG18" s="42">
        <f t="shared" si="10"/>
        <v>80</v>
      </c>
      <c r="AH18" s="51">
        <f>IF(AG18=0,0,VLOOKUP(Sprint5,Settings!$C$28:$E$53,3)*(AG18/Hours_in_iteration))</f>
        <v>0</v>
      </c>
      <c r="AI18" s="51">
        <f>IF(ISNA(SUMPRODUCT((PersonOnVacation=Availability!$A18)*(VacationSprint=Sprint5)*SprintHoursOff)),0,SUMPRODUCT((PersonOnVacation=Availability!$A18)*(VacationSprint=Sprint5)*SprintHoursOff))</f>
        <v>0</v>
      </c>
      <c r="AJ18" s="52">
        <f t="shared" si="59"/>
        <v>80</v>
      </c>
      <c r="AK18" s="42"/>
      <c r="AL18" s="27"/>
      <c r="AM18" s="176" t="str">
        <f t="shared" si="11"/>
        <v>WebTeam1</v>
      </c>
      <c r="AN18" s="42">
        <f t="shared" si="12"/>
        <v>0</v>
      </c>
      <c r="AO18" s="51">
        <f>IF(AN18=0,0,VLOOKUP(Sprint6,Settings!$C$28:$E$53,3)*(AN18/Hours_in_iteration))</f>
        <v>0</v>
      </c>
      <c r="AP18" s="51">
        <f>IF(ISNA(SUMPRODUCT((PersonOnVacation=Availability!$A18)*(VacationSprint=Sprint6)*SprintHoursOff)),0,SUMPRODUCT((PersonOnVacation=Availability!$A18)*(VacationSprint=Sprint6)*SprintHoursOff))</f>
        <v>0</v>
      </c>
      <c r="AQ18" s="52">
        <f t="shared" si="60"/>
        <v>0</v>
      </c>
      <c r="AR18" s="42"/>
      <c r="AS18" s="27"/>
      <c r="AT18" s="176" t="str">
        <f t="shared" si="13"/>
        <v>WebTeam1</v>
      </c>
      <c r="AU18" s="42">
        <f t="shared" si="14"/>
        <v>0</v>
      </c>
      <c r="AV18" s="51">
        <f>IF(AU18=0,0,VLOOKUP(Sprint7,Settings!$C$28:$E$53,3)*(AU18/Hours_in_iteration))</f>
        <v>0</v>
      </c>
      <c r="AW18" s="51">
        <f>IF(ISNA(SUMPRODUCT((PersonOnVacation=Availability!$A18)*(VacationSprint=Sprint7)*SprintHoursOff)),0,SUMPRODUCT((PersonOnVacation=Availability!$A18)*(VacationSprint=Sprint7)*SprintHoursOff))</f>
        <v>0</v>
      </c>
      <c r="AX18" s="52">
        <f t="shared" si="61"/>
        <v>0</v>
      </c>
      <c r="AY18" s="42"/>
      <c r="AZ18" s="27"/>
      <c r="BA18" s="176" t="str">
        <f t="shared" si="15"/>
        <v>WebTeam1</v>
      </c>
      <c r="BB18" s="42">
        <f t="shared" si="16"/>
        <v>0</v>
      </c>
      <c r="BC18" s="51">
        <f>IF(BB18=0,0,VLOOKUP(Sprint8,Settings!$C$28:$E$53,3)*(BB18/Hours_in_iteration))</f>
        <v>0</v>
      </c>
      <c r="BD18" s="51">
        <f>IF(ISNA(SUMPRODUCT((PersonOnVacation=Availability!$A18)*(VacationSprint=Sprint8)*SprintHoursOff)),0,SUMPRODUCT((PersonOnVacation=Availability!$A18)*(VacationSprint=Sprint8)*SprintHoursOff))</f>
        <v>0</v>
      </c>
      <c r="BE18" s="52">
        <f t="shared" si="62"/>
        <v>0</v>
      </c>
      <c r="BF18" s="42"/>
      <c r="BG18" s="27"/>
      <c r="BH18" s="176" t="str">
        <f t="shared" si="17"/>
        <v>WebTeam1</v>
      </c>
      <c r="BI18" s="42">
        <f t="shared" si="18"/>
        <v>0</v>
      </c>
      <c r="BJ18" s="51">
        <f>IF(BI18=0,0,VLOOKUP(Sprint9,Settings!$C$28:$E$53,3)*(BI18/Hours_in_iteration))</f>
        <v>0</v>
      </c>
      <c r="BK18" s="51">
        <f>IF(ISNA(SUMPRODUCT((PersonOnVacation=Availability!$A18)*(VacationSprint=Sprint9)*SprintHoursOff)),0,SUMPRODUCT((PersonOnVacation=Availability!$A18)*(VacationSprint=Sprint9)*SprintHoursOff))</f>
        <v>0</v>
      </c>
      <c r="BL18" s="52">
        <f t="shared" si="63"/>
        <v>0</v>
      </c>
      <c r="BM18" s="42"/>
      <c r="BN18" s="27"/>
      <c r="BO18" s="176" t="str">
        <f t="shared" si="19"/>
        <v>WebTeam1</v>
      </c>
      <c r="BP18" s="42">
        <f t="shared" si="20"/>
        <v>0</v>
      </c>
      <c r="BQ18" s="51">
        <f>IF(BP18=0,0,VLOOKUP(Sprint10,Settings!$C$28:$E$53,3)*(BP18/Hours_in_iteration))</f>
        <v>0</v>
      </c>
      <c r="BR18" s="51">
        <f>IF(ISNA(SUMPRODUCT((PersonOnVacation=Availability!$A18)*(VacationSprint=Sprint10)*SprintHoursOff)),0,SUMPRODUCT((PersonOnVacation=Availability!$A18)*(VacationSprint=Sprint10)*SprintHoursOff))</f>
        <v>0</v>
      </c>
      <c r="BS18" s="52">
        <f t="shared" si="64"/>
        <v>0</v>
      </c>
      <c r="BT18" s="42"/>
      <c r="BU18" s="27"/>
      <c r="BV18" s="176" t="str">
        <f t="shared" si="21"/>
        <v>WebTeam1</v>
      </c>
      <c r="BW18" s="42">
        <f t="shared" si="22"/>
        <v>0</v>
      </c>
      <c r="BX18" s="51">
        <f>IF(BW18=0,0,VLOOKUP(Sprint11,Settings!$C$28:$E$53,3)*(BW18/Hours_in_iteration))</f>
        <v>0</v>
      </c>
      <c r="BY18" s="51">
        <f>IF(ISNA(SUMPRODUCT((PersonOnVacation=Availability!$A18)*(VacationSprint=Sprint11)*SprintHoursOff)),0,SUMPRODUCT((PersonOnVacation=Availability!$A18)*(VacationSprint=Sprint11)*SprintHoursOff))</f>
        <v>0</v>
      </c>
      <c r="BZ18" s="52">
        <f t="shared" si="65"/>
        <v>0</v>
      </c>
      <c r="CA18" s="42"/>
      <c r="CB18" s="27"/>
      <c r="CC18" s="176" t="str">
        <f t="shared" si="23"/>
        <v>WebTeam1</v>
      </c>
      <c r="CD18" s="42">
        <f t="shared" si="24"/>
        <v>0</v>
      </c>
      <c r="CE18" s="51">
        <f>IF(CD18=0,0,VLOOKUP(Sprint12,Settings!$C$28:$E$53,3)*(CD18/Hours_in_iteration))</f>
        <v>0</v>
      </c>
      <c r="CF18" s="51">
        <f>IF(ISNA(SUMPRODUCT((PersonOnVacation=Availability!$A18)*(VacationSprint=Sprint12)*SprintHoursOff)),0,SUMPRODUCT((PersonOnVacation=Availability!$A18)*(VacationSprint=Sprint12)*SprintHoursOff))</f>
        <v>0</v>
      </c>
      <c r="CG18" s="52">
        <f t="shared" si="66"/>
        <v>0</v>
      </c>
      <c r="CH18" s="42"/>
      <c r="CI18" s="27"/>
      <c r="CJ18" s="176" t="str">
        <f t="shared" si="25"/>
        <v>WebTeam1</v>
      </c>
      <c r="CK18" s="42">
        <f t="shared" si="26"/>
        <v>0</v>
      </c>
      <c r="CL18" s="51">
        <f>IF(CK18=0,0,VLOOKUP(Sprint13,Settings!$C$28:$E$53,3)*(CK18/Hours_in_iteration))</f>
        <v>0</v>
      </c>
      <c r="CM18" s="51">
        <f>IF(ISNA(SUMPRODUCT((PersonOnVacation=Availability!$A18)*(VacationSprint=Sprint13)*SprintHoursOff)),0,SUMPRODUCT((PersonOnVacation=Availability!$A18)*(VacationSprint=Sprint13)*SprintHoursOff))</f>
        <v>0</v>
      </c>
      <c r="CN18" s="52">
        <f t="shared" si="67"/>
        <v>0</v>
      </c>
      <c r="CO18" s="42"/>
      <c r="CP18" s="27"/>
      <c r="CQ18" s="176" t="str">
        <f t="shared" si="27"/>
        <v>WebTeam1</v>
      </c>
      <c r="CR18" s="42">
        <f t="shared" si="28"/>
        <v>0</v>
      </c>
      <c r="CS18" s="51">
        <f>IF(CR18=0,0,VLOOKUP(Sprint14,Settings!$C$28:$E$53,3)*(CR18/Hours_in_iteration))</f>
        <v>0</v>
      </c>
      <c r="CT18" s="51">
        <f>IF(ISNA(SUMPRODUCT((PersonOnVacation=Availability!$A18)*(VacationSprint=Sprint14)*SprintHoursOff)),0,SUMPRODUCT((PersonOnVacation=Availability!$A18)*(VacationSprint=Sprint14)*SprintHoursOff))</f>
        <v>0</v>
      </c>
      <c r="CU18" s="52">
        <f t="shared" si="68"/>
        <v>0</v>
      </c>
      <c r="CV18" s="42"/>
      <c r="CW18" s="27"/>
      <c r="CX18" s="176" t="str">
        <f t="shared" si="29"/>
        <v>WebTeam1</v>
      </c>
      <c r="CY18" s="42">
        <f t="shared" si="30"/>
        <v>0</v>
      </c>
      <c r="CZ18" s="51">
        <f>IF(CY18=0,0,VLOOKUP(Sprint15,Settings!$C$28:$E$53,3)*(CY18/Hours_in_iteration))</f>
        <v>0</v>
      </c>
      <c r="DA18" s="51">
        <f>IF(ISNA(SUMPRODUCT((PersonOnVacation=Availability!$A18)*(VacationSprint=Sprint15)*SprintHoursOff)),0,SUMPRODUCT((PersonOnVacation=Availability!$A18)*(VacationSprint=Sprint15)*SprintHoursOff))</f>
        <v>0</v>
      </c>
      <c r="DB18" s="52">
        <f t="shared" si="69"/>
        <v>0</v>
      </c>
      <c r="DC18" s="42"/>
      <c r="DD18" s="27"/>
      <c r="DE18" s="176" t="str">
        <f t="shared" si="31"/>
        <v>WebTeam1</v>
      </c>
      <c r="DF18" s="42">
        <f t="shared" si="32"/>
        <v>0</v>
      </c>
      <c r="DG18" s="51">
        <f>IF(DF18=0,0,VLOOKUP(Sprint16,Settings!$C$28:$E$53,3)*(DF18/Hours_in_iteration))</f>
        <v>0</v>
      </c>
      <c r="DH18" s="51">
        <f>IF(ISNA(SUMPRODUCT((PersonOnVacation=Availability!$A18)*(VacationSprint=Sprint16)*SprintHoursOff)),0,SUMPRODUCT((PersonOnVacation=Availability!$A18)*(VacationSprint=Sprint16)*SprintHoursOff))</f>
        <v>0</v>
      </c>
      <c r="DI18" s="52">
        <f t="shared" si="70"/>
        <v>0</v>
      </c>
      <c r="DJ18" s="42"/>
      <c r="DK18" s="27"/>
      <c r="DL18" s="176" t="str">
        <f t="shared" si="33"/>
        <v>WebTeam1</v>
      </c>
      <c r="DM18" s="42">
        <f t="shared" si="34"/>
        <v>0</v>
      </c>
      <c r="DN18" s="51">
        <f>IF(DM18=0,0,VLOOKUP(Sprint17,Settings!$C$28:$E$53,3)*(DM18/Hours_in_iteration))</f>
        <v>0</v>
      </c>
      <c r="DO18" s="51">
        <f>IF(ISNA(SUMPRODUCT((PersonOnVacation=Availability!$A18)*(VacationSprint=Sprint17)*SprintHoursOff)),0,SUMPRODUCT((PersonOnVacation=Availability!$A18)*(VacationSprint=Sprint17)*SprintHoursOff))</f>
        <v>0</v>
      </c>
      <c r="DP18" s="52">
        <f t="shared" si="71"/>
        <v>0</v>
      </c>
      <c r="DQ18" s="42"/>
      <c r="DR18" s="27"/>
      <c r="DS18" s="176" t="str">
        <f t="shared" si="35"/>
        <v>WebTeam1</v>
      </c>
      <c r="DT18" s="42">
        <f t="shared" si="36"/>
        <v>0</v>
      </c>
      <c r="DU18" s="51">
        <f>IF(DT18=0,0,VLOOKUP(Sprint18,Settings!$C$28:$E$53,3)*(DT18/Hours_in_iteration))</f>
        <v>0</v>
      </c>
      <c r="DV18" s="51">
        <f>IF(ISNA(SUMPRODUCT((PersonOnVacation=Availability!$A18)*(VacationSprint=Sprint18)*SprintHoursOff)),0,SUMPRODUCT((PersonOnVacation=Availability!$A18)*(VacationSprint=Sprint18)*SprintHoursOff))</f>
        <v>0</v>
      </c>
      <c r="DW18" s="52">
        <f t="shared" si="72"/>
        <v>0</v>
      </c>
      <c r="DX18" s="42"/>
      <c r="DY18" s="27"/>
      <c r="DZ18" s="176" t="str">
        <f t="shared" si="37"/>
        <v>WebTeam1</v>
      </c>
      <c r="EA18" s="42">
        <f t="shared" si="38"/>
        <v>0</v>
      </c>
      <c r="EB18" s="51">
        <f>IF(EA18=0,0,VLOOKUP(Sprint19,Settings!$C$28:$E$53,3)*(EA18/Hours_in_iteration))</f>
        <v>0</v>
      </c>
      <c r="EC18" s="51">
        <f>IF(ISNA(SUMPRODUCT((PersonOnVacation=Availability!$A18)*(VacationSprint=Sprint19)*SprintHoursOff)),0,SUMPRODUCT((PersonOnVacation=Availability!$A18)*(VacationSprint=Sprint19)*SprintHoursOff))</f>
        <v>0</v>
      </c>
      <c r="ED18" s="52">
        <f t="shared" si="73"/>
        <v>0</v>
      </c>
      <c r="EE18" s="42"/>
      <c r="EF18" s="27"/>
      <c r="EG18" s="176" t="str">
        <f t="shared" si="39"/>
        <v>WebTeam1</v>
      </c>
      <c r="EH18" s="42">
        <f t="shared" si="40"/>
        <v>0</v>
      </c>
      <c r="EI18" s="51">
        <f>IF(EH18=0,0,VLOOKUP(Sprint20,Settings!$C$28:$E$53,3)*(EH18/Hours_in_iteration))</f>
        <v>0</v>
      </c>
      <c r="EJ18" s="51">
        <f>IF(ISNA(SUMPRODUCT((PersonOnVacation=Availability!$A18)*(VacationSprint=Sprint20)*SprintHoursOff)),0,SUMPRODUCT((PersonOnVacation=Availability!$A18)*(VacationSprint=Sprint20)*SprintHoursOff))</f>
        <v>0</v>
      </c>
      <c r="EK18" s="52">
        <f t="shared" si="74"/>
        <v>0</v>
      </c>
      <c r="EL18" s="42"/>
      <c r="EM18" s="27"/>
      <c r="EN18" s="176" t="str">
        <f t="shared" si="41"/>
        <v>WebTeam1</v>
      </c>
      <c r="EO18" s="42">
        <f t="shared" si="42"/>
        <v>0</v>
      </c>
      <c r="EP18" s="51">
        <f>IF(EO18=0,0,VLOOKUP(Sprint21,Settings!$C$28:$E$53,3)*(EO18/Hours_in_iteration))</f>
        <v>0</v>
      </c>
      <c r="EQ18" s="51">
        <f>IF(ISNA(SUMPRODUCT((PersonOnVacation=Availability!$A18)*(VacationSprint=Sprint21)*SprintHoursOff)),0,SUMPRODUCT((PersonOnVacation=Availability!$A18)*(VacationSprint=Sprint21)*SprintHoursOff))</f>
        <v>0</v>
      </c>
      <c r="ER18" s="52">
        <f t="shared" si="75"/>
        <v>0</v>
      </c>
      <c r="ES18" s="42"/>
      <c r="ET18" s="27"/>
      <c r="EU18" s="176" t="str">
        <f t="shared" si="43"/>
        <v>WebTeam1</v>
      </c>
      <c r="EV18" s="42">
        <f t="shared" si="44"/>
        <v>0</v>
      </c>
      <c r="EW18" s="51">
        <f>IF(EV18=0,0,VLOOKUP(Sprint22,Settings!$C$28:$E$53,3)*(EV18/Hours_in_iteration))</f>
        <v>0</v>
      </c>
      <c r="EX18" s="51">
        <f>IF(ISNA(SUMPRODUCT((PersonOnVacation=Availability!$A18)*(VacationSprint=Sprint22)*SprintHoursOff)),0,SUMPRODUCT((PersonOnVacation=Availability!$A18)*(VacationSprint=Sprint22)*SprintHoursOff))</f>
        <v>0</v>
      </c>
      <c r="EY18" s="52">
        <f t="shared" si="76"/>
        <v>0</v>
      </c>
      <c r="EZ18" s="42"/>
      <c r="FA18" s="27"/>
      <c r="FB18" s="176" t="str">
        <f t="shared" si="45"/>
        <v>WebTeam1</v>
      </c>
      <c r="FC18" s="42">
        <f t="shared" si="46"/>
        <v>0</v>
      </c>
      <c r="FD18" s="51">
        <f>IF(FC18=0,0,VLOOKUP(Sprint23,Settings!$C$28:$E$53,3)*(FC18/Hours_in_iteration))</f>
        <v>0</v>
      </c>
      <c r="FE18" s="51">
        <f>IF(ISNA(SUMPRODUCT((PersonOnVacation=Availability!$A18)*(VacationSprint=Sprint23)*SprintHoursOff)),0,SUMPRODUCT((PersonOnVacation=Availability!$A18)*(VacationSprint=Sprint23)*SprintHoursOff))</f>
        <v>0</v>
      </c>
      <c r="FF18" s="52">
        <f t="shared" si="77"/>
        <v>0</v>
      </c>
      <c r="FG18" s="42"/>
      <c r="FH18" s="27"/>
      <c r="FI18" s="176" t="str">
        <f t="shared" si="47"/>
        <v>WebTeam1</v>
      </c>
      <c r="FJ18" s="42">
        <f t="shared" si="48"/>
        <v>0</v>
      </c>
      <c r="FK18" s="51">
        <f>IF(FJ18=0,0,VLOOKUP(Sprint24,Settings!$C$28:$E$53,3)*(FJ18/Hours_in_iteration))</f>
        <v>0</v>
      </c>
      <c r="FL18" s="51">
        <f>IF(ISNA(SUMPRODUCT((PersonOnVacation=Availability!$A18)*(VacationSprint=Sprint24)*SprintHoursOff)),0,SUMPRODUCT((PersonOnVacation=Availability!$A18)*(VacationSprint=Sprint24)*SprintHoursOff))</f>
        <v>0</v>
      </c>
      <c r="FM18" s="52">
        <f t="shared" si="78"/>
        <v>0</v>
      </c>
      <c r="FN18" s="42"/>
      <c r="FO18" s="27"/>
      <c r="FP18" s="176" t="str">
        <f t="shared" si="49"/>
        <v>WebTeam1</v>
      </c>
      <c r="FQ18" s="42">
        <f t="shared" si="50"/>
        <v>0</v>
      </c>
      <c r="FR18" s="51">
        <f>IF(FQ18=0,0,VLOOKUP(Sprint25,Settings!$C$28:$E$53,3)*(FQ18/Hours_in_iteration))</f>
        <v>0</v>
      </c>
      <c r="FS18" s="51">
        <f>IF(ISNA(SUMPRODUCT((PersonOnVacation=Availability!$A18)*(VacationSprint=Sprint25)*SprintHoursOff)),0,SUMPRODUCT((PersonOnVacation=Availability!$A18)*(VacationSprint=Sprint25)*SprintHoursOff))</f>
        <v>0</v>
      </c>
      <c r="FT18" s="52">
        <f t="shared" si="79"/>
        <v>0</v>
      </c>
      <c r="FU18" s="42"/>
      <c r="FV18" s="27"/>
      <c r="FW18" s="176" t="str">
        <f t="shared" si="51"/>
        <v>WebTeam1</v>
      </c>
      <c r="FX18" s="42">
        <f t="shared" si="52"/>
        <v>0</v>
      </c>
      <c r="FY18" s="51">
        <f>IF(FX18=0,0,VLOOKUP(Sprint26,Settings!$C$28:$E$53,3)*(FX18/Hours_in_iteration))</f>
        <v>0</v>
      </c>
      <c r="FZ18" s="51">
        <f>IF(ISNA(SUMPRODUCT((PersonOnVacation=Availability!$A18)*(VacationSprint=Sprint26)*SprintHoursOff)),0,SUMPRODUCT((PersonOnVacation=Availability!$A18)*(VacationSprint=Sprint26)*SprintHoursOff))</f>
        <v>0</v>
      </c>
      <c r="GA18" s="52">
        <f t="shared" si="80"/>
        <v>0</v>
      </c>
      <c r="GB18" s="42"/>
      <c r="GC18" s="27"/>
      <c r="GD18" s="176" t="str">
        <f t="shared" si="53"/>
        <v>WebTeam1</v>
      </c>
      <c r="GE18" s="42">
        <f t="shared" si="54"/>
        <v>0</v>
      </c>
      <c r="GF18" s="51">
        <f>IF(GE18=0,0,VLOOKUP(Sprint27,Settings!$C$28:$E$53,3)*(GE18/Hours_in_iteration))</f>
        <v>0</v>
      </c>
      <c r="GG18" s="51">
        <f>IF(ISNA(SUMPRODUCT((PersonOnVacation=Availability!$A18)*(VacationSprint=Sprint27)*SprintHoursOff)),0,SUMPRODUCT((PersonOnVacation=Availability!$A18)*(VacationSprint=Sprint27)*SprintHoursOff))</f>
        <v>0</v>
      </c>
      <c r="GH18" s="52">
        <f t="shared" si="81"/>
        <v>0</v>
      </c>
      <c r="GI18" s="42"/>
    </row>
    <row r="19" spans="1:191" s="56" customFormat="1">
      <c r="A19" s="110" t="str">
        <f>Person10</f>
        <v>Janna Taylor</v>
      </c>
      <c r="B19" s="42" t="s">
        <v>49</v>
      </c>
      <c r="C19" s="42" t="str">
        <f t="shared" si="0"/>
        <v>WebTeam1 Dev</v>
      </c>
      <c r="D19" s="135" t="str">
        <f t="shared" si="1"/>
        <v>WebTeam1</v>
      </c>
      <c r="E19" s="42">
        <f t="shared" si="55"/>
        <v>80</v>
      </c>
      <c r="F19" s="51">
        <f>IF(E19=0,0,VLOOKUP(Sprint1,Settings!$C$28:$E$53,3)*(E19/Hours_in_iteration))</f>
        <v>8</v>
      </c>
      <c r="G19" s="51">
        <f>IF(ISNA(SUMPRODUCT((PersonOnVacation=Availability!A19)*(VacationSprint=Sprint1)*SprintHoursOff)),0,SUMPRODUCT((PersonOnVacation=Availability!A19)*(VacationSprint=Sprint1)*SprintHoursOff))</f>
        <v>0</v>
      </c>
      <c r="H19" s="52">
        <f t="shared" si="2"/>
        <v>72</v>
      </c>
      <c r="I19" s="42"/>
      <c r="J19" s="27"/>
      <c r="K19" s="176" t="str">
        <f t="shared" si="3"/>
        <v>WebTeam1</v>
      </c>
      <c r="L19" s="42">
        <f t="shared" si="4"/>
        <v>80</v>
      </c>
      <c r="M19" s="51">
        <f>IF(L19=0,0,VLOOKUP(Sprint2,Settings!$C$28:$E$53,3)*(L19/Hours_in_iteration))</f>
        <v>8</v>
      </c>
      <c r="N19" s="51">
        <f>IF(ISNA(SUMPRODUCT((PersonOnVacation=Availability!A19)*(VacationSprint=Sprint2)*SprintHoursOff)),0,SUMPRODUCT((PersonOnVacation=Availability!A19)*(VacationSprint=Sprint2)*SprintHoursOff))</f>
        <v>0</v>
      </c>
      <c r="O19" s="52">
        <f t="shared" si="56"/>
        <v>72</v>
      </c>
      <c r="P19" s="42"/>
      <c r="Q19" s="27"/>
      <c r="R19" s="176" t="str">
        <f t="shared" si="5"/>
        <v>WebTeam1</v>
      </c>
      <c r="S19" s="42">
        <f t="shared" si="6"/>
        <v>80</v>
      </c>
      <c r="T19" s="51">
        <f>IF(S19=0,0,VLOOKUP(Sprint3,Settings!$C$28:$E$53,3)*(S19/Hours_in_iteration))</f>
        <v>0</v>
      </c>
      <c r="U19" s="51">
        <f>IF(ISNA(SUMPRODUCT((PersonOnVacation=Availability!A19)*(VacationSprint=Sprint3)*SprintHoursOff)),0,SUMPRODUCT((PersonOnVacation=Availability!A19)*(VacationSprint=Sprint3)*SprintHoursOff))</f>
        <v>0</v>
      </c>
      <c r="V19" s="52">
        <f t="shared" si="57"/>
        <v>80</v>
      </c>
      <c r="W19" s="42"/>
      <c r="X19" s="27"/>
      <c r="Y19" s="176" t="str">
        <f t="shared" si="7"/>
        <v>WebTeam1</v>
      </c>
      <c r="Z19" s="42">
        <f t="shared" si="8"/>
        <v>80</v>
      </c>
      <c r="AA19" s="51">
        <f>IF(Z19=0,0,VLOOKUP(Sprint4,Settings!$C$28:$E$53,3)*(Z19/Hours_in_iteration))</f>
        <v>8</v>
      </c>
      <c r="AB19" s="51">
        <f>IF(ISNA(SUMPRODUCT((PersonOnVacation=Availability!$A19)*(VacationSprint=Sprint4)*SprintHoursOff)),0,SUMPRODUCT((PersonOnVacation=Availability!$A19)*(VacationSprint=Sprint4)*SprintHoursOff))</f>
        <v>0</v>
      </c>
      <c r="AC19" s="52">
        <f t="shared" si="58"/>
        <v>72</v>
      </c>
      <c r="AD19" s="42"/>
      <c r="AE19" s="27"/>
      <c r="AF19" s="176" t="str">
        <f t="shared" si="9"/>
        <v>WebTeam1</v>
      </c>
      <c r="AG19" s="42">
        <f t="shared" si="10"/>
        <v>80</v>
      </c>
      <c r="AH19" s="51">
        <f>IF(AG19=0,0,VLOOKUP(Sprint5,Settings!$C$28:$E$53,3)*(AG19/Hours_in_iteration))</f>
        <v>0</v>
      </c>
      <c r="AI19" s="51">
        <f>IF(ISNA(SUMPRODUCT((PersonOnVacation=Availability!$A19)*(VacationSprint=Sprint5)*SprintHoursOff)),0,SUMPRODUCT((PersonOnVacation=Availability!$A19)*(VacationSprint=Sprint5)*SprintHoursOff))</f>
        <v>0</v>
      </c>
      <c r="AJ19" s="52">
        <f t="shared" si="59"/>
        <v>80</v>
      </c>
      <c r="AK19" s="42"/>
      <c r="AL19" s="27"/>
      <c r="AM19" s="176" t="str">
        <f t="shared" si="11"/>
        <v>WebTeam1</v>
      </c>
      <c r="AN19" s="42">
        <f t="shared" si="12"/>
        <v>80</v>
      </c>
      <c r="AO19" s="51">
        <f>IF(AN19=0,0,VLOOKUP(Sprint6,Settings!$C$28:$E$53,3)*(AN19/Hours_in_iteration))</f>
        <v>0</v>
      </c>
      <c r="AP19" s="51">
        <f>IF(ISNA(SUMPRODUCT((PersonOnVacation=Availability!$A19)*(VacationSprint=Sprint6)*SprintHoursOff)),0,SUMPRODUCT((PersonOnVacation=Availability!$A19)*(VacationSprint=Sprint6)*SprintHoursOff))</f>
        <v>0</v>
      </c>
      <c r="AQ19" s="52">
        <f t="shared" si="60"/>
        <v>80</v>
      </c>
      <c r="AR19" s="42"/>
      <c r="AS19" s="27"/>
      <c r="AT19" s="176" t="str">
        <f t="shared" si="13"/>
        <v>WebTeam1</v>
      </c>
      <c r="AU19" s="42">
        <f t="shared" si="14"/>
        <v>80</v>
      </c>
      <c r="AV19" s="51">
        <f>IF(AU19=0,0,VLOOKUP(Sprint7,Settings!$C$28:$E$53,3)*(AU19/Hours_in_iteration))</f>
        <v>0</v>
      </c>
      <c r="AW19" s="51">
        <f>IF(ISNA(SUMPRODUCT((PersonOnVacation=Availability!$A19)*(VacationSprint=Sprint7)*SprintHoursOff)),0,SUMPRODUCT((PersonOnVacation=Availability!$A19)*(VacationSprint=Sprint7)*SprintHoursOff))</f>
        <v>0</v>
      </c>
      <c r="AX19" s="52">
        <f t="shared" si="61"/>
        <v>80</v>
      </c>
      <c r="AY19" s="42"/>
      <c r="AZ19" s="27"/>
      <c r="BA19" s="176" t="str">
        <f t="shared" si="15"/>
        <v>WebTeam1</v>
      </c>
      <c r="BB19" s="42">
        <f t="shared" si="16"/>
        <v>80</v>
      </c>
      <c r="BC19" s="51">
        <f>IF(BB19=0,0,VLOOKUP(Sprint8,Settings!$C$28:$E$53,3)*(BB19/Hours_in_iteration))</f>
        <v>0</v>
      </c>
      <c r="BD19" s="51">
        <f>IF(ISNA(SUMPRODUCT((PersonOnVacation=Availability!$A19)*(VacationSprint=Sprint8)*SprintHoursOff)),0,SUMPRODUCT((PersonOnVacation=Availability!$A19)*(VacationSprint=Sprint8)*SprintHoursOff))</f>
        <v>0</v>
      </c>
      <c r="BE19" s="52">
        <f t="shared" si="62"/>
        <v>80</v>
      </c>
      <c r="BF19" s="42"/>
      <c r="BG19" s="27"/>
      <c r="BH19" s="176" t="str">
        <f t="shared" si="17"/>
        <v>WebTeam1</v>
      </c>
      <c r="BI19" s="42">
        <f t="shared" si="18"/>
        <v>80</v>
      </c>
      <c r="BJ19" s="51">
        <f>IF(BI19=0,0,VLOOKUP(Sprint9,Settings!$C$28:$E$53,3)*(BI19/Hours_in_iteration))</f>
        <v>0</v>
      </c>
      <c r="BK19" s="51">
        <f>IF(ISNA(SUMPRODUCT((PersonOnVacation=Availability!$A19)*(VacationSprint=Sprint9)*SprintHoursOff)),0,SUMPRODUCT((PersonOnVacation=Availability!$A19)*(VacationSprint=Sprint9)*SprintHoursOff))</f>
        <v>0</v>
      </c>
      <c r="BL19" s="52">
        <f t="shared" si="63"/>
        <v>80</v>
      </c>
      <c r="BM19" s="42"/>
      <c r="BN19" s="27"/>
      <c r="BO19" s="176" t="str">
        <f t="shared" si="19"/>
        <v>WebTeam1</v>
      </c>
      <c r="BP19" s="42">
        <f t="shared" si="20"/>
        <v>80</v>
      </c>
      <c r="BQ19" s="51">
        <f>IF(BP19=0,0,VLOOKUP(Sprint10,Settings!$C$28:$E$53,3)*(BP19/Hours_in_iteration))</f>
        <v>0</v>
      </c>
      <c r="BR19" s="51">
        <f>IF(ISNA(SUMPRODUCT((PersonOnVacation=Availability!$A19)*(VacationSprint=Sprint10)*SprintHoursOff)),0,SUMPRODUCT((PersonOnVacation=Availability!$A19)*(VacationSprint=Sprint10)*SprintHoursOff))</f>
        <v>0</v>
      </c>
      <c r="BS19" s="52">
        <f t="shared" si="64"/>
        <v>80</v>
      </c>
      <c r="BT19" s="42"/>
      <c r="BU19" s="27"/>
      <c r="BV19" s="176" t="str">
        <f t="shared" si="21"/>
        <v>WebTeam1</v>
      </c>
      <c r="BW19" s="42">
        <f t="shared" si="22"/>
        <v>80</v>
      </c>
      <c r="BX19" s="51">
        <f>IF(BW19=0,0,VLOOKUP(Sprint11,Settings!$C$28:$E$53,3)*(BW19/Hours_in_iteration))</f>
        <v>0</v>
      </c>
      <c r="BY19" s="51">
        <f>IF(ISNA(SUMPRODUCT((PersonOnVacation=Availability!$A19)*(VacationSprint=Sprint11)*SprintHoursOff)),0,SUMPRODUCT((PersonOnVacation=Availability!$A19)*(VacationSprint=Sprint11)*SprintHoursOff))</f>
        <v>0</v>
      </c>
      <c r="BZ19" s="52">
        <f t="shared" si="65"/>
        <v>80</v>
      </c>
      <c r="CA19" s="42"/>
      <c r="CB19" s="27"/>
      <c r="CC19" s="176" t="str">
        <f t="shared" si="23"/>
        <v>WebTeam1</v>
      </c>
      <c r="CD19" s="42">
        <f t="shared" si="24"/>
        <v>80</v>
      </c>
      <c r="CE19" s="51">
        <f>IF(CD19=0,0,VLOOKUP(Sprint12,Settings!$C$28:$E$53,3)*(CD19/Hours_in_iteration))</f>
        <v>0</v>
      </c>
      <c r="CF19" s="51">
        <f>IF(ISNA(SUMPRODUCT((PersonOnVacation=Availability!$A19)*(VacationSprint=Sprint12)*SprintHoursOff)),0,SUMPRODUCT((PersonOnVacation=Availability!$A19)*(VacationSprint=Sprint12)*SprintHoursOff))</f>
        <v>0</v>
      </c>
      <c r="CG19" s="52">
        <f t="shared" si="66"/>
        <v>80</v>
      </c>
      <c r="CH19" s="42"/>
      <c r="CI19" s="27"/>
      <c r="CJ19" s="176" t="str">
        <f t="shared" si="25"/>
        <v>WebTeam1</v>
      </c>
      <c r="CK19" s="42">
        <f t="shared" si="26"/>
        <v>80</v>
      </c>
      <c r="CL19" s="51">
        <f>IF(CK19=0,0,VLOOKUP(Sprint13,Settings!$C$28:$E$53,3)*(CK19/Hours_in_iteration))</f>
        <v>0</v>
      </c>
      <c r="CM19" s="51">
        <f>IF(ISNA(SUMPRODUCT((PersonOnVacation=Availability!$A19)*(VacationSprint=Sprint13)*SprintHoursOff)),0,SUMPRODUCT((PersonOnVacation=Availability!$A19)*(VacationSprint=Sprint13)*SprintHoursOff))</f>
        <v>0</v>
      </c>
      <c r="CN19" s="52">
        <f t="shared" si="67"/>
        <v>80</v>
      </c>
      <c r="CO19" s="42"/>
      <c r="CP19" s="27"/>
      <c r="CQ19" s="176" t="str">
        <f t="shared" si="27"/>
        <v>WebTeam1</v>
      </c>
      <c r="CR19" s="42">
        <f t="shared" si="28"/>
        <v>80</v>
      </c>
      <c r="CS19" s="51">
        <f>IF(CR19=0,0,VLOOKUP(Sprint14,Settings!$C$28:$E$53,3)*(CR19/Hours_in_iteration))</f>
        <v>0</v>
      </c>
      <c r="CT19" s="51">
        <f>IF(ISNA(SUMPRODUCT((PersonOnVacation=Availability!$A19)*(VacationSprint=Sprint14)*SprintHoursOff)),0,SUMPRODUCT((PersonOnVacation=Availability!$A19)*(VacationSprint=Sprint14)*SprintHoursOff))</f>
        <v>0</v>
      </c>
      <c r="CU19" s="52">
        <f t="shared" si="68"/>
        <v>80</v>
      </c>
      <c r="CV19" s="42"/>
      <c r="CW19" s="27"/>
      <c r="CX19" s="176" t="str">
        <f t="shared" si="29"/>
        <v>WebTeam1</v>
      </c>
      <c r="CY19" s="42">
        <f t="shared" si="30"/>
        <v>80</v>
      </c>
      <c r="CZ19" s="51">
        <f>IF(CY19=0,0,VLOOKUP(Sprint15,Settings!$C$28:$E$53,3)*(CY19/Hours_in_iteration))</f>
        <v>0</v>
      </c>
      <c r="DA19" s="51">
        <f>IF(ISNA(SUMPRODUCT((PersonOnVacation=Availability!$A19)*(VacationSprint=Sprint15)*SprintHoursOff)),0,SUMPRODUCT((PersonOnVacation=Availability!$A19)*(VacationSprint=Sprint15)*SprintHoursOff))</f>
        <v>0</v>
      </c>
      <c r="DB19" s="52">
        <f t="shared" si="69"/>
        <v>80</v>
      </c>
      <c r="DC19" s="42"/>
      <c r="DD19" s="27"/>
      <c r="DE19" s="176" t="str">
        <f t="shared" si="31"/>
        <v>WebTeam1</v>
      </c>
      <c r="DF19" s="42">
        <f t="shared" si="32"/>
        <v>80</v>
      </c>
      <c r="DG19" s="51">
        <f>IF(DF19=0,0,VLOOKUP(Sprint16,Settings!$C$28:$E$53,3)*(DF19/Hours_in_iteration))</f>
        <v>0</v>
      </c>
      <c r="DH19" s="51">
        <f>IF(ISNA(SUMPRODUCT((PersonOnVacation=Availability!$A19)*(VacationSprint=Sprint16)*SprintHoursOff)),0,SUMPRODUCT((PersonOnVacation=Availability!$A19)*(VacationSprint=Sprint16)*SprintHoursOff))</f>
        <v>0</v>
      </c>
      <c r="DI19" s="52">
        <f t="shared" si="70"/>
        <v>80</v>
      </c>
      <c r="DJ19" s="42"/>
      <c r="DK19" s="27"/>
      <c r="DL19" s="176" t="str">
        <f t="shared" si="33"/>
        <v>WebTeam1</v>
      </c>
      <c r="DM19" s="42">
        <f t="shared" si="34"/>
        <v>80</v>
      </c>
      <c r="DN19" s="51">
        <f>IF(DM19=0,0,VLOOKUP(Sprint17,Settings!$C$28:$E$53,3)*(DM19/Hours_in_iteration))</f>
        <v>0</v>
      </c>
      <c r="DO19" s="51">
        <f>IF(ISNA(SUMPRODUCT((PersonOnVacation=Availability!$A19)*(VacationSprint=Sprint17)*SprintHoursOff)),0,SUMPRODUCT((PersonOnVacation=Availability!$A19)*(VacationSprint=Sprint17)*SprintHoursOff))</f>
        <v>0</v>
      </c>
      <c r="DP19" s="52">
        <f t="shared" si="71"/>
        <v>80</v>
      </c>
      <c r="DQ19" s="42"/>
      <c r="DR19" s="27"/>
      <c r="DS19" s="176" t="str">
        <f t="shared" si="35"/>
        <v>WebTeam1</v>
      </c>
      <c r="DT19" s="42">
        <f t="shared" si="36"/>
        <v>80</v>
      </c>
      <c r="DU19" s="51">
        <f>IF(DT19=0,0,VLOOKUP(Sprint18,Settings!$C$28:$E$53,3)*(DT19/Hours_in_iteration))</f>
        <v>0</v>
      </c>
      <c r="DV19" s="51">
        <f>IF(ISNA(SUMPRODUCT((PersonOnVacation=Availability!$A19)*(VacationSprint=Sprint18)*SprintHoursOff)),0,SUMPRODUCT((PersonOnVacation=Availability!$A19)*(VacationSprint=Sprint18)*SprintHoursOff))</f>
        <v>0</v>
      </c>
      <c r="DW19" s="52">
        <f t="shared" si="72"/>
        <v>80</v>
      </c>
      <c r="DX19" s="42"/>
      <c r="DY19" s="27"/>
      <c r="DZ19" s="176" t="str">
        <f t="shared" si="37"/>
        <v>WebTeam1</v>
      </c>
      <c r="EA19" s="42">
        <f t="shared" si="38"/>
        <v>80</v>
      </c>
      <c r="EB19" s="51">
        <f>IF(EA19=0,0,VLOOKUP(Sprint19,Settings!$C$28:$E$53,3)*(EA19/Hours_in_iteration))</f>
        <v>0</v>
      </c>
      <c r="EC19" s="51">
        <f>IF(ISNA(SUMPRODUCT((PersonOnVacation=Availability!$A19)*(VacationSprint=Sprint19)*SprintHoursOff)),0,SUMPRODUCT((PersonOnVacation=Availability!$A19)*(VacationSprint=Sprint19)*SprintHoursOff))</f>
        <v>0</v>
      </c>
      <c r="ED19" s="52">
        <f t="shared" si="73"/>
        <v>80</v>
      </c>
      <c r="EE19" s="42"/>
      <c r="EF19" s="27"/>
      <c r="EG19" s="176" t="str">
        <f t="shared" si="39"/>
        <v>WebTeam1</v>
      </c>
      <c r="EH19" s="42">
        <f t="shared" si="40"/>
        <v>80</v>
      </c>
      <c r="EI19" s="51">
        <f>IF(EH19=0,0,VLOOKUP(Sprint20,Settings!$C$28:$E$53,3)*(EH19/Hours_in_iteration))</f>
        <v>0</v>
      </c>
      <c r="EJ19" s="51">
        <f>IF(ISNA(SUMPRODUCT((PersonOnVacation=Availability!$A19)*(VacationSprint=Sprint20)*SprintHoursOff)),0,SUMPRODUCT((PersonOnVacation=Availability!$A19)*(VacationSprint=Sprint20)*SprintHoursOff))</f>
        <v>0</v>
      </c>
      <c r="EK19" s="52">
        <f t="shared" si="74"/>
        <v>80</v>
      </c>
      <c r="EL19" s="42"/>
      <c r="EM19" s="27"/>
      <c r="EN19" s="176" t="str">
        <f t="shared" si="41"/>
        <v>WebTeam1</v>
      </c>
      <c r="EO19" s="42">
        <f t="shared" si="42"/>
        <v>80</v>
      </c>
      <c r="EP19" s="51">
        <f>IF(EO19=0,0,VLOOKUP(Sprint21,Settings!$C$28:$E$53,3)*(EO19/Hours_in_iteration))</f>
        <v>0</v>
      </c>
      <c r="EQ19" s="51">
        <f>IF(ISNA(SUMPRODUCT((PersonOnVacation=Availability!$A19)*(VacationSprint=Sprint21)*SprintHoursOff)),0,SUMPRODUCT((PersonOnVacation=Availability!$A19)*(VacationSprint=Sprint21)*SprintHoursOff))</f>
        <v>0</v>
      </c>
      <c r="ER19" s="52">
        <f t="shared" si="75"/>
        <v>80</v>
      </c>
      <c r="ES19" s="42"/>
      <c r="ET19" s="27"/>
      <c r="EU19" s="176" t="str">
        <f t="shared" si="43"/>
        <v>WebTeam1</v>
      </c>
      <c r="EV19" s="42">
        <f t="shared" si="44"/>
        <v>80</v>
      </c>
      <c r="EW19" s="51">
        <f>IF(EV19=0,0,VLOOKUP(Sprint22,Settings!$C$28:$E$53,3)*(EV19/Hours_in_iteration))</f>
        <v>0</v>
      </c>
      <c r="EX19" s="51">
        <f>IF(ISNA(SUMPRODUCT((PersonOnVacation=Availability!$A19)*(VacationSprint=Sprint22)*SprintHoursOff)),0,SUMPRODUCT((PersonOnVacation=Availability!$A19)*(VacationSprint=Sprint22)*SprintHoursOff))</f>
        <v>0</v>
      </c>
      <c r="EY19" s="52">
        <f t="shared" si="76"/>
        <v>80</v>
      </c>
      <c r="EZ19" s="42"/>
      <c r="FA19" s="27"/>
      <c r="FB19" s="176" t="str">
        <f t="shared" si="45"/>
        <v>WebTeam1</v>
      </c>
      <c r="FC19" s="42">
        <f t="shared" si="46"/>
        <v>80</v>
      </c>
      <c r="FD19" s="51">
        <f>IF(FC19=0,0,VLOOKUP(Sprint23,Settings!$C$28:$E$53,3)*(FC19/Hours_in_iteration))</f>
        <v>0</v>
      </c>
      <c r="FE19" s="51">
        <f>IF(ISNA(SUMPRODUCT((PersonOnVacation=Availability!$A19)*(VacationSprint=Sprint23)*SprintHoursOff)),0,SUMPRODUCT((PersonOnVacation=Availability!$A19)*(VacationSprint=Sprint23)*SprintHoursOff))</f>
        <v>0</v>
      </c>
      <c r="FF19" s="52">
        <f t="shared" si="77"/>
        <v>80</v>
      </c>
      <c r="FG19" s="42"/>
      <c r="FH19" s="27"/>
      <c r="FI19" s="176" t="str">
        <f t="shared" si="47"/>
        <v>WebTeam1</v>
      </c>
      <c r="FJ19" s="42">
        <f t="shared" si="48"/>
        <v>80</v>
      </c>
      <c r="FK19" s="51">
        <f>IF(FJ19=0,0,VLOOKUP(Sprint24,Settings!$C$28:$E$53,3)*(FJ19/Hours_in_iteration))</f>
        <v>0</v>
      </c>
      <c r="FL19" s="51">
        <f>IF(ISNA(SUMPRODUCT((PersonOnVacation=Availability!$A19)*(VacationSprint=Sprint24)*SprintHoursOff)),0,SUMPRODUCT((PersonOnVacation=Availability!$A19)*(VacationSprint=Sprint24)*SprintHoursOff))</f>
        <v>0</v>
      </c>
      <c r="FM19" s="52">
        <f t="shared" si="78"/>
        <v>80</v>
      </c>
      <c r="FN19" s="42"/>
      <c r="FO19" s="27"/>
      <c r="FP19" s="176" t="str">
        <f t="shared" si="49"/>
        <v>WebTeam1</v>
      </c>
      <c r="FQ19" s="42">
        <f t="shared" si="50"/>
        <v>80</v>
      </c>
      <c r="FR19" s="51">
        <f>IF(FQ19=0,0,VLOOKUP(Sprint25,Settings!$C$28:$E$53,3)*(FQ19/Hours_in_iteration))</f>
        <v>0</v>
      </c>
      <c r="FS19" s="51">
        <f>IF(ISNA(SUMPRODUCT((PersonOnVacation=Availability!$A19)*(VacationSprint=Sprint25)*SprintHoursOff)),0,SUMPRODUCT((PersonOnVacation=Availability!$A19)*(VacationSprint=Sprint25)*SprintHoursOff))</f>
        <v>0</v>
      </c>
      <c r="FT19" s="52">
        <f t="shared" si="79"/>
        <v>80</v>
      </c>
      <c r="FU19" s="42"/>
      <c r="FV19" s="27"/>
      <c r="FW19" s="176" t="str">
        <f t="shared" si="51"/>
        <v>WebTeam1</v>
      </c>
      <c r="FX19" s="42">
        <f t="shared" si="52"/>
        <v>80</v>
      </c>
      <c r="FY19" s="51">
        <f>IF(FX19=0,0,VLOOKUP(Sprint26,Settings!$C$28:$E$53,3)*(FX19/Hours_in_iteration))</f>
        <v>0</v>
      </c>
      <c r="FZ19" s="51">
        <f>IF(ISNA(SUMPRODUCT((PersonOnVacation=Availability!$A19)*(VacationSprint=Sprint26)*SprintHoursOff)),0,SUMPRODUCT((PersonOnVacation=Availability!$A19)*(VacationSprint=Sprint26)*SprintHoursOff))</f>
        <v>0</v>
      </c>
      <c r="GA19" s="52">
        <f t="shared" si="80"/>
        <v>80</v>
      </c>
      <c r="GB19" s="42"/>
      <c r="GC19" s="27"/>
      <c r="GD19" s="176" t="str">
        <f t="shared" si="53"/>
        <v>WebTeam1</v>
      </c>
      <c r="GE19" s="42">
        <f t="shared" si="54"/>
        <v>80</v>
      </c>
      <c r="GF19" s="51">
        <f>IF(GE19=0,0,VLOOKUP(Sprint27,Settings!$C$28:$E$53,3)*(GE19/Hours_in_iteration))</f>
        <v>0</v>
      </c>
      <c r="GG19" s="51">
        <f>IF(ISNA(SUMPRODUCT((PersonOnVacation=Availability!$A19)*(VacationSprint=Sprint27)*SprintHoursOff)),0,SUMPRODUCT((PersonOnVacation=Availability!$A19)*(VacationSprint=Sprint27)*SprintHoursOff))</f>
        <v>0</v>
      </c>
      <c r="GH19" s="52">
        <f t="shared" si="81"/>
        <v>80</v>
      </c>
      <c r="GI19" s="42"/>
    </row>
    <row r="20" spans="1:191" s="56" customFormat="1">
      <c r="A20" s="110" t="str">
        <f>Person11</f>
        <v>TBD (Needed)</v>
      </c>
      <c r="B20" s="42" t="s">
        <v>49</v>
      </c>
      <c r="C20" s="42" t="str">
        <f t="shared" si="0"/>
        <v>WebTeam1 Dev</v>
      </c>
      <c r="D20" s="135" t="str">
        <f t="shared" si="1"/>
        <v>WebTeam1</v>
      </c>
      <c r="E20" s="42">
        <f t="shared" si="55"/>
        <v>80</v>
      </c>
      <c r="F20" s="51">
        <f>IF(E20=0,0,VLOOKUP(Sprint1,Settings!$C$28:$E$53,3)*(E20/Hours_in_iteration))</f>
        <v>8</v>
      </c>
      <c r="G20" s="51">
        <f>IF(ISNA(SUMPRODUCT((PersonOnVacation=Availability!A20)*(VacationSprint=Sprint1)*SprintHoursOff)),0,SUMPRODUCT((PersonOnVacation=Availability!A20)*(VacationSprint=Sprint1)*SprintHoursOff))</f>
        <v>0</v>
      </c>
      <c r="H20" s="52">
        <f t="shared" si="2"/>
        <v>72</v>
      </c>
      <c r="I20" s="42"/>
      <c r="J20" s="27"/>
      <c r="K20" s="176" t="str">
        <f t="shared" si="3"/>
        <v>WebTeam1</v>
      </c>
      <c r="L20" s="42">
        <f t="shared" si="4"/>
        <v>80</v>
      </c>
      <c r="M20" s="51">
        <f>IF(L20=0,0,VLOOKUP(Sprint2,Settings!$C$28:$E$53,3)*(L20/Hours_in_iteration))</f>
        <v>8</v>
      </c>
      <c r="N20" s="51">
        <f>IF(ISNA(SUMPRODUCT((PersonOnVacation=Availability!A20)*(VacationSprint=Sprint2)*SprintHoursOff)),0,SUMPRODUCT((PersonOnVacation=Availability!A20)*(VacationSprint=Sprint2)*SprintHoursOff))</f>
        <v>0</v>
      </c>
      <c r="O20" s="52">
        <f t="shared" si="56"/>
        <v>72</v>
      </c>
      <c r="P20" s="42"/>
      <c r="Q20" s="27"/>
      <c r="R20" s="176" t="str">
        <f t="shared" si="5"/>
        <v>WebTeam1</v>
      </c>
      <c r="S20" s="42">
        <f t="shared" si="6"/>
        <v>80</v>
      </c>
      <c r="T20" s="51">
        <f>IF(S20=0,0,VLOOKUP(Sprint3,Settings!$C$28:$E$53,3)*(S20/Hours_in_iteration))</f>
        <v>0</v>
      </c>
      <c r="U20" s="51">
        <f>IF(ISNA(SUMPRODUCT((PersonOnVacation=Availability!A20)*(VacationSprint=Sprint3)*SprintHoursOff)),0,SUMPRODUCT((PersonOnVacation=Availability!A20)*(VacationSprint=Sprint3)*SprintHoursOff))</f>
        <v>0</v>
      </c>
      <c r="V20" s="52">
        <f t="shared" si="57"/>
        <v>80</v>
      </c>
      <c r="W20" s="42"/>
      <c r="X20" s="27"/>
      <c r="Y20" s="176" t="str">
        <f t="shared" si="7"/>
        <v>WebTeam1</v>
      </c>
      <c r="Z20" s="42">
        <f t="shared" si="8"/>
        <v>80</v>
      </c>
      <c r="AA20" s="51">
        <f>IF(Z20=0,0,VLOOKUP(Sprint4,Settings!$C$28:$E$53,3)*(Z20/Hours_in_iteration))</f>
        <v>8</v>
      </c>
      <c r="AB20" s="51">
        <f>IF(ISNA(SUMPRODUCT((PersonOnVacation=Availability!$A20)*(VacationSprint=Sprint4)*SprintHoursOff)),0,SUMPRODUCT((PersonOnVacation=Availability!$A20)*(VacationSprint=Sprint4)*SprintHoursOff))</f>
        <v>0</v>
      </c>
      <c r="AC20" s="52">
        <f t="shared" si="58"/>
        <v>72</v>
      </c>
      <c r="AD20" s="42"/>
      <c r="AE20" s="27"/>
      <c r="AF20" s="176" t="str">
        <f t="shared" si="9"/>
        <v>WebTeam1</v>
      </c>
      <c r="AG20" s="42">
        <f t="shared" si="10"/>
        <v>80</v>
      </c>
      <c r="AH20" s="51">
        <f>IF(AG20=0,0,VLOOKUP(Sprint5,Settings!$C$28:$E$53,3)*(AG20/Hours_in_iteration))</f>
        <v>0</v>
      </c>
      <c r="AI20" s="51">
        <f>IF(ISNA(SUMPRODUCT((PersonOnVacation=Availability!$A20)*(VacationSprint=Sprint5)*SprintHoursOff)),0,SUMPRODUCT((PersonOnVacation=Availability!$A20)*(VacationSprint=Sprint5)*SprintHoursOff))</f>
        <v>0</v>
      </c>
      <c r="AJ20" s="52">
        <f t="shared" si="59"/>
        <v>80</v>
      </c>
      <c r="AK20" s="42"/>
      <c r="AL20" s="27"/>
      <c r="AM20" s="176" t="str">
        <f t="shared" si="11"/>
        <v>WebTeam1</v>
      </c>
      <c r="AN20" s="42">
        <f t="shared" si="12"/>
        <v>80</v>
      </c>
      <c r="AO20" s="51">
        <f>IF(AN20=0,0,VLOOKUP(Sprint6,Settings!$C$28:$E$53,3)*(AN20/Hours_in_iteration))</f>
        <v>0</v>
      </c>
      <c r="AP20" s="51">
        <f>IF(ISNA(SUMPRODUCT((PersonOnVacation=Availability!$A20)*(VacationSprint=Sprint6)*SprintHoursOff)),0,SUMPRODUCT((PersonOnVacation=Availability!$A20)*(VacationSprint=Sprint6)*SprintHoursOff))</f>
        <v>0</v>
      </c>
      <c r="AQ20" s="52">
        <f t="shared" si="60"/>
        <v>80</v>
      </c>
      <c r="AR20" s="42"/>
      <c r="AS20" s="27"/>
      <c r="AT20" s="176" t="str">
        <f t="shared" si="13"/>
        <v>WebTeam1</v>
      </c>
      <c r="AU20" s="42">
        <f t="shared" si="14"/>
        <v>80</v>
      </c>
      <c r="AV20" s="51">
        <f>IF(AU20=0,0,VLOOKUP(Sprint7,Settings!$C$28:$E$53,3)*(AU20/Hours_in_iteration))</f>
        <v>0</v>
      </c>
      <c r="AW20" s="51">
        <f>IF(ISNA(SUMPRODUCT((PersonOnVacation=Availability!$A20)*(VacationSprint=Sprint7)*SprintHoursOff)),0,SUMPRODUCT((PersonOnVacation=Availability!$A20)*(VacationSprint=Sprint7)*SprintHoursOff))</f>
        <v>0</v>
      </c>
      <c r="AX20" s="52">
        <f t="shared" si="61"/>
        <v>80</v>
      </c>
      <c r="AY20" s="42"/>
      <c r="AZ20" s="27"/>
      <c r="BA20" s="176" t="str">
        <f t="shared" si="15"/>
        <v>WebTeam1</v>
      </c>
      <c r="BB20" s="42">
        <f t="shared" si="16"/>
        <v>80</v>
      </c>
      <c r="BC20" s="51">
        <f>IF(BB20=0,0,VLOOKUP(Sprint8,Settings!$C$28:$E$53,3)*(BB20/Hours_in_iteration))</f>
        <v>0</v>
      </c>
      <c r="BD20" s="51">
        <f>IF(ISNA(SUMPRODUCT((PersonOnVacation=Availability!$A20)*(VacationSprint=Sprint8)*SprintHoursOff)),0,SUMPRODUCT((PersonOnVacation=Availability!$A20)*(VacationSprint=Sprint8)*SprintHoursOff))</f>
        <v>0</v>
      </c>
      <c r="BE20" s="52">
        <f t="shared" si="62"/>
        <v>80</v>
      </c>
      <c r="BF20" s="42"/>
      <c r="BG20" s="27"/>
      <c r="BH20" s="176" t="str">
        <f t="shared" si="17"/>
        <v>WebTeam1</v>
      </c>
      <c r="BI20" s="42">
        <f t="shared" si="18"/>
        <v>80</v>
      </c>
      <c r="BJ20" s="51">
        <f>IF(BI20=0,0,VLOOKUP(Sprint9,Settings!$C$28:$E$53,3)*(BI20/Hours_in_iteration))</f>
        <v>0</v>
      </c>
      <c r="BK20" s="51">
        <f>IF(ISNA(SUMPRODUCT((PersonOnVacation=Availability!$A20)*(VacationSprint=Sprint9)*SprintHoursOff)),0,SUMPRODUCT((PersonOnVacation=Availability!$A20)*(VacationSprint=Sprint9)*SprintHoursOff))</f>
        <v>0</v>
      </c>
      <c r="BL20" s="52">
        <f t="shared" si="63"/>
        <v>80</v>
      </c>
      <c r="BM20" s="42"/>
      <c r="BN20" s="27"/>
      <c r="BO20" s="176" t="str">
        <f t="shared" si="19"/>
        <v>WebTeam1</v>
      </c>
      <c r="BP20" s="42">
        <f t="shared" si="20"/>
        <v>80</v>
      </c>
      <c r="BQ20" s="51">
        <f>IF(BP20=0,0,VLOOKUP(Sprint10,Settings!$C$28:$E$53,3)*(BP20/Hours_in_iteration))</f>
        <v>0</v>
      </c>
      <c r="BR20" s="51">
        <f>IF(ISNA(SUMPRODUCT((PersonOnVacation=Availability!$A20)*(VacationSprint=Sprint10)*SprintHoursOff)),0,SUMPRODUCT((PersonOnVacation=Availability!$A20)*(VacationSprint=Sprint10)*SprintHoursOff))</f>
        <v>0</v>
      </c>
      <c r="BS20" s="52">
        <f t="shared" si="64"/>
        <v>80</v>
      </c>
      <c r="BT20" s="42"/>
      <c r="BU20" s="27"/>
      <c r="BV20" s="176" t="str">
        <f t="shared" si="21"/>
        <v>WebTeam1</v>
      </c>
      <c r="BW20" s="42">
        <f t="shared" si="22"/>
        <v>80</v>
      </c>
      <c r="BX20" s="51">
        <f>IF(BW20=0,0,VLOOKUP(Sprint11,Settings!$C$28:$E$53,3)*(BW20/Hours_in_iteration))</f>
        <v>0</v>
      </c>
      <c r="BY20" s="51">
        <f>IF(ISNA(SUMPRODUCT((PersonOnVacation=Availability!$A20)*(VacationSprint=Sprint11)*SprintHoursOff)),0,SUMPRODUCT((PersonOnVacation=Availability!$A20)*(VacationSprint=Sprint11)*SprintHoursOff))</f>
        <v>0</v>
      </c>
      <c r="BZ20" s="52">
        <f t="shared" si="65"/>
        <v>80</v>
      </c>
      <c r="CA20" s="42"/>
      <c r="CB20" s="27"/>
      <c r="CC20" s="176" t="str">
        <f t="shared" si="23"/>
        <v>WebTeam1</v>
      </c>
      <c r="CD20" s="42">
        <f t="shared" si="24"/>
        <v>80</v>
      </c>
      <c r="CE20" s="51">
        <f>IF(CD20=0,0,VLOOKUP(Sprint12,Settings!$C$28:$E$53,3)*(CD20/Hours_in_iteration))</f>
        <v>0</v>
      </c>
      <c r="CF20" s="51">
        <f>IF(ISNA(SUMPRODUCT((PersonOnVacation=Availability!$A20)*(VacationSprint=Sprint12)*SprintHoursOff)),0,SUMPRODUCT((PersonOnVacation=Availability!$A20)*(VacationSprint=Sprint12)*SprintHoursOff))</f>
        <v>0</v>
      </c>
      <c r="CG20" s="52">
        <f t="shared" si="66"/>
        <v>80</v>
      </c>
      <c r="CH20" s="42"/>
      <c r="CI20" s="27"/>
      <c r="CJ20" s="176" t="str">
        <f t="shared" si="25"/>
        <v>WebTeam1</v>
      </c>
      <c r="CK20" s="42">
        <f t="shared" si="26"/>
        <v>80</v>
      </c>
      <c r="CL20" s="51">
        <f>IF(CK20=0,0,VLOOKUP(Sprint13,Settings!$C$28:$E$53,3)*(CK20/Hours_in_iteration))</f>
        <v>0</v>
      </c>
      <c r="CM20" s="51">
        <f>IF(ISNA(SUMPRODUCT((PersonOnVacation=Availability!$A20)*(VacationSprint=Sprint13)*SprintHoursOff)),0,SUMPRODUCT((PersonOnVacation=Availability!$A20)*(VacationSprint=Sprint13)*SprintHoursOff))</f>
        <v>0</v>
      </c>
      <c r="CN20" s="52">
        <f t="shared" si="67"/>
        <v>80</v>
      </c>
      <c r="CO20" s="42"/>
      <c r="CP20" s="27"/>
      <c r="CQ20" s="176" t="str">
        <f t="shared" si="27"/>
        <v>WebTeam1</v>
      </c>
      <c r="CR20" s="42">
        <f t="shared" si="28"/>
        <v>80</v>
      </c>
      <c r="CS20" s="51">
        <f>IF(CR20=0,0,VLOOKUP(Sprint14,Settings!$C$28:$E$53,3)*(CR20/Hours_in_iteration))</f>
        <v>0</v>
      </c>
      <c r="CT20" s="51">
        <f>IF(ISNA(SUMPRODUCT((PersonOnVacation=Availability!$A20)*(VacationSprint=Sprint14)*SprintHoursOff)),0,SUMPRODUCT((PersonOnVacation=Availability!$A20)*(VacationSprint=Sprint14)*SprintHoursOff))</f>
        <v>0</v>
      </c>
      <c r="CU20" s="52">
        <f t="shared" si="68"/>
        <v>80</v>
      </c>
      <c r="CV20" s="42"/>
      <c r="CW20" s="27"/>
      <c r="CX20" s="176" t="str">
        <f t="shared" si="29"/>
        <v>WebTeam1</v>
      </c>
      <c r="CY20" s="42">
        <f t="shared" si="30"/>
        <v>80</v>
      </c>
      <c r="CZ20" s="51">
        <f>IF(CY20=0,0,VLOOKUP(Sprint15,Settings!$C$28:$E$53,3)*(CY20/Hours_in_iteration))</f>
        <v>0</v>
      </c>
      <c r="DA20" s="51">
        <f>IF(ISNA(SUMPRODUCT((PersonOnVacation=Availability!$A20)*(VacationSprint=Sprint15)*SprintHoursOff)),0,SUMPRODUCT((PersonOnVacation=Availability!$A20)*(VacationSprint=Sprint15)*SprintHoursOff))</f>
        <v>0</v>
      </c>
      <c r="DB20" s="52">
        <f t="shared" si="69"/>
        <v>80</v>
      </c>
      <c r="DC20" s="42"/>
      <c r="DD20" s="27"/>
      <c r="DE20" s="176" t="str">
        <f t="shared" si="31"/>
        <v>WebTeam1</v>
      </c>
      <c r="DF20" s="42">
        <f t="shared" si="32"/>
        <v>80</v>
      </c>
      <c r="DG20" s="51">
        <f>IF(DF20=0,0,VLOOKUP(Sprint16,Settings!$C$28:$E$53,3)*(DF20/Hours_in_iteration))</f>
        <v>0</v>
      </c>
      <c r="DH20" s="51">
        <f>IF(ISNA(SUMPRODUCT((PersonOnVacation=Availability!$A20)*(VacationSprint=Sprint16)*SprintHoursOff)),0,SUMPRODUCT((PersonOnVacation=Availability!$A20)*(VacationSprint=Sprint16)*SprintHoursOff))</f>
        <v>0</v>
      </c>
      <c r="DI20" s="52">
        <f t="shared" si="70"/>
        <v>80</v>
      </c>
      <c r="DJ20" s="42"/>
      <c r="DK20" s="27"/>
      <c r="DL20" s="176" t="str">
        <f t="shared" si="33"/>
        <v>WebTeam1</v>
      </c>
      <c r="DM20" s="42">
        <f t="shared" si="34"/>
        <v>80</v>
      </c>
      <c r="DN20" s="51">
        <f>IF(DM20=0,0,VLOOKUP(Sprint17,Settings!$C$28:$E$53,3)*(DM20/Hours_in_iteration))</f>
        <v>0</v>
      </c>
      <c r="DO20" s="51">
        <f>IF(ISNA(SUMPRODUCT((PersonOnVacation=Availability!$A20)*(VacationSprint=Sprint17)*SprintHoursOff)),0,SUMPRODUCT((PersonOnVacation=Availability!$A20)*(VacationSprint=Sprint17)*SprintHoursOff))</f>
        <v>0</v>
      </c>
      <c r="DP20" s="52">
        <f t="shared" si="71"/>
        <v>80</v>
      </c>
      <c r="DQ20" s="42"/>
      <c r="DR20" s="27"/>
      <c r="DS20" s="176" t="str">
        <f t="shared" si="35"/>
        <v>WebTeam1</v>
      </c>
      <c r="DT20" s="42">
        <f t="shared" si="36"/>
        <v>80</v>
      </c>
      <c r="DU20" s="51">
        <f>IF(DT20=0,0,VLOOKUP(Sprint18,Settings!$C$28:$E$53,3)*(DT20/Hours_in_iteration))</f>
        <v>0</v>
      </c>
      <c r="DV20" s="51">
        <f>IF(ISNA(SUMPRODUCT((PersonOnVacation=Availability!$A20)*(VacationSprint=Sprint18)*SprintHoursOff)),0,SUMPRODUCT((PersonOnVacation=Availability!$A20)*(VacationSprint=Sprint18)*SprintHoursOff))</f>
        <v>0</v>
      </c>
      <c r="DW20" s="52">
        <f t="shared" si="72"/>
        <v>80</v>
      </c>
      <c r="DX20" s="42"/>
      <c r="DY20" s="27"/>
      <c r="DZ20" s="176" t="str">
        <f t="shared" si="37"/>
        <v>WebTeam1</v>
      </c>
      <c r="EA20" s="42">
        <f t="shared" si="38"/>
        <v>80</v>
      </c>
      <c r="EB20" s="51">
        <f>IF(EA20=0,0,VLOOKUP(Sprint19,Settings!$C$28:$E$53,3)*(EA20/Hours_in_iteration))</f>
        <v>0</v>
      </c>
      <c r="EC20" s="51">
        <f>IF(ISNA(SUMPRODUCT((PersonOnVacation=Availability!$A20)*(VacationSprint=Sprint19)*SprintHoursOff)),0,SUMPRODUCT((PersonOnVacation=Availability!$A20)*(VacationSprint=Sprint19)*SprintHoursOff))</f>
        <v>0</v>
      </c>
      <c r="ED20" s="52">
        <f t="shared" si="73"/>
        <v>80</v>
      </c>
      <c r="EE20" s="42"/>
      <c r="EF20" s="27"/>
      <c r="EG20" s="176" t="str">
        <f t="shared" si="39"/>
        <v>WebTeam1</v>
      </c>
      <c r="EH20" s="42">
        <f t="shared" si="40"/>
        <v>80</v>
      </c>
      <c r="EI20" s="51">
        <f>IF(EH20=0,0,VLOOKUP(Sprint20,Settings!$C$28:$E$53,3)*(EH20/Hours_in_iteration))</f>
        <v>0</v>
      </c>
      <c r="EJ20" s="51">
        <f>IF(ISNA(SUMPRODUCT((PersonOnVacation=Availability!$A20)*(VacationSprint=Sprint20)*SprintHoursOff)),0,SUMPRODUCT((PersonOnVacation=Availability!$A20)*(VacationSprint=Sprint20)*SprintHoursOff))</f>
        <v>0</v>
      </c>
      <c r="EK20" s="52">
        <f t="shared" si="74"/>
        <v>80</v>
      </c>
      <c r="EL20" s="42"/>
      <c r="EM20" s="27"/>
      <c r="EN20" s="176" t="str">
        <f t="shared" si="41"/>
        <v>WebTeam1</v>
      </c>
      <c r="EO20" s="42">
        <f t="shared" si="42"/>
        <v>80</v>
      </c>
      <c r="EP20" s="51">
        <f>IF(EO20=0,0,VLOOKUP(Sprint21,Settings!$C$28:$E$53,3)*(EO20/Hours_in_iteration))</f>
        <v>0</v>
      </c>
      <c r="EQ20" s="51">
        <f>IF(ISNA(SUMPRODUCT((PersonOnVacation=Availability!$A20)*(VacationSprint=Sprint21)*SprintHoursOff)),0,SUMPRODUCT((PersonOnVacation=Availability!$A20)*(VacationSprint=Sprint21)*SprintHoursOff))</f>
        <v>0</v>
      </c>
      <c r="ER20" s="52">
        <f t="shared" si="75"/>
        <v>80</v>
      </c>
      <c r="ES20" s="42"/>
      <c r="ET20" s="27"/>
      <c r="EU20" s="176" t="str">
        <f t="shared" si="43"/>
        <v>WebTeam1</v>
      </c>
      <c r="EV20" s="42">
        <f t="shared" si="44"/>
        <v>80</v>
      </c>
      <c r="EW20" s="51">
        <f>IF(EV20=0,0,VLOOKUP(Sprint22,Settings!$C$28:$E$53,3)*(EV20/Hours_in_iteration))</f>
        <v>0</v>
      </c>
      <c r="EX20" s="51">
        <f>IF(ISNA(SUMPRODUCT((PersonOnVacation=Availability!$A20)*(VacationSprint=Sprint22)*SprintHoursOff)),0,SUMPRODUCT((PersonOnVacation=Availability!$A20)*(VacationSprint=Sprint22)*SprintHoursOff))</f>
        <v>0</v>
      </c>
      <c r="EY20" s="52">
        <f t="shared" si="76"/>
        <v>80</v>
      </c>
      <c r="EZ20" s="42"/>
      <c r="FA20" s="27"/>
      <c r="FB20" s="176" t="str">
        <f t="shared" si="45"/>
        <v>WebTeam1</v>
      </c>
      <c r="FC20" s="42">
        <f t="shared" si="46"/>
        <v>80</v>
      </c>
      <c r="FD20" s="51">
        <f>IF(FC20=0,0,VLOOKUP(Sprint23,Settings!$C$28:$E$53,3)*(FC20/Hours_in_iteration))</f>
        <v>0</v>
      </c>
      <c r="FE20" s="51">
        <f>IF(ISNA(SUMPRODUCT((PersonOnVacation=Availability!$A20)*(VacationSprint=Sprint23)*SprintHoursOff)),0,SUMPRODUCT((PersonOnVacation=Availability!$A20)*(VacationSprint=Sprint23)*SprintHoursOff))</f>
        <v>0</v>
      </c>
      <c r="FF20" s="52">
        <f t="shared" si="77"/>
        <v>80</v>
      </c>
      <c r="FG20" s="42"/>
      <c r="FH20" s="27"/>
      <c r="FI20" s="176" t="str">
        <f t="shared" si="47"/>
        <v>WebTeam1</v>
      </c>
      <c r="FJ20" s="42">
        <f t="shared" si="48"/>
        <v>80</v>
      </c>
      <c r="FK20" s="51">
        <f>IF(FJ20=0,0,VLOOKUP(Sprint24,Settings!$C$28:$E$53,3)*(FJ20/Hours_in_iteration))</f>
        <v>0</v>
      </c>
      <c r="FL20" s="51">
        <f>IF(ISNA(SUMPRODUCT((PersonOnVacation=Availability!$A20)*(VacationSprint=Sprint24)*SprintHoursOff)),0,SUMPRODUCT((PersonOnVacation=Availability!$A20)*(VacationSprint=Sprint24)*SprintHoursOff))</f>
        <v>0</v>
      </c>
      <c r="FM20" s="52">
        <f t="shared" si="78"/>
        <v>80</v>
      </c>
      <c r="FN20" s="42"/>
      <c r="FO20" s="27"/>
      <c r="FP20" s="176" t="str">
        <f t="shared" si="49"/>
        <v>WebTeam1</v>
      </c>
      <c r="FQ20" s="42">
        <f t="shared" si="50"/>
        <v>80</v>
      </c>
      <c r="FR20" s="51">
        <f>IF(FQ20=0,0,VLOOKUP(Sprint25,Settings!$C$28:$E$53,3)*(FQ20/Hours_in_iteration))</f>
        <v>0</v>
      </c>
      <c r="FS20" s="51">
        <f>IF(ISNA(SUMPRODUCT((PersonOnVacation=Availability!$A20)*(VacationSprint=Sprint25)*SprintHoursOff)),0,SUMPRODUCT((PersonOnVacation=Availability!$A20)*(VacationSprint=Sprint25)*SprintHoursOff))</f>
        <v>0</v>
      </c>
      <c r="FT20" s="52">
        <f t="shared" si="79"/>
        <v>80</v>
      </c>
      <c r="FU20" s="42"/>
      <c r="FV20" s="27"/>
      <c r="FW20" s="176" t="str">
        <f t="shared" si="51"/>
        <v>WebTeam1</v>
      </c>
      <c r="FX20" s="42">
        <f t="shared" si="52"/>
        <v>80</v>
      </c>
      <c r="FY20" s="51">
        <f>IF(FX20=0,0,VLOOKUP(Sprint26,Settings!$C$28:$E$53,3)*(FX20/Hours_in_iteration))</f>
        <v>0</v>
      </c>
      <c r="FZ20" s="51">
        <f>IF(ISNA(SUMPRODUCT((PersonOnVacation=Availability!$A20)*(VacationSprint=Sprint26)*SprintHoursOff)),0,SUMPRODUCT((PersonOnVacation=Availability!$A20)*(VacationSprint=Sprint26)*SprintHoursOff))</f>
        <v>0</v>
      </c>
      <c r="GA20" s="52">
        <f t="shared" si="80"/>
        <v>80</v>
      </c>
      <c r="GB20" s="42"/>
      <c r="GC20" s="27"/>
      <c r="GD20" s="176" t="str">
        <f t="shared" si="53"/>
        <v>WebTeam1</v>
      </c>
      <c r="GE20" s="42">
        <f t="shared" si="54"/>
        <v>80</v>
      </c>
      <c r="GF20" s="51">
        <f>IF(GE20=0,0,VLOOKUP(Sprint27,Settings!$C$28:$E$53,3)*(GE20/Hours_in_iteration))</f>
        <v>0</v>
      </c>
      <c r="GG20" s="51">
        <f>IF(ISNA(SUMPRODUCT((PersonOnVacation=Availability!$A20)*(VacationSprint=Sprint27)*SprintHoursOff)),0,SUMPRODUCT((PersonOnVacation=Availability!$A20)*(VacationSprint=Sprint27)*SprintHoursOff))</f>
        <v>0</v>
      </c>
      <c r="GH20" s="52">
        <f t="shared" si="81"/>
        <v>80</v>
      </c>
      <c r="GI20" s="42"/>
    </row>
    <row r="21" spans="1:191" s="56" customFormat="1">
      <c r="A21" s="110" t="str">
        <f>Person12</f>
        <v>TBD (Needed)</v>
      </c>
      <c r="B21" s="42" t="s">
        <v>49</v>
      </c>
      <c r="C21" s="42" t="str">
        <f t="shared" si="0"/>
        <v>WebTeam1 Dev</v>
      </c>
      <c r="D21" s="135" t="str">
        <f t="shared" si="1"/>
        <v>WebTeam1</v>
      </c>
      <c r="E21" s="42">
        <f t="shared" si="55"/>
        <v>80</v>
      </c>
      <c r="F21" s="51">
        <f>IF(E21=0,0,VLOOKUP(Sprint1,Settings!$C$28:$E$53,3)*(E21/Hours_in_iteration))</f>
        <v>8</v>
      </c>
      <c r="G21" s="51">
        <f>IF(ISNA(SUMPRODUCT((PersonOnVacation=Availability!A21)*(VacationSprint=Sprint1)*SprintHoursOff)),0,SUMPRODUCT((PersonOnVacation=Availability!A21)*(VacationSprint=Sprint1)*SprintHoursOff))</f>
        <v>0</v>
      </c>
      <c r="H21" s="52">
        <f t="shared" si="2"/>
        <v>72</v>
      </c>
      <c r="I21" s="42"/>
      <c r="J21" s="27"/>
      <c r="K21" s="176" t="str">
        <f t="shared" si="3"/>
        <v>WebTeam1</v>
      </c>
      <c r="L21" s="42">
        <f t="shared" si="4"/>
        <v>80</v>
      </c>
      <c r="M21" s="51">
        <f>IF(L21=0,0,VLOOKUP(Sprint2,Settings!$C$28:$E$53,3)*(L21/Hours_in_iteration))</f>
        <v>8</v>
      </c>
      <c r="N21" s="51">
        <f>IF(ISNA(SUMPRODUCT((PersonOnVacation=Availability!A21)*(VacationSprint=Sprint2)*SprintHoursOff)),0,SUMPRODUCT((PersonOnVacation=Availability!A21)*(VacationSprint=Sprint2)*SprintHoursOff))</f>
        <v>0</v>
      </c>
      <c r="O21" s="52">
        <f t="shared" si="56"/>
        <v>72</v>
      </c>
      <c r="P21" s="42"/>
      <c r="Q21" s="27"/>
      <c r="R21" s="176" t="str">
        <f t="shared" si="5"/>
        <v>WebTeam1</v>
      </c>
      <c r="S21" s="42">
        <f t="shared" si="6"/>
        <v>80</v>
      </c>
      <c r="T21" s="51">
        <f>IF(S21=0,0,VLOOKUP(Sprint3,Settings!$C$28:$E$53,3)*(S21/Hours_in_iteration))</f>
        <v>0</v>
      </c>
      <c r="U21" s="51">
        <f>IF(ISNA(SUMPRODUCT((PersonOnVacation=Availability!A21)*(VacationSprint=Sprint3)*SprintHoursOff)),0,SUMPRODUCT((PersonOnVacation=Availability!A21)*(VacationSprint=Sprint3)*SprintHoursOff))</f>
        <v>0</v>
      </c>
      <c r="V21" s="52">
        <f t="shared" si="57"/>
        <v>80</v>
      </c>
      <c r="W21" s="42"/>
      <c r="X21" s="27"/>
      <c r="Y21" s="176" t="str">
        <f t="shared" si="7"/>
        <v>WebTeam1</v>
      </c>
      <c r="Z21" s="42">
        <f t="shared" si="8"/>
        <v>80</v>
      </c>
      <c r="AA21" s="51">
        <f>IF(Z21=0,0,VLOOKUP(Sprint4,Settings!$C$28:$E$53,3)*(Z21/Hours_in_iteration))</f>
        <v>8</v>
      </c>
      <c r="AB21" s="51">
        <f>IF(ISNA(SUMPRODUCT((PersonOnVacation=Availability!$A21)*(VacationSprint=Sprint4)*SprintHoursOff)),0,SUMPRODUCT((PersonOnVacation=Availability!$A21)*(VacationSprint=Sprint4)*SprintHoursOff))</f>
        <v>0</v>
      </c>
      <c r="AC21" s="52">
        <f t="shared" si="58"/>
        <v>72</v>
      </c>
      <c r="AD21" s="42"/>
      <c r="AE21" s="27"/>
      <c r="AF21" s="176" t="str">
        <f t="shared" si="9"/>
        <v>WebTeam1</v>
      </c>
      <c r="AG21" s="42">
        <f t="shared" si="10"/>
        <v>80</v>
      </c>
      <c r="AH21" s="51">
        <f>IF(AG21=0,0,VLOOKUP(Sprint5,Settings!$C$28:$E$53,3)*(AG21/Hours_in_iteration))</f>
        <v>0</v>
      </c>
      <c r="AI21" s="51">
        <f>IF(ISNA(SUMPRODUCT((PersonOnVacation=Availability!$A21)*(VacationSprint=Sprint5)*SprintHoursOff)),0,SUMPRODUCT((PersonOnVacation=Availability!$A21)*(VacationSprint=Sprint5)*SprintHoursOff))</f>
        <v>0</v>
      </c>
      <c r="AJ21" s="52">
        <f t="shared" si="59"/>
        <v>80</v>
      </c>
      <c r="AK21" s="42"/>
      <c r="AL21" s="27"/>
      <c r="AM21" s="176" t="str">
        <f t="shared" si="11"/>
        <v>WebTeam1</v>
      </c>
      <c r="AN21" s="42">
        <f t="shared" si="12"/>
        <v>80</v>
      </c>
      <c r="AO21" s="51">
        <f>IF(AN21=0,0,VLOOKUP(Sprint6,Settings!$C$28:$E$53,3)*(AN21/Hours_in_iteration))</f>
        <v>0</v>
      </c>
      <c r="AP21" s="51">
        <f>IF(ISNA(SUMPRODUCT((PersonOnVacation=Availability!$A21)*(VacationSprint=Sprint6)*SprintHoursOff)),0,SUMPRODUCT((PersonOnVacation=Availability!$A21)*(VacationSprint=Sprint6)*SprintHoursOff))</f>
        <v>0</v>
      </c>
      <c r="AQ21" s="52">
        <f t="shared" si="60"/>
        <v>80</v>
      </c>
      <c r="AR21" s="42"/>
      <c r="AS21" s="27"/>
      <c r="AT21" s="176" t="str">
        <f t="shared" si="13"/>
        <v>WebTeam1</v>
      </c>
      <c r="AU21" s="42">
        <f t="shared" si="14"/>
        <v>80</v>
      </c>
      <c r="AV21" s="51">
        <f>IF(AU21=0,0,VLOOKUP(Sprint7,Settings!$C$28:$E$53,3)*(AU21/Hours_in_iteration))</f>
        <v>0</v>
      </c>
      <c r="AW21" s="51">
        <f>IF(ISNA(SUMPRODUCT((PersonOnVacation=Availability!$A21)*(VacationSprint=Sprint7)*SprintHoursOff)),0,SUMPRODUCT((PersonOnVacation=Availability!$A21)*(VacationSprint=Sprint7)*SprintHoursOff))</f>
        <v>0</v>
      </c>
      <c r="AX21" s="52">
        <f t="shared" si="61"/>
        <v>80</v>
      </c>
      <c r="AY21" s="42"/>
      <c r="AZ21" s="27"/>
      <c r="BA21" s="176" t="str">
        <f t="shared" si="15"/>
        <v>WebTeam1</v>
      </c>
      <c r="BB21" s="42">
        <f t="shared" si="16"/>
        <v>80</v>
      </c>
      <c r="BC21" s="51">
        <f>IF(BB21=0,0,VLOOKUP(Sprint8,Settings!$C$28:$E$53,3)*(BB21/Hours_in_iteration))</f>
        <v>0</v>
      </c>
      <c r="BD21" s="51">
        <f>IF(ISNA(SUMPRODUCT((PersonOnVacation=Availability!$A21)*(VacationSprint=Sprint8)*SprintHoursOff)),0,SUMPRODUCT((PersonOnVacation=Availability!$A21)*(VacationSprint=Sprint8)*SprintHoursOff))</f>
        <v>0</v>
      </c>
      <c r="BE21" s="52">
        <f t="shared" si="62"/>
        <v>80</v>
      </c>
      <c r="BF21" s="42"/>
      <c r="BG21" s="27"/>
      <c r="BH21" s="176" t="str">
        <f t="shared" si="17"/>
        <v>WebTeam1</v>
      </c>
      <c r="BI21" s="42">
        <f t="shared" si="18"/>
        <v>80</v>
      </c>
      <c r="BJ21" s="51">
        <f>IF(BI21=0,0,VLOOKUP(Sprint9,Settings!$C$28:$E$53,3)*(BI21/Hours_in_iteration))</f>
        <v>0</v>
      </c>
      <c r="BK21" s="51">
        <f>IF(ISNA(SUMPRODUCT((PersonOnVacation=Availability!$A21)*(VacationSprint=Sprint9)*SprintHoursOff)),0,SUMPRODUCT((PersonOnVacation=Availability!$A21)*(VacationSprint=Sprint9)*SprintHoursOff))</f>
        <v>0</v>
      </c>
      <c r="BL21" s="52">
        <f t="shared" si="63"/>
        <v>80</v>
      </c>
      <c r="BM21" s="42"/>
      <c r="BN21" s="27"/>
      <c r="BO21" s="176" t="str">
        <f t="shared" si="19"/>
        <v>WebTeam1</v>
      </c>
      <c r="BP21" s="42">
        <f t="shared" si="20"/>
        <v>80</v>
      </c>
      <c r="BQ21" s="51">
        <f>IF(BP21=0,0,VLOOKUP(Sprint10,Settings!$C$28:$E$53,3)*(BP21/Hours_in_iteration))</f>
        <v>0</v>
      </c>
      <c r="BR21" s="51">
        <f>IF(ISNA(SUMPRODUCT((PersonOnVacation=Availability!$A21)*(VacationSprint=Sprint10)*SprintHoursOff)),0,SUMPRODUCT((PersonOnVacation=Availability!$A21)*(VacationSprint=Sprint10)*SprintHoursOff))</f>
        <v>0</v>
      </c>
      <c r="BS21" s="52">
        <f t="shared" si="64"/>
        <v>80</v>
      </c>
      <c r="BT21" s="42"/>
      <c r="BU21" s="27"/>
      <c r="BV21" s="176" t="str">
        <f t="shared" si="21"/>
        <v>WebTeam1</v>
      </c>
      <c r="BW21" s="42">
        <f t="shared" si="22"/>
        <v>80</v>
      </c>
      <c r="BX21" s="51">
        <f>IF(BW21=0,0,VLOOKUP(Sprint11,Settings!$C$28:$E$53,3)*(BW21/Hours_in_iteration))</f>
        <v>0</v>
      </c>
      <c r="BY21" s="51">
        <f>IF(ISNA(SUMPRODUCT((PersonOnVacation=Availability!$A21)*(VacationSprint=Sprint11)*SprintHoursOff)),0,SUMPRODUCT((PersonOnVacation=Availability!$A21)*(VacationSprint=Sprint11)*SprintHoursOff))</f>
        <v>0</v>
      </c>
      <c r="BZ21" s="52">
        <f t="shared" si="65"/>
        <v>80</v>
      </c>
      <c r="CA21" s="42"/>
      <c r="CB21" s="27"/>
      <c r="CC21" s="176" t="str">
        <f t="shared" si="23"/>
        <v>WebTeam1</v>
      </c>
      <c r="CD21" s="42">
        <f t="shared" si="24"/>
        <v>80</v>
      </c>
      <c r="CE21" s="51">
        <f>IF(CD21=0,0,VLOOKUP(Sprint12,Settings!$C$28:$E$53,3)*(CD21/Hours_in_iteration))</f>
        <v>0</v>
      </c>
      <c r="CF21" s="51">
        <f>IF(ISNA(SUMPRODUCT((PersonOnVacation=Availability!$A21)*(VacationSprint=Sprint12)*SprintHoursOff)),0,SUMPRODUCT((PersonOnVacation=Availability!$A21)*(VacationSprint=Sprint12)*SprintHoursOff))</f>
        <v>0</v>
      </c>
      <c r="CG21" s="52">
        <f t="shared" si="66"/>
        <v>80</v>
      </c>
      <c r="CH21" s="42"/>
      <c r="CI21" s="27"/>
      <c r="CJ21" s="176" t="str">
        <f t="shared" si="25"/>
        <v>WebTeam1</v>
      </c>
      <c r="CK21" s="42">
        <f t="shared" si="26"/>
        <v>80</v>
      </c>
      <c r="CL21" s="51">
        <f>IF(CK21=0,0,VLOOKUP(Sprint13,Settings!$C$28:$E$53,3)*(CK21/Hours_in_iteration))</f>
        <v>0</v>
      </c>
      <c r="CM21" s="51">
        <f>IF(ISNA(SUMPRODUCT((PersonOnVacation=Availability!$A21)*(VacationSprint=Sprint13)*SprintHoursOff)),0,SUMPRODUCT((PersonOnVacation=Availability!$A21)*(VacationSprint=Sprint13)*SprintHoursOff))</f>
        <v>0</v>
      </c>
      <c r="CN21" s="52">
        <f t="shared" si="67"/>
        <v>80</v>
      </c>
      <c r="CO21" s="42"/>
      <c r="CP21" s="27"/>
      <c r="CQ21" s="176" t="str">
        <f t="shared" si="27"/>
        <v>WebTeam1</v>
      </c>
      <c r="CR21" s="42">
        <f t="shared" si="28"/>
        <v>80</v>
      </c>
      <c r="CS21" s="51">
        <f>IF(CR21=0,0,VLOOKUP(Sprint14,Settings!$C$28:$E$53,3)*(CR21/Hours_in_iteration))</f>
        <v>0</v>
      </c>
      <c r="CT21" s="51">
        <f>IF(ISNA(SUMPRODUCT((PersonOnVacation=Availability!$A21)*(VacationSprint=Sprint14)*SprintHoursOff)),0,SUMPRODUCT((PersonOnVacation=Availability!$A21)*(VacationSprint=Sprint14)*SprintHoursOff))</f>
        <v>0</v>
      </c>
      <c r="CU21" s="52">
        <f t="shared" si="68"/>
        <v>80</v>
      </c>
      <c r="CV21" s="42"/>
      <c r="CW21" s="27"/>
      <c r="CX21" s="176" t="str">
        <f t="shared" si="29"/>
        <v>WebTeam1</v>
      </c>
      <c r="CY21" s="42">
        <f t="shared" si="30"/>
        <v>80</v>
      </c>
      <c r="CZ21" s="51">
        <f>IF(CY21=0,0,VLOOKUP(Sprint15,Settings!$C$28:$E$53,3)*(CY21/Hours_in_iteration))</f>
        <v>0</v>
      </c>
      <c r="DA21" s="51">
        <f>IF(ISNA(SUMPRODUCT((PersonOnVacation=Availability!$A21)*(VacationSprint=Sprint15)*SprintHoursOff)),0,SUMPRODUCT((PersonOnVacation=Availability!$A21)*(VacationSprint=Sprint15)*SprintHoursOff))</f>
        <v>0</v>
      </c>
      <c r="DB21" s="52">
        <f t="shared" si="69"/>
        <v>80</v>
      </c>
      <c r="DC21" s="42"/>
      <c r="DD21" s="27"/>
      <c r="DE21" s="176" t="str">
        <f t="shared" si="31"/>
        <v>WebTeam1</v>
      </c>
      <c r="DF21" s="42">
        <f t="shared" si="32"/>
        <v>80</v>
      </c>
      <c r="DG21" s="51">
        <f>IF(DF21=0,0,VLOOKUP(Sprint16,Settings!$C$28:$E$53,3)*(DF21/Hours_in_iteration))</f>
        <v>0</v>
      </c>
      <c r="DH21" s="51">
        <f>IF(ISNA(SUMPRODUCT((PersonOnVacation=Availability!$A21)*(VacationSprint=Sprint16)*SprintHoursOff)),0,SUMPRODUCT((PersonOnVacation=Availability!$A21)*(VacationSprint=Sprint16)*SprintHoursOff))</f>
        <v>0</v>
      </c>
      <c r="DI21" s="52">
        <f t="shared" si="70"/>
        <v>80</v>
      </c>
      <c r="DJ21" s="42"/>
      <c r="DK21" s="27"/>
      <c r="DL21" s="176" t="str">
        <f t="shared" si="33"/>
        <v>WebTeam1</v>
      </c>
      <c r="DM21" s="42">
        <f t="shared" si="34"/>
        <v>80</v>
      </c>
      <c r="DN21" s="51">
        <f>IF(DM21=0,0,VLOOKUP(Sprint17,Settings!$C$28:$E$53,3)*(DM21/Hours_in_iteration))</f>
        <v>0</v>
      </c>
      <c r="DO21" s="51">
        <f>IF(ISNA(SUMPRODUCT((PersonOnVacation=Availability!$A21)*(VacationSprint=Sprint17)*SprintHoursOff)),0,SUMPRODUCT((PersonOnVacation=Availability!$A21)*(VacationSprint=Sprint17)*SprintHoursOff))</f>
        <v>0</v>
      </c>
      <c r="DP21" s="52">
        <f t="shared" si="71"/>
        <v>80</v>
      </c>
      <c r="DQ21" s="42"/>
      <c r="DR21" s="27"/>
      <c r="DS21" s="176" t="str">
        <f t="shared" si="35"/>
        <v>WebTeam1</v>
      </c>
      <c r="DT21" s="42">
        <f t="shared" si="36"/>
        <v>80</v>
      </c>
      <c r="DU21" s="51">
        <f>IF(DT21=0,0,VLOOKUP(Sprint18,Settings!$C$28:$E$53,3)*(DT21/Hours_in_iteration))</f>
        <v>0</v>
      </c>
      <c r="DV21" s="51">
        <f>IF(ISNA(SUMPRODUCT((PersonOnVacation=Availability!$A21)*(VacationSprint=Sprint18)*SprintHoursOff)),0,SUMPRODUCT((PersonOnVacation=Availability!$A21)*(VacationSprint=Sprint18)*SprintHoursOff))</f>
        <v>0</v>
      </c>
      <c r="DW21" s="52">
        <f t="shared" si="72"/>
        <v>80</v>
      </c>
      <c r="DX21" s="42"/>
      <c r="DY21" s="27"/>
      <c r="DZ21" s="176" t="str">
        <f t="shared" si="37"/>
        <v>WebTeam1</v>
      </c>
      <c r="EA21" s="42">
        <f t="shared" si="38"/>
        <v>80</v>
      </c>
      <c r="EB21" s="51">
        <f>IF(EA21=0,0,VLOOKUP(Sprint19,Settings!$C$28:$E$53,3)*(EA21/Hours_in_iteration))</f>
        <v>0</v>
      </c>
      <c r="EC21" s="51">
        <f>IF(ISNA(SUMPRODUCT((PersonOnVacation=Availability!$A21)*(VacationSprint=Sprint19)*SprintHoursOff)),0,SUMPRODUCT((PersonOnVacation=Availability!$A21)*(VacationSprint=Sprint19)*SprintHoursOff))</f>
        <v>0</v>
      </c>
      <c r="ED21" s="52">
        <f t="shared" si="73"/>
        <v>80</v>
      </c>
      <c r="EE21" s="42"/>
      <c r="EF21" s="27"/>
      <c r="EG21" s="176" t="str">
        <f t="shared" si="39"/>
        <v>WebTeam1</v>
      </c>
      <c r="EH21" s="42">
        <f t="shared" si="40"/>
        <v>80</v>
      </c>
      <c r="EI21" s="51">
        <f>IF(EH21=0,0,VLOOKUP(Sprint20,Settings!$C$28:$E$53,3)*(EH21/Hours_in_iteration))</f>
        <v>0</v>
      </c>
      <c r="EJ21" s="51">
        <f>IF(ISNA(SUMPRODUCT((PersonOnVacation=Availability!$A21)*(VacationSprint=Sprint20)*SprintHoursOff)),0,SUMPRODUCT((PersonOnVacation=Availability!$A21)*(VacationSprint=Sprint20)*SprintHoursOff))</f>
        <v>0</v>
      </c>
      <c r="EK21" s="52">
        <f t="shared" si="74"/>
        <v>80</v>
      </c>
      <c r="EL21" s="42"/>
      <c r="EM21" s="27"/>
      <c r="EN21" s="176" t="str">
        <f t="shared" si="41"/>
        <v>WebTeam1</v>
      </c>
      <c r="EO21" s="42">
        <f t="shared" si="42"/>
        <v>80</v>
      </c>
      <c r="EP21" s="51">
        <f>IF(EO21=0,0,VLOOKUP(Sprint21,Settings!$C$28:$E$53,3)*(EO21/Hours_in_iteration))</f>
        <v>0</v>
      </c>
      <c r="EQ21" s="51">
        <f>IF(ISNA(SUMPRODUCT((PersonOnVacation=Availability!$A21)*(VacationSprint=Sprint21)*SprintHoursOff)),0,SUMPRODUCT((PersonOnVacation=Availability!$A21)*(VacationSprint=Sprint21)*SprintHoursOff))</f>
        <v>0</v>
      </c>
      <c r="ER21" s="52">
        <f t="shared" si="75"/>
        <v>80</v>
      </c>
      <c r="ES21" s="42"/>
      <c r="ET21" s="27"/>
      <c r="EU21" s="176" t="str">
        <f t="shared" si="43"/>
        <v>WebTeam1</v>
      </c>
      <c r="EV21" s="42">
        <f t="shared" si="44"/>
        <v>80</v>
      </c>
      <c r="EW21" s="51">
        <f>IF(EV21=0,0,VLOOKUP(Sprint22,Settings!$C$28:$E$53,3)*(EV21/Hours_in_iteration))</f>
        <v>0</v>
      </c>
      <c r="EX21" s="51">
        <f>IF(ISNA(SUMPRODUCT((PersonOnVacation=Availability!$A21)*(VacationSprint=Sprint22)*SprintHoursOff)),0,SUMPRODUCT((PersonOnVacation=Availability!$A21)*(VacationSprint=Sprint22)*SprintHoursOff))</f>
        <v>0</v>
      </c>
      <c r="EY21" s="52">
        <f t="shared" si="76"/>
        <v>80</v>
      </c>
      <c r="EZ21" s="42"/>
      <c r="FA21" s="27"/>
      <c r="FB21" s="176" t="str">
        <f t="shared" si="45"/>
        <v>WebTeam1</v>
      </c>
      <c r="FC21" s="42">
        <f t="shared" si="46"/>
        <v>80</v>
      </c>
      <c r="FD21" s="51">
        <f>IF(FC21=0,0,VLOOKUP(Sprint23,Settings!$C$28:$E$53,3)*(FC21/Hours_in_iteration))</f>
        <v>0</v>
      </c>
      <c r="FE21" s="51">
        <f>IF(ISNA(SUMPRODUCT((PersonOnVacation=Availability!$A21)*(VacationSprint=Sprint23)*SprintHoursOff)),0,SUMPRODUCT((PersonOnVacation=Availability!$A21)*(VacationSprint=Sprint23)*SprintHoursOff))</f>
        <v>0</v>
      </c>
      <c r="FF21" s="52">
        <f t="shared" si="77"/>
        <v>80</v>
      </c>
      <c r="FG21" s="42"/>
      <c r="FH21" s="27"/>
      <c r="FI21" s="176" t="str">
        <f t="shared" si="47"/>
        <v>WebTeam1</v>
      </c>
      <c r="FJ21" s="42">
        <f t="shared" si="48"/>
        <v>80</v>
      </c>
      <c r="FK21" s="51">
        <f>IF(FJ21=0,0,VLOOKUP(Sprint24,Settings!$C$28:$E$53,3)*(FJ21/Hours_in_iteration))</f>
        <v>0</v>
      </c>
      <c r="FL21" s="51">
        <f>IF(ISNA(SUMPRODUCT((PersonOnVacation=Availability!$A21)*(VacationSprint=Sprint24)*SprintHoursOff)),0,SUMPRODUCT((PersonOnVacation=Availability!$A21)*(VacationSprint=Sprint24)*SprintHoursOff))</f>
        <v>0</v>
      </c>
      <c r="FM21" s="52">
        <f t="shared" si="78"/>
        <v>80</v>
      </c>
      <c r="FN21" s="42"/>
      <c r="FO21" s="27"/>
      <c r="FP21" s="176" t="str">
        <f t="shared" si="49"/>
        <v>WebTeam1</v>
      </c>
      <c r="FQ21" s="42">
        <f t="shared" si="50"/>
        <v>80</v>
      </c>
      <c r="FR21" s="51">
        <f>IF(FQ21=0,0,VLOOKUP(Sprint25,Settings!$C$28:$E$53,3)*(FQ21/Hours_in_iteration))</f>
        <v>0</v>
      </c>
      <c r="FS21" s="51">
        <f>IF(ISNA(SUMPRODUCT((PersonOnVacation=Availability!$A21)*(VacationSprint=Sprint25)*SprintHoursOff)),0,SUMPRODUCT((PersonOnVacation=Availability!$A21)*(VacationSprint=Sprint25)*SprintHoursOff))</f>
        <v>0</v>
      </c>
      <c r="FT21" s="52">
        <f t="shared" si="79"/>
        <v>80</v>
      </c>
      <c r="FU21" s="42"/>
      <c r="FV21" s="27"/>
      <c r="FW21" s="176" t="str">
        <f t="shared" si="51"/>
        <v>WebTeam1</v>
      </c>
      <c r="FX21" s="42">
        <f t="shared" si="52"/>
        <v>80</v>
      </c>
      <c r="FY21" s="51">
        <f>IF(FX21=0,0,VLOOKUP(Sprint26,Settings!$C$28:$E$53,3)*(FX21/Hours_in_iteration))</f>
        <v>0</v>
      </c>
      <c r="FZ21" s="51">
        <f>IF(ISNA(SUMPRODUCT((PersonOnVacation=Availability!$A21)*(VacationSprint=Sprint26)*SprintHoursOff)),0,SUMPRODUCT((PersonOnVacation=Availability!$A21)*(VacationSprint=Sprint26)*SprintHoursOff))</f>
        <v>0</v>
      </c>
      <c r="GA21" s="52">
        <f t="shared" si="80"/>
        <v>80</v>
      </c>
      <c r="GB21" s="42"/>
      <c r="GC21" s="27"/>
      <c r="GD21" s="176" t="str">
        <f t="shared" si="53"/>
        <v>WebTeam1</v>
      </c>
      <c r="GE21" s="42">
        <f t="shared" si="54"/>
        <v>80</v>
      </c>
      <c r="GF21" s="51">
        <f>IF(GE21=0,0,VLOOKUP(Sprint27,Settings!$C$28:$E$53,3)*(GE21/Hours_in_iteration))</f>
        <v>0</v>
      </c>
      <c r="GG21" s="51">
        <f>IF(ISNA(SUMPRODUCT((PersonOnVacation=Availability!$A21)*(VacationSprint=Sprint27)*SprintHoursOff)),0,SUMPRODUCT((PersonOnVacation=Availability!$A21)*(VacationSprint=Sprint27)*SprintHoursOff))</f>
        <v>0</v>
      </c>
      <c r="GH21" s="52">
        <f t="shared" si="81"/>
        <v>80</v>
      </c>
      <c r="GI21" s="42"/>
    </row>
    <row r="22" spans="1:191" s="56" customFormat="1">
      <c r="A22" s="110" t="str">
        <f>Person13</f>
        <v>Hayes, Shane</v>
      </c>
      <c r="B22" s="42" t="s">
        <v>150</v>
      </c>
      <c r="C22" s="42" t="str">
        <f t="shared" si="0"/>
        <v>WebTeam1 Coach</v>
      </c>
      <c r="D22" s="135" t="str">
        <f t="shared" si="1"/>
        <v>WebTeam1</v>
      </c>
      <c r="E22" s="42">
        <f t="shared" si="55"/>
        <v>16</v>
      </c>
      <c r="F22" s="51">
        <f>IF(E22=0,0,VLOOKUP(Sprint1,Settings!$C$28:$E$53,3)*(E22/Hours_in_iteration))</f>
        <v>1.6</v>
      </c>
      <c r="G22" s="51">
        <f>IF(ISNA(SUMPRODUCT((PersonOnVacation=Availability!A22)*(VacationSprint=Sprint1)*SprintHoursOff)),0,SUMPRODUCT((PersonOnVacation=Availability!A22)*(VacationSprint=Sprint1)*SprintHoursOff))</f>
        <v>0</v>
      </c>
      <c r="H22" s="52">
        <f t="shared" si="2"/>
        <v>14.4</v>
      </c>
      <c r="I22" s="42"/>
      <c r="J22" s="27"/>
      <c r="K22" s="176" t="str">
        <f t="shared" si="3"/>
        <v>WebTeam1</v>
      </c>
      <c r="L22" s="42">
        <f t="shared" si="4"/>
        <v>16</v>
      </c>
      <c r="M22" s="51">
        <f>IF(L22=0,0,VLOOKUP(Sprint2,Settings!$C$28:$E$53,3)*(L22/Hours_in_iteration))</f>
        <v>1.6</v>
      </c>
      <c r="N22" s="51">
        <f>IF(ISNA(SUMPRODUCT((PersonOnVacation=Availability!A22)*(VacationSprint=Sprint2)*SprintHoursOff)),0,SUMPRODUCT((PersonOnVacation=Availability!A22)*(VacationSprint=Sprint2)*SprintHoursOff))</f>
        <v>0</v>
      </c>
      <c r="O22" s="52">
        <f t="shared" si="56"/>
        <v>14.4</v>
      </c>
      <c r="P22" s="42"/>
      <c r="Q22" s="27"/>
      <c r="R22" s="176" t="str">
        <f t="shared" si="5"/>
        <v>WebTeam1</v>
      </c>
      <c r="S22" s="42">
        <f t="shared" si="6"/>
        <v>16</v>
      </c>
      <c r="T22" s="51">
        <f>IF(S22=0,0,VLOOKUP(Sprint3,Settings!$C$28:$E$53,3)*(S22/Hours_in_iteration))</f>
        <v>0</v>
      </c>
      <c r="U22" s="51">
        <f>IF(ISNA(SUMPRODUCT((PersonOnVacation=Availability!A22)*(VacationSprint=Sprint3)*SprintHoursOff)),0,SUMPRODUCT((PersonOnVacation=Availability!A22)*(VacationSprint=Sprint3)*SprintHoursOff))</f>
        <v>0</v>
      </c>
      <c r="V22" s="52">
        <f t="shared" si="57"/>
        <v>16</v>
      </c>
      <c r="W22" s="42"/>
      <c r="X22" s="27"/>
      <c r="Y22" s="176" t="str">
        <f t="shared" si="7"/>
        <v>WebTeam1</v>
      </c>
      <c r="Z22" s="42">
        <f t="shared" si="8"/>
        <v>16</v>
      </c>
      <c r="AA22" s="51">
        <f>IF(Z22=0,0,VLOOKUP(Sprint4,Settings!$C$28:$E$53,3)*(Z22/Hours_in_iteration))</f>
        <v>1.6</v>
      </c>
      <c r="AB22" s="51">
        <f>IF(ISNA(SUMPRODUCT((PersonOnVacation=Availability!$A22)*(VacationSprint=Sprint4)*SprintHoursOff)),0,SUMPRODUCT((PersonOnVacation=Availability!$A22)*(VacationSprint=Sprint4)*SprintHoursOff))</f>
        <v>0</v>
      </c>
      <c r="AC22" s="52">
        <f t="shared" si="58"/>
        <v>14.4</v>
      </c>
      <c r="AD22" s="42"/>
      <c r="AE22" s="27"/>
      <c r="AF22" s="176" t="str">
        <f t="shared" si="9"/>
        <v>WebTeam1</v>
      </c>
      <c r="AG22" s="42">
        <f t="shared" si="10"/>
        <v>16</v>
      </c>
      <c r="AH22" s="51">
        <f>IF(AG22=0,0,VLOOKUP(Sprint5,Settings!$C$28:$E$53,3)*(AG22/Hours_in_iteration))</f>
        <v>0</v>
      </c>
      <c r="AI22" s="51">
        <f>IF(ISNA(SUMPRODUCT((PersonOnVacation=Availability!$A22)*(VacationSprint=Sprint5)*SprintHoursOff)),0,SUMPRODUCT((PersonOnVacation=Availability!$A22)*(VacationSprint=Sprint5)*SprintHoursOff))</f>
        <v>16</v>
      </c>
      <c r="AJ22" s="52">
        <f t="shared" si="59"/>
        <v>0</v>
      </c>
      <c r="AK22" s="42"/>
      <c r="AL22" s="27"/>
      <c r="AM22" s="176" t="str">
        <f t="shared" si="11"/>
        <v>WebTeam1</v>
      </c>
      <c r="AN22" s="42">
        <f t="shared" si="12"/>
        <v>16</v>
      </c>
      <c r="AO22" s="51">
        <f>IF(AN22=0,0,VLOOKUP(Sprint6,Settings!$C$28:$E$53,3)*(AN22/Hours_in_iteration))</f>
        <v>0</v>
      </c>
      <c r="AP22" s="51">
        <f>IF(ISNA(SUMPRODUCT((PersonOnVacation=Availability!$A22)*(VacationSprint=Sprint6)*SprintHoursOff)),0,SUMPRODUCT((PersonOnVacation=Availability!$A22)*(VacationSprint=Sprint6)*SprintHoursOff))</f>
        <v>0</v>
      </c>
      <c r="AQ22" s="52">
        <f t="shared" si="60"/>
        <v>16</v>
      </c>
      <c r="AR22" s="42"/>
      <c r="AS22" s="27"/>
      <c r="AT22" s="176" t="str">
        <f t="shared" si="13"/>
        <v>WebTeam1</v>
      </c>
      <c r="AU22" s="42">
        <f t="shared" si="14"/>
        <v>16</v>
      </c>
      <c r="AV22" s="51">
        <f>IF(AU22=0,0,VLOOKUP(Sprint7,Settings!$C$28:$E$53,3)*(AU22/Hours_in_iteration))</f>
        <v>0</v>
      </c>
      <c r="AW22" s="51">
        <f>IF(ISNA(SUMPRODUCT((PersonOnVacation=Availability!$A22)*(VacationSprint=Sprint7)*SprintHoursOff)),0,SUMPRODUCT((PersonOnVacation=Availability!$A22)*(VacationSprint=Sprint7)*SprintHoursOff))</f>
        <v>0</v>
      </c>
      <c r="AX22" s="52">
        <f t="shared" si="61"/>
        <v>16</v>
      </c>
      <c r="AY22" s="42"/>
      <c r="AZ22" s="27"/>
      <c r="BA22" s="176" t="str">
        <f t="shared" si="15"/>
        <v>WebTeam1</v>
      </c>
      <c r="BB22" s="42">
        <f t="shared" si="16"/>
        <v>16</v>
      </c>
      <c r="BC22" s="51">
        <f>IF(BB22=0,0,VLOOKUP(Sprint8,Settings!$C$28:$E$53,3)*(BB22/Hours_in_iteration))</f>
        <v>0</v>
      </c>
      <c r="BD22" s="51">
        <f>IF(ISNA(SUMPRODUCT((PersonOnVacation=Availability!$A22)*(VacationSprint=Sprint8)*SprintHoursOff)),0,SUMPRODUCT((PersonOnVacation=Availability!$A22)*(VacationSprint=Sprint8)*SprintHoursOff))</f>
        <v>0</v>
      </c>
      <c r="BE22" s="52">
        <f t="shared" si="62"/>
        <v>16</v>
      </c>
      <c r="BF22" s="42"/>
      <c r="BG22" s="27"/>
      <c r="BH22" s="176" t="str">
        <f t="shared" si="17"/>
        <v>WebTeam1</v>
      </c>
      <c r="BI22" s="42">
        <f t="shared" si="18"/>
        <v>16</v>
      </c>
      <c r="BJ22" s="51">
        <f>IF(BI22=0,0,VLOOKUP(Sprint9,Settings!$C$28:$E$53,3)*(BI22/Hours_in_iteration))</f>
        <v>0</v>
      </c>
      <c r="BK22" s="51">
        <f>IF(ISNA(SUMPRODUCT((PersonOnVacation=Availability!$A22)*(VacationSprint=Sprint9)*SprintHoursOff)),0,SUMPRODUCT((PersonOnVacation=Availability!$A22)*(VacationSprint=Sprint9)*SprintHoursOff))</f>
        <v>0</v>
      </c>
      <c r="BL22" s="52">
        <f t="shared" si="63"/>
        <v>16</v>
      </c>
      <c r="BM22" s="42"/>
      <c r="BN22" s="27"/>
      <c r="BO22" s="176" t="str">
        <f t="shared" si="19"/>
        <v>WebTeam1</v>
      </c>
      <c r="BP22" s="42">
        <f t="shared" si="20"/>
        <v>16</v>
      </c>
      <c r="BQ22" s="51">
        <f>IF(BP22=0,0,VLOOKUP(Sprint10,Settings!$C$28:$E$53,3)*(BP22/Hours_in_iteration))</f>
        <v>0</v>
      </c>
      <c r="BR22" s="51">
        <f>IF(ISNA(SUMPRODUCT((PersonOnVacation=Availability!$A22)*(VacationSprint=Sprint10)*SprintHoursOff)),0,SUMPRODUCT((PersonOnVacation=Availability!$A22)*(VacationSprint=Sprint10)*SprintHoursOff))</f>
        <v>0</v>
      </c>
      <c r="BS22" s="52">
        <f t="shared" si="64"/>
        <v>16</v>
      </c>
      <c r="BT22" s="42"/>
      <c r="BU22" s="27"/>
      <c r="BV22" s="176" t="str">
        <f t="shared" si="21"/>
        <v>WebTeam1</v>
      </c>
      <c r="BW22" s="42">
        <f t="shared" si="22"/>
        <v>16</v>
      </c>
      <c r="BX22" s="51">
        <f>IF(BW22=0,0,VLOOKUP(Sprint11,Settings!$C$28:$E$53,3)*(BW22/Hours_in_iteration))</f>
        <v>0</v>
      </c>
      <c r="BY22" s="51">
        <f>IF(ISNA(SUMPRODUCT((PersonOnVacation=Availability!$A22)*(VacationSprint=Sprint11)*SprintHoursOff)),0,SUMPRODUCT((PersonOnVacation=Availability!$A22)*(VacationSprint=Sprint11)*SprintHoursOff))</f>
        <v>0</v>
      </c>
      <c r="BZ22" s="52">
        <f t="shared" si="65"/>
        <v>16</v>
      </c>
      <c r="CA22" s="42"/>
      <c r="CB22" s="27"/>
      <c r="CC22" s="176" t="str">
        <f t="shared" si="23"/>
        <v>WebTeam1</v>
      </c>
      <c r="CD22" s="42">
        <f t="shared" si="24"/>
        <v>16</v>
      </c>
      <c r="CE22" s="51">
        <f>IF(CD22=0,0,VLOOKUP(Sprint12,Settings!$C$28:$E$53,3)*(CD22/Hours_in_iteration))</f>
        <v>0</v>
      </c>
      <c r="CF22" s="51">
        <f>IF(ISNA(SUMPRODUCT((PersonOnVacation=Availability!$A22)*(VacationSprint=Sprint12)*SprintHoursOff)),0,SUMPRODUCT((PersonOnVacation=Availability!$A22)*(VacationSprint=Sprint12)*SprintHoursOff))</f>
        <v>0</v>
      </c>
      <c r="CG22" s="52">
        <f t="shared" si="66"/>
        <v>16</v>
      </c>
      <c r="CH22" s="42"/>
      <c r="CI22" s="27"/>
      <c r="CJ22" s="176" t="str">
        <f t="shared" si="25"/>
        <v>WebTeam1</v>
      </c>
      <c r="CK22" s="42">
        <f t="shared" si="26"/>
        <v>16</v>
      </c>
      <c r="CL22" s="51">
        <f>IF(CK22=0,0,VLOOKUP(Sprint13,Settings!$C$28:$E$53,3)*(CK22/Hours_in_iteration))</f>
        <v>0</v>
      </c>
      <c r="CM22" s="51">
        <f>IF(ISNA(SUMPRODUCT((PersonOnVacation=Availability!$A22)*(VacationSprint=Sprint13)*SprintHoursOff)),0,SUMPRODUCT((PersonOnVacation=Availability!$A22)*(VacationSprint=Sprint13)*SprintHoursOff))</f>
        <v>0</v>
      </c>
      <c r="CN22" s="52">
        <f t="shared" si="67"/>
        <v>16</v>
      </c>
      <c r="CO22" s="42"/>
      <c r="CP22" s="27"/>
      <c r="CQ22" s="176" t="str">
        <f t="shared" si="27"/>
        <v>WebTeam1</v>
      </c>
      <c r="CR22" s="42">
        <f t="shared" si="28"/>
        <v>16</v>
      </c>
      <c r="CS22" s="51">
        <f>IF(CR22=0,0,VLOOKUP(Sprint14,Settings!$C$28:$E$53,3)*(CR22/Hours_in_iteration))</f>
        <v>0</v>
      </c>
      <c r="CT22" s="51">
        <f>IF(ISNA(SUMPRODUCT((PersonOnVacation=Availability!$A22)*(VacationSprint=Sprint14)*SprintHoursOff)),0,SUMPRODUCT((PersonOnVacation=Availability!$A22)*(VacationSprint=Sprint14)*SprintHoursOff))</f>
        <v>0</v>
      </c>
      <c r="CU22" s="52">
        <f t="shared" si="68"/>
        <v>16</v>
      </c>
      <c r="CV22" s="42"/>
      <c r="CW22" s="27"/>
      <c r="CX22" s="176" t="str">
        <f t="shared" si="29"/>
        <v>WebTeam1</v>
      </c>
      <c r="CY22" s="42">
        <f t="shared" si="30"/>
        <v>16</v>
      </c>
      <c r="CZ22" s="51">
        <f>IF(CY22=0,0,VLOOKUP(Sprint15,Settings!$C$28:$E$53,3)*(CY22/Hours_in_iteration))</f>
        <v>0</v>
      </c>
      <c r="DA22" s="51">
        <f>IF(ISNA(SUMPRODUCT((PersonOnVacation=Availability!$A22)*(VacationSprint=Sprint15)*SprintHoursOff)),0,SUMPRODUCT((PersonOnVacation=Availability!$A22)*(VacationSprint=Sprint15)*SprintHoursOff))</f>
        <v>0</v>
      </c>
      <c r="DB22" s="52">
        <f t="shared" si="69"/>
        <v>16</v>
      </c>
      <c r="DC22" s="42"/>
      <c r="DD22" s="27"/>
      <c r="DE22" s="176" t="str">
        <f t="shared" si="31"/>
        <v>WebTeam1</v>
      </c>
      <c r="DF22" s="42">
        <f t="shared" si="32"/>
        <v>16</v>
      </c>
      <c r="DG22" s="51">
        <f>IF(DF22=0,0,VLOOKUP(Sprint16,Settings!$C$28:$E$53,3)*(DF22/Hours_in_iteration))</f>
        <v>0</v>
      </c>
      <c r="DH22" s="51">
        <f>IF(ISNA(SUMPRODUCT((PersonOnVacation=Availability!$A22)*(VacationSprint=Sprint16)*SprintHoursOff)),0,SUMPRODUCT((PersonOnVacation=Availability!$A22)*(VacationSprint=Sprint16)*SprintHoursOff))</f>
        <v>0</v>
      </c>
      <c r="DI22" s="52">
        <f t="shared" si="70"/>
        <v>16</v>
      </c>
      <c r="DJ22" s="42"/>
      <c r="DK22" s="27"/>
      <c r="DL22" s="176" t="str">
        <f t="shared" si="33"/>
        <v>WebTeam1</v>
      </c>
      <c r="DM22" s="42">
        <f t="shared" si="34"/>
        <v>16</v>
      </c>
      <c r="DN22" s="51">
        <f>IF(DM22=0,0,VLOOKUP(Sprint17,Settings!$C$28:$E$53,3)*(DM22/Hours_in_iteration))</f>
        <v>0</v>
      </c>
      <c r="DO22" s="51">
        <f>IF(ISNA(SUMPRODUCT((PersonOnVacation=Availability!$A22)*(VacationSprint=Sprint17)*SprintHoursOff)),0,SUMPRODUCT((PersonOnVacation=Availability!$A22)*(VacationSprint=Sprint17)*SprintHoursOff))</f>
        <v>0</v>
      </c>
      <c r="DP22" s="52">
        <f t="shared" si="71"/>
        <v>16</v>
      </c>
      <c r="DQ22" s="42"/>
      <c r="DR22" s="27"/>
      <c r="DS22" s="176" t="str">
        <f t="shared" si="35"/>
        <v>WebTeam1</v>
      </c>
      <c r="DT22" s="42">
        <f t="shared" si="36"/>
        <v>16</v>
      </c>
      <c r="DU22" s="51">
        <f>IF(DT22=0,0,VLOOKUP(Sprint18,Settings!$C$28:$E$53,3)*(DT22/Hours_in_iteration))</f>
        <v>0</v>
      </c>
      <c r="DV22" s="51">
        <f>IF(ISNA(SUMPRODUCT((PersonOnVacation=Availability!$A22)*(VacationSprint=Sprint18)*SprintHoursOff)),0,SUMPRODUCT((PersonOnVacation=Availability!$A22)*(VacationSprint=Sprint18)*SprintHoursOff))</f>
        <v>0</v>
      </c>
      <c r="DW22" s="52">
        <f t="shared" si="72"/>
        <v>16</v>
      </c>
      <c r="DX22" s="42"/>
      <c r="DY22" s="27"/>
      <c r="DZ22" s="176" t="str">
        <f t="shared" si="37"/>
        <v>WebTeam1</v>
      </c>
      <c r="EA22" s="42">
        <f t="shared" si="38"/>
        <v>16</v>
      </c>
      <c r="EB22" s="51">
        <f>IF(EA22=0,0,VLOOKUP(Sprint19,Settings!$C$28:$E$53,3)*(EA22/Hours_in_iteration))</f>
        <v>0</v>
      </c>
      <c r="EC22" s="51">
        <f>IF(ISNA(SUMPRODUCT((PersonOnVacation=Availability!$A22)*(VacationSprint=Sprint19)*SprintHoursOff)),0,SUMPRODUCT((PersonOnVacation=Availability!$A22)*(VacationSprint=Sprint19)*SprintHoursOff))</f>
        <v>0</v>
      </c>
      <c r="ED22" s="52">
        <f t="shared" si="73"/>
        <v>16</v>
      </c>
      <c r="EE22" s="42"/>
      <c r="EF22" s="27"/>
      <c r="EG22" s="176" t="str">
        <f t="shared" si="39"/>
        <v>WebTeam1</v>
      </c>
      <c r="EH22" s="42">
        <f t="shared" si="40"/>
        <v>16</v>
      </c>
      <c r="EI22" s="51">
        <f>IF(EH22=0,0,VLOOKUP(Sprint20,Settings!$C$28:$E$53,3)*(EH22/Hours_in_iteration))</f>
        <v>0</v>
      </c>
      <c r="EJ22" s="51">
        <f>IF(ISNA(SUMPRODUCT((PersonOnVacation=Availability!$A22)*(VacationSprint=Sprint20)*SprintHoursOff)),0,SUMPRODUCT((PersonOnVacation=Availability!$A22)*(VacationSprint=Sprint20)*SprintHoursOff))</f>
        <v>0</v>
      </c>
      <c r="EK22" s="52">
        <f t="shared" si="74"/>
        <v>16</v>
      </c>
      <c r="EL22" s="42"/>
      <c r="EM22" s="27"/>
      <c r="EN22" s="176" t="str">
        <f t="shared" si="41"/>
        <v>WebTeam1</v>
      </c>
      <c r="EO22" s="42">
        <f t="shared" si="42"/>
        <v>16</v>
      </c>
      <c r="EP22" s="51">
        <f>IF(EO22=0,0,VLOOKUP(Sprint21,Settings!$C$28:$E$53,3)*(EO22/Hours_in_iteration))</f>
        <v>0</v>
      </c>
      <c r="EQ22" s="51">
        <f>IF(ISNA(SUMPRODUCT((PersonOnVacation=Availability!$A22)*(VacationSprint=Sprint21)*SprintHoursOff)),0,SUMPRODUCT((PersonOnVacation=Availability!$A22)*(VacationSprint=Sprint21)*SprintHoursOff))</f>
        <v>0</v>
      </c>
      <c r="ER22" s="52">
        <f t="shared" si="75"/>
        <v>16</v>
      </c>
      <c r="ES22" s="42"/>
      <c r="ET22" s="27"/>
      <c r="EU22" s="176" t="str">
        <f t="shared" si="43"/>
        <v>WebTeam1</v>
      </c>
      <c r="EV22" s="42">
        <f t="shared" si="44"/>
        <v>16</v>
      </c>
      <c r="EW22" s="51">
        <f>IF(EV22=0,0,VLOOKUP(Sprint22,Settings!$C$28:$E$53,3)*(EV22/Hours_in_iteration))</f>
        <v>0</v>
      </c>
      <c r="EX22" s="51">
        <f>IF(ISNA(SUMPRODUCT((PersonOnVacation=Availability!$A22)*(VacationSprint=Sprint22)*SprintHoursOff)),0,SUMPRODUCT((PersonOnVacation=Availability!$A22)*(VacationSprint=Sprint22)*SprintHoursOff))</f>
        <v>0</v>
      </c>
      <c r="EY22" s="52">
        <f t="shared" si="76"/>
        <v>16</v>
      </c>
      <c r="EZ22" s="42"/>
      <c r="FA22" s="27"/>
      <c r="FB22" s="176" t="str">
        <f t="shared" si="45"/>
        <v>WebTeam1</v>
      </c>
      <c r="FC22" s="42">
        <f t="shared" si="46"/>
        <v>16</v>
      </c>
      <c r="FD22" s="51">
        <f>IF(FC22=0,0,VLOOKUP(Sprint23,Settings!$C$28:$E$53,3)*(FC22/Hours_in_iteration))</f>
        <v>0</v>
      </c>
      <c r="FE22" s="51">
        <f>IF(ISNA(SUMPRODUCT((PersonOnVacation=Availability!$A22)*(VacationSprint=Sprint23)*SprintHoursOff)),0,SUMPRODUCT((PersonOnVacation=Availability!$A22)*(VacationSprint=Sprint23)*SprintHoursOff))</f>
        <v>0</v>
      </c>
      <c r="FF22" s="52">
        <f t="shared" si="77"/>
        <v>16</v>
      </c>
      <c r="FG22" s="42"/>
      <c r="FH22" s="27"/>
      <c r="FI22" s="176" t="str">
        <f t="shared" si="47"/>
        <v>WebTeam1</v>
      </c>
      <c r="FJ22" s="42">
        <f t="shared" si="48"/>
        <v>16</v>
      </c>
      <c r="FK22" s="51">
        <f>IF(FJ22=0,0,VLOOKUP(Sprint24,Settings!$C$28:$E$53,3)*(FJ22/Hours_in_iteration))</f>
        <v>0</v>
      </c>
      <c r="FL22" s="51">
        <f>IF(ISNA(SUMPRODUCT((PersonOnVacation=Availability!$A22)*(VacationSprint=Sprint24)*SprintHoursOff)),0,SUMPRODUCT((PersonOnVacation=Availability!$A22)*(VacationSprint=Sprint24)*SprintHoursOff))</f>
        <v>0</v>
      </c>
      <c r="FM22" s="52">
        <f t="shared" si="78"/>
        <v>16</v>
      </c>
      <c r="FN22" s="42"/>
      <c r="FO22" s="27"/>
      <c r="FP22" s="176" t="str">
        <f t="shared" si="49"/>
        <v>WebTeam1</v>
      </c>
      <c r="FQ22" s="42">
        <f t="shared" si="50"/>
        <v>16</v>
      </c>
      <c r="FR22" s="51">
        <f>IF(FQ22=0,0,VLOOKUP(Sprint25,Settings!$C$28:$E$53,3)*(FQ22/Hours_in_iteration))</f>
        <v>0</v>
      </c>
      <c r="FS22" s="51">
        <f>IF(ISNA(SUMPRODUCT((PersonOnVacation=Availability!$A22)*(VacationSprint=Sprint25)*SprintHoursOff)),0,SUMPRODUCT((PersonOnVacation=Availability!$A22)*(VacationSprint=Sprint25)*SprintHoursOff))</f>
        <v>0</v>
      </c>
      <c r="FT22" s="52">
        <f t="shared" si="79"/>
        <v>16</v>
      </c>
      <c r="FU22" s="42"/>
      <c r="FV22" s="27"/>
      <c r="FW22" s="176" t="str">
        <f t="shared" si="51"/>
        <v>WebTeam1</v>
      </c>
      <c r="FX22" s="42">
        <f t="shared" si="52"/>
        <v>16</v>
      </c>
      <c r="FY22" s="51">
        <f>IF(FX22=0,0,VLOOKUP(Sprint26,Settings!$C$28:$E$53,3)*(FX22/Hours_in_iteration))</f>
        <v>0</v>
      </c>
      <c r="FZ22" s="51">
        <f>IF(ISNA(SUMPRODUCT((PersonOnVacation=Availability!$A22)*(VacationSprint=Sprint26)*SprintHoursOff)),0,SUMPRODUCT((PersonOnVacation=Availability!$A22)*(VacationSprint=Sprint26)*SprintHoursOff))</f>
        <v>0</v>
      </c>
      <c r="GA22" s="52">
        <f t="shared" si="80"/>
        <v>16</v>
      </c>
      <c r="GB22" s="42"/>
      <c r="GC22" s="27"/>
      <c r="GD22" s="176" t="str">
        <f t="shared" si="53"/>
        <v>WebTeam1</v>
      </c>
      <c r="GE22" s="42">
        <f t="shared" si="54"/>
        <v>16</v>
      </c>
      <c r="GF22" s="51">
        <f>IF(GE22=0,0,VLOOKUP(Sprint27,Settings!$C$28:$E$53,3)*(GE22/Hours_in_iteration))</f>
        <v>0</v>
      </c>
      <c r="GG22" s="51">
        <f>IF(ISNA(SUMPRODUCT((PersonOnVacation=Availability!$A22)*(VacationSprint=Sprint27)*SprintHoursOff)),0,SUMPRODUCT((PersonOnVacation=Availability!$A22)*(VacationSprint=Sprint27)*SprintHoursOff))</f>
        <v>0</v>
      </c>
      <c r="GH22" s="52">
        <f t="shared" si="81"/>
        <v>16</v>
      </c>
      <c r="GI22" s="42"/>
    </row>
    <row r="23" spans="1:191" s="56" customFormat="1">
      <c r="A23" s="110" t="e">
        <f>Person14</f>
        <v>#N/A</v>
      </c>
      <c r="B23" s="42"/>
      <c r="C23" s="42"/>
      <c r="D23" s="135"/>
      <c r="E23" s="42">
        <f t="shared" si="55"/>
        <v>0</v>
      </c>
      <c r="F23" s="51">
        <f>IF(E23=0,0,VLOOKUP(Sprint1,Settings!$C$28:$E$53,3)*(E23/Hours_in_iteration))</f>
        <v>0</v>
      </c>
      <c r="G23" s="51">
        <f>IF(ISNA(SUMPRODUCT((PersonOnVacation=Availability!A23)*(VacationSprint=Sprint1)*SprintHoursOff)),0,SUMPRODUCT((PersonOnVacation=Availability!A23)*(VacationSprint=Sprint1)*SprintHoursOff))</f>
        <v>0</v>
      </c>
      <c r="H23" s="52">
        <f t="shared" si="2"/>
        <v>0</v>
      </c>
      <c r="I23" s="42"/>
      <c r="J23" s="27"/>
      <c r="K23" s="176">
        <f t="shared" si="3"/>
        <v>0</v>
      </c>
      <c r="L23" s="42">
        <f t="shared" si="4"/>
        <v>0</v>
      </c>
      <c r="M23" s="51">
        <f>IF(L23=0,0,VLOOKUP(Sprint2,Settings!$C$28:$E$53,3)*(L23/Hours_in_iteration))</f>
        <v>0</v>
      </c>
      <c r="N23" s="51">
        <f>IF(ISNA(SUMPRODUCT((PersonOnVacation=Availability!A23)*(VacationSprint=Sprint2)*SprintHoursOff)),0,SUMPRODUCT((PersonOnVacation=Availability!A23)*(VacationSprint=Sprint2)*SprintHoursOff))</f>
        <v>0</v>
      </c>
      <c r="O23" s="52">
        <f t="shared" si="56"/>
        <v>0</v>
      </c>
      <c r="P23" s="42"/>
      <c r="Q23" s="27"/>
      <c r="R23" s="176">
        <f t="shared" si="5"/>
        <v>0</v>
      </c>
      <c r="S23" s="42">
        <f t="shared" si="6"/>
        <v>0</v>
      </c>
      <c r="T23" s="51">
        <f>IF(S23=0,0,VLOOKUP(Sprint3,Settings!$C$28:$E$53,3)*(S23/Hours_in_iteration))</f>
        <v>0</v>
      </c>
      <c r="U23" s="51">
        <f>IF(ISNA(SUMPRODUCT((PersonOnVacation=Availability!A23)*(VacationSprint=Sprint3)*SprintHoursOff)),0,SUMPRODUCT((PersonOnVacation=Availability!A23)*(VacationSprint=Sprint3)*SprintHoursOff))</f>
        <v>0</v>
      </c>
      <c r="V23" s="52">
        <f t="shared" si="57"/>
        <v>0</v>
      </c>
      <c r="W23" s="42"/>
      <c r="X23" s="27"/>
      <c r="Y23" s="176">
        <f t="shared" si="7"/>
        <v>0</v>
      </c>
      <c r="Z23" s="42">
        <f t="shared" si="8"/>
        <v>0</v>
      </c>
      <c r="AA23" s="51">
        <f>IF(Z23=0,0,VLOOKUP(Sprint4,Settings!$C$28:$E$53,3)*(Z23/Hours_in_iteration))</f>
        <v>0</v>
      </c>
      <c r="AB23" s="51">
        <f>IF(ISNA(SUMPRODUCT((PersonOnVacation=Availability!$A23)*(VacationSprint=Sprint4)*SprintHoursOff)),0,SUMPRODUCT((PersonOnVacation=Availability!$A23)*(VacationSprint=Sprint4)*SprintHoursOff))</f>
        <v>0</v>
      </c>
      <c r="AC23" s="52">
        <f t="shared" si="58"/>
        <v>0</v>
      </c>
      <c r="AD23" s="42"/>
      <c r="AE23" s="27"/>
      <c r="AF23" s="176">
        <f t="shared" si="9"/>
        <v>0</v>
      </c>
      <c r="AG23" s="42">
        <f t="shared" si="10"/>
        <v>0</v>
      </c>
      <c r="AH23" s="51">
        <f>IF(AG23=0,0,VLOOKUP(Sprint5,Settings!$C$28:$E$53,3)*(AG23/Hours_in_iteration))</f>
        <v>0</v>
      </c>
      <c r="AI23" s="51">
        <f>IF(ISNA(SUMPRODUCT((PersonOnVacation=Availability!$A23)*(VacationSprint=Sprint5)*SprintHoursOff)),0,SUMPRODUCT((PersonOnVacation=Availability!$A23)*(VacationSprint=Sprint5)*SprintHoursOff))</f>
        <v>0</v>
      </c>
      <c r="AJ23" s="52">
        <f t="shared" si="59"/>
        <v>0</v>
      </c>
      <c r="AK23" s="42"/>
      <c r="AL23" s="27"/>
      <c r="AM23" s="176">
        <f t="shared" si="11"/>
        <v>0</v>
      </c>
      <c r="AN23" s="42">
        <f t="shared" si="12"/>
        <v>0</v>
      </c>
      <c r="AO23" s="51">
        <f>IF(AN23=0,0,VLOOKUP(Sprint6,Settings!$C$28:$E$53,3)*(AN23/Hours_in_iteration))</f>
        <v>0</v>
      </c>
      <c r="AP23" s="51">
        <f>IF(ISNA(SUMPRODUCT((PersonOnVacation=Availability!$A23)*(VacationSprint=Sprint6)*SprintHoursOff)),0,SUMPRODUCT((PersonOnVacation=Availability!$A23)*(VacationSprint=Sprint6)*SprintHoursOff))</f>
        <v>0</v>
      </c>
      <c r="AQ23" s="52">
        <f t="shared" si="60"/>
        <v>0</v>
      </c>
      <c r="AR23" s="42"/>
      <c r="AS23" s="27"/>
      <c r="AT23" s="176">
        <f t="shared" si="13"/>
        <v>0</v>
      </c>
      <c r="AU23" s="42">
        <f t="shared" si="14"/>
        <v>0</v>
      </c>
      <c r="AV23" s="51">
        <f>IF(AU23=0,0,VLOOKUP(Sprint7,Settings!$C$28:$E$53,3)*(AU23/Hours_in_iteration))</f>
        <v>0</v>
      </c>
      <c r="AW23" s="51">
        <f>IF(ISNA(SUMPRODUCT((PersonOnVacation=Availability!$A23)*(VacationSprint=Sprint7)*SprintHoursOff)),0,SUMPRODUCT((PersonOnVacation=Availability!$A23)*(VacationSprint=Sprint7)*SprintHoursOff))</f>
        <v>0</v>
      </c>
      <c r="AX23" s="52">
        <f t="shared" si="61"/>
        <v>0</v>
      </c>
      <c r="AY23" s="42"/>
      <c r="AZ23" s="27"/>
      <c r="BA23" s="176">
        <f t="shared" si="15"/>
        <v>0</v>
      </c>
      <c r="BB23" s="42">
        <f t="shared" si="16"/>
        <v>0</v>
      </c>
      <c r="BC23" s="51">
        <f>IF(BB23=0,0,VLOOKUP(Sprint8,Settings!$C$28:$E$53,3)*(BB23/Hours_in_iteration))</f>
        <v>0</v>
      </c>
      <c r="BD23" s="51">
        <f>IF(ISNA(SUMPRODUCT((PersonOnVacation=Availability!$A23)*(VacationSprint=Sprint8)*SprintHoursOff)),0,SUMPRODUCT((PersonOnVacation=Availability!$A23)*(VacationSprint=Sprint8)*SprintHoursOff))</f>
        <v>0</v>
      </c>
      <c r="BE23" s="52">
        <f t="shared" si="62"/>
        <v>0</v>
      </c>
      <c r="BF23" s="42"/>
      <c r="BG23" s="27"/>
      <c r="BH23" s="176">
        <f t="shared" si="17"/>
        <v>0</v>
      </c>
      <c r="BI23" s="42">
        <f t="shared" si="18"/>
        <v>0</v>
      </c>
      <c r="BJ23" s="51">
        <f>IF(BI23=0,0,VLOOKUP(Sprint9,Settings!$C$28:$E$53,3)*(BI23/Hours_in_iteration))</f>
        <v>0</v>
      </c>
      <c r="BK23" s="51">
        <f>IF(ISNA(SUMPRODUCT((PersonOnVacation=Availability!$A23)*(VacationSprint=Sprint9)*SprintHoursOff)),0,SUMPRODUCT((PersonOnVacation=Availability!$A23)*(VacationSprint=Sprint9)*SprintHoursOff))</f>
        <v>0</v>
      </c>
      <c r="BL23" s="52">
        <f t="shared" si="63"/>
        <v>0</v>
      </c>
      <c r="BM23" s="42"/>
      <c r="BN23" s="27"/>
      <c r="BO23" s="176">
        <f t="shared" si="19"/>
        <v>0</v>
      </c>
      <c r="BP23" s="42">
        <f t="shared" si="20"/>
        <v>0</v>
      </c>
      <c r="BQ23" s="51">
        <f>IF(BP23=0,0,VLOOKUP(Sprint10,Settings!$C$28:$E$53,3)*(BP23/Hours_in_iteration))</f>
        <v>0</v>
      </c>
      <c r="BR23" s="51">
        <f>IF(ISNA(SUMPRODUCT((PersonOnVacation=Availability!$A23)*(VacationSprint=Sprint10)*SprintHoursOff)),0,SUMPRODUCT((PersonOnVacation=Availability!$A23)*(VacationSprint=Sprint10)*SprintHoursOff))</f>
        <v>0</v>
      </c>
      <c r="BS23" s="52">
        <f t="shared" si="64"/>
        <v>0</v>
      </c>
      <c r="BT23" s="42"/>
      <c r="BU23" s="27"/>
      <c r="BV23" s="176">
        <f t="shared" si="21"/>
        <v>0</v>
      </c>
      <c r="BW23" s="42">
        <f t="shared" si="22"/>
        <v>0</v>
      </c>
      <c r="BX23" s="51">
        <f>IF(BW23=0,0,VLOOKUP(Sprint11,Settings!$C$28:$E$53,3)*(BW23/Hours_in_iteration))</f>
        <v>0</v>
      </c>
      <c r="BY23" s="51">
        <f>IF(ISNA(SUMPRODUCT((PersonOnVacation=Availability!$A23)*(VacationSprint=Sprint11)*SprintHoursOff)),0,SUMPRODUCT((PersonOnVacation=Availability!$A23)*(VacationSprint=Sprint11)*SprintHoursOff))</f>
        <v>0</v>
      </c>
      <c r="BZ23" s="52">
        <f t="shared" si="65"/>
        <v>0</v>
      </c>
      <c r="CA23" s="42"/>
      <c r="CB23" s="27"/>
      <c r="CC23" s="176">
        <f t="shared" si="23"/>
        <v>0</v>
      </c>
      <c r="CD23" s="42">
        <f t="shared" si="24"/>
        <v>0</v>
      </c>
      <c r="CE23" s="51">
        <f>IF(CD23=0,0,VLOOKUP(Sprint12,Settings!$C$28:$E$53,3)*(CD23/Hours_in_iteration))</f>
        <v>0</v>
      </c>
      <c r="CF23" s="51">
        <f>IF(ISNA(SUMPRODUCT((PersonOnVacation=Availability!$A23)*(VacationSprint=Sprint12)*SprintHoursOff)),0,SUMPRODUCT((PersonOnVacation=Availability!$A23)*(VacationSprint=Sprint12)*SprintHoursOff))</f>
        <v>0</v>
      </c>
      <c r="CG23" s="52">
        <f t="shared" si="66"/>
        <v>0</v>
      </c>
      <c r="CH23" s="42"/>
      <c r="CI23" s="27"/>
      <c r="CJ23" s="176">
        <f t="shared" si="25"/>
        <v>0</v>
      </c>
      <c r="CK23" s="42">
        <f t="shared" si="26"/>
        <v>0</v>
      </c>
      <c r="CL23" s="51">
        <f>IF(CK23=0,0,VLOOKUP(Sprint13,Settings!$C$28:$E$53,3)*(CK23/Hours_in_iteration))</f>
        <v>0</v>
      </c>
      <c r="CM23" s="51">
        <f>IF(ISNA(SUMPRODUCT((PersonOnVacation=Availability!$A23)*(VacationSprint=Sprint13)*SprintHoursOff)),0,SUMPRODUCT((PersonOnVacation=Availability!$A23)*(VacationSprint=Sprint13)*SprintHoursOff))</f>
        <v>0</v>
      </c>
      <c r="CN23" s="52">
        <f t="shared" si="67"/>
        <v>0</v>
      </c>
      <c r="CO23" s="42"/>
      <c r="CP23" s="27"/>
      <c r="CQ23" s="176">
        <f t="shared" si="27"/>
        <v>0</v>
      </c>
      <c r="CR23" s="42">
        <f t="shared" si="28"/>
        <v>0</v>
      </c>
      <c r="CS23" s="51">
        <f>IF(CR23=0,0,VLOOKUP(Sprint14,Settings!$C$28:$E$53,3)*(CR23/Hours_in_iteration))</f>
        <v>0</v>
      </c>
      <c r="CT23" s="51">
        <f>IF(ISNA(SUMPRODUCT((PersonOnVacation=Availability!$A23)*(VacationSprint=Sprint14)*SprintHoursOff)),0,SUMPRODUCT((PersonOnVacation=Availability!$A23)*(VacationSprint=Sprint14)*SprintHoursOff))</f>
        <v>0</v>
      </c>
      <c r="CU23" s="52">
        <f t="shared" si="68"/>
        <v>0</v>
      </c>
      <c r="CV23" s="42"/>
      <c r="CW23" s="27"/>
      <c r="CX23" s="176">
        <f t="shared" si="29"/>
        <v>0</v>
      </c>
      <c r="CY23" s="42">
        <f t="shared" si="30"/>
        <v>0</v>
      </c>
      <c r="CZ23" s="51">
        <f>IF(CY23=0,0,VLOOKUP(Sprint15,Settings!$C$28:$E$53,3)*(CY23/Hours_in_iteration))</f>
        <v>0</v>
      </c>
      <c r="DA23" s="51">
        <f>IF(ISNA(SUMPRODUCT((PersonOnVacation=Availability!$A23)*(VacationSprint=Sprint15)*SprintHoursOff)),0,SUMPRODUCT((PersonOnVacation=Availability!$A23)*(VacationSprint=Sprint15)*SprintHoursOff))</f>
        <v>0</v>
      </c>
      <c r="DB23" s="52">
        <f t="shared" si="69"/>
        <v>0</v>
      </c>
      <c r="DC23" s="42"/>
      <c r="DD23" s="27"/>
      <c r="DE23" s="176">
        <f t="shared" si="31"/>
        <v>0</v>
      </c>
      <c r="DF23" s="42">
        <f t="shared" si="32"/>
        <v>0</v>
      </c>
      <c r="DG23" s="51">
        <f>IF(DF23=0,0,VLOOKUP(Sprint16,Settings!$C$28:$E$53,3)*(DF23/Hours_in_iteration))</f>
        <v>0</v>
      </c>
      <c r="DH23" s="51">
        <f>IF(ISNA(SUMPRODUCT((PersonOnVacation=Availability!$A23)*(VacationSprint=Sprint16)*SprintHoursOff)),0,SUMPRODUCT((PersonOnVacation=Availability!$A23)*(VacationSprint=Sprint16)*SprintHoursOff))</f>
        <v>0</v>
      </c>
      <c r="DI23" s="52">
        <f t="shared" si="70"/>
        <v>0</v>
      </c>
      <c r="DJ23" s="42"/>
      <c r="DK23" s="27"/>
      <c r="DL23" s="176">
        <f t="shared" si="33"/>
        <v>0</v>
      </c>
      <c r="DM23" s="42">
        <f t="shared" si="34"/>
        <v>0</v>
      </c>
      <c r="DN23" s="51">
        <f>IF(DM23=0,0,VLOOKUP(Sprint17,Settings!$C$28:$E$53,3)*(DM23/Hours_in_iteration))</f>
        <v>0</v>
      </c>
      <c r="DO23" s="51">
        <f>IF(ISNA(SUMPRODUCT((PersonOnVacation=Availability!$A23)*(VacationSprint=Sprint17)*SprintHoursOff)),0,SUMPRODUCT((PersonOnVacation=Availability!$A23)*(VacationSprint=Sprint17)*SprintHoursOff))</f>
        <v>0</v>
      </c>
      <c r="DP23" s="52">
        <f t="shared" si="71"/>
        <v>0</v>
      </c>
      <c r="DQ23" s="42"/>
      <c r="DR23" s="27"/>
      <c r="DS23" s="176">
        <f t="shared" si="35"/>
        <v>0</v>
      </c>
      <c r="DT23" s="42">
        <f t="shared" si="36"/>
        <v>0</v>
      </c>
      <c r="DU23" s="51">
        <f>IF(DT23=0,0,VLOOKUP(Sprint18,Settings!$C$28:$E$53,3)*(DT23/Hours_in_iteration))</f>
        <v>0</v>
      </c>
      <c r="DV23" s="51">
        <f>IF(ISNA(SUMPRODUCT((PersonOnVacation=Availability!$A23)*(VacationSprint=Sprint18)*SprintHoursOff)),0,SUMPRODUCT((PersonOnVacation=Availability!$A23)*(VacationSprint=Sprint18)*SprintHoursOff))</f>
        <v>0</v>
      </c>
      <c r="DW23" s="52">
        <f t="shared" si="72"/>
        <v>0</v>
      </c>
      <c r="DX23" s="42"/>
      <c r="DY23" s="27"/>
      <c r="DZ23" s="176">
        <f t="shared" si="37"/>
        <v>0</v>
      </c>
      <c r="EA23" s="42">
        <f t="shared" si="38"/>
        <v>0</v>
      </c>
      <c r="EB23" s="51">
        <f>IF(EA23=0,0,VLOOKUP(Sprint19,Settings!$C$28:$E$53,3)*(EA23/Hours_in_iteration))</f>
        <v>0</v>
      </c>
      <c r="EC23" s="51">
        <f>IF(ISNA(SUMPRODUCT((PersonOnVacation=Availability!$A23)*(VacationSprint=Sprint19)*SprintHoursOff)),0,SUMPRODUCT((PersonOnVacation=Availability!$A23)*(VacationSprint=Sprint19)*SprintHoursOff))</f>
        <v>0</v>
      </c>
      <c r="ED23" s="52">
        <f t="shared" si="73"/>
        <v>0</v>
      </c>
      <c r="EE23" s="42"/>
      <c r="EF23" s="27"/>
      <c r="EG23" s="176">
        <f t="shared" si="39"/>
        <v>0</v>
      </c>
      <c r="EH23" s="42">
        <f t="shared" si="40"/>
        <v>0</v>
      </c>
      <c r="EI23" s="51">
        <f>IF(EH23=0,0,VLOOKUP(Sprint20,Settings!$C$28:$E$53,3)*(EH23/Hours_in_iteration))</f>
        <v>0</v>
      </c>
      <c r="EJ23" s="51">
        <f>IF(ISNA(SUMPRODUCT((PersonOnVacation=Availability!$A23)*(VacationSprint=Sprint20)*SprintHoursOff)),0,SUMPRODUCT((PersonOnVacation=Availability!$A23)*(VacationSprint=Sprint20)*SprintHoursOff))</f>
        <v>0</v>
      </c>
      <c r="EK23" s="52">
        <f t="shared" si="74"/>
        <v>0</v>
      </c>
      <c r="EL23" s="42"/>
      <c r="EM23" s="27"/>
      <c r="EN23" s="176">
        <f t="shared" si="41"/>
        <v>0</v>
      </c>
      <c r="EO23" s="42">
        <f t="shared" si="42"/>
        <v>0</v>
      </c>
      <c r="EP23" s="51">
        <f>IF(EO23=0,0,VLOOKUP(Sprint21,Settings!$C$28:$E$53,3)*(EO23/Hours_in_iteration))</f>
        <v>0</v>
      </c>
      <c r="EQ23" s="51">
        <f>IF(ISNA(SUMPRODUCT((PersonOnVacation=Availability!$A23)*(VacationSprint=Sprint21)*SprintHoursOff)),0,SUMPRODUCT((PersonOnVacation=Availability!$A23)*(VacationSprint=Sprint21)*SprintHoursOff))</f>
        <v>0</v>
      </c>
      <c r="ER23" s="52">
        <f t="shared" si="75"/>
        <v>0</v>
      </c>
      <c r="ES23" s="42"/>
      <c r="ET23" s="27"/>
      <c r="EU23" s="176">
        <f t="shared" si="43"/>
        <v>0</v>
      </c>
      <c r="EV23" s="42">
        <f t="shared" si="44"/>
        <v>0</v>
      </c>
      <c r="EW23" s="51">
        <f>IF(EV23=0,0,VLOOKUP(Sprint22,Settings!$C$28:$E$53,3)*(EV23/Hours_in_iteration))</f>
        <v>0</v>
      </c>
      <c r="EX23" s="51">
        <f>IF(ISNA(SUMPRODUCT((PersonOnVacation=Availability!$A23)*(VacationSprint=Sprint22)*SprintHoursOff)),0,SUMPRODUCT((PersonOnVacation=Availability!$A23)*(VacationSprint=Sprint22)*SprintHoursOff))</f>
        <v>0</v>
      </c>
      <c r="EY23" s="52">
        <f t="shared" si="76"/>
        <v>0</v>
      </c>
      <c r="EZ23" s="42"/>
      <c r="FA23" s="27"/>
      <c r="FB23" s="176">
        <f t="shared" si="45"/>
        <v>0</v>
      </c>
      <c r="FC23" s="42">
        <f t="shared" si="46"/>
        <v>0</v>
      </c>
      <c r="FD23" s="51">
        <f>IF(FC23=0,0,VLOOKUP(Sprint23,Settings!$C$28:$E$53,3)*(FC23/Hours_in_iteration))</f>
        <v>0</v>
      </c>
      <c r="FE23" s="51">
        <f>IF(ISNA(SUMPRODUCT((PersonOnVacation=Availability!$A23)*(VacationSprint=Sprint23)*SprintHoursOff)),0,SUMPRODUCT((PersonOnVacation=Availability!$A23)*(VacationSprint=Sprint23)*SprintHoursOff))</f>
        <v>0</v>
      </c>
      <c r="FF23" s="52">
        <f t="shared" si="77"/>
        <v>0</v>
      </c>
      <c r="FG23" s="42"/>
      <c r="FH23" s="27"/>
      <c r="FI23" s="176">
        <f t="shared" si="47"/>
        <v>0</v>
      </c>
      <c r="FJ23" s="42">
        <f t="shared" si="48"/>
        <v>0</v>
      </c>
      <c r="FK23" s="51">
        <f>IF(FJ23=0,0,VLOOKUP(Sprint24,Settings!$C$28:$E$53,3)*(FJ23/Hours_in_iteration))</f>
        <v>0</v>
      </c>
      <c r="FL23" s="51">
        <f>IF(ISNA(SUMPRODUCT((PersonOnVacation=Availability!$A23)*(VacationSprint=Sprint24)*SprintHoursOff)),0,SUMPRODUCT((PersonOnVacation=Availability!$A23)*(VacationSprint=Sprint24)*SprintHoursOff))</f>
        <v>0</v>
      </c>
      <c r="FM23" s="52">
        <f t="shared" si="78"/>
        <v>0</v>
      </c>
      <c r="FN23" s="42"/>
      <c r="FO23" s="27"/>
      <c r="FP23" s="176">
        <f t="shared" si="49"/>
        <v>0</v>
      </c>
      <c r="FQ23" s="42">
        <f t="shared" si="50"/>
        <v>0</v>
      </c>
      <c r="FR23" s="51">
        <f>IF(FQ23=0,0,VLOOKUP(Sprint25,Settings!$C$28:$E$53,3)*(FQ23/Hours_in_iteration))</f>
        <v>0</v>
      </c>
      <c r="FS23" s="51">
        <f>IF(ISNA(SUMPRODUCT((PersonOnVacation=Availability!$A23)*(VacationSprint=Sprint25)*SprintHoursOff)),0,SUMPRODUCT((PersonOnVacation=Availability!$A23)*(VacationSprint=Sprint25)*SprintHoursOff))</f>
        <v>0</v>
      </c>
      <c r="FT23" s="52">
        <f t="shared" si="79"/>
        <v>0</v>
      </c>
      <c r="FU23" s="42"/>
      <c r="FV23" s="27"/>
      <c r="FW23" s="176">
        <f t="shared" si="51"/>
        <v>0</v>
      </c>
      <c r="FX23" s="42">
        <f t="shared" si="52"/>
        <v>0</v>
      </c>
      <c r="FY23" s="51">
        <f>IF(FX23=0,0,VLOOKUP(Sprint26,Settings!$C$28:$E$53,3)*(FX23/Hours_in_iteration))</f>
        <v>0</v>
      </c>
      <c r="FZ23" s="51">
        <f>IF(ISNA(SUMPRODUCT((PersonOnVacation=Availability!$A23)*(VacationSprint=Sprint26)*SprintHoursOff)),0,SUMPRODUCT((PersonOnVacation=Availability!$A23)*(VacationSprint=Sprint26)*SprintHoursOff))</f>
        <v>0</v>
      </c>
      <c r="GA23" s="52">
        <f t="shared" si="80"/>
        <v>0</v>
      </c>
      <c r="GB23" s="42"/>
      <c r="GC23" s="27"/>
      <c r="GD23" s="176">
        <f t="shared" si="53"/>
        <v>0</v>
      </c>
      <c r="GE23" s="42">
        <f t="shared" si="54"/>
        <v>0</v>
      </c>
      <c r="GF23" s="51">
        <f>IF(GE23=0,0,VLOOKUP(Sprint27,Settings!$C$28:$E$53,3)*(GE23/Hours_in_iteration))</f>
        <v>0</v>
      </c>
      <c r="GG23" s="51">
        <f>IF(ISNA(SUMPRODUCT((PersonOnVacation=Availability!$A23)*(VacationSprint=Sprint27)*SprintHoursOff)),0,SUMPRODUCT((PersonOnVacation=Availability!$A23)*(VacationSprint=Sprint27)*SprintHoursOff))</f>
        <v>0</v>
      </c>
      <c r="GH23" s="52">
        <f t="shared" si="81"/>
        <v>0</v>
      </c>
      <c r="GI23" s="42"/>
    </row>
    <row r="24" spans="1:191" s="56" customFormat="1">
      <c r="A24" s="110" t="e">
        <f>Person15</f>
        <v>#N/A</v>
      </c>
      <c r="B24" s="42"/>
      <c r="C24" s="42"/>
      <c r="D24" s="135"/>
      <c r="E24" s="42">
        <f t="shared" si="55"/>
        <v>0</v>
      </c>
      <c r="F24" s="51">
        <f>IF(E24=0,0,VLOOKUP(Sprint1,Settings!$C$28:$E$53,3)*(E24/Hours_in_iteration))</f>
        <v>0</v>
      </c>
      <c r="G24" s="51">
        <f>IF(ISNA(SUMPRODUCT((PersonOnVacation=Availability!A24)*(VacationSprint=Sprint1)*SprintHoursOff)),0,SUMPRODUCT((PersonOnVacation=Availability!A24)*(VacationSprint=Sprint1)*SprintHoursOff))</f>
        <v>0</v>
      </c>
      <c r="H24" s="52">
        <f t="shared" si="2"/>
        <v>0</v>
      </c>
      <c r="I24" s="42"/>
      <c r="J24" s="27"/>
      <c r="K24" s="176">
        <f t="shared" si="3"/>
        <v>0</v>
      </c>
      <c r="L24" s="42">
        <f t="shared" si="4"/>
        <v>0</v>
      </c>
      <c r="M24" s="51">
        <f>IF(L24=0,0,VLOOKUP(Sprint2,Settings!$C$28:$E$53,3)*(L24/Hours_in_iteration))</f>
        <v>0</v>
      </c>
      <c r="N24" s="51">
        <f>IF(ISNA(SUMPRODUCT((PersonOnVacation=Availability!A24)*(VacationSprint=Sprint2)*SprintHoursOff)),0,SUMPRODUCT((PersonOnVacation=Availability!A24)*(VacationSprint=Sprint2)*SprintHoursOff))</f>
        <v>0</v>
      </c>
      <c r="O24" s="52">
        <f t="shared" si="56"/>
        <v>0</v>
      </c>
      <c r="P24" s="42"/>
      <c r="Q24" s="27"/>
      <c r="R24" s="176">
        <f t="shared" si="5"/>
        <v>0</v>
      </c>
      <c r="S24" s="42">
        <f t="shared" si="6"/>
        <v>0</v>
      </c>
      <c r="T24" s="51">
        <f>IF(S24=0,0,VLOOKUP(Sprint3,Settings!$C$28:$E$53,3)*(S24/Hours_in_iteration))</f>
        <v>0</v>
      </c>
      <c r="U24" s="51">
        <f>IF(ISNA(SUMPRODUCT((PersonOnVacation=Availability!A24)*(VacationSprint=Sprint3)*SprintHoursOff)),0,SUMPRODUCT((PersonOnVacation=Availability!A24)*(VacationSprint=Sprint3)*SprintHoursOff))</f>
        <v>0</v>
      </c>
      <c r="V24" s="52">
        <f t="shared" si="57"/>
        <v>0</v>
      </c>
      <c r="W24" s="42"/>
      <c r="X24" s="27"/>
      <c r="Y24" s="176">
        <f t="shared" si="7"/>
        <v>0</v>
      </c>
      <c r="Z24" s="42">
        <f t="shared" si="8"/>
        <v>0</v>
      </c>
      <c r="AA24" s="51">
        <f>IF(Z24=0,0,VLOOKUP(Sprint4,Settings!$C$28:$E$53,3)*(Z24/Hours_in_iteration))</f>
        <v>0</v>
      </c>
      <c r="AB24" s="51">
        <f>IF(ISNA(SUMPRODUCT((PersonOnVacation=Availability!$A24)*(VacationSprint=Sprint4)*SprintHoursOff)),0,SUMPRODUCT((PersonOnVacation=Availability!$A24)*(VacationSprint=Sprint4)*SprintHoursOff))</f>
        <v>0</v>
      </c>
      <c r="AC24" s="52">
        <f t="shared" si="58"/>
        <v>0</v>
      </c>
      <c r="AD24" s="42"/>
      <c r="AE24" s="27"/>
      <c r="AF24" s="176">
        <f t="shared" si="9"/>
        <v>0</v>
      </c>
      <c r="AG24" s="42">
        <f t="shared" si="10"/>
        <v>0</v>
      </c>
      <c r="AH24" s="51">
        <f>IF(AG24=0,0,VLOOKUP(Sprint5,Settings!$C$28:$E$53,3)*(AG24/Hours_in_iteration))</f>
        <v>0</v>
      </c>
      <c r="AI24" s="51">
        <f>IF(ISNA(SUMPRODUCT((PersonOnVacation=Availability!$A24)*(VacationSprint=Sprint5)*SprintHoursOff)),0,SUMPRODUCT((PersonOnVacation=Availability!$A24)*(VacationSprint=Sprint5)*SprintHoursOff))</f>
        <v>0</v>
      </c>
      <c r="AJ24" s="52">
        <f t="shared" si="59"/>
        <v>0</v>
      </c>
      <c r="AK24" s="42"/>
      <c r="AL24" s="27"/>
      <c r="AM24" s="176">
        <f t="shared" si="11"/>
        <v>0</v>
      </c>
      <c r="AN24" s="42">
        <f t="shared" si="12"/>
        <v>0</v>
      </c>
      <c r="AO24" s="51">
        <f>IF(AN24=0,0,VLOOKUP(Sprint6,Settings!$C$28:$E$53,3)*(AN24/Hours_in_iteration))</f>
        <v>0</v>
      </c>
      <c r="AP24" s="51">
        <f>IF(ISNA(SUMPRODUCT((PersonOnVacation=Availability!$A24)*(VacationSprint=Sprint6)*SprintHoursOff)),0,SUMPRODUCT((PersonOnVacation=Availability!$A24)*(VacationSprint=Sprint6)*SprintHoursOff))</f>
        <v>0</v>
      </c>
      <c r="AQ24" s="52">
        <f t="shared" si="60"/>
        <v>0</v>
      </c>
      <c r="AR24" s="42"/>
      <c r="AS24" s="27"/>
      <c r="AT24" s="176">
        <f t="shared" si="13"/>
        <v>0</v>
      </c>
      <c r="AU24" s="42">
        <f t="shared" si="14"/>
        <v>0</v>
      </c>
      <c r="AV24" s="51">
        <f>IF(AU24=0,0,VLOOKUP(Sprint7,Settings!$C$28:$E$53,3)*(AU24/Hours_in_iteration))</f>
        <v>0</v>
      </c>
      <c r="AW24" s="51">
        <f>IF(ISNA(SUMPRODUCT((PersonOnVacation=Availability!$A24)*(VacationSprint=Sprint7)*SprintHoursOff)),0,SUMPRODUCT((PersonOnVacation=Availability!$A24)*(VacationSprint=Sprint7)*SprintHoursOff))</f>
        <v>0</v>
      </c>
      <c r="AX24" s="52">
        <f t="shared" si="61"/>
        <v>0</v>
      </c>
      <c r="AY24" s="42"/>
      <c r="AZ24" s="27"/>
      <c r="BA24" s="176">
        <f t="shared" si="15"/>
        <v>0</v>
      </c>
      <c r="BB24" s="42">
        <f t="shared" si="16"/>
        <v>0</v>
      </c>
      <c r="BC24" s="51">
        <f>IF(BB24=0,0,VLOOKUP(Sprint8,Settings!$C$28:$E$53,3)*(BB24/Hours_in_iteration))</f>
        <v>0</v>
      </c>
      <c r="BD24" s="51">
        <f>IF(ISNA(SUMPRODUCT((PersonOnVacation=Availability!$A24)*(VacationSprint=Sprint8)*SprintHoursOff)),0,SUMPRODUCT((PersonOnVacation=Availability!$A24)*(VacationSprint=Sprint8)*SprintHoursOff))</f>
        <v>0</v>
      </c>
      <c r="BE24" s="52">
        <f t="shared" si="62"/>
        <v>0</v>
      </c>
      <c r="BF24" s="42"/>
      <c r="BG24" s="27"/>
      <c r="BH24" s="176">
        <f t="shared" si="17"/>
        <v>0</v>
      </c>
      <c r="BI24" s="42">
        <f t="shared" si="18"/>
        <v>0</v>
      </c>
      <c r="BJ24" s="51">
        <f>IF(BI24=0,0,VLOOKUP(Sprint9,Settings!$C$28:$E$53,3)*(BI24/Hours_in_iteration))</f>
        <v>0</v>
      </c>
      <c r="BK24" s="51">
        <f>IF(ISNA(SUMPRODUCT((PersonOnVacation=Availability!$A24)*(VacationSprint=Sprint9)*SprintHoursOff)),0,SUMPRODUCT((PersonOnVacation=Availability!$A24)*(VacationSprint=Sprint9)*SprintHoursOff))</f>
        <v>0</v>
      </c>
      <c r="BL24" s="52">
        <f t="shared" si="63"/>
        <v>0</v>
      </c>
      <c r="BM24" s="42"/>
      <c r="BN24" s="27"/>
      <c r="BO24" s="176">
        <f t="shared" si="19"/>
        <v>0</v>
      </c>
      <c r="BP24" s="42">
        <f t="shared" si="20"/>
        <v>0</v>
      </c>
      <c r="BQ24" s="51">
        <f>IF(BP24=0,0,VLOOKUP(Sprint10,Settings!$C$28:$E$53,3)*(BP24/Hours_in_iteration))</f>
        <v>0</v>
      </c>
      <c r="BR24" s="51">
        <f>IF(ISNA(SUMPRODUCT((PersonOnVacation=Availability!$A24)*(VacationSprint=Sprint10)*SprintHoursOff)),0,SUMPRODUCT((PersonOnVacation=Availability!$A24)*(VacationSprint=Sprint10)*SprintHoursOff))</f>
        <v>0</v>
      </c>
      <c r="BS24" s="52">
        <f t="shared" si="64"/>
        <v>0</v>
      </c>
      <c r="BT24" s="42"/>
      <c r="BU24" s="27"/>
      <c r="BV24" s="176">
        <f t="shared" si="21"/>
        <v>0</v>
      </c>
      <c r="BW24" s="42">
        <f t="shared" si="22"/>
        <v>0</v>
      </c>
      <c r="BX24" s="51">
        <f>IF(BW24=0,0,VLOOKUP(Sprint11,Settings!$C$28:$E$53,3)*(BW24/Hours_in_iteration))</f>
        <v>0</v>
      </c>
      <c r="BY24" s="51">
        <f>IF(ISNA(SUMPRODUCT((PersonOnVacation=Availability!$A24)*(VacationSprint=Sprint11)*SprintHoursOff)),0,SUMPRODUCT((PersonOnVacation=Availability!$A24)*(VacationSprint=Sprint11)*SprintHoursOff))</f>
        <v>0</v>
      </c>
      <c r="BZ24" s="52">
        <f t="shared" si="65"/>
        <v>0</v>
      </c>
      <c r="CA24" s="42"/>
      <c r="CB24" s="27"/>
      <c r="CC24" s="176">
        <f t="shared" si="23"/>
        <v>0</v>
      </c>
      <c r="CD24" s="42">
        <f t="shared" si="24"/>
        <v>0</v>
      </c>
      <c r="CE24" s="51">
        <f>IF(CD24=0,0,VLOOKUP(Sprint12,Settings!$C$28:$E$53,3)*(CD24/Hours_in_iteration))</f>
        <v>0</v>
      </c>
      <c r="CF24" s="51">
        <f>IF(ISNA(SUMPRODUCT((PersonOnVacation=Availability!$A24)*(VacationSprint=Sprint12)*SprintHoursOff)),0,SUMPRODUCT((PersonOnVacation=Availability!$A24)*(VacationSprint=Sprint12)*SprintHoursOff))</f>
        <v>0</v>
      </c>
      <c r="CG24" s="52">
        <f t="shared" si="66"/>
        <v>0</v>
      </c>
      <c r="CH24" s="42"/>
      <c r="CI24" s="27"/>
      <c r="CJ24" s="176">
        <f t="shared" si="25"/>
        <v>0</v>
      </c>
      <c r="CK24" s="42">
        <f t="shared" si="26"/>
        <v>0</v>
      </c>
      <c r="CL24" s="51">
        <f>IF(CK24=0,0,VLOOKUP(Sprint13,Settings!$C$28:$E$53,3)*(CK24/Hours_in_iteration))</f>
        <v>0</v>
      </c>
      <c r="CM24" s="51">
        <f>IF(ISNA(SUMPRODUCT((PersonOnVacation=Availability!$A24)*(VacationSprint=Sprint13)*SprintHoursOff)),0,SUMPRODUCT((PersonOnVacation=Availability!$A24)*(VacationSprint=Sprint13)*SprintHoursOff))</f>
        <v>0</v>
      </c>
      <c r="CN24" s="52">
        <f t="shared" si="67"/>
        <v>0</v>
      </c>
      <c r="CO24" s="42"/>
      <c r="CP24" s="27"/>
      <c r="CQ24" s="176">
        <f t="shared" si="27"/>
        <v>0</v>
      </c>
      <c r="CR24" s="42">
        <f t="shared" si="28"/>
        <v>0</v>
      </c>
      <c r="CS24" s="51">
        <f>IF(CR24=0,0,VLOOKUP(Sprint14,Settings!$C$28:$E$53,3)*(CR24/Hours_in_iteration))</f>
        <v>0</v>
      </c>
      <c r="CT24" s="51">
        <f>IF(ISNA(SUMPRODUCT((PersonOnVacation=Availability!$A24)*(VacationSprint=Sprint14)*SprintHoursOff)),0,SUMPRODUCT((PersonOnVacation=Availability!$A24)*(VacationSprint=Sprint14)*SprintHoursOff))</f>
        <v>0</v>
      </c>
      <c r="CU24" s="52">
        <f t="shared" si="68"/>
        <v>0</v>
      </c>
      <c r="CV24" s="42"/>
      <c r="CW24" s="27"/>
      <c r="CX24" s="176">
        <f t="shared" si="29"/>
        <v>0</v>
      </c>
      <c r="CY24" s="42">
        <f t="shared" si="30"/>
        <v>0</v>
      </c>
      <c r="CZ24" s="51">
        <f>IF(CY24=0,0,VLOOKUP(Sprint15,Settings!$C$28:$E$53,3)*(CY24/Hours_in_iteration))</f>
        <v>0</v>
      </c>
      <c r="DA24" s="51">
        <f>IF(ISNA(SUMPRODUCT((PersonOnVacation=Availability!$A24)*(VacationSprint=Sprint15)*SprintHoursOff)),0,SUMPRODUCT((PersonOnVacation=Availability!$A24)*(VacationSprint=Sprint15)*SprintHoursOff))</f>
        <v>0</v>
      </c>
      <c r="DB24" s="52">
        <f t="shared" si="69"/>
        <v>0</v>
      </c>
      <c r="DC24" s="42"/>
      <c r="DD24" s="27"/>
      <c r="DE24" s="176">
        <f t="shared" si="31"/>
        <v>0</v>
      </c>
      <c r="DF24" s="42">
        <f t="shared" si="32"/>
        <v>0</v>
      </c>
      <c r="DG24" s="51">
        <f>IF(DF24=0,0,VLOOKUP(Sprint16,Settings!$C$28:$E$53,3)*(DF24/Hours_in_iteration))</f>
        <v>0</v>
      </c>
      <c r="DH24" s="51">
        <f>IF(ISNA(SUMPRODUCT((PersonOnVacation=Availability!$A24)*(VacationSprint=Sprint16)*SprintHoursOff)),0,SUMPRODUCT((PersonOnVacation=Availability!$A24)*(VacationSprint=Sprint16)*SprintHoursOff))</f>
        <v>0</v>
      </c>
      <c r="DI24" s="52">
        <f t="shared" si="70"/>
        <v>0</v>
      </c>
      <c r="DJ24" s="42"/>
      <c r="DK24" s="27"/>
      <c r="DL24" s="176">
        <f t="shared" si="33"/>
        <v>0</v>
      </c>
      <c r="DM24" s="42">
        <f t="shared" si="34"/>
        <v>0</v>
      </c>
      <c r="DN24" s="51">
        <f>IF(DM24=0,0,VLOOKUP(Sprint17,Settings!$C$28:$E$53,3)*(DM24/Hours_in_iteration))</f>
        <v>0</v>
      </c>
      <c r="DO24" s="51">
        <f>IF(ISNA(SUMPRODUCT((PersonOnVacation=Availability!$A24)*(VacationSprint=Sprint17)*SprintHoursOff)),0,SUMPRODUCT((PersonOnVacation=Availability!$A24)*(VacationSprint=Sprint17)*SprintHoursOff))</f>
        <v>0</v>
      </c>
      <c r="DP24" s="52">
        <f t="shared" si="71"/>
        <v>0</v>
      </c>
      <c r="DQ24" s="42"/>
      <c r="DR24" s="27"/>
      <c r="DS24" s="176">
        <f t="shared" si="35"/>
        <v>0</v>
      </c>
      <c r="DT24" s="42">
        <f t="shared" si="36"/>
        <v>0</v>
      </c>
      <c r="DU24" s="51">
        <f>IF(DT24=0,0,VLOOKUP(Sprint18,Settings!$C$28:$E$53,3)*(DT24/Hours_in_iteration))</f>
        <v>0</v>
      </c>
      <c r="DV24" s="51">
        <f>IF(ISNA(SUMPRODUCT((PersonOnVacation=Availability!$A24)*(VacationSprint=Sprint18)*SprintHoursOff)),0,SUMPRODUCT((PersonOnVacation=Availability!$A24)*(VacationSprint=Sprint18)*SprintHoursOff))</f>
        <v>0</v>
      </c>
      <c r="DW24" s="52">
        <f t="shared" si="72"/>
        <v>0</v>
      </c>
      <c r="DX24" s="42"/>
      <c r="DY24" s="27"/>
      <c r="DZ24" s="176">
        <f t="shared" si="37"/>
        <v>0</v>
      </c>
      <c r="EA24" s="42">
        <f t="shared" si="38"/>
        <v>0</v>
      </c>
      <c r="EB24" s="51">
        <f>IF(EA24=0,0,VLOOKUP(Sprint19,Settings!$C$28:$E$53,3)*(EA24/Hours_in_iteration))</f>
        <v>0</v>
      </c>
      <c r="EC24" s="51">
        <f>IF(ISNA(SUMPRODUCT((PersonOnVacation=Availability!$A24)*(VacationSprint=Sprint19)*SprintHoursOff)),0,SUMPRODUCT((PersonOnVacation=Availability!$A24)*(VacationSprint=Sprint19)*SprintHoursOff))</f>
        <v>0</v>
      </c>
      <c r="ED24" s="52">
        <f t="shared" si="73"/>
        <v>0</v>
      </c>
      <c r="EE24" s="42"/>
      <c r="EF24" s="27"/>
      <c r="EG24" s="176">
        <f t="shared" si="39"/>
        <v>0</v>
      </c>
      <c r="EH24" s="42">
        <f t="shared" si="40"/>
        <v>0</v>
      </c>
      <c r="EI24" s="51">
        <f>IF(EH24=0,0,VLOOKUP(Sprint20,Settings!$C$28:$E$53,3)*(EH24/Hours_in_iteration))</f>
        <v>0</v>
      </c>
      <c r="EJ24" s="51">
        <f>IF(ISNA(SUMPRODUCT((PersonOnVacation=Availability!$A24)*(VacationSprint=Sprint20)*SprintHoursOff)),0,SUMPRODUCT((PersonOnVacation=Availability!$A24)*(VacationSprint=Sprint20)*SprintHoursOff))</f>
        <v>0</v>
      </c>
      <c r="EK24" s="52">
        <f t="shared" si="74"/>
        <v>0</v>
      </c>
      <c r="EL24" s="42"/>
      <c r="EM24" s="27"/>
      <c r="EN24" s="176">
        <f t="shared" si="41"/>
        <v>0</v>
      </c>
      <c r="EO24" s="42">
        <f t="shared" si="42"/>
        <v>0</v>
      </c>
      <c r="EP24" s="51">
        <f>IF(EO24=0,0,VLOOKUP(Sprint21,Settings!$C$28:$E$53,3)*(EO24/Hours_in_iteration))</f>
        <v>0</v>
      </c>
      <c r="EQ24" s="51">
        <f>IF(ISNA(SUMPRODUCT((PersonOnVacation=Availability!$A24)*(VacationSprint=Sprint21)*SprintHoursOff)),0,SUMPRODUCT((PersonOnVacation=Availability!$A24)*(VacationSprint=Sprint21)*SprintHoursOff))</f>
        <v>0</v>
      </c>
      <c r="ER24" s="52">
        <f t="shared" si="75"/>
        <v>0</v>
      </c>
      <c r="ES24" s="42"/>
      <c r="ET24" s="27"/>
      <c r="EU24" s="176">
        <f t="shared" si="43"/>
        <v>0</v>
      </c>
      <c r="EV24" s="42">
        <f t="shared" si="44"/>
        <v>0</v>
      </c>
      <c r="EW24" s="51">
        <f>IF(EV24=0,0,VLOOKUP(Sprint22,Settings!$C$28:$E$53,3)*(EV24/Hours_in_iteration))</f>
        <v>0</v>
      </c>
      <c r="EX24" s="51">
        <f>IF(ISNA(SUMPRODUCT((PersonOnVacation=Availability!$A24)*(VacationSprint=Sprint22)*SprintHoursOff)),0,SUMPRODUCT((PersonOnVacation=Availability!$A24)*(VacationSprint=Sprint22)*SprintHoursOff))</f>
        <v>0</v>
      </c>
      <c r="EY24" s="52">
        <f t="shared" si="76"/>
        <v>0</v>
      </c>
      <c r="EZ24" s="42"/>
      <c r="FA24" s="27"/>
      <c r="FB24" s="176">
        <f t="shared" si="45"/>
        <v>0</v>
      </c>
      <c r="FC24" s="42">
        <f t="shared" si="46"/>
        <v>0</v>
      </c>
      <c r="FD24" s="51">
        <f>IF(FC24=0,0,VLOOKUP(Sprint23,Settings!$C$28:$E$53,3)*(FC24/Hours_in_iteration))</f>
        <v>0</v>
      </c>
      <c r="FE24" s="51">
        <f>IF(ISNA(SUMPRODUCT((PersonOnVacation=Availability!$A24)*(VacationSprint=Sprint23)*SprintHoursOff)),0,SUMPRODUCT((PersonOnVacation=Availability!$A24)*(VacationSprint=Sprint23)*SprintHoursOff))</f>
        <v>0</v>
      </c>
      <c r="FF24" s="52">
        <f t="shared" si="77"/>
        <v>0</v>
      </c>
      <c r="FG24" s="42"/>
      <c r="FH24" s="27"/>
      <c r="FI24" s="176">
        <f t="shared" si="47"/>
        <v>0</v>
      </c>
      <c r="FJ24" s="42">
        <f t="shared" si="48"/>
        <v>0</v>
      </c>
      <c r="FK24" s="51">
        <f>IF(FJ24=0,0,VLOOKUP(Sprint24,Settings!$C$28:$E$53,3)*(FJ24/Hours_in_iteration))</f>
        <v>0</v>
      </c>
      <c r="FL24" s="51">
        <f>IF(ISNA(SUMPRODUCT((PersonOnVacation=Availability!$A24)*(VacationSprint=Sprint24)*SprintHoursOff)),0,SUMPRODUCT((PersonOnVacation=Availability!$A24)*(VacationSprint=Sprint24)*SprintHoursOff))</f>
        <v>0</v>
      </c>
      <c r="FM24" s="52">
        <f t="shared" si="78"/>
        <v>0</v>
      </c>
      <c r="FN24" s="42"/>
      <c r="FO24" s="27"/>
      <c r="FP24" s="176">
        <f t="shared" si="49"/>
        <v>0</v>
      </c>
      <c r="FQ24" s="42">
        <f t="shared" si="50"/>
        <v>0</v>
      </c>
      <c r="FR24" s="51">
        <f>IF(FQ24=0,0,VLOOKUP(Sprint25,Settings!$C$28:$E$53,3)*(FQ24/Hours_in_iteration))</f>
        <v>0</v>
      </c>
      <c r="FS24" s="51">
        <f>IF(ISNA(SUMPRODUCT((PersonOnVacation=Availability!$A24)*(VacationSprint=Sprint25)*SprintHoursOff)),0,SUMPRODUCT((PersonOnVacation=Availability!$A24)*(VacationSprint=Sprint25)*SprintHoursOff))</f>
        <v>0</v>
      </c>
      <c r="FT24" s="52">
        <f t="shared" si="79"/>
        <v>0</v>
      </c>
      <c r="FU24" s="42"/>
      <c r="FV24" s="27"/>
      <c r="FW24" s="176">
        <f t="shared" si="51"/>
        <v>0</v>
      </c>
      <c r="FX24" s="42">
        <f t="shared" si="52"/>
        <v>0</v>
      </c>
      <c r="FY24" s="51">
        <f>IF(FX24=0,0,VLOOKUP(Sprint26,Settings!$C$28:$E$53,3)*(FX24/Hours_in_iteration))</f>
        <v>0</v>
      </c>
      <c r="FZ24" s="51">
        <f>IF(ISNA(SUMPRODUCT((PersonOnVacation=Availability!$A24)*(VacationSprint=Sprint26)*SprintHoursOff)),0,SUMPRODUCT((PersonOnVacation=Availability!$A24)*(VacationSprint=Sprint26)*SprintHoursOff))</f>
        <v>0</v>
      </c>
      <c r="GA24" s="52">
        <f t="shared" si="80"/>
        <v>0</v>
      </c>
      <c r="GB24" s="42"/>
      <c r="GC24" s="27"/>
      <c r="GD24" s="176">
        <f t="shared" si="53"/>
        <v>0</v>
      </c>
      <c r="GE24" s="42">
        <f t="shared" si="54"/>
        <v>0</v>
      </c>
      <c r="GF24" s="51">
        <f>IF(GE24=0,0,VLOOKUP(Sprint27,Settings!$C$28:$E$53,3)*(GE24/Hours_in_iteration))</f>
        <v>0</v>
      </c>
      <c r="GG24" s="51">
        <f>IF(ISNA(SUMPRODUCT((PersonOnVacation=Availability!$A24)*(VacationSprint=Sprint27)*SprintHoursOff)),0,SUMPRODUCT((PersonOnVacation=Availability!$A24)*(VacationSprint=Sprint27)*SprintHoursOff))</f>
        <v>0</v>
      </c>
      <c r="GH24" s="52">
        <f t="shared" si="81"/>
        <v>0</v>
      </c>
      <c r="GI24" s="42"/>
    </row>
    <row r="25" spans="1:191" s="56" customFormat="1">
      <c r="A25" s="110" t="e">
        <f>Person16</f>
        <v>#N/A</v>
      </c>
      <c r="B25" s="42"/>
      <c r="C25" s="42"/>
      <c r="D25" s="135"/>
      <c r="E25" s="42">
        <f t="shared" si="55"/>
        <v>0</v>
      </c>
      <c r="F25" s="51">
        <f>IF(E25=0,0,VLOOKUP(Sprint1,Settings!$C$28:$E$53,3)*(E25/Hours_in_iteration))</f>
        <v>0</v>
      </c>
      <c r="G25" s="51">
        <f>IF(ISNA(SUMPRODUCT((PersonOnVacation=Availability!A25)*(VacationSprint=Sprint1)*SprintHoursOff)),0,SUMPRODUCT((PersonOnVacation=Availability!A25)*(VacationSprint=Sprint1)*SprintHoursOff))</f>
        <v>0</v>
      </c>
      <c r="H25" s="52">
        <f t="shared" si="2"/>
        <v>0</v>
      </c>
      <c r="I25" s="42"/>
      <c r="J25" s="27"/>
      <c r="K25" s="176">
        <f t="shared" si="3"/>
        <v>0</v>
      </c>
      <c r="L25" s="42">
        <f t="shared" si="4"/>
        <v>0</v>
      </c>
      <c r="M25" s="51">
        <f>IF(L25=0,0,VLOOKUP(Sprint2,Settings!$C$28:$E$53,3)*(L25/Hours_in_iteration))</f>
        <v>0</v>
      </c>
      <c r="N25" s="51">
        <f>IF(ISNA(SUMPRODUCT((PersonOnVacation=Availability!A25)*(VacationSprint=Sprint2)*SprintHoursOff)),0,SUMPRODUCT((PersonOnVacation=Availability!A25)*(VacationSprint=Sprint2)*SprintHoursOff))</f>
        <v>0</v>
      </c>
      <c r="O25" s="52">
        <f t="shared" si="56"/>
        <v>0</v>
      </c>
      <c r="P25" s="42"/>
      <c r="Q25" s="27"/>
      <c r="R25" s="176">
        <f t="shared" si="5"/>
        <v>0</v>
      </c>
      <c r="S25" s="42">
        <f t="shared" si="6"/>
        <v>0</v>
      </c>
      <c r="T25" s="51">
        <f>IF(S25=0,0,VLOOKUP(Sprint3,Settings!$C$28:$E$53,3)*(S25/Hours_in_iteration))</f>
        <v>0</v>
      </c>
      <c r="U25" s="51">
        <f>IF(ISNA(SUMPRODUCT((PersonOnVacation=Availability!A25)*(VacationSprint=Sprint3)*SprintHoursOff)),0,SUMPRODUCT((PersonOnVacation=Availability!A25)*(VacationSprint=Sprint3)*SprintHoursOff))</f>
        <v>0</v>
      </c>
      <c r="V25" s="52">
        <f t="shared" si="57"/>
        <v>0</v>
      </c>
      <c r="W25" s="42"/>
      <c r="X25" s="27"/>
      <c r="Y25" s="176">
        <f t="shared" si="7"/>
        <v>0</v>
      </c>
      <c r="Z25" s="42">
        <f t="shared" si="8"/>
        <v>0</v>
      </c>
      <c r="AA25" s="51">
        <f>IF(Z25=0,0,VLOOKUP(Sprint4,Settings!$C$28:$E$53,3)*(Z25/Hours_in_iteration))</f>
        <v>0</v>
      </c>
      <c r="AB25" s="51">
        <f>IF(ISNA(SUMPRODUCT((PersonOnVacation=Availability!$A25)*(VacationSprint=Sprint4)*SprintHoursOff)),0,SUMPRODUCT((PersonOnVacation=Availability!$A25)*(VacationSprint=Sprint4)*SprintHoursOff))</f>
        <v>0</v>
      </c>
      <c r="AC25" s="52">
        <f t="shared" si="58"/>
        <v>0</v>
      </c>
      <c r="AD25" s="42"/>
      <c r="AE25" s="27"/>
      <c r="AF25" s="176">
        <f t="shared" si="9"/>
        <v>0</v>
      </c>
      <c r="AG25" s="42">
        <f t="shared" si="10"/>
        <v>0</v>
      </c>
      <c r="AH25" s="51">
        <f>IF(AG25=0,0,VLOOKUP(Sprint5,Settings!$C$28:$E$53,3)*(AG25/Hours_in_iteration))</f>
        <v>0</v>
      </c>
      <c r="AI25" s="51">
        <f>IF(ISNA(SUMPRODUCT((PersonOnVacation=Availability!$A25)*(VacationSprint=Sprint5)*SprintHoursOff)),0,SUMPRODUCT((PersonOnVacation=Availability!$A25)*(VacationSprint=Sprint5)*SprintHoursOff))</f>
        <v>0</v>
      </c>
      <c r="AJ25" s="52">
        <f t="shared" si="59"/>
        <v>0</v>
      </c>
      <c r="AK25" s="42"/>
      <c r="AL25" s="27"/>
      <c r="AM25" s="176">
        <f t="shared" si="11"/>
        <v>0</v>
      </c>
      <c r="AN25" s="42">
        <f t="shared" si="12"/>
        <v>0</v>
      </c>
      <c r="AO25" s="51">
        <f>IF(AN25=0,0,VLOOKUP(Sprint6,Settings!$C$28:$E$53,3)*(AN25/Hours_in_iteration))</f>
        <v>0</v>
      </c>
      <c r="AP25" s="51">
        <f>IF(ISNA(SUMPRODUCT((PersonOnVacation=Availability!$A25)*(VacationSprint=Sprint6)*SprintHoursOff)),0,SUMPRODUCT((PersonOnVacation=Availability!$A25)*(VacationSprint=Sprint6)*SprintHoursOff))</f>
        <v>0</v>
      </c>
      <c r="AQ25" s="52">
        <f t="shared" si="60"/>
        <v>0</v>
      </c>
      <c r="AR25" s="42"/>
      <c r="AS25" s="27"/>
      <c r="AT25" s="176">
        <f t="shared" si="13"/>
        <v>0</v>
      </c>
      <c r="AU25" s="42">
        <f t="shared" si="14"/>
        <v>0</v>
      </c>
      <c r="AV25" s="51">
        <f>IF(AU25=0,0,VLOOKUP(Sprint7,Settings!$C$28:$E$53,3)*(AU25/Hours_in_iteration))</f>
        <v>0</v>
      </c>
      <c r="AW25" s="51">
        <f>IF(ISNA(SUMPRODUCT((PersonOnVacation=Availability!$A25)*(VacationSprint=Sprint7)*SprintHoursOff)),0,SUMPRODUCT((PersonOnVacation=Availability!$A25)*(VacationSprint=Sprint7)*SprintHoursOff))</f>
        <v>0</v>
      </c>
      <c r="AX25" s="52">
        <f t="shared" si="61"/>
        <v>0</v>
      </c>
      <c r="AY25" s="42"/>
      <c r="AZ25" s="27"/>
      <c r="BA25" s="176">
        <f t="shared" si="15"/>
        <v>0</v>
      </c>
      <c r="BB25" s="42">
        <f t="shared" si="16"/>
        <v>0</v>
      </c>
      <c r="BC25" s="51">
        <f>IF(BB25=0,0,VLOOKUP(Sprint8,Settings!$C$28:$E$53,3)*(BB25/Hours_in_iteration))</f>
        <v>0</v>
      </c>
      <c r="BD25" s="51">
        <f>IF(ISNA(SUMPRODUCT((PersonOnVacation=Availability!$A25)*(VacationSprint=Sprint8)*SprintHoursOff)),0,SUMPRODUCT((PersonOnVacation=Availability!$A25)*(VacationSprint=Sprint8)*SprintHoursOff))</f>
        <v>0</v>
      </c>
      <c r="BE25" s="52">
        <f t="shared" si="62"/>
        <v>0</v>
      </c>
      <c r="BF25" s="42"/>
      <c r="BG25" s="27"/>
      <c r="BH25" s="176">
        <f t="shared" si="17"/>
        <v>0</v>
      </c>
      <c r="BI25" s="42">
        <f t="shared" si="18"/>
        <v>0</v>
      </c>
      <c r="BJ25" s="51">
        <f>IF(BI25=0,0,VLOOKUP(Sprint9,Settings!$C$28:$E$53,3)*(BI25/Hours_in_iteration))</f>
        <v>0</v>
      </c>
      <c r="BK25" s="51">
        <f>IF(ISNA(SUMPRODUCT((PersonOnVacation=Availability!$A25)*(VacationSprint=Sprint9)*SprintHoursOff)),0,SUMPRODUCT((PersonOnVacation=Availability!$A25)*(VacationSprint=Sprint9)*SprintHoursOff))</f>
        <v>0</v>
      </c>
      <c r="BL25" s="52">
        <f t="shared" si="63"/>
        <v>0</v>
      </c>
      <c r="BM25" s="42"/>
      <c r="BN25" s="27"/>
      <c r="BO25" s="176">
        <f t="shared" si="19"/>
        <v>0</v>
      </c>
      <c r="BP25" s="42">
        <f t="shared" si="20"/>
        <v>0</v>
      </c>
      <c r="BQ25" s="51">
        <f>IF(BP25=0,0,VLOOKUP(Sprint10,Settings!$C$28:$E$53,3)*(BP25/Hours_in_iteration))</f>
        <v>0</v>
      </c>
      <c r="BR25" s="51">
        <f>IF(ISNA(SUMPRODUCT((PersonOnVacation=Availability!$A25)*(VacationSprint=Sprint10)*SprintHoursOff)),0,SUMPRODUCT((PersonOnVacation=Availability!$A25)*(VacationSprint=Sprint10)*SprintHoursOff))</f>
        <v>0</v>
      </c>
      <c r="BS25" s="52">
        <f t="shared" si="64"/>
        <v>0</v>
      </c>
      <c r="BT25" s="42"/>
      <c r="BU25" s="27"/>
      <c r="BV25" s="176">
        <f t="shared" si="21"/>
        <v>0</v>
      </c>
      <c r="BW25" s="42">
        <f t="shared" si="22"/>
        <v>0</v>
      </c>
      <c r="BX25" s="51">
        <f>IF(BW25=0,0,VLOOKUP(Sprint11,Settings!$C$28:$E$53,3)*(BW25/Hours_in_iteration))</f>
        <v>0</v>
      </c>
      <c r="BY25" s="51">
        <f>IF(ISNA(SUMPRODUCT((PersonOnVacation=Availability!$A25)*(VacationSprint=Sprint11)*SprintHoursOff)),0,SUMPRODUCT((PersonOnVacation=Availability!$A25)*(VacationSprint=Sprint11)*SprintHoursOff))</f>
        <v>0</v>
      </c>
      <c r="BZ25" s="52">
        <f t="shared" si="65"/>
        <v>0</v>
      </c>
      <c r="CA25" s="42"/>
      <c r="CB25" s="27"/>
      <c r="CC25" s="176">
        <f t="shared" si="23"/>
        <v>0</v>
      </c>
      <c r="CD25" s="42">
        <f t="shared" si="24"/>
        <v>0</v>
      </c>
      <c r="CE25" s="51">
        <f>IF(CD25=0,0,VLOOKUP(Sprint12,Settings!$C$28:$E$53,3)*(CD25/Hours_in_iteration))</f>
        <v>0</v>
      </c>
      <c r="CF25" s="51">
        <f>IF(ISNA(SUMPRODUCT((PersonOnVacation=Availability!$A25)*(VacationSprint=Sprint12)*SprintHoursOff)),0,SUMPRODUCT((PersonOnVacation=Availability!$A25)*(VacationSprint=Sprint12)*SprintHoursOff))</f>
        <v>0</v>
      </c>
      <c r="CG25" s="52">
        <f t="shared" si="66"/>
        <v>0</v>
      </c>
      <c r="CH25" s="42"/>
      <c r="CI25" s="27"/>
      <c r="CJ25" s="176">
        <f t="shared" si="25"/>
        <v>0</v>
      </c>
      <c r="CK25" s="42">
        <f t="shared" si="26"/>
        <v>0</v>
      </c>
      <c r="CL25" s="51">
        <f>IF(CK25=0,0,VLOOKUP(Sprint13,Settings!$C$28:$E$53,3)*(CK25/Hours_in_iteration))</f>
        <v>0</v>
      </c>
      <c r="CM25" s="51">
        <f>IF(ISNA(SUMPRODUCT((PersonOnVacation=Availability!$A25)*(VacationSprint=Sprint13)*SprintHoursOff)),0,SUMPRODUCT((PersonOnVacation=Availability!$A25)*(VacationSprint=Sprint13)*SprintHoursOff))</f>
        <v>0</v>
      </c>
      <c r="CN25" s="52">
        <f t="shared" si="67"/>
        <v>0</v>
      </c>
      <c r="CO25" s="42"/>
      <c r="CP25" s="27"/>
      <c r="CQ25" s="176">
        <f t="shared" si="27"/>
        <v>0</v>
      </c>
      <c r="CR25" s="42">
        <f t="shared" si="28"/>
        <v>0</v>
      </c>
      <c r="CS25" s="51">
        <f>IF(CR25=0,0,VLOOKUP(Sprint14,Settings!$C$28:$E$53,3)*(CR25/Hours_in_iteration))</f>
        <v>0</v>
      </c>
      <c r="CT25" s="51">
        <f>IF(ISNA(SUMPRODUCT((PersonOnVacation=Availability!$A25)*(VacationSprint=Sprint14)*SprintHoursOff)),0,SUMPRODUCT((PersonOnVacation=Availability!$A25)*(VacationSprint=Sprint14)*SprintHoursOff))</f>
        <v>0</v>
      </c>
      <c r="CU25" s="52">
        <f t="shared" si="68"/>
        <v>0</v>
      </c>
      <c r="CV25" s="42"/>
      <c r="CW25" s="27"/>
      <c r="CX25" s="176">
        <f t="shared" si="29"/>
        <v>0</v>
      </c>
      <c r="CY25" s="42">
        <f t="shared" si="30"/>
        <v>0</v>
      </c>
      <c r="CZ25" s="51">
        <f>IF(CY25=0,0,VLOOKUP(Sprint15,Settings!$C$28:$E$53,3)*(CY25/Hours_in_iteration))</f>
        <v>0</v>
      </c>
      <c r="DA25" s="51">
        <f>IF(ISNA(SUMPRODUCT((PersonOnVacation=Availability!$A25)*(VacationSprint=Sprint15)*SprintHoursOff)),0,SUMPRODUCT((PersonOnVacation=Availability!$A25)*(VacationSprint=Sprint15)*SprintHoursOff))</f>
        <v>0</v>
      </c>
      <c r="DB25" s="52">
        <f t="shared" si="69"/>
        <v>0</v>
      </c>
      <c r="DC25" s="42"/>
      <c r="DD25" s="27"/>
      <c r="DE25" s="176">
        <f t="shared" si="31"/>
        <v>0</v>
      </c>
      <c r="DF25" s="42">
        <f t="shared" si="32"/>
        <v>0</v>
      </c>
      <c r="DG25" s="51">
        <f>IF(DF25=0,0,VLOOKUP(Sprint16,Settings!$C$28:$E$53,3)*(DF25/Hours_in_iteration))</f>
        <v>0</v>
      </c>
      <c r="DH25" s="51">
        <f>IF(ISNA(SUMPRODUCT((PersonOnVacation=Availability!$A25)*(VacationSprint=Sprint16)*SprintHoursOff)),0,SUMPRODUCT((PersonOnVacation=Availability!$A25)*(VacationSprint=Sprint16)*SprintHoursOff))</f>
        <v>0</v>
      </c>
      <c r="DI25" s="52">
        <f t="shared" si="70"/>
        <v>0</v>
      </c>
      <c r="DJ25" s="42"/>
      <c r="DK25" s="27"/>
      <c r="DL25" s="176">
        <f t="shared" si="33"/>
        <v>0</v>
      </c>
      <c r="DM25" s="42">
        <f t="shared" si="34"/>
        <v>0</v>
      </c>
      <c r="DN25" s="51">
        <f>IF(DM25=0,0,VLOOKUP(Sprint17,Settings!$C$28:$E$53,3)*(DM25/Hours_in_iteration))</f>
        <v>0</v>
      </c>
      <c r="DO25" s="51">
        <f>IF(ISNA(SUMPRODUCT((PersonOnVacation=Availability!$A25)*(VacationSprint=Sprint17)*SprintHoursOff)),0,SUMPRODUCT((PersonOnVacation=Availability!$A25)*(VacationSprint=Sprint17)*SprintHoursOff))</f>
        <v>0</v>
      </c>
      <c r="DP25" s="52">
        <f t="shared" si="71"/>
        <v>0</v>
      </c>
      <c r="DQ25" s="42"/>
      <c r="DR25" s="27"/>
      <c r="DS25" s="176">
        <f t="shared" si="35"/>
        <v>0</v>
      </c>
      <c r="DT25" s="42">
        <f t="shared" si="36"/>
        <v>0</v>
      </c>
      <c r="DU25" s="51">
        <f>IF(DT25=0,0,VLOOKUP(Sprint18,Settings!$C$28:$E$53,3)*(DT25/Hours_in_iteration))</f>
        <v>0</v>
      </c>
      <c r="DV25" s="51">
        <f>IF(ISNA(SUMPRODUCT((PersonOnVacation=Availability!$A25)*(VacationSprint=Sprint18)*SprintHoursOff)),0,SUMPRODUCT((PersonOnVacation=Availability!$A25)*(VacationSprint=Sprint18)*SprintHoursOff))</f>
        <v>0</v>
      </c>
      <c r="DW25" s="52">
        <f t="shared" si="72"/>
        <v>0</v>
      </c>
      <c r="DX25" s="42"/>
      <c r="DY25" s="27"/>
      <c r="DZ25" s="176">
        <f t="shared" si="37"/>
        <v>0</v>
      </c>
      <c r="EA25" s="42">
        <f t="shared" si="38"/>
        <v>0</v>
      </c>
      <c r="EB25" s="51">
        <f>IF(EA25=0,0,VLOOKUP(Sprint19,Settings!$C$28:$E$53,3)*(EA25/Hours_in_iteration))</f>
        <v>0</v>
      </c>
      <c r="EC25" s="51">
        <f>IF(ISNA(SUMPRODUCT((PersonOnVacation=Availability!$A25)*(VacationSprint=Sprint19)*SprintHoursOff)),0,SUMPRODUCT((PersonOnVacation=Availability!$A25)*(VacationSprint=Sprint19)*SprintHoursOff))</f>
        <v>0</v>
      </c>
      <c r="ED25" s="52">
        <f t="shared" si="73"/>
        <v>0</v>
      </c>
      <c r="EE25" s="42"/>
      <c r="EF25" s="27"/>
      <c r="EG25" s="176">
        <f t="shared" si="39"/>
        <v>0</v>
      </c>
      <c r="EH25" s="42">
        <f t="shared" si="40"/>
        <v>0</v>
      </c>
      <c r="EI25" s="51">
        <f>IF(EH25=0,0,VLOOKUP(Sprint20,Settings!$C$28:$E$53,3)*(EH25/Hours_in_iteration))</f>
        <v>0</v>
      </c>
      <c r="EJ25" s="51">
        <f>IF(ISNA(SUMPRODUCT((PersonOnVacation=Availability!$A25)*(VacationSprint=Sprint20)*SprintHoursOff)),0,SUMPRODUCT((PersonOnVacation=Availability!$A25)*(VacationSprint=Sprint20)*SprintHoursOff))</f>
        <v>0</v>
      </c>
      <c r="EK25" s="52">
        <f t="shared" si="74"/>
        <v>0</v>
      </c>
      <c r="EL25" s="42"/>
      <c r="EM25" s="27"/>
      <c r="EN25" s="176">
        <f t="shared" si="41"/>
        <v>0</v>
      </c>
      <c r="EO25" s="42">
        <f t="shared" si="42"/>
        <v>0</v>
      </c>
      <c r="EP25" s="51">
        <f>IF(EO25=0,0,VLOOKUP(Sprint21,Settings!$C$28:$E$53,3)*(EO25/Hours_in_iteration))</f>
        <v>0</v>
      </c>
      <c r="EQ25" s="51">
        <f>IF(ISNA(SUMPRODUCT((PersonOnVacation=Availability!$A25)*(VacationSprint=Sprint21)*SprintHoursOff)),0,SUMPRODUCT((PersonOnVacation=Availability!$A25)*(VacationSprint=Sprint21)*SprintHoursOff))</f>
        <v>0</v>
      </c>
      <c r="ER25" s="52">
        <f t="shared" si="75"/>
        <v>0</v>
      </c>
      <c r="ES25" s="42"/>
      <c r="ET25" s="27"/>
      <c r="EU25" s="176">
        <f t="shared" si="43"/>
        <v>0</v>
      </c>
      <c r="EV25" s="42">
        <f t="shared" si="44"/>
        <v>0</v>
      </c>
      <c r="EW25" s="51">
        <f>IF(EV25=0,0,VLOOKUP(Sprint22,Settings!$C$28:$E$53,3)*(EV25/Hours_in_iteration))</f>
        <v>0</v>
      </c>
      <c r="EX25" s="51">
        <f>IF(ISNA(SUMPRODUCT((PersonOnVacation=Availability!$A25)*(VacationSprint=Sprint22)*SprintHoursOff)),0,SUMPRODUCT((PersonOnVacation=Availability!$A25)*(VacationSprint=Sprint22)*SprintHoursOff))</f>
        <v>0</v>
      </c>
      <c r="EY25" s="52">
        <f t="shared" si="76"/>
        <v>0</v>
      </c>
      <c r="EZ25" s="42"/>
      <c r="FA25" s="27"/>
      <c r="FB25" s="176">
        <f t="shared" si="45"/>
        <v>0</v>
      </c>
      <c r="FC25" s="42">
        <f t="shared" si="46"/>
        <v>0</v>
      </c>
      <c r="FD25" s="51">
        <f>IF(FC25=0,0,VLOOKUP(Sprint23,Settings!$C$28:$E$53,3)*(FC25/Hours_in_iteration))</f>
        <v>0</v>
      </c>
      <c r="FE25" s="51">
        <f>IF(ISNA(SUMPRODUCT((PersonOnVacation=Availability!$A25)*(VacationSprint=Sprint23)*SprintHoursOff)),0,SUMPRODUCT((PersonOnVacation=Availability!$A25)*(VacationSprint=Sprint23)*SprintHoursOff))</f>
        <v>0</v>
      </c>
      <c r="FF25" s="52">
        <f t="shared" si="77"/>
        <v>0</v>
      </c>
      <c r="FG25" s="42"/>
      <c r="FH25" s="27"/>
      <c r="FI25" s="176">
        <f t="shared" si="47"/>
        <v>0</v>
      </c>
      <c r="FJ25" s="42">
        <f t="shared" si="48"/>
        <v>0</v>
      </c>
      <c r="FK25" s="51">
        <f>IF(FJ25=0,0,VLOOKUP(Sprint24,Settings!$C$28:$E$53,3)*(FJ25/Hours_in_iteration))</f>
        <v>0</v>
      </c>
      <c r="FL25" s="51">
        <f>IF(ISNA(SUMPRODUCT((PersonOnVacation=Availability!$A25)*(VacationSprint=Sprint24)*SprintHoursOff)),0,SUMPRODUCT((PersonOnVacation=Availability!$A25)*(VacationSprint=Sprint24)*SprintHoursOff))</f>
        <v>0</v>
      </c>
      <c r="FM25" s="52">
        <f t="shared" si="78"/>
        <v>0</v>
      </c>
      <c r="FN25" s="42"/>
      <c r="FO25" s="27"/>
      <c r="FP25" s="176">
        <f t="shared" si="49"/>
        <v>0</v>
      </c>
      <c r="FQ25" s="42">
        <f t="shared" si="50"/>
        <v>0</v>
      </c>
      <c r="FR25" s="51">
        <f>IF(FQ25=0,0,VLOOKUP(Sprint25,Settings!$C$28:$E$53,3)*(FQ25/Hours_in_iteration))</f>
        <v>0</v>
      </c>
      <c r="FS25" s="51">
        <f>IF(ISNA(SUMPRODUCT((PersonOnVacation=Availability!$A25)*(VacationSprint=Sprint25)*SprintHoursOff)),0,SUMPRODUCT((PersonOnVacation=Availability!$A25)*(VacationSprint=Sprint25)*SprintHoursOff))</f>
        <v>0</v>
      </c>
      <c r="FT25" s="52">
        <f t="shared" si="79"/>
        <v>0</v>
      </c>
      <c r="FU25" s="42"/>
      <c r="FV25" s="27"/>
      <c r="FW25" s="176">
        <f t="shared" si="51"/>
        <v>0</v>
      </c>
      <c r="FX25" s="42">
        <f t="shared" si="52"/>
        <v>0</v>
      </c>
      <c r="FY25" s="51">
        <f>IF(FX25=0,0,VLOOKUP(Sprint26,Settings!$C$28:$E$53,3)*(FX25/Hours_in_iteration))</f>
        <v>0</v>
      </c>
      <c r="FZ25" s="51">
        <f>IF(ISNA(SUMPRODUCT((PersonOnVacation=Availability!$A25)*(VacationSprint=Sprint26)*SprintHoursOff)),0,SUMPRODUCT((PersonOnVacation=Availability!$A25)*(VacationSprint=Sprint26)*SprintHoursOff))</f>
        <v>0</v>
      </c>
      <c r="GA25" s="52">
        <f t="shared" si="80"/>
        <v>0</v>
      </c>
      <c r="GB25" s="42"/>
      <c r="GC25" s="27"/>
      <c r="GD25" s="176">
        <f t="shared" si="53"/>
        <v>0</v>
      </c>
      <c r="GE25" s="42">
        <f t="shared" si="54"/>
        <v>0</v>
      </c>
      <c r="GF25" s="51">
        <f>IF(GE25=0,0,VLOOKUP(Sprint27,Settings!$C$28:$E$53,3)*(GE25/Hours_in_iteration))</f>
        <v>0</v>
      </c>
      <c r="GG25" s="51">
        <f>IF(ISNA(SUMPRODUCT((PersonOnVacation=Availability!$A25)*(VacationSprint=Sprint27)*SprintHoursOff)),0,SUMPRODUCT((PersonOnVacation=Availability!$A25)*(VacationSprint=Sprint27)*SprintHoursOff))</f>
        <v>0</v>
      </c>
      <c r="GH25" s="52">
        <f t="shared" si="81"/>
        <v>0</v>
      </c>
      <c r="GI25" s="42"/>
    </row>
    <row r="26" spans="1:191" s="56" customFormat="1">
      <c r="A26" s="110" t="e">
        <f>Person17</f>
        <v>#N/A</v>
      </c>
      <c r="B26" s="42"/>
      <c r="C26" s="42"/>
      <c r="D26" s="135"/>
      <c r="E26" s="42">
        <f t="shared" si="55"/>
        <v>0</v>
      </c>
      <c r="F26" s="51">
        <f>IF(E26=0,0,VLOOKUP(Sprint1,Settings!$C$28:$E$53,3)*(E26/Hours_in_iteration))</f>
        <v>0</v>
      </c>
      <c r="G26" s="51">
        <f>IF(ISNA(SUMPRODUCT((PersonOnVacation=Availability!A26)*(VacationSprint=Sprint1)*SprintHoursOff)),0,SUMPRODUCT((PersonOnVacation=Availability!A26)*(VacationSprint=Sprint1)*SprintHoursOff))</f>
        <v>0</v>
      </c>
      <c r="H26" s="52">
        <f t="shared" si="2"/>
        <v>0</v>
      </c>
      <c r="I26" s="42"/>
      <c r="J26" s="27"/>
      <c r="K26" s="176">
        <f t="shared" si="3"/>
        <v>0</v>
      </c>
      <c r="L26" s="42">
        <f t="shared" si="4"/>
        <v>0</v>
      </c>
      <c r="M26" s="51">
        <f>IF(L26=0,0,VLOOKUP(Sprint2,Settings!$C$28:$E$53,3)*(L26/Hours_in_iteration))</f>
        <v>0</v>
      </c>
      <c r="N26" s="51">
        <f>IF(ISNA(SUMPRODUCT((PersonOnVacation=Availability!A26)*(VacationSprint=Sprint2)*SprintHoursOff)),0,SUMPRODUCT((PersonOnVacation=Availability!A26)*(VacationSprint=Sprint2)*SprintHoursOff))</f>
        <v>0</v>
      </c>
      <c r="O26" s="52">
        <f t="shared" si="56"/>
        <v>0</v>
      </c>
      <c r="P26" s="42"/>
      <c r="Q26" s="27"/>
      <c r="R26" s="176">
        <f t="shared" si="5"/>
        <v>0</v>
      </c>
      <c r="S26" s="42">
        <f t="shared" si="6"/>
        <v>0</v>
      </c>
      <c r="T26" s="51">
        <f>IF(S26=0,0,VLOOKUP(Sprint3,Settings!$C$28:$E$53,3)*(S26/Hours_in_iteration))</f>
        <v>0</v>
      </c>
      <c r="U26" s="51">
        <f>IF(ISNA(SUMPRODUCT((PersonOnVacation=Availability!A26)*(VacationSprint=Sprint3)*SprintHoursOff)),0,SUMPRODUCT((PersonOnVacation=Availability!A26)*(VacationSprint=Sprint3)*SprintHoursOff))</f>
        <v>0</v>
      </c>
      <c r="V26" s="52">
        <f t="shared" si="57"/>
        <v>0</v>
      </c>
      <c r="W26" s="42"/>
      <c r="X26" s="27"/>
      <c r="Y26" s="176">
        <f t="shared" si="7"/>
        <v>0</v>
      </c>
      <c r="Z26" s="42">
        <f t="shared" si="8"/>
        <v>0</v>
      </c>
      <c r="AA26" s="51">
        <f>IF(Z26=0,0,VLOOKUP(Sprint4,Settings!$C$28:$E$53,3)*(Z26/Hours_in_iteration))</f>
        <v>0</v>
      </c>
      <c r="AB26" s="51">
        <f>IF(ISNA(SUMPRODUCT((PersonOnVacation=Availability!$A26)*(VacationSprint=Sprint4)*SprintHoursOff)),0,SUMPRODUCT((PersonOnVacation=Availability!$A26)*(VacationSprint=Sprint4)*SprintHoursOff))</f>
        <v>0</v>
      </c>
      <c r="AC26" s="52">
        <f t="shared" si="58"/>
        <v>0</v>
      </c>
      <c r="AD26" s="42"/>
      <c r="AE26" s="27"/>
      <c r="AF26" s="176">
        <f t="shared" si="9"/>
        <v>0</v>
      </c>
      <c r="AG26" s="42">
        <f t="shared" si="10"/>
        <v>0</v>
      </c>
      <c r="AH26" s="51">
        <f>IF(AG26=0,0,VLOOKUP(Sprint5,Settings!$C$28:$E$53,3)*(AG26/Hours_in_iteration))</f>
        <v>0</v>
      </c>
      <c r="AI26" s="51">
        <f>IF(ISNA(SUMPRODUCT((PersonOnVacation=Availability!$A26)*(VacationSprint=Sprint5)*SprintHoursOff)),0,SUMPRODUCT((PersonOnVacation=Availability!$A26)*(VacationSprint=Sprint5)*SprintHoursOff))</f>
        <v>0</v>
      </c>
      <c r="AJ26" s="52">
        <f t="shared" si="59"/>
        <v>0</v>
      </c>
      <c r="AK26" s="42"/>
      <c r="AL26" s="27"/>
      <c r="AM26" s="176">
        <f t="shared" si="11"/>
        <v>0</v>
      </c>
      <c r="AN26" s="42">
        <f t="shared" si="12"/>
        <v>0</v>
      </c>
      <c r="AO26" s="51">
        <f>IF(AN26=0,0,VLOOKUP(Sprint6,Settings!$C$28:$E$53,3)*(AN26/Hours_in_iteration))</f>
        <v>0</v>
      </c>
      <c r="AP26" s="51">
        <f>IF(ISNA(SUMPRODUCT((PersonOnVacation=Availability!$A26)*(VacationSprint=Sprint6)*SprintHoursOff)),0,SUMPRODUCT((PersonOnVacation=Availability!$A26)*(VacationSprint=Sprint6)*SprintHoursOff))</f>
        <v>0</v>
      </c>
      <c r="AQ26" s="52">
        <f t="shared" si="60"/>
        <v>0</v>
      </c>
      <c r="AR26" s="42"/>
      <c r="AS26" s="27"/>
      <c r="AT26" s="176">
        <f t="shared" si="13"/>
        <v>0</v>
      </c>
      <c r="AU26" s="42">
        <f t="shared" si="14"/>
        <v>0</v>
      </c>
      <c r="AV26" s="51">
        <f>IF(AU26=0,0,VLOOKUP(Sprint7,Settings!$C$28:$E$53,3)*(AU26/Hours_in_iteration))</f>
        <v>0</v>
      </c>
      <c r="AW26" s="51">
        <f>IF(ISNA(SUMPRODUCT((PersonOnVacation=Availability!$A26)*(VacationSprint=Sprint7)*SprintHoursOff)),0,SUMPRODUCT((PersonOnVacation=Availability!$A26)*(VacationSprint=Sprint7)*SprintHoursOff))</f>
        <v>0</v>
      </c>
      <c r="AX26" s="52">
        <f t="shared" si="61"/>
        <v>0</v>
      </c>
      <c r="AY26" s="42"/>
      <c r="AZ26" s="27"/>
      <c r="BA26" s="176">
        <f t="shared" si="15"/>
        <v>0</v>
      </c>
      <c r="BB26" s="42">
        <f t="shared" si="16"/>
        <v>0</v>
      </c>
      <c r="BC26" s="51">
        <f>IF(BB26=0,0,VLOOKUP(Sprint8,Settings!$C$28:$E$53,3)*(BB26/Hours_in_iteration))</f>
        <v>0</v>
      </c>
      <c r="BD26" s="51">
        <f>IF(ISNA(SUMPRODUCT((PersonOnVacation=Availability!$A26)*(VacationSprint=Sprint8)*SprintHoursOff)),0,SUMPRODUCT((PersonOnVacation=Availability!$A26)*(VacationSprint=Sprint8)*SprintHoursOff))</f>
        <v>0</v>
      </c>
      <c r="BE26" s="52">
        <f t="shared" si="62"/>
        <v>0</v>
      </c>
      <c r="BF26" s="42"/>
      <c r="BG26" s="27"/>
      <c r="BH26" s="176">
        <f t="shared" si="17"/>
        <v>0</v>
      </c>
      <c r="BI26" s="42">
        <f t="shared" si="18"/>
        <v>0</v>
      </c>
      <c r="BJ26" s="51">
        <f>IF(BI26=0,0,VLOOKUP(Sprint9,Settings!$C$28:$E$53,3)*(BI26/Hours_in_iteration))</f>
        <v>0</v>
      </c>
      <c r="BK26" s="51">
        <f>IF(ISNA(SUMPRODUCT((PersonOnVacation=Availability!$A26)*(VacationSprint=Sprint9)*SprintHoursOff)),0,SUMPRODUCT((PersonOnVacation=Availability!$A26)*(VacationSprint=Sprint9)*SprintHoursOff))</f>
        <v>0</v>
      </c>
      <c r="BL26" s="52">
        <f t="shared" si="63"/>
        <v>0</v>
      </c>
      <c r="BM26" s="42"/>
      <c r="BN26" s="27"/>
      <c r="BO26" s="176">
        <f t="shared" si="19"/>
        <v>0</v>
      </c>
      <c r="BP26" s="42">
        <f t="shared" si="20"/>
        <v>0</v>
      </c>
      <c r="BQ26" s="51">
        <f>IF(BP26=0,0,VLOOKUP(Sprint10,Settings!$C$28:$E$53,3)*(BP26/Hours_in_iteration))</f>
        <v>0</v>
      </c>
      <c r="BR26" s="51">
        <f>IF(ISNA(SUMPRODUCT((PersonOnVacation=Availability!$A26)*(VacationSprint=Sprint10)*SprintHoursOff)),0,SUMPRODUCT((PersonOnVacation=Availability!$A26)*(VacationSprint=Sprint10)*SprintHoursOff))</f>
        <v>0</v>
      </c>
      <c r="BS26" s="52">
        <f t="shared" si="64"/>
        <v>0</v>
      </c>
      <c r="BT26" s="42"/>
      <c r="BU26" s="27"/>
      <c r="BV26" s="176">
        <f t="shared" si="21"/>
        <v>0</v>
      </c>
      <c r="BW26" s="42">
        <f t="shared" si="22"/>
        <v>0</v>
      </c>
      <c r="BX26" s="51">
        <f>IF(BW26=0,0,VLOOKUP(Sprint11,Settings!$C$28:$E$53,3)*(BW26/Hours_in_iteration))</f>
        <v>0</v>
      </c>
      <c r="BY26" s="51">
        <f>IF(ISNA(SUMPRODUCT((PersonOnVacation=Availability!$A26)*(VacationSprint=Sprint11)*SprintHoursOff)),0,SUMPRODUCT((PersonOnVacation=Availability!$A26)*(VacationSprint=Sprint11)*SprintHoursOff))</f>
        <v>0</v>
      </c>
      <c r="BZ26" s="52">
        <f t="shared" si="65"/>
        <v>0</v>
      </c>
      <c r="CA26" s="42"/>
      <c r="CB26" s="27"/>
      <c r="CC26" s="176">
        <f t="shared" si="23"/>
        <v>0</v>
      </c>
      <c r="CD26" s="42">
        <f t="shared" si="24"/>
        <v>0</v>
      </c>
      <c r="CE26" s="51">
        <f>IF(CD26=0,0,VLOOKUP(Sprint12,Settings!$C$28:$E$53,3)*(CD26/Hours_in_iteration))</f>
        <v>0</v>
      </c>
      <c r="CF26" s="51">
        <f>IF(ISNA(SUMPRODUCT((PersonOnVacation=Availability!$A26)*(VacationSprint=Sprint12)*SprintHoursOff)),0,SUMPRODUCT((PersonOnVacation=Availability!$A26)*(VacationSprint=Sprint12)*SprintHoursOff))</f>
        <v>0</v>
      </c>
      <c r="CG26" s="52">
        <f t="shared" si="66"/>
        <v>0</v>
      </c>
      <c r="CH26" s="42"/>
      <c r="CI26" s="27"/>
      <c r="CJ26" s="176">
        <f t="shared" si="25"/>
        <v>0</v>
      </c>
      <c r="CK26" s="42">
        <f t="shared" si="26"/>
        <v>0</v>
      </c>
      <c r="CL26" s="51">
        <f>IF(CK26=0,0,VLOOKUP(Sprint13,Settings!$C$28:$E$53,3)*(CK26/Hours_in_iteration))</f>
        <v>0</v>
      </c>
      <c r="CM26" s="51">
        <f>IF(ISNA(SUMPRODUCT((PersonOnVacation=Availability!$A26)*(VacationSprint=Sprint13)*SprintHoursOff)),0,SUMPRODUCT((PersonOnVacation=Availability!$A26)*(VacationSprint=Sprint13)*SprintHoursOff))</f>
        <v>0</v>
      </c>
      <c r="CN26" s="52">
        <f t="shared" si="67"/>
        <v>0</v>
      </c>
      <c r="CO26" s="42"/>
      <c r="CP26" s="27"/>
      <c r="CQ26" s="176">
        <f t="shared" si="27"/>
        <v>0</v>
      </c>
      <c r="CR26" s="42">
        <f t="shared" si="28"/>
        <v>0</v>
      </c>
      <c r="CS26" s="51">
        <f>IF(CR26=0,0,VLOOKUP(Sprint14,Settings!$C$28:$E$53,3)*(CR26/Hours_in_iteration))</f>
        <v>0</v>
      </c>
      <c r="CT26" s="51">
        <f>IF(ISNA(SUMPRODUCT((PersonOnVacation=Availability!$A26)*(VacationSprint=Sprint14)*SprintHoursOff)),0,SUMPRODUCT((PersonOnVacation=Availability!$A26)*(VacationSprint=Sprint14)*SprintHoursOff))</f>
        <v>0</v>
      </c>
      <c r="CU26" s="52">
        <f t="shared" si="68"/>
        <v>0</v>
      </c>
      <c r="CV26" s="42"/>
      <c r="CW26" s="27"/>
      <c r="CX26" s="176">
        <f t="shared" si="29"/>
        <v>0</v>
      </c>
      <c r="CY26" s="42">
        <f t="shared" si="30"/>
        <v>0</v>
      </c>
      <c r="CZ26" s="51">
        <f>IF(CY26=0,0,VLOOKUP(Sprint15,Settings!$C$28:$E$53,3)*(CY26/Hours_in_iteration))</f>
        <v>0</v>
      </c>
      <c r="DA26" s="51">
        <f>IF(ISNA(SUMPRODUCT((PersonOnVacation=Availability!$A26)*(VacationSprint=Sprint15)*SprintHoursOff)),0,SUMPRODUCT((PersonOnVacation=Availability!$A26)*(VacationSprint=Sprint15)*SprintHoursOff))</f>
        <v>0</v>
      </c>
      <c r="DB26" s="52">
        <f t="shared" si="69"/>
        <v>0</v>
      </c>
      <c r="DC26" s="42"/>
      <c r="DD26" s="27"/>
      <c r="DE26" s="176">
        <f t="shared" si="31"/>
        <v>0</v>
      </c>
      <c r="DF26" s="42">
        <f t="shared" si="32"/>
        <v>0</v>
      </c>
      <c r="DG26" s="51">
        <f>IF(DF26=0,0,VLOOKUP(Sprint16,Settings!$C$28:$E$53,3)*(DF26/Hours_in_iteration))</f>
        <v>0</v>
      </c>
      <c r="DH26" s="51">
        <f>IF(ISNA(SUMPRODUCT((PersonOnVacation=Availability!$A26)*(VacationSprint=Sprint16)*SprintHoursOff)),0,SUMPRODUCT((PersonOnVacation=Availability!$A26)*(VacationSprint=Sprint16)*SprintHoursOff))</f>
        <v>0</v>
      </c>
      <c r="DI26" s="52">
        <f t="shared" si="70"/>
        <v>0</v>
      </c>
      <c r="DJ26" s="42"/>
      <c r="DK26" s="27"/>
      <c r="DL26" s="176">
        <f t="shared" si="33"/>
        <v>0</v>
      </c>
      <c r="DM26" s="42">
        <f t="shared" si="34"/>
        <v>0</v>
      </c>
      <c r="DN26" s="51">
        <f>IF(DM26=0,0,VLOOKUP(Sprint17,Settings!$C$28:$E$53,3)*(DM26/Hours_in_iteration))</f>
        <v>0</v>
      </c>
      <c r="DO26" s="51">
        <f>IF(ISNA(SUMPRODUCT((PersonOnVacation=Availability!$A26)*(VacationSprint=Sprint17)*SprintHoursOff)),0,SUMPRODUCT((PersonOnVacation=Availability!$A26)*(VacationSprint=Sprint17)*SprintHoursOff))</f>
        <v>0</v>
      </c>
      <c r="DP26" s="52">
        <f t="shared" si="71"/>
        <v>0</v>
      </c>
      <c r="DQ26" s="42"/>
      <c r="DR26" s="27"/>
      <c r="DS26" s="176">
        <f t="shared" si="35"/>
        <v>0</v>
      </c>
      <c r="DT26" s="42">
        <f t="shared" si="36"/>
        <v>0</v>
      </c>
      <c r="DU26" s="51">
        <f>IF(DT26=0,0,VLOOKUP(Sprint18,Settings!$C$28:$E$53,3)*(DT26/Hours_in_iteration))</f>
        <v>0</v>
      </c>
      <c r="DV26" s="51">
        <f>IF(ISNA(SUMPRODUCT((PersonOnVacation=Availability!$A26)*(VacationSprint=Sprint18)*SprintHoursOff)),0,SUMPRODUCT((PersonOnVacation=Availability!$A26)*(VacationSprint=Sprint18)*SprintHoursOff))</f>
        <v>0</v>
      </c>
      <c r="DW26" s="52">
        <f t="shared" si="72"/>
        <v>0</v>
      </c>
      <c r="DX26" s="42"/>
      <c r="DY26" s="27"/>
      <c r="DZ26" s="176">
        <f t="shared" si="37"/>
        <v>0</v>
      </c>
      <c r="EA26" s="42">
        <f t="shared" si="38"/>
        <v>0</v>
      </c>
      <c r="EB26" s="51">
        <f>IF(EA26=0,0,VLOOKUP(Sprint19,Settings!$C$28:$E$53,3)*(EA26/Hours_in_iteration))</f>
        <v>0</v>
      </c>
      <c r="EC26" s="51">
        <f>IF(ISNA(SUMPRODUCT((PersonOnVacation=Availability!$A26)*(VacationSprint=Sprint19)*SprintHoursOff)),0,SUMPRODUCT((PersonOnVacation=Availability!$A26)*(VacationSprint=Sprint19)*SprintHoursOff))</f>
        <v>0</v>
      </c>
      <c r="ED26" s="52">
        <f t="shared" si="73"/>
        <v>0</v>
      </c>
      <c r="EE26" s="42"/>
      <c r="EF26" s="27"/>
      <c r="EG26" s="176">
        <f t="shared" si="39"/>
        <v>0</v>
      </c>
      <c r="EH26" s="42">
        <f t="shared" si="40"/>
        <v>0</v>
      </c>
      <c r="EI26" s="51">
        <f>IF(EH26=0,0,VLOOKUP(Sprint20,Settings!$C$28:$E$53,3)*(EH26/Hours_in_iteration))</f>
        <v>0</v>
      </c>
      <c r="EJ26" s="51">
        <f>IF(ISNA(SUMPRODUCT((PersonOnVacation=Availability!$A26)*(VacationSprint=Sprint20)*SprintHoursOff)),0,SUMPRODUCT((PersonOnVacation=Availability!$A26)*(VacationSprint=Sprint20)*SprintHoursOff))</f>
        <v>0</v>
      </c>
      <c r="EK26" s="52">
        <f t="shared" si="74"/>
        <v>0</v>
      </c>
      <c r="EL26" s="42"/>
      <c r="EM26" s="27"/>
      <c r="EN26" s="176">
        <f t="shared" si="41"/>
        <v>0</v>
      </c>
      <c r="EO26" s="42">
        <f t="shared" si="42"/>
        <v>0</v>
      </c>
      <c r="EP26" s="51">
        <f>IF(EO26=0,0,VLOOKUP(Sprint21,Settings!$C$28:$E$53,3)*(EO26/Hours_in_iteration))</f>
        <v>0</v>
      </c>
      <c r="EQ26" s="51">
        <f>IF(ISNA(SUMPRODUCT((PersonOnVacation=Availability!$A26)*(VacationSprint=Sprint21)*SprintHoursOff)),0,SUMPRODUCT((PersonOnVacation=Availability!$A26)*(VacationSprint=Sprint21)*SprintHoursOff))</f>
        <v>0</v>
      </c>
      <c r="ER26" s="52">
        <f t="shared" si="75"/>
        <v>0</v>
      </c>
      <c r="ES26" s="42"/>
      <c r="ET26" s="27"/>
      <c r="EU26" s="176">
        <f t="shared" si="43"/>
        <v>0</v>
      </c>
      <c r="EV26" s="42">
        <f t="shared" si="44"/>
        <v>0</v>
      </c>
      <c r="EW26" s="51">
        <f>IF(EV26=0,0,VLOOKUP(Sprint22,Settings!$C$28:$E$53,3)*(EV26/Hours_in_iteration))</f>
        <v>0</v>
      </c>
      <c r="EX26" s="51">
        <f>IF(ISNA(SUMPRODUCT((PersonOnVacation=Availability!$A26)*(VacationSprint=Sprint22)*SprintHoursOff)),0,SUMPRODUCT((PersonOnVacation=Availability!$A26)*(VacationSprint=Sprint22)*SprintHoursOff))</f>
        <v>0</v>
      </c>
      <c r="EY26" s="52">
        <f t="shared" si="76"/>
        <v>0</v>
      </c>
      <c r="EZ26" s="42"/>
      <c r="FA26" s="27"/>
      <c r="FB26" s="176">
        <f t="shared" si="45"/>
        <v>0</v>
      </c>
      <c r="FC26" s="42">
        <f t="shared" si="46"/>
        <v>0</v>
      </c>
      <c r="FD26" s="51">
        <f>IF(FC26=0,0,VLOOKUP(Sprint23,Settings!$C$28:$E$53,3)*(FC26/Hours_in_iteration))</f>
        <v>0</v>
      </c>
      <c r="FE26" s="51">
        <f>IF(ISNA(SUMPRODUCT((PersonOnVacation=Availability!$A26)*(VacationSprint=Sprint23)*SprintHoursOff)),0,SUMPRODUCT((PersonOnVacation=Availability!$A26)*(VacationSprint=Sprint23)*SprintHoursOff))</f>
        <v>0</v>
      </c>
      <c r="FF26" s="52">
        <f t="shared" si="77"/>
        <v>0</v>
      </c>
      <c r="FG26" s="42"/>
      <c r="FH26" s="27"/>
      <c r="FI26" s="176">
        <f t="shared" si="47"/>
        <v>0</v>
      </c>
      <c r="FJ26" s="42">
        <f t="shared" si="48"/>
        <v>0</v>
      </c>
      <c r="FK26" s="51">
        <f>IF(FJ26=0,0,VLOOKUP(Sprint24,Settings!$C$28:$E$53,3)*(FJ26/Hours_in_iteration))</f>
        <v>0</v>
      </c>
      <c r="FL26" s="51">
        <f>IF(ISNA(SUMPRODUCT((PersonOnVacation=Availability!$A26)*(VacationSprint=Sprint24)*SprintHoursOff)),0,SUMPRODUCT((PersonOnVacation=Availability!$A26)*(VacationSprint=Sprint24)*SprintHoursOff))</f>
        <v>0</v>
      </c>
      <c r="FM26" s="52">
        <f t="shared" si="78"/>
        <v>0</v>
      </c>
      <c r="FN26" s="42"/>
      <c r="FO26" s="27"/>
      <c r="FP26" s="176">
        <f t="shared" si="49"/>
        <v>0</v>
      </c>
      <c r="FQ26" s="42">
        <f t="shared" si="50"/>
        <v>0</v>
      </c>
      <c r="FR26" s="51">
        <f>IF(FQ26=0,0,VLOOKUP(Sprint25,Settings!$C$28:$E$53,3)*(FQ26/Hours_in_iteration))</f>
        <v>0</v>
      </c>
      <c r="FS26" s="51">
        <f>IF(ISNA(SUMPRODUCT((PersonOnVacation=Availability!$A26)*(VacationSprint=Sprint25)*SprintHoursOff)),0,SUMPRODUCT((PersonOnVacation=Availability!$A26)*(VacationSprint=Sprint25)*SprintHoursOff))</f>
        <v>0</v>
      </c>
      <c r="FT26" s="52">
        <f t="shared" si="79"/>
        <v>0</v>
      </c>
      <c r="FU26" s="42"/>
      <c r="FV26" s="27"/>
      <c r="FW26" s="176">
        <f t="shared" si="51"/>
        <v>0</v>
      </c>
      <c r="FX26" s="42">
        <f t="shared" si="52"/>
        <v>0</v>
      </c>
      <c r="FY26" s="51">
        <f>IF(FX26=0,0,VLOOKUP(Sprint26,Settings!$C$28:$E$53,3)*(FX26/Hours_in_iteration))</f>
        <v>0</v>
      </c>
      <c r="FZ26" s="51">
        <f>IF(ISNA(SUMPRODUCT((PersonOnVacation=Availability!$A26)*(VacationSprint=Sprint26)*SprintHoursOff)),0,SUMPRODUCT((PersonOnVacation=Availability!$A26)*(VacationSprint=Sprint26)*SprintHoursOff))</f>
        <v>0</v>
      </c>
      <c r="GA26" s="52">
        <f t="shared" si="80"/>
        <v>0</v>
      </c>
      <c r="GB26" s="42"/>
      <c r="GC26" s="27"/>
      <c r="GD26" s="176">
        <f t="shared" si="53"/>
        <v>0</v>
      </c>
      <c r="GE26" s="42">
        <f t="shared" si="54"/>
        <v>0</v>
      </c>
      <c r="GF26" s="51">
        <f>IF(GE26=0,0,VLOOKUP(Sprint27,Settings!$C$28:$E$53,3)*(GE26/Hours_in_iteration))</f>
        <v>0</v>
      </c>
      <c r="GG26" s="51">
        <f>IF(ISNA(SUMPRODUCT((PersonOnVacation=Availability!$A26)*(VacationSprint=Sprint27)*SprintHoursOff)),0,SUMPRODUCT((PersonOnVacation=Availability!$A26)*(VacationSprint=Sprint27)*SprintHoursOff))</f>
        <v>0</v>
      </c>
      <c r="GH26" s="52">
        <f t="shared" si="81"/>
        <v>0</v>
      </c>
      <c r="GI26" s="42"/>
    </row>
    <row r="27" spans="1:191" s="53" customFormat="1">
      <c r="A27" s="110" t="e">
        <f>Person18</f>
        <v>#N/A</v>
      </c>
      <c r="B27" s="42"/>
      <c r="C27" s="42"/>
      <c r="D27" s="135"/>
      <c r="E27" s="42">
        <f t="shared" si="55"/>
        <v>0</v>
      </c>
      <c r="F27" s="51">
        <f>IF(E27=0,0,VLOOKUP(Sprint1,Settings!$C$28:$E$53,3)*(E27/Hours_in_iteration))</f>
        <v>0</v>
      </c>
      <c r="G27" s="51">
        <f>IF(ISNA(SUMPRODUCT((PersonOnVacation=Availability!A27)*(VacationSprint=Sprint1)*SprintHoursOff)),0,SUMPRODUCT((PersonOnVacation=Availability!A27)*(VacationSprint=Sprint1)*SprintHoursOff))</f>
        <v>0</v>
      </c>
      <c r="H27" s="52">
        <f t="shared" si="2"/>
        <v>0</v>
      </c>
      <c r="I27" s="42"/>
      <c r="J27" s="27"/>
      <c r="K27" s="176">
        <f t="shared" si="3"/>
        <v>0</v>
      </c>
      <c r="L27" s="42">
        <f t="shared" si="4"/>
        <v>0</v>
      </c>
      <c r="M27" s="51">
        <f>IF(L27=0,0,VLOOKUP(Sprint2,Settings!$C$28:$E$53,3)*(L27/Hours_in_iteration))</f>
        <v>0</v>
      </c>
      <c r="N27" s="51">
        <f>IF(ISNA(SUMPRODUCT((PersonOnVacation=Availability!A27)*(VacationSprint=Sprint2)*SprintHoursOff)),0,SUMPRODUCT((PersonOnVacation=Availability!A27)*(VacationSprint=Sprint2)*SprintHoursOff))</f>
        <v>0</v>
      </c>
      <c r="O27" s="52">
        <f t="shared" si="56"/>
        <v>0</v>
      </c>
      <c r="P27" s="42"/>
      <c r="Q27" s="27"/>
      <c r="R27" s="176">
        <f t="shared" si="5"/>
        <v>0</v>
      </c>
      <c r="S27" s="42">
        <f t="shared" si="6"/>
        <v>0</v>
      </c>
      <c r="T27" s="51">
        <f>IF(S27=0,0,VLOOKUP(Sprint3,Settings!$C$28:$E$53,3)*(S27/Hours_in_iteration))</f>
        <v>0</v>
      </c>
      <c r="U27" s="51">
        <f>IF(ISNA(SUMPRODUCT((PersonOnVacation=Availability!A27)*(VacationSprint=Sprint3)*SprintHoursOff)),0,SUMPRODUCT((PersonOnVacation=Availability!A27)*(VacationSprint=Sprint3)*SprintHoursOff))</f>
        <v>0</v>
      </c>
      <c r="V27" s="52">
        <f t="shared" si="57"/>
        <v>0</v>
      </c>
      <c r="W27" s="42"/>
      <c r="X27" s="27"/>
      <c r="Y27" s="176">
        <f t="shared" si="7"/>
        <v>0</v>
      </c>
      <c r="Z27" s="42">
        <f t="shared" si="8"/>
        <v>0</v>
      </c>
      <c r="AA27" s="51">
        <f>IF(Z27=0,0,VLOOKUP(Sprint4,Settings!$C$28:$E$53,3)*(Z27/Hours_in_iteration))</f>
        <v>0</v>
      </c>
      <c r="AB27" s="51">
        <f>IF(ISNA(SUMPRODUCT((PersonOnVacation=Availability!$A27)*(VacationSprint=Sprint4)*SprintHoursOff)),0,SUMPRODUCT((PersonOnVacation=Availability!$A27)*(VacationSprint=Sprint4)*SprintHoursOff))</f>
        <v>0</v>
      </c>
      <c r="AC27" s="52">
        <f t="shared" si="58"/>
        <v>0</v>
      </c>
      <c r="AD27" s="42"/>
      <c r="AE27" s="27"/>
      <c r="AF27" s="176">
        <f t="shared" si="9"/>
        <v>0</v>
      </c>
      <c r="AG27" s="42">
        <f t="shared" si="10"/>
        <v>0</v>
      </c>
      <c r="AH27" s="51">
        <f>IF(AG27=0,0,VLOOKUP(Sprint5,Settings!$C$28:$E$53,3)*(AG27/Hours_in_iteration))</f>
        <v>0</v>
      </c>
      <c r="AI27" s="51">
        <f>IF(ISNA(SUMPRODUCT((PersonOnVacation=Availability!$A27)*(VacationSprint=Sprint5)*SprintHoursOff)),0,SUMPRODUCT((PersonOnVacation=Availability!$A27)*(VacationSprint=Sprint5)*SprintHoursOff))</f>
        <v>0</v>
      </c>
      <c r="AJ27" s="52">
        <f t="shared" si="59"/>
        <v>0</v>
      </c>
      <c r="AK27" s="42"/>
      <c r="AL27" s="27"/>
      <c r="AM27" s="176">
        <f t="shared" si="11"/>
        <v>0</v>
      </c>
      <c r="AN27" s="42">
        <f t="shared" si="12"/>
        <v>0</v>
      </c>
      <c r="AO27" s="51">
        <f>IF(AN27=0,0,VLOOKUP(Sprint6,Settings!$C$28:$E$53,3)*(AN27/Hours_in_iteration))</f>
        <v>0</v>
      </c>
      <c r="AP27" s="51">
        <f>IF(ISNA(SUMPRODUCT((PersonOnVacation=Availability!$A27)*(VacationSprint=Sprint6)*SprintHoursOff)),0,SUMPRODUCT((PersonOnVacation=Availability!$A27)*(VacationSprint=Sprint6)*SprintHoursOff))</f>
        <v>0</v>
      </c>
      <c r="AQ27" s="52">
        <f t="shared" si="60"/>
        <v>0</v>
      </c>
      <c r="AR27" s="42"/>
      <c r="AS27" s="27"/>
      <c r="AT27" s="176">
        <f t="shared" si="13"/>
        <v>0</v>
      </c>
      <c r="AU27" s="42">
        <f t="shared" si="14"/>
        <v>0</v>
      </c>
      <c r="AV27" s="51">
        <f>IF(AU27=0,0,VLOOKUP(Sprint7,Settings!$C$28:$E$53,3)*(AU27/Hours_in_iteration))</f>
        <v>0</v>
      </c>
      <c r="AW27" s="51">
        <f>IF(ISNA(SUMPRODUCT((PersonOnVacation=Availability!$A27)*(VacationSprint=Sprint7)*SprintHoursOff)),0,SUMPRODUCT((PersonOnVacation=Availability!$A27)*(VacationSprint=Sprint7)*SprintHoursOff))</f>
        <v>0</v>
      </c>
      <c r="AX27" s="52">
        <f t="shared" si="61"/>
        <v>0</v>
      </c>
      <c r="AY27" s="42"/>
      <c r="AZ27" s="27"/>
      <c r="BA27" s="176">
        <f t="shared" si="15"/>
        <v>0</v>
      </c>
      <c r="BB27" s="42">
        <f t="shared" si="16"/>
        <v>0</v>
      </c>
      <c r="BC27" s="51">
        <f>IF(BB27=0,0,VLOOKUP(Sprint8,Settings!$C$28:$E$53,3)*(BB27/Hours_in_iteration))</f>
        <v>0</v>
      </c>
      <c r="BD27" s="51">
        <f>IF(ISNA(SUMPRODUCT((PersonOnVacation=Availability!$A27)*(VacationSprint=Sprint8)*SprintHoursOff)),0,SUMPRODUCT((PersonOnVacation=Availability!$A27)*(VacationSprint=Sprint8)*SprintHoursOff))</f>
        <v>0</v>
      </c>
      <c r="BE27" s="52">
        <f t="shared" si="62"/>
        <v>0</v>
      </c>
      <c r="BF27" s="42"/>
      <c r="BG27" s="27"/>
      <c r="BH27" s="176">
        <f t="shared" si="17"/>
        <v>0</v>
      </c>
      <c r="BI27" s="42">
        <f t="shared" si="18"/>
        <v>0</v>
      </c>
      <c r="BJ27" s="51">
        <f>IF(BI27=0,0,VLOOKUP(Sprint9,Settings!$C$28:$E$53,3)*(BI27/Hours_in_iteration))</f>
        <v>0</v>
      </c>
      <c r="BK27" s="51">
        <f>IF(ISNA(SUMPRODUCT((PersonOnVacation=Availability!$A27)*(VacationSprint=Sprint9)*SprintHoursOff)),0,SUMPRODUCT((PersonOnVacation=Availability!$A27)*(VacationSprint=Sprint9)*SprintHoursOff))</f>
        <v>0</v>
      </c>
      <c r="BL27" s="52">
        <f t="shared" si="63"/>
        <v>0</v>
      </c>
      <c r="BM27" s="42"/>
      <c r="BN27" s="27"/>
      <c r="BO27" s="176">
        <f t="shared" si="19"/>
        <v>0</v>
      </c>
      <c r="BP27" s="42">
        <f t="shared" si="20"/>
        <v>0</v>
      </c>
      <c r="BQ27" s="51">
        <f>IF(BP27=0,0,VLOOKUP(Sprint10,Settings!$C$28:$E$53,3)*(BP27/Hours_in_iteration))</f>
        <v>0</v>
      </c>
      <c r="BR27" s="51">
        <f>IF(ISNA(SUMPRODUCT((PersonOnVacation=Availability!$A27)*(VacationSprint=Sprint10)*SprintHoursOff)),0,SUMPRODUCT((PersonOnVacation=Availability!$A27)*(VacationSprint=Sprint10)*SprintHoursOff))</f>
        <v>0</v>
      </c>
      <c r="BS27" s="52">
        <f t="shared" si="64"/>
        <v>0</v>
      </c>
      <c r="BT27" s="42"/>
      <c r="BU27" s="27"/>
      <c r="BV27" s="176">
        <f t="shared" si="21"/>
        <v>0</v>
      </c>
      <c r="BW27" s="42">
        <f t="shared" si="22"/>
        <v>0</v>
      </c>
      <c r="BX27" s="51">
        <f>IF(BW27=0,0,VLOOKUP(Sprint11,Settings!$C$28:$E$53,3)*(BW27/Hours_in_iteration))</f>
        <v>0</v>
      </c>
      <c r="BY27" s="51">
        <f>IF(ISNA(SUMPRODUCT((PersonOnVacation=Availability!$A27)*(VacationSprint=Sprint11)*SprintHoursOff)),0,SUMPRODUCT((PersonOnVacation=Availability!$A27)*(VacationSprint=Sprint11)*SprintHoursOff))</f>
        <v>0</v>
      </c>
      <c r="BZ27" s="52">
        <f t="shared" si="65"/>
        <v>0</v>
      </c>
      <c r="CA27" s="42"/>
      <c r="CB27" s="27"/>
      <c r="CC27" s="176">
        <f t="shared" si="23"/>
        <v>0</v>
      </c>
      <c r="CD27" s="42">
        <f t="shared" si="24"/>
        <v>0</v>
      </c>
      <c r="CE27" s="51">
        <f>IF(CD27=0,0,VLOOKUP(Sprint12,Settings!$C$28:$E$53,3)*(CD27/Hours_in_iteration))</f>
        <v>0</v>
      </c>
      <c r="CF27" s="51">
        <f>IF(ISNA(SUMPRODUCT((PersonOnVacation=Availability!$A27)*(VacationSprint=Sprint12)*SprintHoursOff)),0,SUMPRODUCT((PersonOnVacation=Availability!$A27)*(VacationSprint=Sprint12)*SprintHoursOff))</f>
        <v>0</v>
      </c>
      <c r="CG27" s="52">
        <f t="shared" si="66"/>
        <v>0</v>
      </c>
      <c r="CH27" s="42"/>
      <c r="CI27" s="27"/>
      <c r="CJ27" s="176">
        <f t="shared" si="25"/>
        <v>0</v>
      </c>
      <c r="CK27" s="42">
        <f t="shared" si="26"/>
        <v>0</v>
      </c>
      <c r="CL27" s="51">
        <f>IF(CK27=0,0,VLOOKUP(Sprint13,Settings!$C$28:$E$53,3)*(CK27/Hours_in_iteration))</f>
        <v>0</v>
      </c>
      <c r="CM27" s="51">
        <f>IF(ISNA(SUMPRODUCT((PersonOnVacation=Availability!$A27)*(VacationSprint=Sprint13)*SprintHoursOff)),0,SUMPRODUCT((PersonOnVacation=Availability!$A27)*(VacationSprint=Sprint13)*SprintHoursOff))</f>
        <v>0</v>
      </c>
      <c r="CN27" s="52">
        <f t="shared" si="67"/>
        <v>0</v>
      </c>
      <c r="CO27" s="42"/>
      <c r="CP27" s="27"/>
      <c r="CQ27" s="176">
        <f t="shared" si="27"/>
        <v>0</v>
      </c>
      <c r="CR27" s="42">
        <f t="shared" si="28"/>
        <v>0</v>
      </c>
      <c r="CS27" s="51">
        <f>IF(CR27=0,0,VLOOKUP(Sprint14,Settings!$C$28:$E$53,3)*(CR27/Hours_in_iteration))</f>
        <v>0</v>
      </c>
      <c r="CT27" s="51">
        <f>IF(ISNA(SUMPRODUCT((PersonOnVacation=Availability!$A27)*(VacationSprint=Sprint14)*SprintHoursOff)),0,SUMPRODUCT((PersonOnVacation=Availability!$A27)*(VacationSprint=Sprint14)*SprintHoursOff))</f>
        <v>0</v>
      </c>
      <c r="CU27" s="52">
        <f t="shared" si="68"/>
        <v>0</v>
      </c>
      <c r="CV27" s="42"/>
      <c r="CW27" s="27"/>
      <c r="CX27" s="176">
        <f t="shared" si="29"/>
        <v>0</v>
      </c>
      <c r="CY27" s="42">
        <f t="shared" si="30"/>
        <v>0</v>
      </c>
      <c r="CZ27" s="51">
        <f>IF(CY27=0,0,VLOOKUP(Sprint15,Settings!$C$28:$E$53,3)*(CY27/Hours_in_iteration))</f>
        <v>0</v>
      </c>
      <c r="DA27" s="51">
        <f>IF(ISNA(SUMPRODUCT((PersonOnVacation=Availability!$A27)*(VacationSprint=Sprint15)*SprintHoursOff)),0,SUMPRODUCT((PersonOnVacation=Availability!$A27)*(VacationSprint=Sprint15)*SprintHoursOff))</f>
        <v>0</v>
      </c>
      <c r="DB27" s="52">
        <f t="shared" si="69"/>
        <v>0</v>
      </c>
      <c r="DC27" s="42"/>
      <c r="DD27" s="27"/>
      <c r="DE27" s="176">
        <f t="shared" si="31"/>
        <v>0</v>
      </c>
      <c r="DF27" s="42">
        <f t="shared" si="32"/>
        <v>0</v>
      </c>
      <c r="DG27" s="51">
        <f>IF(DF27=0,0,VLOOKUP(Sprint16,Settings!$C$28:$E$53,3)*(DF27/Hours_in_iteration))</f>
        <v>0</v>
      </c>
      <c r="DH27" s="51">
        <f>IF(ISNA(SUMPRODUCT((PersonOnVacation=Availability!$A27)*(VacationSprint=Sprint16)*SprintHoursOff)),0,SUMPRODUCT((PersonOnVacation=Availability!$A27)*(VacationSprint=Sprint16)*SprintHoursOff))</f>
        <v>0</v>
      </c>
      <c r="DI27" s="52">
        <f t="shared" si="70"/>
        <v>0</v>
      </c>
      <c r="DJ27" s="42"/>
      <c r="DK27" s="27"/>
      <c r="DL27" s="176">
        <f t="shared" si="33"/>
        <v>0</v>
      </c>
      <c r="DM27" s="42">
        <f t="shared" si="34"/>
        <v>0</v>
      </c>
      <c r="DN27" s="51">
        <f>IF(DM27=0,0,VLOOKUP(Sprint17,Settings!$C$28:$E$53,3)*(DM27/Hours_in_iteration))</f>
        <v>0</v>
      </c>
      <c r="DO27" s="51">
        <f>IF(ISNA(SUMPRODUCT((PersonOnVacation=Availability!$A27)*(VacationSprint=Sprint17)*SprintHoursOff)),0,SUMPRODUCT((PersonOnVacation=Availability!$A27)*(VacationSprint=Sprint17)*SprintHoursOff))</f>
        <v>0</v>
      </c>
      <c r="DP27" s="52">
        <f t="shared" si="71"/>
        <v>0</v>
      </c>
      <c r="DQ27" s="42"/>
      <c r="DR27" s="27"/>
      <c r="DS27" s="176">
        <f t="shared" si="35"/>
        <v>0</v>
      </c>
      <c r="DT27" s="42">
        <f t="shared" si="36"/>
        <v>0</v>
      </c>
      <c r="DU27" s="51">
        <f>IF(DT27=0,0,VLOOKUP(Sprint18,Settings!$C$28:$E$53,3)*(DT27/Hours_in_iteration))</f>
        <v>0</v>
      </c>
      <c r="DV27" s="51">
        <f>IF(ISNA(SUMPRODUCT((PersonOnVacation=Availability!$A27)*(VacationSprint=Sprint18)*SprintHoursOff)),0,SUMPRODUCT((PersonOnVacation=Availability!$A27)*(VacationSprint=Sprint18)*SprintHoursOff))</f>
        <v>0</v>
      </c>
      <c r="DW27" s="52">
        <f t="shared" si="72"/>
        <v>0</v>
      </c>
      <c r="DX27" s="42"/>
      <c r="DY27" s="27"/>
      <c r="DZ27" s="176">
        <f t="shared" si="37"/>
        <v>0</v>
      </c>
      <c r="EA27" s="42">
        <f t="shared" si="38"/>
        <v>0</v>
      </c>
      <c r="EB27" s="51">
        <f>IF(EA27=0,0,VLOOKUP(Sprint19,Settings!$C$28:$E$53,3)*(EA27/Hours_in_iteration))</f>
        <v>0</v>
      </c>
      <c r="EC27" s="51">
        <f>IF(ISNA(SUMPRODUCT((PersonOnVacation=Availability!$A27)*(VacationSprint=Sprint19)*SprintHoursOff)),0,SUMPRODUCT((PersonOnVacation=Availability!$A27)*(VacationSprint=Sprint19)*SprintHoursOff))</f>
        <v>0</v>
      </c>
      <c r="ED27" s="52">
        <f t="shared" si="73"/>
        <v>0</v>
      </c>
      <c r="EE27" s="42"/>
      <c r="EF27" s="27"/>
      <c r="EG27" s="176">
        <f t="shared" si="39"/>
        <v>0</v>
      </c>
      <c r="EH27" s="42">
        <f t="shared" si="40"/>
        <v>0</v>
      </c>
      <c r="EI27" s="51">
        <f>IF(EH27=0,0,VLOOKUP(Sprint20,Settings!$C$28:$E$53,3)*(EH27/Hours_in_iteration))</f>
        <v>0</v>
      </c>
      <c r="EJ27" s="51">
        <f>IF(ISNA(SUMPRODUCT((PersonOnVacation=Availability!$A27)*(VacationSprint=Sprint20)*SprintHoursOff)),0,SUMPRODUCT((PersonOnVacation=Availability!$A27)*(VacationSprint=Sprint20)*SprintHoursOff))</f>
        <v>0</v>
      </c>
      <c r="EK27" s="52">
        <f t="shared" si="74"/>
        <v>0</v>
      </c>
      <c r="EL27" s="42"/>
      <c r="EM27" s="27"/>
      <c r="EN27" s="176">
        <f t="shared" si="41"/>
        <v>0</v>
      </c>
      <c r="EO27" s="42">
        <f t="shared" si="42"/>
        <v>0</v>
      </c>
      <c r="EP27" s="51">
        <f>IF(EO27=0,0,VLOOKUP(Sprint21,Settings!$C$28:$E$53,3)*(EO27/Hours_in_iteration))</f>
        <v>0</v>
      </c>
      <c r="EQ27" s="51">
        <f>IF(ISNA(SUMPRODUCT((PersonOnVacation=Availability!$A27)*(VacationSprint=Sprint21)*SprintHoursOff)),0,SUMPRODUCT((PersonOnVacation=Availability!$A27)*(VacationSprint=Sprint21)*SprintHoursOff))</f>
        <v>0</v>
      </c>
      <c r="ER27" s="52">
        <f t="shared" si="75"/>
        <v>0</v>
      </c>
      <c r="ES27" s="42"/>
      <c r="ET27" s="27"/>
      <c r="EU27" s="176">
        <f t="shared" si="43"/>
        <v>0</v>
      </c>
      <c r="EV27" s="42">
        <f t="shared" si="44"/>
        <v>0</v>
      </c>
      <c r="EW27" s="51">
        <f>IF(EV27=0,0,VLOOKUP(Sprint22,Settings!$C$28:$E$53,3)*(EV27/Hours_in_iteration))</f>
        <v>0</v>
      </c>
      <c r="EX27" s="51">
        <f>IF(ISNA(SUMPRODUCT((PersonOnVacation=Availability!$A27)*(VacationSprint=Sprint22)*SprintHoursOff)),0,SUMPRODUCT((PersonOnVacation=Availability!$A27)*(VacationSprint=Sprint22)*SprintHoursOff))</f>
        <v>0</v>
      </c>
      <c r="EY27" s="52">
        <f t="shared" si="76"/>
        <v>0</v>
      </c>
      <c r="EZ27" s="42"/>
      <c r="FA27" s="27"/>
      <c r="FB27" s="176">
        <f t="shared" si="45"/>
        <v>0</v>
      </c>
      <c r="FC27" s="42">
        <f t="shared" si="46"/>
        <v>0</v>
      </c>
      <c r="FD27" s="51">
        <f>IF(FC27=0,0,VLOOKUP(Sprint23,Settings!$C$28:$E$53,3)*(FC27/Hours_in_iteration))</f>
        <v>0</v>
      </c>
      <c r="FE27" s="51">
        <f>IF(ISNA(SUMPRODUCT((PersonOnVacation=Availability!$A27)*(VacationSprint=Sprint23)*SprintHoursOff)),0,SUMPRODUCT((PersonOnVacation=Availability!$A27)*(VacationSprint=Sprint23)*SprintHoursOff))</f>
        <v>0</v>
      </c>
      <c r="FF27" s="52">
        <f t="shared" si="77"/>
        <v>0</v>
      </c>
      <c r="FG27" s="42"/>
      <c r="FH27" s="27"/>
      <c r="FI27" s="176">
        <f t="shared" si="47"/>
        <v>0</v>
      </c>
      <c r="FJ27" s="42">
        <f t="shared" si="48"/>
        <v>0</v>
      </c>
      <c r="FK27" s="51">
        <f>IF(FJ27=0,0,VLOOKUP(Sprint24,Settings!$C$28:$E$53,3)*(FJ27/Hours_in_iteration))</f>
        <v>0</v>
      </c>
      <c r="FL27" s="51">
        <f>IF(ISNA(SUMPRODUCT((PersonOnVacation=Availability!$A27)*(VacationSprint=Sprint24)*SprintHoursOff)),0,SUMPRODUCT((PersonOnVacation=Availability!$A27)*(VacationSprint=Sprint24)*SprintHoursOff))</f>
        <v>0</v>
      </c>
      <c r="FM27" s="52">
        <f t="shared" si="78"/>
        <v>0</v>
      </c>
      <c r="FN27" s="42"/>
      <c r="FO27" s="27"/>
      <c r="FP27" s="176">
        <f t="shared" si="49"/>
        <v>0</v>
      </c>
      <c r="FQ27" s="42">
        <f t="shared" si="50"/>
        <v>0</v>
      </c>
      <c r="FR27" s="51">
        <f>IF(FQ27=0,0,VLOOKUP(Sprint25,Settings!$C$28:$E$53,3)*(FQ27/Hours_in_iteration))</f>
        <v>0</v>
      </c>
      <c r="FS27" s="51">
        <f>IF(ISNA(SUMPRODUCT((PersonOnVacation=Availability!$A27)*(VacationSprint=Sprint25)*SprintHoursOff)),0,SUMPRODUCT((PersonOnVacation=Availability!$A27)*(VacationSprint=Sprint25)*SprintHoursOff))</f>
        <v>0</v>
      </c>
      <c r="FT27" s="52">
        <f t="shared" si="79"/>
        <v>0</v>
      </c>
      <c r="FU27" s="42"/>
      <c r="FV27" s="27"/>
      <c r="FW27" s="176">
        <f t="shared" si="51"/>
        <v>0</v>
      </c>
      <c r="FX27" s="42">
        <f t="shared" si="52"/>
        <v>0</v>
      </c>
      <c r="FY27" s="51">
        <f>IF(FX27=0,0,VLOOKUP(Sprint26,Settings!$C$28:$E$53,3)*(FX27/Hours_in_iteration))</f>
        <v>0</v>
      </c>
      <c r="FZ27" s="51">
        <f>IF(ISNA(SUMPRODUCT((PersonOnVacation=Availability!$A27)*(VacationSprint=Sprint26)*SprintHoursOff)),0,SUMPRODUCT((PersonOnVacation=Availability!$A27)*(VacationSprint=Sprint26)*SprintHoursOff))</f>
        <v>0</v>
      </c>
      <c r="GA27" s="52">
        <f t="shared" si="80"/>
        <v>0</v>
      </c>
      <c r="GB27" s="42"/>
      <c r="GC27" s="27"/>
      <c r="GD27" s="176">
        <f t="shared" si="53"/>
        <v>0</v>
      </c>
      <c r="GE27" s="42">
        <f t="shared" si="54"/>
        <v>0</v>
      </c>
      <c r="GF27" s="51">
        <f>IF(GE27=0,0,VLOOKUP(Sprint27,Settings!$C$28:$E$53,3)*(GE27/Hours_in_iteration))</f>
        <v>0</v>
      </c>
      <c r="GG27" s="51">
        <f>IF(ISNA(SUMPRODUCT((PersonOnVacation=Availability!$A27)*(VacationSprint=Sprint27)*SprintHoursOff)),0,SUMPRODUCT((PersonOnVacation=Availability!$A27)*(VacationSprint=Sprint27)*SprintHoursOff))</f>
        <v>0</v>
      </c>
      <c r="GH27" s="52">
        <f t="shared" si="81"/>
        <v>0</v>
      </c>
      <c r="GI27" s="42"/>
    </row>
    <row r="28" spans="1:191" s="53" customFormat="1">
      <c r="A28" s="110" t="e">
        <f>Person19</f>
        <v>#N/A</v>
      </c>
      <c r="B28" s="42"/>
      <c r="C28" s="42"/>
      <c r="D28" s="135"/>
      <c r="E28" s="42">
        <f t="shared" si="55"/>
        <v>0</v>
      </c>
      <c r="F28" s="51">
        <f>IF(E28=0,0,VLOOKUP(Sprint1,Settings!$C$28:$E$53,3)*(E28/Hours_in_iteration))</f>
        <v>0</v>
      </c>
      <c r="G28" s="51">
        <f>IF(ISNA(SUMPRODUCT((PersonOnVacation=Availability!A28)*(VacationSprint=Sprint1)*SprintHoursOff)),0,SUMPRODUCT((PersonOnVacation=Availability!A28)*(VacationSprint=Sprint1)*SprintHoursOff))</f>
        <v>0</v>
      </c>
      <c r="H28" s="52">
        <f t="shared" si="2"/>
        <v>0</v>
      </c>
      <c r="I28" s="42"/>
      <c r="J28" s="27"/>
      <c r="K28" s="176">
        <f t="shared" si="3"/>
        <v>0</v>
      </c>
      <c r="L28" s="42">
        <f t="shared" si="4"/>
        <v>0</v>
      </c>
      <c r="M28" s="51">
        <f>IF(L28=0,0,VLOOKUP(Sprint2,Settings!$C$28:$E$53,3)*(L28/Hours_in_iteration))</f>
        <v>0</v>
      </c>
      <c r="N28" s="51">
        <f>IF(ISNA(SUMPRODUCT((PersonOnVacation=Availability!A28)*(VacationSprint=Sprint2)*SprintHoursOff)),0,SUMPRODUCT((PersonOnVacation=Availability!A28)*(VacationSprint=Sprint2)*SprintHoursOff))</f>
        <v>0</v>
      </c>
      <c r="O28" s="52">
        <f t="shared" si="56"/>
        <v>0</v>
      </c>
      <c r="P28" s="42"/>
      <c r="Q28" s="27"/>
      <c r="R28" s="176">
        <f t="shared" si="5"/>
        <v>0</v>
      </c>
      <c r="S28" s="42">
        <f t="shared" si="6"/>
        <v>0</v>
      </c>
      <c r="T28" s="51">
        <f>IF(S28=0,0,VLOOKUP(Sprint3,Settings!$C$28:$E$53,3)*(S28/Hours_in_iteration))</f>
        <v>0</v>
      </c>
      <c r="U28" s="51">
        <f>IF(ISNA(SUMPRODUCT((PersonOnVacation=Availability!A28)*(VacationSprint=Sprint3)*SprintHoursOff)),0,SUMPRODUCT((PersonOnVacation=Availability!A28)*(VacationSprint=Sprint3)*SprintHoursOff))</f>
        <v>0</v>
      </c>
      <c r="V28" s="52">
        <f t="shared" si="57"/>
        <v>0</v>
      </c>
      <c r="W28" s="42"/>
      <c r="X28" s="27"/>
      <c r="Y28" s="176">
        <f t="shared" si="7"/>
        <v>0</v>
      </c>
      <c r="Z28" s="42">
        <f t="shared" si="8"/>
        <v>0</v>
      </c>
      <c r="AA28" s="51">
        <f>IF(Z28=0,0,VLOOKUP(Sprint4,Settings!$C$28:$E$53,3)*(Z28/Hours_in_iteration))</f>
        <v>0</v>
      </c>
      <c r="AB28" s="51">
        <f>IF(ISNA(SUMPRODUCT((PersonOnVacation=Availability!$A28)*(VacationSprint=Sprint4)*SprintHoursOff)),0,SUMPRODUCT((PersonOnVacation=Availability!$A28)*(VacationSprint=Sprint4)*SprintHoursOff))</f>
        <v>0</v>
      </c>
      <c r="AC28" s="52">
        <f t="shared" si="58"/>
        <v>0</v>
      </c>
      <c r="AD28" s="42"/>
      <c r="AE28" s="27"/>
      <c r="AF28" s="176">
        <f t="shared" si="9"/>
        <v>0</v>
      </c>
      <c r="AG28" s="42">
        <f t="shared" si="10"/>
        <v>0</v>
      </c>
      <c r="AH28" s="51">
        <f>IF(AG28=0,0,VLOOKUP(Sprint5,Settings!$C$28:$E$53,3)*(AG28/Hours_in_iteration))</f>
        <v>0</v>
      </c>
      <c r="AI28" s="51">
        <f>IF(ISNA(SUMPRODUCT((PersonOnVacation=Availability!$A28)*(VacationSprint=Sprint5)*SprintHoursOff)),0,SUMPRODUCT((PersonOnVacation=Availability!$A28)*(VacationSprint=Sprint5)*SprintHoursOff))</f>
        <v>0</v>
      </c>
      <c r="AJ28" s="52">
        <f t="shared" si="59"/>
        <v>0</v>
      </c>
      <c r="AK28" s="42"/>
      <c r="AL28" s="27"/>
      <c r="AM28" s="176">
        <f t="shared" si="11"/>
        <v>0</v>
      </c>
      <c r="AN28" s="42">
        <f t="shared" si="12"/>
        <v>0</v>
      </c>
      <c r="AO28" s="51">
        <f>IF(AN28=0,0,VLOOKUP(Sprint6,Settings!$C$28:$E$53,3)*(AN28/Hours_in_iteration))</f>
        <v>0</v>
      </c>
      <c r="AP28" s="51">
        <f>IF(ISNA(SUMPRODUCT((PersonOnVacation=Availability!$A28)*(VacationSprint=Sprint6)*SprintHoursOff)),0,SUMPRODUCT((PersonOnVacation=Availability!$A28)*(VacationSprint=Sprint6)*SprintHoursOff))</f>
        <v>0</v>
      </c>
      <c r="AQ28" s="52">
        <f t="shared" si="60"/>
        <v>0</v>
      </c>
      <c r="AR28" s="42"/>
      <c r="AS28" s="27"/>
      <c r="AT28" s="176">
        <f t="shared" si="13"/>
        <v>0</v>
      </c>
      <c r="AU28" s="42">
        <f t="shared" si="14"/>
        <v>0</v>
      </c>
      <c r="AV28" s="51">
        <f>IF(AU28=0,0,VLOOKUP(Sprint7,Settings!$C$28:$E$53,3)*(AU28/Hours_in_iteration))</f>
        <v>0</v>
      </c>
      <c r="AW28" s="51">
        <f>IF(ISNA(SUMPRODUCT((PersonOnVacation=Availability!$A28)*(VacationSprint=Sprint7)*SprintHoursOff)),0,SUMPRODUCT((PersonOnVacation=Availability!$A28)*(VacationSprint=Sprint7)*SprintHoursOff))</f>
        <v>0</v>
      </c>
      <c r="AX28" s="52">
        <f t="shared" si="61"/>
        <v>0</v>
      </c>
      <c r="AY28" s="42"/>
      <c r="AZ28" s="27"/>
      <c r="BA28" s="176">
        <f t="shared" si="15"/>
        <v>0</v>
      </c>
      <c r="BB28" s="42">
        <f t="shared" si="16"/>
        <v>0</v>
      </c>
      <c r="BC28" s="51">
        <f>IF(BB28=0,0,VLOOKUP(Sprint8,Settings!$C$28:$E$53,3)*(BB28/Hours_in_iteration))</f>
        <v>0</v>
      </c>
      <c r="BD28" s="51">
        <f>IF(ISNA(SUMPRODUCT((PersonOnVacation=Availability!$A28)*(VacationSprint=Sprint8)*SprintHoursOff)),0,SUMPRODUCT((PersonOnVacation=Availability!$A28)*(VacationSprint=Sprint8)*SprintHoursOff))</f>
        <v>0</v>
      </c>
      <c r="BE28" s="52">
        <f t="shared" si="62"/>
        <v>0</v>
      </c>
      <c r="BF28" s="42"/>
      <c r="BG28" s="27"/>
      <c r="BH28" s="176">
        <f t="shared" si="17"/>
        <v>0</v>
      </c>
      <c r="BI28" s="42">
        <f t="shared" si="18"/>
        <v>0</v>
      </c>
      <c r="BJ28" s="51">
        <f>IF(BI28=0,0,VLOOKUP(Sprint9,Settings!$C$28:$E$53,3)*(BI28/Hours_in_iteration))</f>
        <v>0</v>
      </c>
      <c r="BK28" s="51">
        <f>IF(ISNA(SUMPRODUCT((PersonOnVacation=Availability!$A28)*(VacationSprint=Sprint9)*SprintHoursOff)),0,SUMPRODUCT((PersonOnVacation=Availability!$A28)*(VacationSprint=Sprint9)*SprintHoursOff))</f>
        <v>0</v>
      </c>
      <c r="BL28" s="52">
        <f t="shared" si="63"/>
        <v>0</v>
      </c>
      <c r="BM28" s="42"/>
      <c r="BN28" s="27"/>
      <c r="BO28" s="176">
        <f t="shared" si="19"/>
        <v>0</v>
      </c>
      <c r="BP28" s="42">
        <f t="shared" si="20"/>
        <v>0</v>
      </c>
      <c r="BQ28" s="51">
        <f>IF(BP28=0,0,VLOOKUP(Sprint10,Settings!$C$28:$E$53,3)*(BP28/Hours_in_iteration))</f>
        <v>0</v>
      </c>
      <c r="BR28" s="51">
        <f>IF(ISNA(SUMPRODUCT((PersonOnVacation=Availability!$A28)*(VacationSprint=Sprint10)*SprintHoursOff)),0,SUMPRODUCT((PersonOnVacation=Availability!$A28)*(VacationSprint=Sprint10)*SprintHoursOff))</f>
        <v>0</v>
      </c>
      <c r="BS28" s="52">
        <f t="shared" si="64"/>
        <v>0</v>
      </c>
      <c r="BT28" s="42"/>
      <c r="BU28" s="27"/>
      <c r="BV28" s="176">
        <f t="shared" si="21"/>
        <v>0</v>
      </c>
      <c r="BW28" s="42">
        <f t="shared" si="22"/>
        <v>0</v>
      </c>
      <c r="BX28" s="51">
        <f>IF(BW28=0,0,VLOOKUP(Sprint11,Settings!$C$28:$E$53,3)*(BW28/Hours_in_iteration))</f>
        <v>0</v>
      </c>
      <c r="BY28" s="51">
        <f>IF(ISNA(SUMPRODUCT((PersonOnVacation=Availability!$A28)*(VacationSprint=Sprint11)*SprintHoursOff)),0,SUMPRODUCT((PersonOnVacation=Availability!$A28)*(VacationSprint=Sprint11)*SprintHoursOff))</f>
        <v>0</v>
      </c>
      <c r="BZ28" s="52">
        <f t="shared" si="65"/>
        <v>0</v>
      </c>
      <c r="CA28" s="42"/>
      <c r="CB28" s="27"/>
      <c r="CC28" s="176">
        <f t="shared" si="23"/>
        <v>0</v>
      </c>
      <c r="CD28" s="42">
        <f t="shared" si="24"/>
        <v>0</v>
      </c>
      <c r="CE28" s="51">
        <f>IF(CD28=0,0,VLOOKUP(Sprint12,Settings!$C$28:$E$53,3)*(CD28/Hours_in_iteration))</f>
        <v>0</v>
      </c>
      <c r="CF28" s="51">
        <f>IF(ISNA(SUMPRODUCT((PersonOnVacation=Availability!$A28)*(VacationSprint=Sprint12)*SprintHoursOff)),0,SUMPRODUCT((PersonOnVacation=Availability!$A28)*(VacationSprint=Sprint12)*SprintHoursOff))</f>
        <v>0</v>
      </c>
      <c r="CG28" s="52">
        <f t="shared" si="66"/>
        <v>0</v>
      </c>
      <c r="CH28" s="42"/>
      <c r="CI28" s="27"/>
      <c r="CJ28" s="176">
        <f t="shared" si="25"/>
        <v>0</v>
      </c>
      <c r="CK28" s="42">
        <f t="shared" si="26"/>
        <v>0</v>
      </c>
      <c r="CL28" s="51">
        <f>IF(CK28=0,0,VLOOKUP(Sprint13,Settings!$C$28:$E$53,3)*(CK28/Hours_in_iteration))</f>
        <v>0</v>
      </c>
      <c r="CM28" s="51">
        <f>IF(ISNA(SUMPRODUCT((PersonOnVacation=Availability!$A28)*(VacationSprint=Sprint13)*SprintHoursOff)),0,SUMPRODUCT((PersonOnVacation=Availability!$A28)*(VacationSprint=Sprint13)*SprintHoursOff))</f>
        <v>0</v>
      </c>
      <c r="CN28" s="52">
        <f t="shared" si="67"/>
        <v>0</v>
      </c>
      <c r="CO28" s="42"/>
      <c r="CP28" s="27"/>
      <c r="CQ28" s="176">
        <f t="shared" si="27"/>
        <v>0</v>
      </c>
      <c r="CR28" s="42">
        <f t="shared" si="28"/>
        <v>0</v>
      </c>
      <c r="CS28" s="51">
        <f>IF(CR28=0,0,VLOOKUP(Sprint14,Settings!$C$28:$E$53,3)*(CR28/Hours_in_iteration))</f>
        <v>0</v>
      </c>
      <c r="CT28" s="51">
        <f>IF(ISNA(SUMPRODUCT((PersonOnVacation=Availability!$A28)*(VacationSprint=Sprint14)*SprintHoursOff)),0,SUMPRODUCT((PersonOnVacation=Availability!$A28)*(VacationSprint=Sprint14)*SprintHoursOff))</f>
        <v>0</v>
      </c>
      <c r="CU28" s="52">
        <f t="shared" si="68"/>
        <v>0</v>
      </c>
      <c r="CV28" s="42"/>
      <c r="CW28" s="27"/>
      <c r="CX28" s="176">
        <f t="shared" si="29"/>
        <v>0</v>
      </c>
      <c r="CY28" s="42">
        <f t="shared" si="30"/>
        <v>0</v>
      </c>
      <c r="CZ28" s="51">
        <f>IF(CY28=0,0,VLOOKUP(Sprint15,Settings!$C$28:$E$53,3)*(CY28/Hours_in_iteration))</f>
        <v>0</v>
      </c>
      <c r="DA28" s="51">
        <f>IF(ISNA(SUMPRODUCT((PersonOnVacation=Availability!$A28)*(VacationSprint=Sprint15)*SprintHoursOff)),0,SUMPRODUCT((PersonOnVacation=Availability!$A28)*(VacationSprint=Sprint15)*SprintHoursOff))</f>
        <v>0</v>
      </c>
      <c r="DB28" s="52">
        <f t="shared" si="69"/>
        <v>0</v>
      </c>
      <c r="DC28" s="42"/>
      <c r="DD28" s="27"/>
      <c r="DE28" s="176">
        <f t="shared" si="31"/>
        <v>0</v>
      </c>
      <c r="DF28" s="42">
        <f t="shared" si="32"/>
        <v>0</v>
      </c>
      <c r="DG28" s="51">
        <f>IF(DF28=0,0,VLOOKUP(Sprint16,Settings!$C$28:$E$53,3)*(DF28/Hours_in_iteration))</f>
        <v>0</v>
      </c>
      <c r="DH28" s="51">
        <f>IF(ISNA(SUMPRODUCT((PersonOnVacation=Availability!$A28)*(VacationSprint=Sprint16)*SprintHoursOff)),0,SUMPRODUCT((PersonOnVacation=Availability!$A28)*(VacationSprint=Sprint16)*SprintHoursOff))</f>
        <v>0</v>
      </c>
      <c r="DI28" s="52">
        <f t="shared" si="70"/>
        <v>0</v>
      </c>
      <c r="DJ28" s="42"/>
      <c r="DK28" s="27"/>
      <c r="DL28" s="176">
        <f t="shared" si="33"/>
        <v>0</v>
      </c>
      <c r="DM28" s="42">
        <f t="shared" si="34"/>
        <v>0</v>
      </c>
      <c r="DN28" s="51">
        <f>IF(DM28=0,0,VLOOKUP(Sprint17,Settings!$C$28:$E$53,3)*(DM28/Hours_in_iteration))</f>
        <v>0</v>
      </c>
      <c r="DO28" s="51">
        <f>IF(ISNA(SUMPRODUCT((PersonOnVacation=Availability!$A28)*(VacationSprint=Sprint17)*SprintHoursOff)),0,SUMPRODUCT((PersonOnVacation=Availability!$A28)*(VacationSprint=Sprint17)*SprintHoursOff))</f>
        <v>0</v>
      </c>
      <c r="DP28" s="52">
        <f t="shared" si="71"/>
        <v>0</v>
      </c>
      <c r="DQ28" s="42"/>
      <c r="DR28" s="27"/>
      <c r="DS28" s="176">
        <f t="shared" si="35"/>
        <v>0</v>
      </c>
      <c r="DT28" s="42">
        <f t="shared" si="36"/>
        <v>0</v>
      </c>
      <c r="DU28" s="51">
        <f>IF(DT28=0,0,VLOOKUP(Sprint18,Settings!$C$28:$E$53,3)*(DT28/Hours_in_iteration))</f>
        <v>0</v>
      </c>
      <c r="DV28" s="51">
        <f>IF(ISNA(SUMPRODUCT((PersonOnVacation=Availability!$A28)*(VacationSprint=Sprint18)*SprintHoursOff)),0,SUMPRODUCT((PersonOnVacation=Availability!$A28)*(VacationSprint=Sprint18)*SprintHoursOff))</f>
        <v>0</v>
      </c>
      <c r="DW28" s="52">
        <f t="shared" si="72"/>
        <v>0</v>
      </c>
      <c r="DX28" s="42"/>
      <c r="DY28" s="27"/>
      <c r="DZ28" s="176">
        <f t="shared" si="37"/>
        <v>0</v>
      </c>
      <c r="EA28" s="42">
        <f t="shared" si="38"/>
        <v>0</v>
      </c>
      <c r="EB28" s="51">
        <f>IF(EA28=0,0,VLOOKUP(Sprint19,Settings!$C$28:$E$53,3)*(EA28/Hours_in_iteration))</f>
        <v>0</v>
      </c>
      <c r="EC28" s="51">
        <f>IF(ISNA(SUMPRODUCT((PersonOnVacation=Availability!$A28)*(VacationSprint=Sprint19)*SprintHoursOff)),0,SUMPRODUCT((PersonOnVacation=Availability!$A28)*(VacationSprint=Sprint19)*SprintHoursOff))</f>
        <v>0</v>
      </c>
      <c r="ED28" s="52">
        <f t="shared" si="73"/>
        <v>0</v>
      </c>
      <c r="EE28" s="42"/>
      <c r="EF28" s="27"/>
      <c r="EG28" s="176">
        <f t="shared" si="39"/>
        <v>0</v>
      </c>
      <c r="EH28" s="42">
        <f t="shared" si="40"/>
        <v>0</v>
      </c>
      <c r="EI28" s="51">
        <f>IF(EH28=0,0,VLOOKUP(Sprint20,Settings!$C$28:$E$53,3)*(EH28/Hours_in_iteration))</f>
        <v>0</v>
      </c>
      <c r="EJ28" s="51">
        <f>IF(ISNA(SUMPRODUCT((PersonOnVacation=Availability!$A28)*(VacationSprint=Sprint20)*SprintHoursOff)),0,SUMPRODUCT((PersonOnVacation=Availability!$A28)*(VacationSprint=Sprint20)*SprintHoursOff))</f>
        <v>0</v>
      </c>
      <c r="EK28" s="52">
        <f t="shared" si="74"/>
        <v>0</v>
      </c>
      <c r="EL28" s="42"/>
      <c r="EM28" s="27"/>
      <c r="EN28" s="176">
        <f t="shared" si="41"/>
        <v>0</v>
      </c>
      <c r="EO28" s="42">
        <f t="shared" si="42"/>
        <v>0</v>
      </c>
      <c r="EP28" s="51">
        <f>IF(EO28=0,0,VLOOKUP(Sprint21,Settings!$C$28:$E$53,3)*(EO28/Hours_in_iteration))</f>
        <v>0</v>
      </c>
      <c r="EQ28" s="51">
        <f>IF(ISNA(SUMPRODUCT((PersonOnVacation=Availability!$A28)*(VacationSprint=Sprint21)*SprintHoursOff)),0,SUMPRODUCT((PersonOnVacation=Availability!$A28)*(VacationSprint=Sprint21)*SprintHoursOff))</f>
        <v>0</v>
      </c>
      <c r="ER28" s="52">
        <f t="shared" si="75"/>
        <v>0</v>
      </c>
      <c r="ES28" s="42"/>
      <c r="ET28" s="27"/>
      <c r="EU28" s="176">
        <f t="shared" si="43"/>
        <v>0</v>
      </c>
      <c r="EV28" s="42">
        <f t="shared" si="44"/>
        <v>0</v>
      </c>
      <c r="EW28" s="51">
        <f>IF(EV28=0,0,VLOOKUP(Sprint22,Settings!$C$28:$E$53,3)*(EV28/Hours_in_iteration))</f>
        <v>0</v>
      </c>
      <c r="EX28" s="51">
        <f>IF(ISNA(SUMPRODUCT((PersonOnVacation=Availability!$A28)*(VacationSprint=Sprint22)*SprintHoursOff)),0,SUMPRODUCT((PersonOnVacation=Availability!$A28)*(VacationSprint=Sprint22)*SprintHoursOff))</f>
        <v>0</v>
      </c>
      <c r="EY28" s="52">
        <f t="shared" si="76"/>
        <v>0</v>
      </c>
      <c r="EZ28" s="42"/>
      <c r="FA28" s="27"/>
      <c r="FB28" s="176">
        <f t="shared" si="45"/>
        <v>0</v>
      </c>
      <c r="FC28" s="42">
        <f t="shared" si="46"/>
        <v>0</v>
      </c>
      <c r="FD28" s="51">
        <f>IF(FC28=0,0,VLOOKUP(Sprint23,Settings!$C$28:$E$53,3)*(FC28/Hours_in_iteration))</f>
        <v>0</v>
      </c>
      <c r="FE28" s="51">
        <f>IF(ISNA(SUMPRODUCT((PersonOnVacation=Availability!$A28)*(VacationSprint=Sprint23)*SprintHoursOff)),0,SUMPRODUCT((PersonOnVacation=Availability!$A28)*(VacationSprint=Sprint23)*SprintHoursOff))</f>
        <v>0</v>
      </c>
      <c r="FF28" s="52">
        <f t="shared" si="77"/>
        <v>0</v>
      </c>
      <c r="FG28" s="42"/>
      <c r="FH28" s="27"/>
      <c r="FI28" s="176">
        <f t="shared" si="47"/>
        <v>0</v>
      </c>
      <c r="FJ28" s="42">
        <f t="shared" si="48"/>
        <v>0</v>
      </c>
      <c r="FK28" s="51">
        <f>IF(FJ28=0,0,VLOOKUP(Sprint24,Settings!$C$28:$E$53,3)*(FJ28/Hours_in_iteration))</f>
        <v>0</v>
      </c>
      <c r="FL28" s="51">
        <f>IF(ISNA(SUMPRODUCT((PersonOnVacation=Availability!$A28)*(VacationSprint=Sprint24)*SprintHoursOff)),0,SUMPRODUCT((PersonOnVacation=Availability!$A28)*(VacationSprint=Sprint24)*SprintHoursOff))</f>
        <v>0</v>
      </c>
      <c r="FM28" s="52">
        <f t="shared" si="78"/>
        <v>0</v>
      </c>
      <c r="FN28" s="42"/>
      <c r="FO28" s="27"/>
      <c r="FP28" s="176">
        <f t="shared" si="49"/>
        <v>0</v>
      </c>
      <c r="FQ28" s="42">
        <f t="shared" si="50"/>
        <v>0</v>
      </c>
      <c r="FR28" s="51">
        <f>IF(FQ28=0,0,VLOOKUP(Sprint25,Settings!$C$28:$E$53,3)*(FQ28/Hours_in_iteration))</f>
        <v>0</v>
      </c>
      <c r="FS28" s="51">
        <f>IF(ISNA(SUMPRODUCT((PersonOnVacation=Availability!$A28)*(VacationSprint=Sprint25)*SprintHoursOff)),0,SUMPRODUCT((PersonOnVacation=Availability!$A28)*(VacationSprint=Sprint25)*SprintHoursOff))</f>
        <v>0</v>
      </c>
      <c r="FT28" s="52">
        <f t="shared" si="79"/>
        <v>0</v>
      </c>
      <c r="FU28" s="42"/>
      <c r="FV28" s="27"/>
      <c r="FW28" s="176">
        <f t="shared" si="51"/>
        <v>0</v>
      </c>
      <c r="FX28" s="42">
        <f t="shared" si="52"/>
        <v>0</v>
      </c>
      <c r="FY28" s="51">
        <f>IF(FX28=0,0,VLOOKUP(Sprint26,Settings!$C$28:$E$53,3)*(FX28/Hours_in_iteration))</f>
        <v>0</v>
      </c>
      <c r="FZ28" s="51">
        <f>IF(ISNA(SUMPRODUCT((PersonOnVacation=Availability!$A28)*(VacationSprint=Sprint26)*SprintHoursOff)),0,SUMPRODUCT((PersonOnVacation=Availability!$A28)*(VacationSprint=Sprint26)*SprintHoursOff))</f>
        <v>0</v>
      </c>
      <c r="GA28" s="52">
        <f t="shared" si="80"/>
        <v>0</v>
      </c>
      <c r="GB28" s="42"/>
      <c r="GC28" s="27"/>
      <c r="GD28" s="176">
        <f t="shared" si="53"/>
        <v>0</v>
      </c>
      <c r="GE28" s="42">
        <f t="shared" si="54"/>
        <v>0</v>
      </c>
      <c r="GF28" s="51">
        <f>IF(GE28=0,0,VLOOKUP(Sprint27,Settings!$C$28:$E$53,3)*(GE28/Hours_in_iteration))</f>
        <v>0</v>
      </c>
      <c r="GG28" s="51">
        <f>IF(ISNA(SUMPRODUCT((PersonOnVacation=Availability!$A28)*(VacationSprint=Sprint27)*SprintHoursOff)),0,SUMPRODUCT((PersonOnVacation=Availability!$A28)*(VacationSprint=Sprint27)*SprintHoursOff))</f>
        <v>0</v>
      </c>
      <c r="GH28" s="52">
        <f t="shared" si="81"/>
        <v>0</v>
      </c>
      <c r="GI28" s="42"/>
    </row>
    <row r="29" spans="1:191" s="54" customFormat="1">
      <c r="A29" s="110" t="e">
        <f>Person20</f>
        <v>#N/A</v>
      </c>
      <c r="B29" s="42" t="s">
        <v>49</v>
      </c>
      <c r="C29" s="42"/>
      <c r="D29" s="135"/>
      <c r="E29" s="42">
        <f t="shared" si="55"/>
        <v>0</v>
      </c>
      <c r="F29" s="51">
        <f>IF(E29=0,0,VLOOKUP(Sprint1,Settings!$C$28:$E$53,3)*(E29/Hours_in_iteration))</f>
        <v>0</v>
      </c>
      <c r="G29" s="51">
        <f>IF(ISNA(SUMPRODUCT((PersonOnVacation=Availability!A29)*(VacationSprint=Sprint1)*SprintHoursOff)),0,SUMPRODUCT((PersonOnVacation=Availability!A29)*(VacationSprint=Sprint1)*SprintHoursOff))</f>
        <v>0</v>
      </c>
      <c r="H29" s="52">
        <f t="shared" si="2"/>
        <v>0</v>
      </c>
      <c r="I29" s="42"/>
      <c r="J29" s="27"/>
      <c r="K29" s="176">
        <f t="shared" si="3"/>
        <v>0</v>
      </c>
      <c r="L29" s="42">
        <f t="shared" si="4"/>
        <v>0</v>
      </c>
      <c r="M29" s="51">
        <f>IF(L29=0,0,VLOOKUP(Sprint2,Settings!$C$28:$E$53,3)*(L29/Hours_in_iteration))</f>
        <v>0</v>
      </c>
      <c r="N29" s="51">
        <f>IF(ISNA(SUMPRODUCT((PersonOnVacation=Availability!A29)*(VacationSprint=Sprint2)*SprintHoursOff)),0,SUMPRODUCT((PersonOnVacation=Availability!A29)*(VacationSprint=Sprint2)*SprintHoursOff))</f>
        <v>0</v>
      </c>
      <c r="O29" s="52">
        <f t="shared" si="56"/>
        <v>0</v>
      </c>
      <c r="P29" s="42"/>
      <c r="Q29" s="27"/>
      <c r="R29" s="176">
        <f t="shared" si="5"/>
        <v>0</v>
      </c>
      <c r="S29" s="42">
        <f t="shared" si="6"/>
        <v>0</v>
      </c>
      <c r="T29" s="51">
        <f>IF(S29=0,0,VLOOKUP(Sprint3,Settings!$C$28:$E$53,3)*(S29/Hours_in_iteration))</f>
        <v>0</v>
      </c>
      <c r="U29" s="51">
        <f>IF(ISNA(SUMPRODUCT((PersonOnVacation=Availability!A29)*(VacationSprint=Sprint3)*SprintHoursOff)),0,SUMPRODUCT((PersonOnVacation=Availability!A29)*(VacationSprint=Sprint3)*SprintHoursOff))</f>
        <v>0</v>
      </c>
      <c r="V29" s="52">
        <f t="shared" si="57"/>
        <v>0</v>
      </c>
      <c r="W29" s="42"/>
      <c r="X29" s="27"/>
      <c r="Y29" s="176">
        <f t="shared" si="7"/>
        <v>0</v>
      </c>
      <c r="Z29" s="42">
        <f t="shared" si="8"/>
        <v>0</v>
      </c>
      <c r="AA29" s="51">
        <f>IF(Z29=0,0,VLOOKUP(Sprint4,Settings!$C$28:$E$53,3)*(Z29/Hours_in_iteration))</f>
        <v>0</v>
      </c>
      <c r="AB29" s="51">
        <f>IF(ISNA(SUMPRODUCT((PersonOnVacation=Availability!$A29)*(VacationSprint=Sprint4)*SprintHoursOff)),0,SUMPRODUCT((PersonOnVacation=Availability!$A29)*(VacationSprint=Sprint4)*SprintHoursOff))</f>
        <v>0</v>
      </c>
      <c r="AC29" s="52">
        <f t="shared" si="58"/>
        <v>0</v>
      </c>
      <c r="AD29" s="42"/>
      <c r="AE29" s="27"/>
      <c r="AF29" s="176">
        <f t="shared" si="9"/>
        <v>0</v>
      </c>
      <c r="AG29" s="42">
        <f t="shared" si="10"/>
        <v>0</v>
      </c>
      <c r="AH29" s="51">
        <f>IF(AG29=0,0,VLOOKUP(Sprint5,Settings!$C$28:$E$53,3)*(AG29/Hours_in_iteration))</f>
        <v>0</v>
      </c>
      <c r="AI29" s="51">
        <f>IF(ISNA(SUMPRODUCT((PersonOnVacation=Availability!$A29)*(VacationSprint=Sprint5)*SprintHoursOff)),0,SUMPRODUCT((PersonOnVacation=Availability!$A29)*(VacationSprint=Sprint5)*SprintHoursOff))</f>
        <v>0</v>
      </c>
      <c r="AJ29" s="52">
        <f t="shared" si="59"/>
        <v>0</v>
      </c>
      <c r="AK29" s="42"/>
      <c r="AL29" s="27"/>
      <c r="AM29" s="176">
        <f t="shared" si="11"/>
        <v>0</v>
      </c>
      <c r="AN29" s="42">
        <f t="shared" si="12"/>
        <v>0</v>
      </c>
      <c r="AO29" s="51">
        <f>IF(AN29=0,0,VLOOKUP(Sprint6,Settings!$C$28:$E$53,3)*(AN29/Hours_in_iteration))</f>
        <v>0</v>
      </c>
      <c r="AP29" s="51">
        <f>IF(ISNA(SUMPRODUCT((PersonOnVacation=Availability!$A29)*(VacationSprint=Sprint6)*SprintHoursOff)),0,SUMPRODUCT((PersonOnVacation=Availability!$A29)*(VacationSprint=Sprint6)*SprintHoursOff))</f>
        <v>0</v>
      </c>
      <c r="AQ29" s="52">
        <f t="shared" si="60"/>
        <v>0</v>
      </c>
      <c r="AR29" s="42"/>
      <c r="AS29" s="27"/>
      <c r="AT29" s="176">
        <f t="shared" si="13"/>
        <v>0</v>
      </c>
      <c r="AU29" s="42">
        <f t="shared" si="14"/>
        <v>0</v>
      </c>
      <c r="AV29" s="51">
        <f>IF(AU29=0,0,VLOOKUP(Sprint7,Settings!$C$28:$E$53,3)*(AU29/Hours_in_iteration))</f>
        <v>0</v>
      </c>
      <c r="AW29" s="51">
        <f>IF(ISNA(SUMPRODUCT((PersonOnVacation=Availability!$A29)*(VacationSprint=Sprint7)*SprintHoursOff)),0,SUMPRODUCT((PersonOnVacation=Availability!$A29)*(VacationSprint=Sprint7)*SprintHoursOff))</f>
        <v>0</v>
      </c>
      <c r="AX29" s="52">
        <f t="shared" si="61"/>
        <v>0</v>
      </c>
      <c r="AY29" s="42"/>
      <c r="AZ29" s="27"/>
      <c r="BA29" s="176">
        <f t="shared" si="15"/>
        <v>0</v>
      </c>
      <c r="BB29" s="42">
        <f t="shared" si="16"/>
        <v>0</v>
      </c>
      <c r="BC29" s="51">
        <f>IF(BB29=0,0,VLOOKUP(Sprint8,Settings!$C$28:$E$53,3)*(BB29/Hours_in_iteration))</f>
        <v>0</v>
      </c>
      <c r="BD29" s="51">
        <f>IF(ISNA(SUMPRODUCT((PersonOnVacation=Availability!$A29)*(VacationSprint=Sprint8)*SprintHoursOff)),0,SUMPRODUCT((PersonOnVacation=Availability!$A29)*(VacationSprint=Sprint8)*SprintHoursOff))</f>
        <v>0</v>
      </c>
      <c r="BE29" s="52">
        <f t="shared" si="62"/>
        <v>0</v>
      </c>
      <c r="BF29" s="42"/>
      <c r="BG29" s="27"/>
      <c r="BH29" s="176">
        <f t="shared" si="17"/>
        <v>0</v>
      </c>
      <c r="BI29" s="42">
        <f t="shared" si="18"/>
        <v>0</v>
      </c>
      <c r="BJ29" s="51">
        <f>IF(BI29=0,0,VLOOKUP(Sprint9,Settings!$C$28:$E$53,3)*(BI29/Hours_in_iteration))</f>
        <v>0</v>
      </c>
      <c r="BK29" s="51">
        <f>IF(ISNA(SUMPRODUCT((PersonOnVacation=Availability!$A29)*(VacationSprint=Sprint9)*SprintHoursOff)),0,SUMPRODUCT((PersonOnVacation=Availability!$A29)*(VacationSprint=Sprint9)*SprintHoursOff))</f>
        <v>0</v>
      </c>
      <c r="BL29" s="52">
        <f t="shared" si="63"/>
        <v>0</v>
      </c>
      <c r="BM29" s="42"/>
      <c r="BN29" s="27"/>
      <c r="BO29" s="176">
        <f t="shared" si="19"/>
        <v>0</v>
      </c>
      <c r="BP29" s="42">
        <f t="shared" si="20"/>
        <v>0</v>
      </c>
      <c r="BQ29" s="51">
        <f>IF(BP29=0,0,VLOOKUP(Sprint10,Settings!$C$28:$E$53,3)*(BP29/Hours_in_iteration))</f>
        <v>0</v>
      </c>
      <c r="BR29" s="51">
        <f>IF(ISNA(SUMPRODUCT((PersonOnVacation=Availability!$A29)*(VacationSprint=Sprint10)*SprintHoursOff)),0,SUMPRODUCT((PersonOnVacation=Availability!$A29)*(VacationSprint=Sprint10)*SprintHoursOff))</f>
        <v>0</v>
      </c>
      <c r="BS29" s="52">
        <f t="shared" si="64"/>
        <v>0</v>
      </c>
      <c r="BT29" s="42"/>
      <c r="BU29" s="27"/>
      <c r="BV29" s="176">
        <f t="shared" si="21"/>
        <v>0</v>
      </c>
      <c r="BW29" s="42">
        <f t="shared" si="22"/>
        <v>0</v>
      </c>
      <c r="BX29" s="51">
        <f>IF(BW29=0,0,VLOOKUP(Sprint11,Settings!$C$28:$E$53,3)*(BW29/Hours_in_iteration))</f>
        <v>0</v>
      </c>
      <c r="BY29" s="51">
        <f>IF(ISNA(SUMPRODUCT((PersonOnVacation=Availability!$A29)*(VacationSprint=Sprint11)*SprintHoursOff)),0,SUMPRODUCT((PersonOnVacation=Availability!$A29)*(VacationSprint=Sprint11)*SprintHoursOff))</f>
        <v>0</v>
      </c>
      <c r="BZ29" s="52">
        <f t="shared" si="65"/>
        <v>0</v>
      </c>
      <c r="CA29" s="42"/>
      <c r="CB29" s="27"/>
      <c r="CC29" s="176">
        <f t="shared" si="23"/>
        <v>0</v>
      </c>
      <c r="CD29" s="42">
        <f t="shared" si="24"/>
        <v>0</v>
      </c>
      <c r="CE29" s="51">
        <f>IF(CD29=0,0,VLOOKUP(Sprint12,Settings!$C$28:$E$53,3)*(CD29/Hours_in_iteration))</f>
        <v>0</v>
      </c>
      <c r="CF29" s="51">
        <f>IF(ISNA(SUMPRODUCT((PersonOnVacation=Availability!$A29)*(VacationSprint=Sprint12)*SprintHoursOff)),0,SUMPRODUCT((PersonOnVacation=Availability!$A29)*(VacationSprint=Sprint12)*SprintHoursOff))</f>
        <v>0</v>
      </c>
      <c r="CG29" s="52">
        <f t="shared" si="66"/>
        <v>0</v>
      </c>
      <c r="CH29" s="42"/>
      <c r="CI29" s="27"/>
      <c r="CJ29" s="176">
        <f t="shared" si="25"/>
        <v>0</v>
      </c>
      <c r="CK29" s="42">
        <f t="shared" si="26"/>
        <v>0</v>
      </c>
      <c r="CL29" s="51">
        <f>IF(CK29=0,0,VLOOKUP(Sprint13,Settings!$C$28:$E$53,3)*(CK29/Hours_in_iteration))</f>
        <v>0</v>
      </c>
      <c r="CM29" s="51">
        <f>IF(ISNA(SUMPRODUCT((PersonOnVacation=Availability!$A29)*(VacationSprint=Sprint13)*SprintHoursOff)),0,SUMPRODUCT((PersonOnVacation=Availability!$A29)*(VacationSprint=Sprint13)*SprintHoursOff))</f>
        <v>0</v>
      </c>
      <c r="CN29" s="52">
        <f t="shared" si="67"/>
        <v>0</v>
      </c>
      <c r="CO29" s="42"/>
      <c r="CP29" s="27"/>
      <c r="CQ29" s="176">
        <f t="shared" si="27"/>
        <v>0</v>
      </c>
      <c r="CR29" s="42">
        <f t="shared" si="28"/>
        <v>0</v>
      </c>
      <c r="CS29" s="51">
        <f>IF(CR29=0,0,VLOOKUP(Sprint14,Settings!$C$28:$E$53,3)*(CR29/Hours_in_iteration))</f>
        <v>0</v>
      </c>
      <c r="CT29" s="51">
        <f>IF(ISNA(SUMPRODUCT((PersonOnVacation=Availability!$A29)*(VacationSprint=Sprint14)*SprintHoursOff)),0,SUMPRODUCT((PersonOnVacation=Availability!$A29)*(VacationSprint=Sprint14)*SprintHoursOff))</f>
        <v>0</v>
      </c>
      <c r="CU29" s="52">
        <f t="shared" si="68"/>
        <v>0</v>
      </c>
      <c r="CV29" s="42"/>
      <c r="CW29" s="27"/>
      <c r="CX29" s="176">
        <f t="shared" si="29"/>
        <v>0</v>
      </c>
      <c r="CY29" s="42">
        <f t="shared" si="30"/>
        <v>0</v>
      </c>
      <c r="CZ29" s="51">
        <f>IF(CY29=0,0,VLOOKUP(Sprint15,Settings!$C$28:$E$53,3)*(CY29/Hours_in_iteration))</f>
        <v>0</v>
      </c>
      <c r="DA29" s="51">
        <f>IF(ISNA(SUMPRODUCT((PersonOnVacation=Availability!$A29)*(VacationSprint=Sprint15)*SprintHoursOff)),0,SUMPRODUCT((PersonOnVacation=Availability!$A29)*(VacationSprint=Sprint15)*SprintHoursOff))</f>
        <v>0</v>
      </c>
      <c r="DB29" s="52">
        <f t="shared" si="69"/>
        <v>0</v>
      </c>
      <c r="DC29" s="42"/>
      <c r="DD29" s="27"/>
      <c r="DE29" s="176">
        <f t="shared" si="31"/>
        <v>0</v>
      </c>
      <c r="DF29" s="42">
        <f t="shared" si="32"/>
        <v>0</v>
      </c>
      <c r="DG29" s="51">
        <f>IF(DF29=0,0,VLOOKUP(Sprint16,Settings!$C$28:$E$53,3)*(DF29/Hours_in_iteration))</f>
        <v>0</v>
      </c>
      <c r="DH29" s="51">
        <f>IF(ISNA(SUMPRODUCT((PersonOnVacation=Availability!$A29)*(VacationSprint=Sprint16)*SprintHoursOff)),0,SUMPRODUCT((PersonOnVacation=Availability!$A29)*(VacationSprint=Sprint16)*SprintHoursOff))</f>
        <v>0</v>
      </c>
      <c r="DI29" s="52">
        <f t="shared" si="70"/>
        <v>0</v>
      </c>
      <c r="DJ29" s="42"/>
      <c r="DK29" s="27"/>
      <c r="DL29" s="176">
        <f t="shared" si="33"/>
        <v>0</v>
      </c>
      <c r="DM29" s="42">
        <f t="shared" si="34"/>
        <v>0</v>
      </c>
      <c r="DN29" s="51">
        <f>IF(DM29=0,0,VLOOKUP(Sprint17,Settings!$C$28:$E$53,3)*(DM29/Hours_in_iteration))</f>
        <v>0</v>
      </c>
      <c r="DO29" s="51">
        <f>IF(ISNA(SUMPRODUCT((PersonOnVacation=Availability!$A29)*(VacationSprint=Sprint17)*SprintHoursOff)),0,SUMPRODUCT((PersonOnVacation=Availability!$A29)*(VacationSprint=Sprint17)*SprintHoursOff))</f>
        <v>0</v>
      </c>
      <c r="DP29" s="52">
        <f t="shared" si="71"/>
        <v>0</v>
      </c>
      <c r="DQ29" s="42"/>
      <c r="DR29" s="27"/>
      <c r="DS29" s="176">
        <f t="shared" si="35"/>
        <v>0</v>
      </c>
      <c r="DT29" s="42">
        <f t="shared" si="36"/>
        <v>0</v>
      </c>
      <c r="DU29" s="51">
        <f>IF(DT29=0,0,VLOOKUP(Sprint18,Settings!$C$28:$E$53,3)*(DT29/Hours_in_iteration))</f>
        <v>0</v>
      </c>
      <c r="DV29" s="51">
        <f>IF(ISNA(SUMPRODUCT((PersonOnVacation=Availability!$A29)*(VacationSprint=Sprint18)*SprintHoursOff)),0,SUMPRODUCT((PersonOnVacation=Availability!$A29)*(VacationSprint=Sprint18)*SprintHoursOff))</f>
        <v>0</v>
      </c>
      <c r="DW29" s="52">
        <f t="shared" si="72"/>
        <v>0</v>
      </c>
      <c r="DX29" s="42"/>
      <c r="DY29" s="27"/>
      <c r="DZ29" s="176">
        <f t="shared" si="37"/>
        <v>0</v>
      </c>
      <c r="EA29" s="42">
        <f t="shared" si="38"/>
        <v>0</v>
      </c>
      <c r="EB29" s="51">
        <f>IF(EA29=0,0,VLOOKUP(Sprint19,Settings!$C$28:$E$53,3)*(EA29/Hours_in_iteration))</f>
        <v>0</v>
      </c>
      <c r="EC29" s="51">
        <f>IF(ISNA(SUMPRODUCT((PersonOnVacation=Availability!$A29)*(VacationSprint=Sprint19)*SprintHoursOff)),0,SUMPRODUCT((PersonOnVacation=Availability!$A29)*(VacationSprint=Sprint19)*SprintHoursOff))</f>
        <v>0</v>
      </c>
      <c r="ED29" s="52">
        <f t="shared" si="73"/>
        <v>0</v>
      </c>
      <c r="EE29" s="42"/>
      <c r="EF29" s="27"/>
      <c r="EG29" s="176">
        <f t="shared" si="39"/>
        <v>0</v>
      </c>
      <c r="EH29" s="42">
        <f t="shared" si="40"/>
        <v>0</v>
      </c>
      <c r="EI29" s="51">
        <f>IF(EH29=0,0,VLOOKUP(Sprint20,Settings!$C$28:$E$53,3)*(EH29/Hours_in_iteration))</f>
        <v>0</v>
      </c>
      <c r="EJ29" s="51">
        <f>IF(ISNA(SUMPRODUCT((PersonOnVacation=Availability!$A29)*(VacationSprint=Sprint20)*SprintHoursOff)),0,SUMPRODUCT((PersonOnVacation=Availability!$A29)*(VacationSprint=Sprint20)*SprintHoursOff))</f>
        <v>0</v>
      </c>
      <c r="EK29" s="52">
        <f t="shared" si="74"/>
        <v>0</v>
      </c>
      <c r="EL29" s="42"/>
      <c r="EM29" s="27"/>
      <c r="EN29" s="176">
        <f t="shared" si="41"/>
        <v>0</v>
      </c>
      <c r="EO29" s="42">
        <f t="shared" si="42"/>
        <v>0</v>
      </c>
      <c r="EP29" s="51">
        <f>IF(EO29=0,0,VLOOKUP(Sprint21,Settings!$C$28:$E$53,3)*(EO29/Hours_in_iteration))</f>
        <v>0</v>
      </c>
      <c r="EQ29" s="51">
        <f>IF(ISNA(SUMPRODUCT((PersonOnVacation=Availability!$A29)*(VacationSprint=Sprint21)*SprintHoursOff)),0,SUMPRODUCT((PersonOnVacation=Availability!$A29)*(VacationSprint=Sprint21)*SprintHoursOff))</f>
        <v>0</v>
      </c>
      <c r="ER29" s="52">
        <f t="shared" si="75"/>
        <v>0</v>
      </c>
      <c r="ES29" s="42"/>
      <c r="ET29" s="27"/>
      <c r="EU29" s="176">
        <f t="shared" si="43"/>
        <v>0</v>
      </c>
      <c r="EV29" s="42">
        <f t="shared" si="44"/>
        <v>0</v>
      </c>
      <c r="EW29" s="51">
        <f>IF(EV29=0,0,VLOOKUP(Sprint22,Settings!$C$28:$E$53,3)*(EV29/Hours_in_iteration))</f>
        <v>0</v>
      </c>
      <c r="EX29" s="51">
        <f>IF(ISNA(SUMPRODUCT((PersonOnVacation=Availability!$A29)*(VacationSprint=Sprint22)*SprintHoursOff)),0,SUMPRODUCT((PersonOnVacation=Availability!$A29)*(VacationSprint=Sprint22)*SprintHoursOff))</f>
        <v>0</v>
      </c>
      <c r="EY29" s="52">
        <f t="shared" si="76"/>
        <v>0</v>
      </c>
      <c r="EZ29" s="42"/>
      <c r="FA29" s="27"/>
      <c r="FB29" s="176">
        <f t="shared" si="45"/>
        <v>0</v>
      </c>
      <c r="FC29" s="42">
        <f t="shared" si="46"/>
        <v>0</v>
      </c>
      <c r="FD29" s="51">
        <f>IF(FC29=0,0,VLOOKUP(Sprint23,Settings!$C$28:$E$53,3)*(FC29/Hours_in_iteration))</f>
        <v>0</v>
      </c>
      <c r="FE29" s="51">
        <f>IF(ISNA(SUMPRODUCT((PersonOnVacation=Availability!$A29)*(VacationSprint=Sprint23)*SprintHoursOff)),0,SUMPRODUCT((PersonOnVacation=Availability!$A29)*(VacationSprint=Sprint23)*SprintHoursOff))</f>
        <v>0</v>
      </c>
      <c r="FF29" s="52">
        <f t="shared" si="77"/>
        <v>0</v>
      </c>
      <c r="FG29" s="42"/>
      <c r="FH29" s="27"/>
      <c r="FI29" s="176">
        <f t="shared" si="47"/>
        <v>0</v>
      </c>
      <c r="FJ29" s="42">
        <f t="shared" si="48"/>
        <v>0</v>
      </c>
      <c r="FK29" s="51">
        <f>IF(FJ29=0,0,VLOOKUP(Sprint24,Settings!$C$28:$E$53,3)*(FJ29/Hours_in_iteration))</f>
        <v>0</v>
      </c>
      <c r="FL29" s="51">
        <f>IF(ISNA(SUMPRODUCT((PersonOnVacation=Availability!$A29)*(VacationSprint=Sprint24)*SprintHoursOff)),0,SUMPRODUCT((PersonOnVacation=Availability!$A29)*(VacationSprint=Sprint24)*SprintHoursOff))</f>
        <v>0</v>
      </c>
      <c r="FM29" s="52">
        <f t="shared" si="78"/>
        <v>0</v>
      </c>
      <c r="FN29" s="42"/>
      <c r="FO29" s="27"/>
      <c r="FP29" s="176">
        <f t="shared" si="49"/>
        <v>0</v>
      </c>
      <c r="FQ29" s="42">
        <f t="shared" si="50"/>
        <v>0</v>
      </c>
      <c r="FR29" s="51">
        <f>IF(FQ29=0,0,VLOOKUP(Sprint25,Settings!$C$28:$E$53,3)*(FQ29/Hours_in_iteration))</f>
        <v>0</v>
      </c>
      <c r="FS29" s="51">
        <f>IF(ISNA(SUMPRODUCT((PersonOnVacation=Availability!$A29)*(VacationSprint=Sprint25)*SprintHoursOff)),0,SUMPRODUCT((PersonOnVacation=Availability!$A29)*(VacationSprint=Sprint25)*SprintHoursOff))</f>
        <v>0</v>
      </c>
      <c r="FT29" s="52">
        <f t="shared" si="79"/>
        <v>0</v>
      </c>
      <c r="FU29" s="42"/>
      <c r="FV29" s="27"/>
      <c r="FW29" s="176">
        <f t="shared" si="51"/>
        <v>0</v>
      </c>
      <c r="FX29" s="42">
        <f t="shared" si="52"/>
        <v>0</v>
      </c>
      <c r="FY29" s="51">
        <f>IF(FX29=0,0,VLOOKUP(Sprint26,Settings!$C$28:$E$53,3)*(FX29/Hours_in_iteration))</f>
        <v>0</v>
      </c>
      <c r="FZ29" s="51">
        <f>IF(ISNA(SUMPRODUCT((PersonOnVacation=Availability!$A29)*(VacationSprint=Sprint26)*SprintHoursOff)),0,SUMPRODUCT((PersonOnVacation=Availability!$A29)*(VacationSprint=Sprint26)*SprintHoursOff))</f>
        <v>0</v>
      </c>
      <c r="GA29" s="52">
        <f t="shared" si="80"/>
        <v>0</v>
      </c>
      <c r="GB29" s="42"/>
      <c r="GC29" s="27"/>
      <c r="GD29" s="176">
        <f t="shared" si="53"/>
        <v>0</v>
      </c>
      <c r="GE29" s="42">
        <f t="shared" si="54"/>
        <v>0</v>
      </c>
      <c r="GF29" s="51">
        <f>IF(GE29=0,0,VLOOKUP(Sprint27,Settings!$C$28:$E$53,3)*(GE29/Hours_in_iteration))</f>
        <v>0</v>
      </c>
      <c r="GG29" s="51">
        <f>IF(ISNA(SUMPRODUCT((PersonOnVacation=Availability!$A29)*(VacationSprint=Sprint27)*SprintHoursOff)),0,SUMPRODUCT((PersonOnVacation=Availability!$A29)*(VacationSprint=Sprint27)*SprintHoursOff))</f>
        <v>0</v>
      </c>
      <c r="GH29" s="52">
        <f t="shared" si="81"/>
        <v>0</v>
      </c>
      <c r="GI29" s="42"/>
    </row>
    <row r="30" spans="1:191">
      <c r="D30" t="s">
        <v>7</v>
      </c>
      <c r="E30" s="57">
        <f>SUM(E10:E29)</f>
        <v>856</v>
      </c>
      <c r="F30" s="10">
        <f>SUM(F10:F29)</f>
        <v>85.6</v>
      </c>
      <c r="G30" s="10">
        <f>SUM(G10:G29)</f>
        <v>0</v>
      </c>
      <c r="H30" s="12">
        <f>SUM(H10:H29)</f>
        <v>770.4</v>
      </c>
      <c r="K30" t="s">
        <v>7</v>
      </c>
      <c r="L30" s="57">
        <f>SUM(L10:L29)</f>
        <v>856</v>
      </c>
      <c r="M30" s="10">
        <f>SUM(M10:M29)</f>
        <v>85.6</v>
      </c>
      <c r="N30" s="10"/>
      <c r="O30" s="12">
        <f>SUM(O10:O29)</f>
        <v>770.4</v>
      </c>
      <c r="R30" t="s">
        <v>7</v>
      </c>
      <c r="S30" s="57">
        <f>SUM(S10:S29)</f>
        <v>856</v>
      </c>
      <c r="T30" s="57">
        <f>SUM(S10:S29)</f>
        <v>856</v>
      </c>
      <c r="U30" s="10">
        <f>SUM(T10:T29)</f>
        <v>0</v>
      </c>
      <c r="V30" s="12">
        <f>SUM(V10:V29)</f>
        <v>856</v>
      </c>
      <c r="Y30" t="s">
        <v>7</v>
      </c>
      <c r="Z30" s="57">
        <f>SUM(Z10:Z29)</f>
        <v>856</v>
      </c>
      <c r="AA30" s="10">
        <f>SUM(AA10:AA29)</f>
        <v>85.6</v>
      </c>
      <c r="AB30" s="10"/>
      <c r="AC30" s="12">
        <f>SUM(AC10:AC29)</f>
        <v>682.4</v>
      </c>
      <c r="AF30" t="s">
        <v>7</v>
      </c>
      <c r="AG30" s="57">
        <f>SUM(AG10:AG29)</f>
        <v>856</v>
      </c>
      <c r="AH30" s="10">
        <f>SUM(AH10:AH29)</f>
        <v>0</v>
      </c>
      <c r="AI30" s="10"/>
      <c r="AJ30" s="12">
        <f>SUM(AJ10:AJ29)</f>
        <v>800</v>
      </c>
      <c r="AM30" t="s">
        <v>7</v>
      </c>
      <c r="AN30" s="57">
        <f>SUM(AN10:AN29)</f>
        <v>776</v>
      </c>
      <c r="AO30" s="10">
        <f>SUM(AO10:AO29)</f>
        <v>0</v>
      </c>
      <c r="AP30" s="10">
        <f>SUM(AP10:AP29)</f>
        <v>0</v>
      </c>
      <c r="AQ30" s="12">
        <f>SUM(AQ10:AQ29)</f>
        <v>776</v>
      </c>
      <c r="AT30" t="s">
        <v>7</v>
      </c>
      <c r="AU30" s="57">
        <f>SUM(AU10:AU29)</f>
        <v>776</v>
      </c>
      <c r="AV30" s="10">
        <f>SUM(AV10:AV29)</f>
        <v>0</v>
      </c>
      <c r="AW30" s="10">
        <f>SUM(AW10:AW29)</f>
        <v>0</v>
      </c>
      <c r="AX30" s="12">
        <f>SUM(AX10:AX29)</f>
        <v>776</v>
      </c>
      <c r="BA30" t="s">
        <v>7</v>
      </c>
      <c r="BB30" s="57">
        <f>SUM(BB10:BB29)</f>
        <v>776</v>
      </c>
      <c r="BC30" s="10">
        <f>SUM(BC10:BC29)</f>
        <v>0</v>
      </c>
      <c r="BD30" s="10">
        <f>SUM(BD10:BD29)</f>
        <v>0</v>
      </c>
      <c r="BE30" s="12">
        <f>SUM(BE10:BE29)</f>
        <v>776</v>
      </c>
      <c r="BH30" t="s">
        <v>7</v>
      </c>
      <c r="BI30" s="57">
        <f>SUM(BI10:BI29)</f>
        <v>696</v>
      </c>
      <c r="BJ30" s="10">
        <f>SUM(BJ10:BJ29)</f>
        <v>0</v>
      </c>
      <c r="BK30" s="10">
        <f>SUM(BK10:BK29)</f>
        <v>0</v>
      </c>
      <c r="BL30" s="12">
        <f>SUM(BL10:BL29)</f>
        <v>696</v>
      </c>
      <c r="BO30" t="s">
        <v>7</v>
      </c>
      <c r="BP30" s="57">
        <f>SUM(BP10:BP29)</f>
        <v>696</v>
      </c>
      <c r="BQ30" s="10">
        <f>SUM(BQ10:BQ29)</f>
        <v>0</v>
      </c>
      <c r="BR30" s="10">
        <f>SUM(BR10:BR29)</f>
        <v>0</v>
      </c>
      <c r="BS30" s="12">
        <f>SUM(BS10:BS29)</f>
        <v>696</v>
      </c>
      <c r="BV30" t="s">
        <v>7</v>
      </c>
      <c r="BW30" s="57">
        <f>SUM(BW10:BW29)</f>
        <v>696</v>
      </c>
      <c r="BX30" s="10">
        <f>SUM(BX10:BX29)</f>
        <v>0</v>
      </c>
      <c r="BY30" s="10">
        <f>SUM(BY10:BY29)</f>
        <v>32</v>
      </c>
      <c r="BZ30" s="12">
        <f>SUM(BZ10:BZ29)</f>
        <v>664</v>
      </c>
      <c r="CC30" t="s">
        <v>7</v>
      </c>
      <c r="CD30" s="57">
        <f>SUM(CD10:CD29)</f>
        <v>696</v>
      </c>
      <c r="CE30" s="10">
        <f>SUM(CE10:CE29)</f>
        <v>0</v>
      </c>
      <c r="CF30" s="10">
        <f>SUM(CF10:CF29)</f>
        <v>0</v>
      </c>
      <c r="CG30" s="12">
        <f>SUM(CG10:CG29)</f>
        <v>696</v>
      </c>
      <c r="CJ30" t="s">
        <v>7</v>
      </c>
      <c r="CK30" s="57">
        <f>SUM(CK10:CK29)</f>
        <v>696</v>
      </c>
      <c r="CL30" s="10">
        <f>SUM(CL10:CL29)</f>
        <v>0</v>
      </c>
      <c r="CM30" s="10">
        <f>SUM(CM10:CM29)</f>
        <v>0</v>
      </c>
      <c r="CN30" s="12">
        <f>SUM(CN10:CN29)</f>
        <v>696</v>
      </c>
      <c r="CQ30" t="s">
        <v>7</v>
      </c>
      <c r="CR30" s="57">
        <f>SUM(CR10:CR29)</f>
        <v>696</v>
      </c>
      <c r="CS30" s="10">
        <f>SUM(CS10:CS29)</f>
        <v>0</v>
      </c>
      <c r="CT30" s="10">
        <f>SUM(CT10:CT29)</f>
        <v>0</v>
      </c>
      <c r="CU30" s="12">
        <f>SUM(CU10:CU29)</f>
        <v>696</v>
      </c>
      <c r="CX30" t="s">
        <v>7</v>
      </c>
      <c r="CY30" s="57">
        <f>SUM(CY10:CY29)</f>
        <v>696</v>
      </c>
      <c r="CZ30" s="10">
        <f>SUM(CZ10:CZ29)</f>
        <v>0</v>
      </c>
      <c r="DA30" s="10">
        <f>SUM(DA10:DA29)</f>
        <v>0</v>
      </c>
      <c r="DB30" s="12">
        <f>SUM(DB10:DB29)</f>
        <v>696</v>
      </c>
      <c r="DE30" t="s">
        <v>7</v>
      </c>
      <c r="DF30" s="57">
        <f>SUM(DF10:DF29)</f>
        <v>696</v>
      </c>
      <c r="DG30" s="10">
        <f>SUM(DG10:DG29)</f>
        <v>0</v>
      </c>
      <c r="DH30" s="10">
        <f>SUM(DH10:DH29)</f>
        <v>0</v>
      </c>
      <c r="DI30" s="12">
        <f>SUM(DI10:DI29)</f>
        <v>696</v>
      </c>
      <c r="DL30" t="s">
        <v>7</v>
      </c>
      <c r="DM30" s="57">
        <f>SUM(DM10:DM29)</f>
        <v>696</v>
      </c>
      <c r="DN30" s="10">
        <f>SUM(DN10:DN29)</f>
        <v>0</v>
      </c>
      <c r="DO30" s="10">
        <f>SUM(DO10:DO29)</f>
        <v>0</v>
      </c>
      <c r="DP30" s="12">
        <f>SUM(DP10:DP29)</f>
        <v>696</v>
      </c>
      <c r="DS30" t="s">
        <v>7</v>
      </c>
      <c r="DT30" s="57">
        <f>SUM(DT10:DT29)</f>
        <v>696</v>
      </c>
      <c r="DU30" s="10">
        <f>SUM(DU10:DU29)</f>
        <v>0</v>
      </c>
      <c r="DV30" s="10">
        <f>SUM(DV10:DV29)</f>
        <v>0</v>
      </c>
      <c r="DW30" s="12">
        <f>SUM(DW10:DW29)</f>
        <v>696</v>
      </c>
      <c r="DZ30" t="s">
        <v>7</v>
      </c>
      <c r="EA30" s="57">
        <f>SUM(EA10:EA29)</f>
        <v>696</v>
      </c>
      <c r="EB30" s="10">
        <f>SUM(EB10:EB29)</f>
        <v>0</v>
      </c>
      <c r="EC30" s="10">
        <f>SUM(EC10:EC29)</f>
        <v>0</v>
      </c>
      <c r="ED30" s="12">
        <f>SUM(ED10:ED29)</f>
        <v>696</v>
      </c>
      <c r="EG30" t="s">
        <v>7</v>
      </c>
      <c r="EH30" s="57">
        <f>SUM(EH10:EH29)</f>
        <v>696</v>
      </c>
      <c r="EI30" s="10">
        <f>SUM(EI10:EI29)</f>
        <v>0</v>
      </c>
      <c r="EJ30" s="10">
        <f>SUM(EJ10:EJ29)</f>
        <v>0</v>
      </c>
      <c r="EK30" s="12">
        <f>SUM(EK10:EK29)</f>
        <v>696</v>
      </c>
      <c r="EN30" t="s">
        <v>7</v>
      </c>
      <c r="EO30" s="57">
        <f>SUM(EO10:EO29)</f>
        <v>696</v>
      </c>
      <c r="EP30" s="10">
        <f>SUM(EP10:EP29)</f>
        <v>0</v>
      </c>
      <c r="EQ30" s="10">
        <f>SUM(EQ10:EQ29)</f>
        <v>0</v>
      </c>
      <c r="ER30" s="12">
        <f>SUM(ER10:ER29)</f>
        <v>696</v>
      </c>
      <c r="EU30" t="s">
        <v>7</v>
      </c>
      <c r="EV30" s="57">
        <f>SUM(EV10:EV29)</f>
        <v>696</v>
      </c>
      <c r="EW30" s="10">
        <f>SUM(EW10:EW29)</f>
        <v>0</v>
      </c>
      <c r="EX30" s="10">
        <f>SUM(EX10:EX29)</f>
        <v>0</v>
      </c>
      <c r="EY30" s="12">
        <f>SUM(EY10:EY29)</f>
        <v>696</v>
      </c>
      <c r="FB30" t="s">
        <v>7</v>
      </c>
      <c r="FC30" s="57">
        <f>SUM(FC10:FC29)</f>
        <v>696</v>
      </c>
      <c r="FD30" s="10">
        <f>SUM(FD10:FD29)</f>
        <v>0</v>
      </c>
      <c r="FE30" s="10">
        <f>SUM(FE10:FE29)</f>
        <v>0</v>
      </c>
      <c r="FF30" s="12">
        <f>SUM(FF10:FF29)</f>
        <v>696</v>
      </c>
      <c r="FI30" t="s">
        <v>7</v>
      </c>
      <c r="FJ30" s="57">
        <f>SUM(FJ10:FJ29)</f>
        <v>696</v>
      </c>
      <c r="FK30" s="10">
        <f>SUM(FK10:FK29)</f>
        <v>0</v>
      </c>
      <c r="FL30" s="10">
        <f>SUM(FL10:FL29)</f>
        <v>0</v>
      </c>
      <c r="FM30" s="12">
        <f>SUM(FM10:FM29)</f>
        <v>696</v>
      </c>
      <c r="FP30" t="s">
        <v>7</v>
      </c>
      <c r="FQ30" s="57">
        <f>SUM(FQ10:FQ29)</f>
        <v>696</v>
      </c>
      <c r="FR30" s="10">
        <f>SUM(FR10:FR29)</f>
        <v>0</v>
      </c>
      <c r="FS30" s="10">
        <f>SUM(FS10:FS29)</f>
        <v>0</v>
      </c>
      <c r="FT30" s="12">
        <f>SUM(FT10:FT29)</f>
        <v>696</v>
      </c>
      <c r="FW30" t="s">
        <v>7</v>
      </c>
      <c r="FX30" s="57">
        <f>SUM(FX10:FX29)</f>
        <v>696</v>
      </c>
      <c r="FY30" s="10">
        <f>SUM(FY10:FY29)</f>
        <v>0</v>
      </c>
      <c r="FZ30" s="10">
        <f>SUM(FZ10:FZ29)</f>
        <v>0</v>
      </c>
      <c r="GA30" s="12">
        <f>SUM(GA10:GA29)</f>
        <v>696</v>
      </c>
      <c r="GD30" t="s">
        <v>7</v>
      </c>
      <c r="GE30" s="57">
        <f>SUM(GE10:GE29)</f>
        <v>696</v>
      </c>
      <c r="GF30" s="10">
        <f>SUM(GF10:GF29)</f>
        <v>0</v>
      </c>
      <c r="GG30" s="10">
        <f>SUM(GG10:GG29)</f>
        <v>0</v>
      </c>
      <c r="GH30" s="12">
        <f>SUM(GH10:GH29)</f>
        <v>696</v>
      </c>
    </row>
    <row r="31" spans="1:191">
      <c r="D31" s="140" t="s">
        <v>116</v>
      </c>
      <c r="E31" s="110">
        <f>SUM(E10:E29)/80</f>
        <v>10.7</v>
      </c>
      <c r="K31" s="140" t="s">
        <v>116</v>
      </c>
      <c r="L31" s="110">
        <f>SUM(L10:L29)/80</f>
        <v>10.7</v>
      </c>
      <c r="R31" s="140" t="s">
        <v>116</v>
      </c>
      <c r="S31" s="110">
        <f>SUM(S10:S29)/80</f>
        <v>10.7</v>
      </c>
      <c r="Y31" s="140" t="s">
        <v>116</v>
      </c>
      <c r="Z31" s="110">
        <f>SUM(Z10:Z29)/80</f>
        <v>10.7</v>
      </c>
      <c r="AF31" s="140" t="s">
        <v>116</v>
      </c>
      <c r="AG31" s="110">
        <f>SUM(AG10:AG29)/80</f>
        <v>10.7</v>
      </c>
      <c r="AM31" s="140" t="s">
        <v>116</v>
      </c>
      <c r="AN31" s="110">
        <f>SUM(AN10:AN29)/80</f>
        <v>9.6999999999999993</v>
      </c>
      <c r="AT31" s="140" t="s">
        <v>116</v>
      </c>
      <c r="AU31" s="110">
        <f>SUM(AU10:AU29)/80</f>
        <v>9.6999999999999993</v>
      </c>
      <c r="BA31" s="140" t="s">
        <v>116</v>
      </c>
      <c r="BB31" s="110">
        <f>SUM(BB10:BB29)/80</f>
        <v>9.6999999999999993</v>
      </c>
      <c r="BH31" s="140" t="s">
        <v>116</v>
      </c>
      <c r="BI31" s="110">
        <f>SUM(BI10:BI29)/80</f>
        <v>8.6999999999999993</v>
      </c>
      <c r="BO31" s="140" t="s">
        <v>116</v>
      </c>
      <c r="BP31" s="110">
        <f>SUM(BP10:BP29)/80</f>
        <v>8.6999999999999993</v>
      </c>
      <c r="BV31" s="140" t="s">
        <v>116</v>
      </c>
      <c r="BW31" s="110">
        <f>SUM(BW10:BW29)/80</f>
        <v>8.6999999999999993</v>
      </c>
      <c r="CC31" s="140" t="s">
        <v>116</v>
      </c>
      <c r="CD31" s="110">
        <f>SUM(CD10:CD29)/80</f>
        <v>8.6999999999999993</v>
      </c>
      <c r="CJ31" s="140" t="s">
        <v>116</v>
      </c>
      <c r="CK31" s="110">
        <f>SUM(CK10:CK29)/80</f>
        <v>8.6999999999999993</v>
      </c>
      <c r="CQ31" s="140" t="s">
        <v>116</v>
      </c>
      <c r="CR31" s="110">
        <f>SUM(CR10:CR29)/80</f>
        <v>8.6999999999999993</v>
      </c>
      <c r="CX31" s="140" t="s">
        <v>116</v>
      </c>
      <c r="CY31" s="110">
        <f>SUM(CY10:CY29)/80</f>
        <v>8.6999999999999993</v>
      </c>
      <c r="DE31" s="140" t="s">
        <v>116</v>
      </c>
      <c r="DF31" s="110">
        <f>SUM(DF10:DF29)/80</f>
        <v>8.6999999999999993</v>
      </c>
      <c r="DL31" s="140" t="s">
        <v>116</v>
      </c>
      <c r="DM31" s="110">
        <f>SUM(DM10:DM29)/80</f>
        <v>8.6999999999999993</v>
      </c>
      <c r="DS31" s="140" t="s">
        <v>116</v>
      </c>
      <c r="DT31" s="110">
        <f>SUM(DT10:DT29)/80</f>
        <v>8.6999999999999993</v>
      </c>
      <c r="DZ31" s="140" t="s">
        <v>116</v>
      </c>
      <c r="EA31" s="110">
        <f>SUM(EA10:EA29)/80</f>
        <v>8.6999999999999993</v>
      </c>
      <c r="EG31" s="140" t="s">
        <v>116</v>
      </c>
      <c r="EH31" s="110">
        <f>SUM(EH10:EH29)/80</f>
        <v>8.6999999999999993</v>
      </c>
      <c r="EN31" s="140" t="s">
        <v>116</v>
      </c>
      <c r="EO31" s="110">
        <f>SUM(EO10:EO29)/80</f>
        <v>8.6999999999999993</v>
      </c>
      <c r="EU31" s="140" t="s">
        <v>116</v>
      </c>
      <c r="EV31" s="110">
        <f>SUM(EV10:EV29)/80</f>
        <v>8.6999999999999993</v>
      </c>
      <c r="FB31" s="140" t="s">
        <v>116</v>
      </c>
      <c r="FC31" s="110">
        <f>SUM(FC10:FC29)/80</f>
        <v>8.6999999999999993</v>
      </c>
      <c r="FI31" s="140" t="s">
        <v>116</v>
      </c>
      <c r="FJ31" s="110">
        <f>SUM(FJ10:FJ29)/80</f>
        <v>8.6999999999999993</v>
      </c>
      <c r="FP31" s="140" t="s">
        <v>116</v>
      </c>
      <c r="FQ31" s="110">
        <f>SUM(FQ10:FQ29)/80</f>
        <v>8.6999999999999993</v>
      </c>
      <c r="FW31" s="140" t="s">
        <v>116</v>
      </c>
      <c r="FX31" s="110">
        <f>SUM(FX10:FX29)/80</f>
        <v>8.6999999999999993</v>
      </c>
      <c r="GD31" s="140" t="s">
        <v>116</v>
      </c>
      <c r="GE31" s="110">
        <f>SUM(GE10:GE29)/80</f>
        <v>8.6999999999999993</v>
      </c>
    </row>
    <row r="32" spans="1:191">
      <c r="D32" s="49"/>
    </row>
    <row r="33" spans="4:4">
      <c r="D33" s="49"/>
    </row>
    <row r="34" spans="4:4">
      <c r="D34" s="10"/>
    </row>
    <row r="35" spans="4:4">
      <c r="D35" s="10"/>
    </row>
  </sheetData>
  <phoneticPr fontId="6" type="noConversion"/>
  <conditionalFormatting sqref="E29 H29:I29">
    <cfRule type="expression" dxfId="19" priority="36" stopIfTrue="1">
      <formula>$D29=$F$2</formula>
    </cfRule>
    <cfRule type="expression" dxfId="18" priority="37" stopIfTrue="1">
      <formula>$D29=$F$4</formula>
    </cfRule>
    <cfRule type="expression" dxfId="17" priority="38" stopIfTrue="1">
      <formula>$D29=$F$3</formula>
    </cfRule>
    <cfRule type="expression" dxfId="16" priority="39" stopIfTrue="1">
      <formula>$D29=$F$2</formula>
    </cfRule>
    <cfRule type="expression" dxfId="15" priority="40" stopIfTrue="1">
      <formula>$D29=$F$1</formula>
    </cfRule>
  </conditionalFormatting>
  <conditionalFormatting sqref="G10:G21">
    <cfRule type="expression" dxfId="14" priority="1" stopIfTrue="1">
      <formula>$D10=$F$2</formula>
    </cfRule>
    <cfRule type="expression" dxfId="13" priority="2" stopIfTrue="1">
      <formula>$D10=$F$4</formula>
    </cfRule>
    <cfRule type="expression" dxfId="12" priority="3" stopIfTrue="1">
      <formula>$D10=$F$3</formula>
    </cfRule>
    <cfRule type="expression" dxfId="11" priority="4" stopIfTrue="1">
      <formula>$D10=$F$2</formula>
    </cfRule>
    <cfRule type="expression" dxfId="10" priority="5" stopIfTrue="1">
      <formula>$D10=$F$1</formula>
    </cfRule>
  </conditionalFormatting>
  <conditionalFormatting sqref="G23:G29">
    <cfRule type="expression" dxfId="9" priority="11" stopIfTrue="1">
      <formula>$D23=$F$2</formula>
    </cfRule>
    <cfRule type="expression" dxfId="8" priority="12" stopIfTrue="1">
      <formula>$D23=$F$4</formula>
    </cfRule>
    <cfRule type="expression" dxfId="7" priority="13" stopIfTrue="1">
      <formula>$D23=$F$3</formula>
    </cfRule>
    <cfRule type="expression" dxfId="6" priority="14" stopIfTrue="1">
      <formula>$D23=$F$2</formula>
    </cfRule>
    <cfRule type="expression" dxfId="5" priority="15" stopIfTrue="1">
      <formula>$D23=$F$1</formula>
    </cfRule>
  </conditionalFormatting>
  <conditionalFormatting sqref="G22">
    <cfRule type="expression" dxfId="4" priority="6" stopIfTrue="1">
      <formula>$D22=$F$2</formula>
    </cfRule>
    <cfRule type="expression" dxfId="3" priority="7" stopIfTrue="1">
      <formula>$D22=$F$4</formula>
    </cfRule>
    <cfRule type="expression" dxfId="2" priority="8" stopIfTrue="1">
      <formula>$D22=$F$3</formula>
    </cfRule>
    <cfRule type="expression" dxfId="1" priority="9" stopIfTrue="1">
      <formula>$D22=$F$2</formula>
    </cfRule>
    <cfRule type="expression" dxfId="0" priority="10" stopIfTrue="1">
      <formula>$D22=$F$1</formula>
    </cfRule>
  </conditionalFormatting>
  <pageMargins left="0.75" right="0.75" top="1" bottom="1" header="0.5" footer="0.5"/>
  <pageSetup orientation="portrait" horizontalDpi="4294967295" verticalDpi="429496729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D11" sqref="D11"/>
    </sheetView>
  </sheetViews>
  <sheetFormatPr defaultColWidth="8.81640625" defaultRowHeight="12.5"/>
  <cols>
    <col min="1" max="1" width="29.81640625" bestFit="1" customWidth="1"/>
    <col min="2" max="2" width="10" customWidth="1"/>
    <col min="3" max="3" width="9.453125" customWidth="1"/>
    <col min="6" max="6" width="13" customWidth="1"/>
  </cols>
  <sheetData>
    <row r="1" spans="1:3">
      <c r="A1" s="87" t="s">
        <v>124</v>
      </c>
      <c r="B1" s="177">
        <v>0</v>
      </c>
    </row>
    <row r="2" spans="1:3">
      <c r="A2" s="87" t="s">
        <v>125</v>
      </c>
      <c r="B2" s="179">
        <v>41949</v>
      </c>
    </row>
    <row r="3" spans="1:3">
      <c r="A3" s="87" t="s">
        <v>126</v>
      </c>
      <c r="B3" s="177">
        <v>14</v>
      </c>
      <c r="C3" t="s">
        <v>21</v>
      </c>
    </row>
    <row r="4" spans="1:3">
      <c r="A4" s="87" t="s">
        <v>24</v>
      </c>
      <c r="B4" s="183">
        <v>0.25</v>
      </c>
    </row>
    <row r="5" spans="1:3">
      <c r="A5" s="87" t="s">
        <v>80</v>
      </c>
      <c r="B5" s="180">
        <v>80</v>
      </c>
    </row>
    <row r="6" spans="1:3">
      <c r="A6" s="87" t="s">
        <v>100</v>
      </c>
      <c r="B6" s="181">
        <v>8</v>
      </c>
    </row>
    <row r="8" spans="1:3">
      <c r="A8" t="s">
        <v>42</v>
      </c>
    </row>
    <row r="9" spans="1:3">
      <c r="A9" s="87" t="s">
        <v>123</v>
      </c>
      <c r="B9" s="178" t="s">
        <v>122</v>
      </c>
    </row>
    <row r="10" spans="1:3">
      <c r="A10" s="87" t="s">
        <v>43</v>
      </c>
      <c r="B10" s="91">
        <v>0.25</v>
      </c>
    </row>
    <row r="11" spans="1:3">
      <c r="A11" s="87" t="s">
        <v>44</v>
      </c>
      <c r="B11" s="91">
        <v>0.25</v>
      </c>
    </row>
    <row r="12" spans="1:3">
      <c r="A12" s="87" t="s">
        <v>45</v>
      </c>
      <c r="B12" s="92">
        <v>14</v>
      </c>
    </row>
    <row r="15" spans="1:3">
      <c r="A15" s="87" t="s">
        <v>63</v>
      </c>
      <c r="B15" s="177">
        <v>8</v>
      </c>
    </row>
    <row r="16" spans="1:3">
      <c r="A16" s="87" t="s">
        <v>64</v>
      </c>
      <c r="B16" s="177">
        <v>8</v>
      </c>
    </row>
    <row r="17" spans="1:6">
      <c r="A17" s="87" t="s">
        <v>65</v>
      </c>
      <c r="B17" s="110">
        <f>B15*B16</f>
        <v>64</v>
      </c>
    </row>
    <row r="19" spans="1:6">
      <c r="A19" s="87" t="s">
        <v>66</v>
      </c>
      <c r="B19" s="110">
        <f>B17*0.2</f>
        <v>12.8</v>
      </c>
    </row>
    <row r="20" spans="1:6">
      <c r="A20" s="87" t="s">
        <v>67</v>
      </c>
      <c r="B20" s="110">
        <f>B17-B19</f>
        <v>51.2</v>
      </c>
    </row>
    <row r="21" spans="1:6">
      <c r="A21" s="87" t="s">
        <v>68</v>
      </c>
      <c r="B21" s="182">
        <f>Availability!G1</f>
        <v>770.4</v>
      </c>
      <c r="C21" s="165" t="s">
        <v>153</v>
      </c>
    </row>
    <row r="22" spans="1:6">
      <c r="A22" s="87" t="s">
        <v>127</v>
      </c>
      <c r="B22" s="110">
        <f>B20/B21</f>
        <v>6.6458982346832826E-2</v>
      </c>
    </row>
    <row r="23" spans="1:6">
      <c r="A23" s="87" t="s">
        <v>154</v>
      </c>
      <c r="B23" s="110">
        <f>B22*0.8</f>
        <v>5.3167185877466265E-2</v>
      </c>
    </row>
    <row r="26" spans="1:6" ht="18.5" thickBot="1">
      <c r="A26" s="90" t="s">
        <v>81</v>
      </c>
    </row>
    <row r="27" spans="1:6" ht="31.5" thickBot="1">
      <c r="A27" s="100" t="s">
        <v>82</v>
      </c>
      <c r="B27" s="101" t="s">
        <v>83</v>
      </c>
      <c r="C27" s="102" t="s">
        <v>79</v>
      </c>
      <c r="D27" s="101" t="s">
        <v>98</v>
      </c>
      <c r="E27" s="99" t="s">
        <v>99</v>
      </c>
    </row>
    <row r="28" spans="1:6">
      <c r="A28" s="129">
        <f>start_date</f>
        <v>41949</v>
      </c>
      <c r="B28" s="119">
        <f t="shared" ref="B28:B53" si="0">A28+Normal_Iteration_Length-1</f>
        <v>41962</v>
      </c>
      <c r="C28" s="106">
        <f>Starting_Iteration</f>
        <v>0</v>
      </c>
      <c r="D28" s="107">
        <f t="shared" ref="D28:D53" si="1">COUNTIF(SprintHoliday,C28)</f>
        <v>1</v>
      </c>
      <c r="E28" s="108">
        <f t="shared" ref="E28:E53" si="2">HoursPerDay*D28</f>
        <v>8</v>
      </c>
      <c r="F28" t="s">
        <v>152</v>
      </c>
    </row>
    <row r="29" spans="1:6">
      <c r="A29" s="130">
        <f>B28+1</f>
        <v>41963</v>
      </c>
      <c r="B29" s="122">
        <f t="shared" si="0"/>
        <v>41976</v>
      </c>
      <c r="C29" s="109">
        <f>C28+1</f>
        <v>1</v>
      </c>
      <c r="D29" s="110">
        <f t="shared" si="1"/>
        <v>1</v>
      </c>
      <c r="E29" s="111">
        <f t="shared" si="2"/>
        <v>8</v>
      </c>
    </row>
    <row r="30" spans="1:6">
      <c r="A30" s="130">
        <f t="shared" ref="A30:A53" si="3">B29+1</f>
        <v>41977</v>
      </c>
      <c r="B30" s="122">
        <f t="shared" si="0"/>
        <v>41990</v>
      </c>
      <c r="C30" s="109">
        <f t="shared" ref="C30:C51" si="4">C29+1</f>
        <v>2</v>
      </c>
      <c r="D30" s="110">
        <f t="shared" si="1"/>
        <v>0</v>
      </c>
      <c r="E30" s="111">
        <f t="shared" si="2"/>
        <v>0</v>
      </c>
    </row>
    <row r="31" spans="1:6">
      <c r="A31" s="130">
        <f t="shared" si="3"/>
        <v>41991</v>
      </c>
      <c r="B31" s="122">
        <f t="shared" si="0"/>
        <v>42004</v>
      </c>
      <c r="C31" s="109">
        <f t="shared" si="4"/>
        <v>3</v>
      </c>
      <c r="D31" s="110">
        <f t="shared" si="1"/>
        <v>1</v>
      </c>
      <c r="E31" s="111">
        <f t="shared" si="2"/>
        <v>8</v>
      </c>
    </row>
    <row r="32" spans="1:6">
      <c r="A32" s="130">
        <f t="shared" si="3"/>
        <v>42005</v>
      </c>
      <c r="B32" s="122">
        <f t="shared" si="0"/>
        <v>42018</v>
      </c>
      <c r="C32" s="109">
        <f t="shared" si="4"/>
        <v>4</v>
      </c>
      <c r="D32" s="110">
        <f t="shared" si="1"/>
        <v>0</v>
      </c>
      <c r="E32" s="111">
        <f t="shared" si="2"/>
        <v>0</v>
      </c>
    </row>
    <row r="33" spans="1:5">
      <c r="A33" s="130">
        <f t="shared" si="3"/>
        <v>42019</v>
      </c>
      <c r="B33" s="122">
        <f t="shared" si="0"/>
        <v>42032</v>
      </c>
      <c r="C33" s="109">
        <f t="shared" si="4"/>
        <v>5</v>
      </c>
      <c r="D33" s="110">
        <f t="shared" si="1"/>
        <v>0</v>
      </c>
      <c r="E33" s="111">
        <f t="shared" si="2"/>
        <v>0</v>
      </c>
    </row>
    <row r="34" spans="1:5">
      <c r="A34" s="130">
        <f t="shared" si="3"/>
        <v>42033</v>
      </c>
      <c r="B34" s="122">
        <f t="shared" si="0"/>
        <v>42046</v>
      </c>
      <c r="C34" s="109">
        <f t="shared" si="4"/>
        <v>6</v>
      </c>
      <c r="D34" s="110">
        <f t="shared" si="1"/>
        <v>0</v>
      </c>
      <c r="E34" s="111">
        <f t="shared" si="2"/>
        <v>0</v>
      </c>
    </row>
    <row r="35" spans="1:5">
      <c r="A35" s="130">
        <f t="shared" si="3"/>
        <v>42047</v>
      </c>
      <c r="B35" s="122">
        <f t="shared" si="0"/>
        <v>42060</v>
      </c>
      <c r="C35" s="109">
        <f t="shared" si="4"/>
        <v>7</v>
      </c>
      <c r="D35" s="110">
        <f t="shared" si="1"/>
        <v>0</v>
      </c>
      <c r="E35" s="111">
        <f t="shared" si="2"/>
        <v>0</v>
      </c>
    </row>
    <row r="36" spans="1:5">
      <c r="A36" s="130">
        <f t="shared" si="3"/>
        <v>42061</v>
      </c>
      <c r="B36" s="122">
        <f t="shared" si="0"/>
        <v>42074</v>
      </c>
      <c r="C36" s="109">
        <f t="shared" si="4"/>
        <v>8</v>
      </c>
      <c r="D36" s="110">
        <f t="shared" si="1"/>
        <v>0</v>
      </c>
      <c r="E36" s="111">
        <f t="shared" si="2"/>
        <v>0</v>
      </c>
    </row>
    <row r="37" spans="1:5">
      <c r="A37" s="130">
        <f t="shared" si="3"/>
        <v>42075</v>
      </c>
      <c r="B37" s="122">
        <f t="shared" si="0"/>
        <v>42088</v>
      </c>
      <c r="C37" s="109">
        <f t="shared" si="4"/>
        <v>9</v>
      </c>
      <c r="D37" s="110">
        <f t="shared" si="1"/>
        <v>0</v>
      </c>
      <c r="E37" s="111">
        <f t="shared" si="2"/>
        <v>0</v>
      </c>
    </row>
    <row r="38" spans="1:5">
      <c r="A38" s="130">
        <f t="shared" si="3"/>
        <v>42089</v>
      </c>
      <c r="B38" s="122">
        <f t="shared" si="0"/>
        <v>42102</v>
      </c>
      <c r="C38" s="109">
        <f t="shared" si="4"/>
        <v>10</v>
      </c>
      <c r="D38" s="110">
        <f t="shared" si="1"/>
        <v>0</v>
      </c>
      <c r="E38" s="111">
        <f t="shared" si="2"/>
        <v>0</v>
      </c>
    </row>
    <row r="39" spans="1:5">
      <c r="A39" s="130">
        <f t="shared" si="3"/>
        <v>42103</v>
      </c>
      <c r="B39" s="122">
        <f t="shared" si="0"/>
        <v>42116</v>
      </c>
      <c r="C39" s="109">
        <f t="shared" si="4"/>
        <v>11</v>
      </c>
      <c r="D39" s="110">
        <f t="shared" si="1"/>
        <v>0</v>
      </c>
      <c r="E39" s="111">
        <f t="shared" si="2"/>
        <v>0</v>
      </c>
    </row>
    <row r="40" spans="1:5">
      <c r="A40" s="130">
        <f t="shared" si="3"/>
        <v>42117</v>
      </c>
      <c r="B40" s="122">
        <f t="shared" si="0"/>
        <v>42130</v>
      </c>
      <c r="C40" s="109">
        <f t="shared" si="4"/>
        <v>12</v>
      </c>
      <c r="D40" s="110">
        <f t="shared" si="1"/>
        <v>0</v>
      </c>
      <c r="E40" s="111">
        <f t="shared" si="2"/>
        <v>0</v>
      </c>
    </row>
    <row r="41" spans="1:5">
      <c r="A41" s="130">
        <f t="shared" si="3"/>
        <v>42131</v>
      </c>
      <c r="B41" s="122">
        <f t="shared" si="0"/>
        <v>42144</v>
      </c>
      <c r="C41" s="109">
        <f t="shared" si="4"/>
        <v>13</v>
      </c>
      <c r="D41" s="110">
        <f t="shared" si="1"/>
        <v>0</v>
      </c>
      <c r="E41" s="111">
        <f t="shared" si="2"/>
        <v>0</v>
      </c>
    </row>
    <row r="42" spans="1:5">
      <c r="A42" s="130">
        <f t="shared" si="3"/>
        <v>42145</v>
      </c>
      <c r="B42" s="122">
        <f t="shared" si="0"/>
        <v>42158</v>
      </c>
      <c r="C42" s="109">
        <f t="shared" si="4"/>
        <v>14</v>
      </c>
      <c r="D42" s="110">
        <f t="shared" si="1"/>
        <v>0</v>
      </c>
      <c r="E42" s="111">
        <f t="shared" si="2"/>
        <v>0</v>
      </c>
    </row>
    <row r="43" spans="1:5">
      <c r="A43" s="130">
        <f t="shared" si="3"/>
        <v>42159</v>
      </c>
      <c r="B43" s="122">
        <f t="shared" si="0"/>
        <v>42172</v>
      </c>
      <c r="C43" s="109">
        <f t="shared" si="4"/>
        <v>15</v>
      </c>
      <c r="D43" s="110">
        <f t="shared" si="1"/>
        <v>0</v>
      </c>
      <c r="E43" s="111">
        <f t="shared" si="2"/>
        <v>0</v>
      </c>
    </row>
    <row r="44" spans="1:5">
      <c r="A44" s="130">
        <f t="shared" si="3"/>
        <v>42173</v>
      </c>
      <c r="B44" s="122">
        <f t="shared" si="0"/>
        <v>42186</v>
      </c>
      <c r="C44" s="109">
        <f t="shared" si="4"/>
        <v>16</v>
      </c>
      <c r="D44" s="110">
        <f t="shared" si="1"/>
        <v>0</v>
      </c>
      <c r="E44" s="111">
        <f t="shared" si="2"/>
        <v>0</v>
      </c>
    </row>
    <row r="45" spans="1:5">
      <c r="A45" s="130">
        <f t="shared" si="3"/>
        <v>42187</v>
      </c>
      <c r="B45" s="122">
        <f t="shared" si="0"/>
        <v>42200</v>
      </c>
      <c r="C45" s="109">
        <f t="shared" si="4"/>
        <v>17</v>
      </c>
      <c r="D45" s="110">
        <f t="shared" si="1"/>
        <v>0</v>
      </c>
      <c r="E45" s="111">
        <f t="shared" si="2"/>
        <v>0</v>
      </c>
    </row>
    <row r="46" spans="1:5">
      <c r="A46" s="130">
        <f t="shared" si="3"/>
        <v>42201</v>
      </c>
      <c r="B46" s="122">
        <f t="shared" si="0"/>
        <v>42214</v>
      </c>
      <c r="C46" s="109">
        <f t="shared" si="4"/>
        <v>18</v>
      </c>
      <c r="D46" s="110">
        <f t="shared" si="1"/>
        <v>0</v>
      </c>
      <c r="E46" s="111">
        <f t="shared" si="2"/>
        <v>0</v>
      </c>
    </row>
    <row r="47" spans="1:5">
      <c r="A47" s="130">
        <f t="shared" si="3"/>
        <v>42215</v>
      </c>
      <c r="B47" s="122">
        <f t="shared" si="0"/>
        <v>42228</v>
      </c>
      <c r="C47" s="109">
        <f t="shared" si="4"/>
        <v>19</v>
      </c>
      <c r="D47" s="110">
        <f t="shared" si="1"/>
        <v>0</v>
      </c>
      <c r="E47" s="111">
        <f t="shared" si="2"/>
        <v>0</v>
      </c>
    </row>
    <row r="48" spans="1:5">
      <c r="A48" s="130">
        <f t="shared" si="3"/>
        <v>42229</v>
      </c>
      <c r="B48" s="122">
        <f t="shared" si="0"/>
        <v>42242</v>
      </c>
      <c r="C48" s="109">
        <f t="shared" si="4"/>
        <v>20</v>
      </c>
      <c r="D48" s="110">
        <f t="shared" si="1"/>
        <v>0</v>
      </c>
      <c r="E48" s="111">
        <f t="shared" si="2"/>
        <v>0</v>
      </c>
    </row>
    <row r="49" spans="1:5">
      <c r="A49" s="130">
        <f t="shared" si="3"/>
        <v>42243</v>
      </c>
      <c r="B49" s="122">
        <f t="shared" si="0"/>
        <v>42256</v>
      </c>
      <c r="C49" s="109">
        <f t="shared" si="4"/>
        <v>21</v>
      </c>
      <c r="D49" s="110">
        <f t="shared" si="1"/>
        <v>0</v>
      </c>
      <c r="E49" s="111">
        <f t="shared" si="2"/>
        <v>0</v>
      </c>
    </row>
    <row r="50" spans="1:5">
      <c r="A50" s="130">
        <f t="shared" si="3"/>
        <v>42257</v>
      </c>
      <c r="B50" s="122">
        <f t="shared" si="0"/>
        <v>42270</v>
      </c>
      <c r="C50" s="109">
        <f t="shared" si="4"/>
        <v>22</v>
      </c>
      <c r="D50" s="110">
        <f t="shared" si="1"/>
        <v>0</v>
      </c>
      <c r="E50" s="111">
        <f t="shared" si="2"/>
        <v>0</v>
      </c>
    </row>
    <row r="51" spans="1:5">
      <c r="A51" s="130">
        <f t="shared" si="3"/>
        <v>42271</v>
      </c>
      <c r="B51" s="122">
        <f t="shared" si="0"/>
        <v>42284</v>
      </c>
      <c r="C51" s="109">
        <f t="shared" si="4"/>
        <v>23</v>
      </c>
      <c r="D51" s="110">
        <f t="shared" si="1"/>
        <v>0</v>
      </c>
      <c r="E51" s="111">
        <f t="shared" si="2"/>
        <v>0</v>
      </c>
    </row>
    <row r="52" spans="1:5">
      <c r="A52" s="130">
        <f t="shared" si="3"/>
        <v>42285</v>
      </c>
      <c r="B52" s="122">
        <f t="shared" si="0"/>
        <v>42298</v>
      </c>
      <c r="C52" s="109">
        <f t="shared" ref="C52:C53" si="5">C51+1</f>
        <v>24</v>
      </c>
      <c r="D52" s="110">
        <f t="shared" si="1"/>
        <v>0</v>
      </c>
      <c r="E52" s="111">
        <f t="shared" si="2"/>
        <v>0</v>
      </c>
    </row>
    <row r="53" spans="1:5" ht="13" thickBot="1">
      <c r="A53" s="131">
        <f t="shared" si="3"/>
        <v>42299</v>
      </c>
      <c r="B53" s="125">
        <f t="shared" si="0"/>
        <v>42312</v>
      </c>
      <c r="C53" s="112">
        <f t="shared" si="5"/>
        <v>25</v>
      </c>
      <c r="D53" s="113">
        <f t="shared" si="1"/>
        <v>0</v>
      </c>
      <c r="E53" s="114">
        <f t="shared" si="2"/>
        <v>0</v>
      </c>
    </row>
    <row r="55" spans="1:5" ht="18.5" thickBot="1">
      <c r="A55" s="90" t="s">
        <v>97</v>
      </c>
    </row>
    <row r="56" spans="1:5" ht="14.5" thickBot="1">
      <c r="A56" s="103" t="s">
        <v>95</v>
      </c>
      <c r="B56" s="104" t="s">
        <v>96</v>
      </c>
      <c r="C56" s="105" t="s">
        <v>79</v>
      </c>
    </row>
    <row r="57" spans="1:5" ht="14">
      <c r="A57" s="132" t="s">
        <v>84</v>
      </c>
      <c r="B57" s="119">
        <v>41640</v>
      </c>
      <c r="C57" s="115" t="str">
        <f t="shared" ref="C57:C67" si="6">IF(ISNA(VLOOKUP(B57,sprints,3)),"",VLOOKUP(B57,sprints,3))</f>
        <v/>
      </c>
      <c r="D57" t="s">
        <v>128</v>
      </c>
    </row>
    <row r="58" spans="1:5" ht="14">
      <c r="A58" s="133" t="s">
        <v>85</v>
      </c>
      <c r="B58" s="122">
        <v>41659</v>
      </c>
      <c r="C58" s="115" t="str">
        <f t="shared" si="6"/>
        <v/>
      </c>
      <c r="D58" t="s">
        <v>151</v>
      </c>
    </row>
    <row r="59" spans="1:5" ht="14">
      <c r="A59" s="133" t="s">
        <v>86</v>
      </c>
      <c r="B59" s="122">
        <v>41687</v>
      </c>
      <c r="C59" s="115" t="str">
        <f t="shared" si="6"/>
        <v/>
      </c>
    </row>
    <row r="60" spans="1:5" ht="14">
      <c r="A60" s="133" t="s">
        <v>87</v>
      </c>
      <c r="B60" s="122">
        <v>41747</v>
      </c>
      <c r="C60" s="115" t="str">
        <f t="shared" si="6"/>
        <v/>
      </c>
    </row>
    <row r="61" spans="1:5" ht="14">
      <c r="A61" s="133" t="s">
        <v>88</v>
      </c>
      <c r="B61" s="122">
        <v>41785</v>
      </c>
      <c r="C61" s="115" t="str">
        <f t="shared" si="6"/>
        <v/>
      </c>
    </row>
    <row r="62" spans="1:5" ht="14">
      <c r="A62" s="133" t="s">
        <v>89</v>
      </c>
      <c r="B62" s="122">
        <v>41824</v>
      </c>
      <c r="C62" s="115" t="str">
        <f t="shared" si="6"/>
        <v/>
      </c>
    </row>
    <row r="63" spans="1:5" ht="14">
      <c r="A63" s="133" t="s">
        <v>90</v>
      </c>
      <c r="B63" s="122">
        <v>41883</v>
      </c>
      <c r="C63" s="115" t="str">
        <f t="shared" si="6"/>
        <v/>
      </c>
    </row>
    <row r="64" spans="1:5" ht="14">
      <c r="A64" s="133" t="s">
        <v>91</v>
      </c>
      <c r="B64" s="122">
        <v>41925</v>
      </c>
      <c r="C64" s="115" t="str">
        <f t="shared" si="6"/>
        <v/>
      </c>
    </row>
    <row r="65" spans="1:3" ht="14">
      <c r="A65" s="133" t="s">
        <v>92</v>
      </c>
      <c r="B65" s="122">
        <v>41954</v>
      </c>
      <c r="C65" s="115">
        <f t="shared" si="6"/>
        <v>0</v>
      </c>
    </row>
    <row r="66" spans="1:3" ht="14">
      <c r="A66" s="133" t="s">
        <v>93</v>
      </c>
      <c r="B66" s="122">
        <v>41970</v>
      </c>
      <c r="C66" s="115">
        <f t="shared" si="6"/>
        <v>1</v>
      </c>
    </row>
    <row r="67" spans="1:3" ht="14.5" thickBot="1">
      <c r="A67" s="134" t="s">
        <v>94</v>
      </c>
      <c r="B67" s="125">
        <v>41998</v>
      </c>
      <c r="C67" s="116">
        <f t="shared" si="6"/>
        <v>3</v>
      </c>
    </row>
  </sheetData>
  <phoneticPr fontId="6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0" workbookViewId="0">
      <selection activeCell="I38" sqref="I38"/>
    </sheetView>
  </sheetViews>
  <sheetFormatPr defaultColWidth="11.54296875" defaultRowHeight="12.5"/>
  <cols>
    <col min="1" max="1" width="14.81640625" customWidth="1"/>
    <col min="2" max="2" width="12.453125" bestFit="1" customWidth="1"/>
    <col min="7" max="7" width="12.08984375" customWidth="1"/>
  </cols>
  <sheetData>
    <row r="1" spans="1:9" ht="42.5" thickBot="1">
      <c r="A1" s="93" t="s">
        <v>102</v>
      </c>
      <c r="B1" s="94" t="s">
        <v>46</v>
      </c>
      <c r="C1" s="94" t="s">
        <v>82</v>
      </c>
      <c r="D1" s="94" t="s">
        <v>83</v>
      </c>
      <c r="E1" s="94" t="s">
        <v>104</v>
      </c>
      <c r="F1" s="94" t="s">
        <v>105</v>
      </c>
      <c r="G1" s="94" t="s">
        <v>103</v>
      </c>
      <c r="H1" s="95" t="s">
        <v>109</v>
      </c>
    </row>
    <row r="2" spans="1:9">
      <c r="A2" s="117" t="s">
        <v>133</v>
      </c>
      <c r="B2" s="118" t="s">
        <v>47</v>
      </c>
      <c r="C2" s="122">
        <v>42006</v>
      </c>
      <c r="D2" s="118"/>
      <c r="E2" s="107">
        <f t="shared" ref="E2:E21" si="0">IF(C2&lt;start_date,0,VLOOKUP(C2,sprints,3))</f>
        <v>4</v>
      </c>
      <c r="F2" s="107">
        <f t="shared" ref="F2:F21" si="1">IF(ISBLANK(D2),LastSprint+1,VLOOKUP(D2,sprints,3))</f>
        <v>26</v>
      </c>
      <c r="G2" s="126">
        <v>0</v>
      </c>
      <c r="H2" s="108">
        <f>Hours_in_iteration*Team!G2</f>
        <v>0</v>
      </c>
      <c r="I2" t="s">
        <v>129</v>
      </c>
    </row>
    <row r="3" spans="1:9">
      <c r="A3" s="120" t="s">
        <v>134</v>
      </c>
      <c r="B3" s="121" t="s">
        <v>48</v>
      </c>
      <c r="C3" s="122">
        <v>41913</v>
      </c>
      <c r="D3" s="121"/>
      <c r="E3" s="110">
        <f t="shared" si="0"/>
        <v>0</v>
      </c>
      <c r="F3" s="110">
        <f t="shared" si="1"/>
        <v>26</v>
      </c>
      <c r="G3" s="127">
        <v>0.5</v>
      </c>
      <c r="H3" s="111">
        <f>Hours_in_iteration*Team!G3</f>
        <v>40</v>
      </c>
      <c r="I3" t="s">
        <v>130</v>
      </c>
    </row>
    <row r="4" spans="1:9">
      <c r="A4" s="120" t="s">
        <v>135</v>
      </c>
      <c r="B4" s="121" t="s">
        <v>49</v>
      </c>
      <c r="C4" s="122">
        <v>41913</v>
      </c>
      <c r="D4" s="121"/>
      <c r="E4" s="110">
        <f t="shared" si="0"/>
        <v>0</v>
      </c>
      <c r="F4" s="110">
        <f t="shared" si="1"/>
        <v>26</v>
      </c>
      <c r="G4" s="127">
        <v>1</v>
      </c>
      <c r="H4" s="111">
        <f>Hours_in_iteration*Team!G4</f>
        <v>80</v>
      </c>
      <c r="I4" t="s">
        <v>131</v>
      </c>
    </row>
    <row r="5" spans="1:9">
      <c r="A5" s="120" t="s">
        <v>136</v>
      </c>
      <c r="B5" s="121" t="s">
        <v>49</v>
      </c>
      <c r="C5" s="122">
        <v>41913</v>
      </c>
      <c r="D5" s="121"/>
      <c r="E5" s="110">
        <f t="shared" si="0"/>
        <v>0</v>
      </c>
      <c r="F5" s="110">
        <f t="shared" si="1"/>
        <v>26</v>
      </c>
      <c r="G5" s="127">
        <v>1</v>
      </c>
      <c r="H5" s="111">
        <f>Hours_in_iteration*Team!G5</f>
        <v>80</v>
      </c>
      <c r="I5" t="s">
        <v>155</v>
      </c>
    </row>
    <row r="6" spans="1:9">
      <c r="A6" s="120" t="s">
        <v>137</v>
      </c>
      <c r="B6" s="121" t="s">
        <v>49</v>
      </c>
      <c r="C6" s="122">
        <v>41913</v>
      </c>
      <c r="D6" s="121"/>
      <c r="E6" s="110">
        <f t="shared" si="0"/>
        <v>0</v>
      </c>
      <c r="F6" s="110">
        <f t="shared" si="1"/>
        <v>26</v>
      </c>
      <c r="G6" s="127">
        <v>1</v>
      </c>
      <c r="H6" s="111">
        <f>Hours_in_iteration*Team!G6</f>
        <v>80</v>
      </c>
    </row>
    <row r="7" spans="1:9">
      <c r="A7" s="120" t="s">
        <v>138</v>
      </c>
      <c r="B7" s="121" t="s">
        <v>49</v>
      </c>
      <c r="C7" s="122">
        <v>41913</v>
      </c>
      <c r="D7" s="122">
        <v>42050</v>
      </c>
      <c r="E7" s="110">
        <f t="shared" si="0"/>
        <v>0</v>
      </c>
      <c r="F7" s="110">
        <f t="shared" si="1"/>
        <v>7</v>
      </c>
      <c r="G7" s="127">
        <v>1</v>
      </c>
      <c r="H7" s="111">
        <f>Hours_in_iteration*Team!G7</f>
        <v>80</v>
      </c>
    </row>
    <row r="8" spans="1:9">
      <c r="A8" s="120" t="s">
        <v>139</v>
      </c>
      <c r="B8" s="121" t="s">
        <v>49</v>
      </c>
      <c r="C8" s="122">
        <v>41913</v>
      </c>
      <c r="D8" s="121"/>
      <c r="E8" s="110">
        <f t="shared" si="0"/>
        <v>0</v>
      </c>
      <c r="F8" s="110">
        <f t="shared" si="1"/>
        <v>26</v>
      </c>
      <c r="G8" s="127">
        <v>1</v>
      </c>
      <c r="H8" s="111">
        <f>Hours_in_iteration*Team!G8</f>
        <v>80</v>
      </c>
    </row>
    <row r="9" spans="1:9">
      <c r="A9" s="120" t="s">
        <v>140</v>
      </c>
      <c r="B9" s="121" t="s">
        <v>50</v>
      </c>
      <c r="C9" s="122">
        <v>41913</v>
      </c>
      <c r="D9" s="121"/>
      <c r="E9" s="110">
        <f t="shared" si="0"/>
        <v>0</v>
      </c>
      <c r="F9" s="110">
        <f t="shared" si="1"/>
        <v>26</v>
      </c>
      <c r="G9" s="127">
        <v>1</v>
      </c>
      <c r="H9" s="111">
        <f>Hours_in_iteration*Team!G9</f>
        <v>80</v>
      </c>
    </row>
    <row r="10" spans="1:9">
      <c r="A10" s="120" t="s">
        <v>141</v>
      </c>
      <c r="B10" s="121" t="s">
        <v>50</v>
      </c>
      <c r="C10" s="122">
        <v>41913</v>
      </c>
      <c r="D10" s="122">
        <v>42005</v>
      </c>
      <c r="E10" s="110">
        <f t="shared" si="0"/>
        <v>0</v>
      </c>
      <c r="F10" s="110">
        <f t="shared" si="1"/>
        <v>4</v>
      </c>
      <c r="G10" s="127">
        <v>1</v>
      </c>
      <c r="H10" s="111">
        <f>Hours_in_iteration*Team!G10</f>
        <v>80</v>
      </c>
    </row>
    <row r="11" spans="1:9">
      <c r="A11" s="120" t="s">
        <v>142</v>
      </c>
      <c r="B11" s="121" t="s">
        <v>49</v>
      </c>
      <c r="C11" s="122">
        <v>41913</v>
      </c>
      <c r="D11" s="121"/>
      <c r="E11" s="110">
        <f t="shared" si="0"/>
        <v>0</v>
      </c>
      <c r="F11" s="110">
        <f t="shared" si="1"/>
        <v>26</v>
      </c>
      <c r="G11" s="127">
        <v>1</v>
      </c>
      <c r="H11" s="111">
        <f>Hours_in_iteration*Team!G11</f>
        <v>80</v>
      </c>
    </row>
    <row r="12" spans="1:9">
      <c r="A12" s="120" t="s">
        <v>23</v>
      </c>
      <c r="B12" s="121" t="s">
        <v>49</v>
      </c>
      <c r="C12" s="122">
        <v>41913</v>
      </c>
      <c r="D12" s="121"/>
      <c r="E12" s="110">
        <f t="shared" si="0"/>
        <v>0</v>
      </c>
      <c r="F12" s="110">
        <f t="shared" si="1"/>
        <v>26</v>
      </c>
      <c r="G12" s="127">
        <v>1</v>
      </c>
      <c r="H12" s="111">
        <f>Hours_in_iteration*Team!G12</f>
        <v>80</v>
      </c>
    </row>
    <row r="13" spans="1:9">
      <c r="A13" s="120" t="s">
        <v>23</v>
      </c>
      <c r="B13" s="121" t="s">
        <v>49</v>
      </c>
      <c r="C13" s="122">
        <v>41913</v>
      </c>
      <c r="D13" s="121"/>
      <c r="E13" s="110">
        <f t="shared" si="0"/>
        <v>0</v>
      </c>
      <c r="F13" s="110">
        <f t="shared" si="1"/>
        <v>26</v>
      </c>
      <c r="G13" s="127">
        <v>1</v>
      </c>
      <c r="H13" s="111">
        <f>Hours_in_iteration*Team!G13</f>
        <v>80</v>
      </c>
    </row>
    <row r="14" spans="1:9">
      <c r="A14" s="120" t="s">
        <v>106</v>
      </c>
      <c r="B14" s="121" t="s">
        <v>156</v>
      </c>
      <c r="C14" s="122">
        <v>41913</v>
      </c>
      <c r="D14" s="121"/>
      <c r="E14" s="110">
        <f t="shared" si="0"/>
        <v>0</v>
      </c>
      <c r="F14" s="110">
        <f t="shared" si="1"/>
        <v>26</v>
      </c>
      <c r="G14" s="127">
        <v>0.2</v>
      </c>
      <c r="H14" s="111">
        <f>Hours_in_iteration*Team!G14</f>
        <v>16</v>
      </c>
    </row>
    <row r="15" spans="1:9">
      <c r="A15" s="120" t="e">
        <v>#N/A</v>
      </c>
      <c r="B15" s="121"/>
      <c r="C15" s="122"/>
      <c r="D15" s="121"/>
      <c r="E15" s="110">
        <f t="shared" si="0"/>
        <v>0</v>
      </c>
      <c r="F15" s="110">
        <f t="shared" si="1"/>
        <v>26</v>
      </c>
      <c r="G15" s="127">
        <v>0</v>
      </c>
      <c r="H15" s="111">
        <f>Hours_in_iteration*Team!G15</f>
        <v>0</v>
      </c>
    </row>
    <row r="16" spans="1:9">
      <c r="A16" s="120" t="e">
        <v>#N/A</v>
      </c>
      <c r="B16" s="121"/>
      <c r="C16" s="122"/>
      <c r="D16" s="121"/>
      <c r="E16" s="110">
        <f t="shared" si="0"/>
        <v>0</v>
      </c>
      <c r="F16" s="110">
        <f t="shared" si="1"/>
        <v>26</v>
      </c>
      <c r="G16" s="127">
        <v>0</v>
      </c>
      <c r="H16" s="111">
        <f>Hours_in_iteration*Team!G16</f>
        <v>0</v>
      </c>
    </row>
    <row r="17" spans="1:9">
      <c r="A17" s="120" t="e">
        <v>#N/A</v>
      </c>
      <c r="B17" s="121"/>
      <c r="C17" s="122"/>
      <c r="D17" s="121"/>
      <c r="E17" s="110">
        <f t="shared" si="0"/>
        <v>0</v>
      </c>
      <c r="F17" s="110">
        <f t="shared" si="1"/>
        <v>26</v>
      </c>
      <c r="G17" s="127">
        <v>0</v>
      </c>
      <c r="H17" s="111">
        <f>Hours_in_iteration*Team!G17</f>
        <v>0</v>
      </c>
    </row>
    <row r="18" spans="1:9">
      <c r="A18" s="120" t="e">
        <v>#N/A</v>
      </c>
      <c r="B18" s="121"/>
      <c r="C18" s="122"/>
      <c r="D18" s="121"/>
      <c r="E18" s="110">
        <f t="shared" si="0"/>
        <v>0</v>
      </c>
      <c r="F18" s="110">
        <f t="shared" si="1"/>
        <v>26</v>
      </c>
      <c r="G18" s="127">
        <v>0</v>
      </c>
      <c r="H18" s="111">
        <f>Hours_in_iteration*Team!G18</f>
        <v>0</v>
      </c>
    </row>
    <row r="19" spans="1:9">
      <c r="A19" s="120" t="e">
        <v>#N/A</v>
      </c>
      <c r="B19" s="121"/>
      <c r="C19" s="122"/>
      <c r="D19" s="121"/>
      <c r="E19" s="110">
        <f t="shared" si="0"/>
        <v>0</v>
      </c>
      <c r="F19" s="110">
        <f t="shared" si="1"/>
        <v>26</v>
      </c>
      <c r="G19" s="127">
        <v>0</v>
      </c>
      <c r="H19" s="111">
        <f>Hours_in_iteration*Team!G19</f>
        <v>0</v>
      </c>
    </row>
    <row r="20" spans="1:9">
      <c r="A20" s="120" t="e">
        <v>#N/A</v>
      </c>
      <c r="B20" s="121"/>
      <c r="C20" s="122"/>
      <c r="D20" s="121"/>
      <c r="E20" s="110">
        <f t="shared" si="0"/>
        <v>0</v>
      </c>
      <c r="F20" s="110">
        <f t="shared" si="1"/>
        <v>26</v>
      </c>
      <c r="G20" s="127">
        <v>0</v>
      </c>
      <c r="H20" s="111">
        <f>Hours_in_iteration*Team!G20</f>
        <v>0</v>
      </c>
    </row>
    <row r="21" spans="1:9" ht="13" thickBot="1">
      <c r="A21" s="123" t="e">
        <v>#N/A</v>
      </c>
      <c r="B21" s="124"/>
      <c r="C21" s="125"/>
      <c r="D21" s="124"/>
      <c r="E21" s="113">
        <f t="shared" si="0"/>
        <v>0</v>
      </c>
      <c r="F21" s="113">
        <f t="shared" si="1"/>
        <v>26</v>
      </c>
      <c r="G21" s="128">
        <v>0</v>
      </c>
      <c r="H21" s="114">
        <f>Hours_in_iteration*Team!G21</f>
        <v>0</v>
      </c>
    </row>
    <row r="22" spans="1:9">
      <c r="A22" s="7"/>
      <c r="B22" s="7"/>
      <c r="C22" s="96"/>
      <c r="D22" s="96"/>
      <c r="E22" s="7"/>
      <c r="F22" s="7"/>
      <c r="G22" s="97"/>
    </row>
    <row r="24" spans="1:9" ht="18.5" thickBot="1">
      <c r="A24" s="90" t="s">
        <v>115</v>
      </c>
    </row>
    <row r="25" spans="1:9" ht="13.5" thickBot="1">
      <c r="A25" s="88" t="s">
        <v>101</v>
      </c>
      <c r="B25" s="89" t="s">
        <v>96</v>
      </c>
      <c r="C25" s="89" t="s">
        <v>79</v>
      </c>
      <c r="D25" s="89" t="s">
        <v>110</v>
      </c>
      <c r="E25" s="192" t="s">
        <v>114</v>
      </c>
      <c r="F25" s="193"/>
      <c r="G25" s="169" t="s">
        <v>119</v>
      </c>
      <c r="I25" s="98" t="s">
        <v>111</v>
      </c>
    </row>
    <row r="26" spans="1:9">
      <c r="A26" s="117" t="str">
        <f>Person13</f>
        <v>Hayes, Shane</v>
      </c>
      <c r="B26" s="119">
        <v>42006</v>
      </c>
      <c r="C26" s="107">
        <f t="shared" ref="C26:C42" si="2">IF(B26&lt;start_date,0,VLOOKUP(B26,sprints,3))</f>
        <v>4</v>
      </c>
      <c r="D26" s="107">
        <f t="shared" ref="D26:D42" si="3">IFERROR((VLOOKUP(A26,PersonCommitment,7,FALSE))*G26*HoursPerDay,0)</f>
        <v>16</v>
      </c>
      <c r="E26" s="194" t="s">
        <v>108</v>
      </c>
      <c r="F26" s="195"/>
      <c r="G26" s="168">
        <v>10</v>
      </c>
      <c r="I26" t="s">
        <v>155</v>
      </c>
    </row>
    <row r="27" spans="1:9">
      <c r="A27" s="120" t="str">
        <f>Person1</f>
        <v>Brian Richards</v>
      </c>
      <c r="B27" s="122">
        <v>42006</v>
      </c>
      <c r="C27" s="110">
        <f t="shared" si="2"/>
        <v>4</v>
      </c>
      <c r="D27" s="107">
        <f t="shared" si="3"/>
        <v>0</v>
      </c>
      <c r="E27" s="190" t="s">
        <v>143</v>
      </c>
      <c r="F27" s="191"/>
      <c r="G27" s="166">
        <v>5</v>
      </c>
      <c r="I27" t="s">
        <v>120</v>
      </c>
    </row>
    <row r="28" spans="1:9">
      <c r="A28" s="120" t="str">
        <f>Person7</f>
        <v>Stanley Burns</v>
      </c>
      <c r="B28" s="122">
        <v>41994</v>
      </c>
      <c r="C28" s="110">
        <f t="shared" si="2"/>
        <v>3</v>
      </c>
      <c r="D28" s="107">
        <f t="shared" si="3"/>
        <v>80</v>
      </c>
      <c r="E28" s="190"/>
      <c r="F28" s="191"/>
      <c r="G28" s="166">
        <v>10</v>
      </c>
      <c r="I28" t="s">
        <v>113</v>
      </c>
    </row>
    <row r="29" spans="1:9">
      <c r="A29" s="120"/>
      <c r="B29" s="122"/>
      <c r="C29" s="110">
        <f t="shared" si="2"/>
        <v>0</v>
      </c>
      <c r="D29" s="107">
        <f t="shared" si="3"/>
        <v>0</v>
      </c>
      <c r="E29" s="190"/>
      <c r="F29" s="191"/>
      <c r="G29" s="166"/>
      <c r="I29" t="s">
        <v>118</v>
      </c>
    </row>
    <row r="30" spans="1:9">
      <c r="A30" s="120"/>
      <c r="B30" s="122"/>
      <c r="C30" s="110">
        <f t="shared" si="2"/>
        <v>0</v>
      </c>
      <c r="D30" s="107">
        <f t="shared" si="3"/>
        <v>0</v>
      </c>
      <c r="E30" s="190"/>
      <c r="F30" s="191"/>
      <c r="G30" s="166"/>
    </row>
    <row r="31" spans="1:9">
      <c r="A31" s="120" t="str">
        <f>Person3</f>
        <v>Russel Miller</v>
      </c>
      <c r="B31" s="122">
        <v>41994</v>
      </c>
      <c r="C31" s="110">
        <f t="shared" si="2"/>
        <v>3</v>
      </c>
      <c r="D31" s="107">
        <f t="shared" si="3"/>
        <v>16</v>
      </c>
      <c r="E31" s="190" t="s">
        <v>143</v>
      </c>
      <c r="F31" s="191"/>
      <c r="G31" s="166">
        <v>2</v>
      </c>
    </row>
    <row r="32" spans="1:9">
      <c r="A32" s="120"/>
      <c r="B32" s="122"/>
      <c r="C32" s="110">
        <f t="shared" si="2"/>
        <v>0</v>
      </c>
      <c r="D32" s="107">
        <f t="shared" si="3"/>
        <v>0</v>
      </c>
      <c r="E32" s="190"/>
      <c r="F32" s="191"/>
      <c r="G32" s="166"/>
    </row>
    <row r="33" spans="1:7">
      <c r="A33" s="120"/>
      <c r="B33" s="122"/>
      <c r="C33" s="110">
        <f t="shared" si="2"/>
        <v>0</v>
      </c>
      <c r="D33" s="107">
        <f t="shared" si="3"/>
        <v>0</v>
      </c>
      <c r="E33" s="190"/>
      <c r="F33" s="191"/>
      <c r="G33" s="166"/>
    </row>
    <row r="34" spans="1:7">
      <c r="A34" s="120"/>
      <c r="B34" s="122"/>
      <c r="C34" s="110">
        <f t="shared" si="2"/>
        <v>0</v>
      </c>
      <c r="D34" s="107">
        <f t="shared" si="3"/>
        <v>0</v>
      </c>
      <c r="E34" s="190"/>
      <c r="F34" s="191"/>
      <c r="G34" s="166"/>
    </row>
    <row r="35" spans="1:7">
      <c r="A35" s="120" t="str">
        <f>Person5</f>
        <v>Janis Bauer</v>
      </c>
      <c r="B35" s="122">
        <v>42018</v>
      </c>
      <c r="C35" s="110">
        <f t="shared" si="2"/>
        <v>4</v>
      </c>
      <c r="D35" s="107">
        <f t="shared" si="3"/>
        <v>40</v>
      </c>
      <c r="E35" s="190" t="s">
        <v>108</v>
      </c>
      <c r="F35" s="191"/>
      <c r="G35" s="166">
        <v>5</v>
      </c>
    </row>
    <row r="36" spans="1:7">
      <c r="A36" s="120"/>
      <c r="B36" s="122"/>
      <c r="C36" s="110">
        <f t="shared" si="2"/>
        <v>0</v>
      </c>
      <c r="D36" s="107">
        <f t="shared" si="3"/>
        <v>0</v>
      </c>
      <c r="E36" s="190"/>
      <c r="F36" s="191"/>
      <c r="G36" s="166"/>
    </row>
    <row r="37" spans="1:7">
      <c r="A37" s="120"/>
      <c r="B37" s="122"/>
      <c r="C37" s="110">
        <f t="shared" si="2"/>
        <v>0</v>
      </c>
      <c r="D37" s="107">
        <f t="shared" si="3"/>
        <v>0</v>
      </c>
      <c r="E37" s="190"/>
      <c r="F37" s="191"/>
      <c r="G37" s="166"/>
    </row>
    <row r="38" spans="1:7">
      <c r="A38" s="120"/>
      <c r="B38" s="122"/>
      <c r="C38" s="110">
        <f t="shared" si="2"/>
        <v>0</v>
      </c>
      <c r="D38" s="107">
        <f t="shared" si="3"/>
        <v>0</v>
      </c>
      <c r="E38" s="190"/>
      <c r="F38" s="191"/>
      <c r="G38" s="166"/>
    </row>
    <row r="39" spans="1:7">
      <c r="A39" s="120" t="str">
        <f>Person4</f>
        <v>Ronald Morris</v>
      </c>
      <c r="B39" s="122">
        <v>42090</v>
      </c>
      <c r="C39" s="110">
        <f t="shared" si="2"/>
        <v>10</v>
      </c>
      <c r="D39" s="107">
        <f t="shared" si="3"/>
        <v>32</v>
      </c>
      <c r="E39" s="190" t="s">
        <v>108</v>
      </c>
      <c r="F39" s="191"/>
      <c r="G39" s="166">
        <v>4</v>
      </c>
    </row>
    <row r="40" spans="1:7">
      <c r="A40" s="120"/>
      <c r="B40" s="122"/>
      <c r="C40" s="110">
        <f t="shared" si="2"/>
        <v>0</v>
      </c>
      <c r="D40" s="107">
        <f t="shared" si="3"/>
        <v>0</v>
      </c>
      <c r="E40" s="190"/>
      <c r="F40" s="191"/>
      <c r="G40" s="166"/>
    </row>
    <row r="41" spans="1:7">
      <c r="A41" s="120"/>
      <c r="B41" s="122"/>
      <c r="C41" s="110">
        <f t="shared" si="2"/>
        <v>0</v>
      </c>
      <c r="D41" s="107">
        <f t="shared" si="3"/>
        <v>0</v>
      </c>
      <c r="E41" s="190"/>
      <c r="F41" s="191"/>
      <c r="G41" s="166"/>
    </row>
    <row r="42" spans="1:7" ht="13" thickBot="1">
      <c r="A42" s="123"/>
      <c r="B42" s="125"/>
      <c r="C42" s="113">
        <f t="shared" si="2"/>
        <v>0</v>
      </c>
      <c r="D42" s="113">
        <f t="shared" si="3"/>
        <v>0</v>
      </c>
      <c r="E42" s="196"/>
      <c r="F42" s="197"/>
      <c r="G42" s="167"/>
    </row>
  </sheetData>
  <mergeCells count="18">
    <mergeCell ref="E42:F42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30:F30"/>
    <mergeCell ref="E25:F25"/>
    <mergeCell ref="E26:F26"/>
    <mergeCell ref="E27:F27"/>
    <mergeCell ref="E28:F28"/>
    <mergeCell ref="E29:F29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opLeftCell="A168" workbookViewId="0">
      <selection activeCell="A190" sqref="A190"/>
    </sheetView>
  </sheetViews>
  <sheetFormatPr defaultRowHeight="12.5"/>
  <sheetData>
    <row r="1" spans="1:7">
      <c r="A1" s="184" t="s">
        <v>157</v>
      </c>
      <c r="B1" s="7"/>
      <c r="C1" s="7"/>
      <c r="D1" s="7"/>
      <c r="E1" s="7"/>
      <c r="F1" s="7"/>
      <c r="G1" s="7"/>
    </row>
    <row r="2" spans="1:7">
      <c r="A2" s="184" t="s">
        <v>158</v>
      </c>
      <c r="B2" s="7"/>
      <c r="C2" s="7"/>
      <c r="D2" s="7"/>
      <c r="E2" s="7"/>
      <c r="F2" s="7"/>
      <c r="G2" s="7"/>
    </row>
    <row r="3" spans="1:7">
      <c r="A3" s="184" t="s">
        <v>159</v>
      </c>
      <c r="B3" s="7"/>
      <c r="C3" s="7"/>
      <c r="D3" s="7"/>
      <c r="E3" s="7"/>
      <c r="F3" s="7"/>
      <c r="G3" s="7"/>
    </row>
    <row r="4" spans="1:7">
      <c r="A4" s="185"/>
      <c r="B4" s="7"/>
      <c r="C4" s="7"/>
      <c r="D4" s="7"/>
      <c r="E4" s="7"/>
      <c r="F4" s="7"/>
      <c r="G4" s="7"/>
    </row>
    <row r="5" spans="1:7">
      <c r="A5" s="184" t="s">
        <v>160</v>
      </c>
      <c r="B5" s="7"/>
      <c r="C5" s="7"/>
      <c r="D5" s="7"/>
      <c r="E5" s="7"/>
      <c r="F5" s="7"/>
      <c r="G5" s="7"/>
    </row>
    <row r="6" spans="1:7">
      <c r="A6" s="185"/>
      <c r="B6" s="7"/>
      <c r="C6" s="7"/>
      <c r="D6" s="7"/>
      <c r="E6" s="7"/>
      <c r="F6" s="7"/>
      <c r="G6" s="7"/>
    </row>
    <row r="7" spans="1:7">
      <c r="A7" s="184" t="s">
        <v>161</v>
      </c>
      <c r="B7" s="7"/>
      <c r="C7" s="7"/>
      <c r="D7" s="7"/>
      <c r="E7" s="7"/>
      <c r="F7" s="7"/>
      <c r="G7" s="7"/>
    </row>
    <row r="8" spans="1:7">
      <c r="A8" s="185"/>
      <c r="B8" s="7"/>
      <c r="C8" s="7"/>
      <c r="D8" s="7"/>
      <c r="E8" s="7"/>
      <c r="F8" s="7"/>
      <c r="G8" s="7"/>
    </row>
    <row r="9" spans="1:7">
      <c r="A9" s="184" t="s">
        <v>162</v>
      </c>
      <c r="B9" s="7"/>
      <c r="C9" s="7"/>
      <c r="D9" s="7"/>
      <c r="E9" s="7"/>
      <c r="F9" s="7"/>
      <c r="G9" s="7"/>
    </row>
    <row r="10" spans="1:7">
      <c r="A10" s="184" t="s">
        <v>163</v>
      </c>
      <c r="B10" s="7"/>
      <c r="C10" s="7"/>
      <c r="D10" s="7"/>
      <c r="E10" s="7"/>
      <c r="F10" s="7"/>
      <c r="G10" s="7"/>
    </row>
    <row r="11" spans="1:7">
      <c r="A11" s="185"/>
      <c r="B11" s="7"/>
      <c r="C11" s="7"/>
      <c r="D11" s="7"/>
      <c r="E11" s="7"/>
      <c r="F11" s="7"/>
      <c r="G11" s="7"/>
    </row>
    <row r="12" spans="1:7">
      <c r="A12" s="184" t="s">
        <v>164</v>
      </c>
      <c r="B12" s="7"/>
      <c r="C12" s="7"/>
      <c r="D12" s="7"/>
      <c r="E12" s="7"/>
      <c r="F12" s="7"/>
      <c r="G12" s="7"/>
    </row>
    <row r="13" spans="1:7">
      <c r="A13" s="184" t="s">
        <v>165</v>
      </c>
      <c r="B13" s="7"/>
      <c r="C13" s="7"/>
      <c r="D13" s="7"/>
      <c r="E13" s="7"/>
      <c r="F13" s="7"/>
      <c r="G13" s="7"/>
    </row>
    <row r="14" spans="1:7">
      <c r="A14" s="185"/>
      <c r="B14" s="7"/>
      <c r="C14" s="7"/>
      <c r="D14" s="7"/>
      <c r="E14" s="7"/>
      <c r="F14" s="7"/>
      <c r="G14" s="7"/>
    </row>
    <row r="15" spans="1:7">
      <c r="A15" s="184" t="s">
        <v>166</v>
      </c>
      <c r="B15" s="7"/>
      <c r="C15" s="7"/>
      <c r="D15" s="7"/>
      <c r="E15" s="7"/>
      <c r="F15" s="7"/>
      <c r="G15" s="7"/>
    </row>
    <row r="16" spans="1:7">
      <c r="A16" s="184" t="s">
        <v>167</v>
      </c>
      <c r="B16" s="7"/>
      <c r="C16" s="7"/>
      <c r="D16" s="7"/>
      <c r="E16" s="7"/>
      <c r="F16" s="7"/>
      <c r="G16" s="7"/>
    </row>
    <row r="17" spans="1:7">
      <c r="A17" s="184" t="s">
        <v>168</v>
      </c>
      <c r="B17" s="7"/>
      <c r="C17" s="7"/>
      <c r="D17" s="7"/>
      <c r="E17" s="7"/>
      <c r="F17" s="7"/>
      <c r="G17" s="7"/>
    </row>
    <row r="18" spans="1:7">
      <c r="A18" s="184" t="s">
        <v>169</v>
      </c>
      <c r="B18" s="7"/>
      <c r="C18" s="7"/>
      <c r="D18" s="7"/>
      <c r="E18" s="7"/>
      <c r="F18" s="7"/>
      <c r="G18" s="7"/>
    </row>
    <row r="19" spans="1:7">
      <c r="A19" s="184" t="s">
        <v>170</v>
      </c>
      <c r="B19" s="7"/>
      <c r="C19" s="7"/>
      <c r="D19" s="7"/>
      <c r="E19" s="7"/>
      <c r="F19" s="7"/>
      <c r="G19" s="7"/>
    </row>
    <row r="20" spans="1:7">
      <c r="A20" s="184" t="s">
        <v>171</v>
      </c>
      <c r="B20" s="7"/>
      <c r="C20" s="7"/>
      <c r="D20" s="7"/>
      <c r="E20" s="7"/>
      <c r="F20" s="7"/>
      <c r="G20" s="7"/>
    </row>
    <row r="21" spans="1:7">
      <c r="A21" s="184" t="s">
        <v>172</v>
      </c>
      <c r="B21" s="7"/>
      <c r="C21" s="7"/>
      <c r="D21" s="7"/>
      <c r="E21" s="7"/>
      <c r="F21" s="7"/>
      <c r="G21" s="7"/>
    </row>
    <row r="22" spans="1:7">
      <c r="A22" s="185"/>
      <c r="B22" s="7"/>
      <c r="C22" s="7"/>
      <c r="D22" s="7"/>
      <c r="E22" s="7"/>
      <c r="F22" s="7"/>
      <c r="G22" s="7"/>
    </row>
    <row r="23" spans="1:7">
      <c r="A23" s="184" t="s">
        <v>173</v>
      </c>
      <c r="B23" s="7"/>
      <c r="C23" s="7"/>
      <c r="D23" s="7"/>
      <c r="E23" s="7"/>
      <c r="F23" s="7"/>
      <c r="G23" s="7"/>
    </row>
    <row r="24" spans="1:7">
      <c r="A24" s="184" t="s">
        <v>174</v>
      </c>
      <c r="B24" s="7"/>
      <c r="C24" s="7"/>
      <c r="D24" s="7"/>
      <c r="E24" s="7"/>
      <c r="F24" s="7"/>
      <c r="G24" s="7"/>
    </row>
    <row r="25" spans="1:7">
      <c r="A25" s="185"/>
      <c r="B25" s="7"/>
      <c r="C25" s="7"/>
      <c r="D25" s="7"/>
      <c r="E25" s="7"/>
      <c r="F25" s="7"/>
      <c r="G25" s="7"/>
    </row>
    <row r="26" spans="1:7">
      <c r="A26" s="184" t="s">
        <v>175</v>
      </c>
      <c r="B26" s="7"/>
      <c r="C26" s="7"/>
      <c r="D26" s="7"/>
      <c r="E26" s="7"/>
      <c r="F26" s="7"/>
      <c r="G26" s="7"/>
    </row>
    <row r="27" spans="1:7">
      <c r="A27" s="184" t="s">
        <v>176</v>
      </c>
      <c r="B27" s="7"/>
      <c r="C27" s="7"/>
      <c r="D27" s="7"/>
      <c r="E27" s="7"/>
      <c r="F27" s="7"/>
      <c r="G27" s="7"/>
    </row>
    <row r="28" spans="1:7">
      <c r="A28" s="184" t="s">
        <v>177</v>
      </c>
      <c r="B28" s="7"/>
      <c r="C28" s="7"/>
      <c r="D28" s="7"/>
      <c r="E28" s="7"/>
      <c r="F28" s="7"/>
      <c r="G28" s="7"/>
    </row>
    <row r="29" spans="1:7">
      <c r="A29" s="185"/>
      <c r="B29" s="7"/>
      <c r="C29" s="7"/>
      <c r="D29" s="7"/>
      <c r="E29" s="7"/>
      <c r="F29" s="7"/>
      <c r="G29" s="7"/>
    </row>
    <row r="30" spans="1:7">
      <c r="A30" s="184" t="s">
        <v>178</v>
      </c>
      <c r="B30" s="7"/>
      <c r="C30" s="7"/>
      <c r="D30" s="7"/>
      <c r="E30" s="7"/>
      <c r="F30" s="7"/>
      <c r="G30" s="7"/>
    </row>
    <row r="31" spans="1:7">
      <c r="A31" s="184" t="s">
        <v>179</v>
      </c>
      <c r="B31" s="7"/>
      <c r="C31" s="7"/>
      <c r="D31" s="7"/>
      <c r="E31" s="7"/>
      <c r="F31" s="7"/>
      <c r="G31" s="7"/>
    </row>
    <row r="32" spans="1:7">
      <c r="A32" s="184" t="s">
        <v>180</v>
      </c>
      <c r="B32" s="7"/>
      <c r="C32" s="7"/>
      <c r="D32" s="7"/>
      <c r="E32" s="7"/>
      <c r="F32" s="7"/>
      <c r="G32" s="7"/>
    </row>
    <row r="33" spans="1:7">
      <c r="A33" s="184" t="s">
        <v>181</v>
      </c>
      <c r="B33" s="7"/>
      <c r="C33" s="7"/>
      <c r="D33" s="7"/>
      <c r="E33" s="7"/>
      <c r="F33" s="7"/>
      <c r="G33" s="7"/>
    </row>
    <row r="34" spans="1:7">
      <c r="A34" s="185"/>
      <c r="B34" s="7"/>
      <c r="C34" s="7"/>
      <c r="D34" s="7"/>
      <c r="E34" s="7"/>
      <c r="F34" s="7"/>
      <c r="G34" s="7"/>
    </row>
    <row r="35" spans="1:7">
      <c r="A35" s="184" t="s">
        <v>182</v>
      </c>
      <c r="B35" s="7"/>
      <c r="C35" s="7"/>
      <c r="D35" s="7"/>
      <c r="E35" s="7"/>
      <c r="F35" s="7"/>
      <c r="G35" s="7"/>
    </row>
    <row r="36" spans="1:7">
      <c r="A36" s="184" t="s">
        <v>183</v>
      </c>
      <c r="B36" s="7"/>
      <c r="C36" s="7"/>
      <c r="D36" s="7"/>
      <c r="E36" s="7"/>
      <c r="F36" s="7"/>
      <c r="G36" s="7"/>
    </row>
    <row r="37" spans="1:7">
      <c r="A37" s="184" t="s">
        <v>184</v>
      </c>
      <c r="B37" s="7"/>
      <c r="C37" s="7"/>
      <c r="D37" s="7"/>
      <c r="E37" s="7"/>
      <c r="F37" s="7"/>
      <c r="G37" s="7"/>
    </row>
    <row r="38" spans="1:7">
      <c r="A38" s="184" t="s">
        <v>185</v>
      </c>
      <c r="B38" s="7"/>
      <c r="C38" s="7"/>
      <c r="D38" s="7"/>
      <c r="E38" s="7"/>
      <c r="F38" s="7"/>
      <c r="G38" s="7"/>
    </row>
    <row r="39" spans="1:7">
      <c r="A39" s="185"/>
      <c r="B39" s="7"/>
      <c r="C39" s="7"/>
      <c r="D39" s="7"/>
      <c r="E39" s="7"/>
      <c r="F39" s="7"/>
      <c r="G39" s="7"/>
    </row>
    <row r="40" spans="1:7">
      <c r="A40" s="184" t="s">
        <v>186</v>
      </c>
      <c r="B40" s="7"/>
      <c r="C40" s="7"/>
      <c r="D40" s="7"/>
      <c r="E40" s="7"/>
      <c r="F40" s="7"/>
      <c r="G40" s="7"/>
    </row>
    <row r="41" spans="1:7">
      <c r="A41" s="184" t="s">
        <v>187</v>
      </c>
      <c r="B41" s="7"/>
      <c r="C41" s="7"/>
      <c r="D41" s="7"/>
      <c r="E41" s="7"/>
      <c r="F41" s="7"/>
      <c r="G41" s="7"/>
    </row>
    <row r="42" spans="1:7">
      <c r="A42" s="184" t="s">
        <v>188</v>
      </c>
      <c r="B42" s="7"/>
      <c r="C42" s="7"/>
      <c r="D42" s="7"/>
      <c r="E42" s="7"/>
      <c r="F42" s="7"/>
      <c r="G42" s="7"/>
    </row>
    <row r="43" spans="1:7">
      <c r="A43" s="184" t="s">
        <v>189</v>
      </c>
      <c r="B43" s="7"/>
      <c r="C43" s="7"/>
      <c r="D43" s="7"/>
      <c r="E43" s="7"/>
      <c r="F43" s="7"/>
      <c r="G43" s="7"/>
    </row>
    <row r="44" spans="1:7">
      <c r="A44" s="184" t="s">
        <v>190</v>
      </c>
      <c r="B44" s="7"/>
      <c r="C44" s="7"/>
      <c r="D44" s="7"/>
      <c r="E44" s="7"/>
      <c r="F44" s="7"/>
      <c r="G44" s="7"/>
    </row>
    <row r="45" spans="1:7">
      <c r="A45" s="184" t="s">
        <v>191</v>
      </c>
      <c r="B45" s="7"/>
      <c r="C45" s="7"/>
      <c r="D45" s="7"/>
      <c r="E45" s="7"/>
      <c r="F45" s="7"/>
      <c r="G45" s="7"/>
    </row>
    <row r="46" spans="1:7">
      <c r="A46" s="184" t="s">
        <v>192</v>
      </c>
      <c r="B46" s="7"/>
      <c r="C46" s="7"/>
      <c r="D46" s="7"/>
      <c r="E46" s="7"/>
      <c r="F46" s="7"/>
      <c r="G46" s="7"/>
    </row>
    <row r="47" spans="1:7">
      <c r="A47" s="185"/>
      <c r="B47" s="7"/>
      <c r="C47" s="7"/>
      <c r="D47" s="7"/>
      <c r="E47" s="7"/>
      <c r="F47" s="7"/>
      <c r="G47" s="7"/>
    </row>
    <row r="48" spans="1:7">
      <c r="A48" s="184" t="s">
        <v>193</v>
      </c>
      <c r="B48" s="7"/>
      <c r="C48" s="7"/>
      <c r="D48" s="7"/>
      <c r="E48" s="7"/>
      <c r="F48" s="7"/>
      <c r="G48" s="7"/>
    </row>
    <row r="49" spans="1:7">
      <c r="A49" s="184" t="s">
        <v>194</v>
      </c>
      <c r="B49" s="7"/>
      <c r="C49" s="7"/>
      <c r="D49" s="7"/>
      <c r="E49" s="7"/>
      <c r="F49" s="7"/>
      <c r="G49" s="7"/>
    </row>
    <row r="50" spans="1:7">
      <c r="A50" s="184" t="s">
        <v>195</v>
      </c>
      <c r="B50" s="7"/>
      <c r="C50" s="7"/>
      <c r="D50" s="7"/>
      <c r="E50" s="7"/>
      <c r="F50" s="7"/>
      <c r="G50" s="7"/>
    </row>
    <row r="51" spans="1:7">
      <c r="A51" s="184" t="s">
        <v>196</v>
      </c>
      <c r="B51" s="7"/>
      <c r="C51" s="7"/>
      <c r="D51" s="7"/>
      <c r="E51" s="7"/>
      <c r="F51" s="7"/>
      <c r="G51" s="7"/>
    </row>
    <row r="52" spans="1:7">
      <c r="A52" s="184" t="s">
        <v>197</v>
      </c>
      <c r="B52" s="7"/>
      <c r="C52" s="7"/>
      <c r="D52" s="7"/>
      <c r="E52" s="7"/>
      <c r="F52" s="7"/>
      <c r="G52" s="7"/>
    </row>
    <row r="53" spans="1:7">
      <c r="A53" s="184" t="s">
        <v>198</v>
      </c>
      <c r="B53" s="7"/>
      <c r="C53" s="7"/>
      <c r="D53" s="7"/>
      <c r="E53" s="7"/>
      <c r="F53" s="7"/>
      <c r="G53" s="7"/>
    </row>
    <row r="54" spans="1:7">
      <c r="A54" s="184" t="s">
        <v>199</v>
      </c>
      <c r="B54" s="7"/>
      <c r="C54" s="7"/>
      <c r="D54" s="7"/>
      <c r="E54" s="7"/>
      <c r="F54" s="7"/>
      <c r="G54" s="7"/>
    </row>
    <row r="55" spans="1:7">
      <c r="A55" s="184" t="s">
        <v>200</v>
      </c>
      <c r="B55" s="7"/>
      <c r="C55" s="7"/>
      <c r="D55" s="7"/>
      <c r="E55" s="7"/>
      <c r="F55" s="7"/>
      <c r="G55" s="7"/>
    </row>
    <row r="56" spans="1:7">
      <c r="A56" s="184" t="s">
        <v>201</v>
      </c>
      <c r="B56" s="7"/>
      <c r="C56" s="7"/>
      <c r="D56" s="7"/>
      <c r="E56" s="7"/>
      <c r="F56" s="7"/>
      <c r="G56" s="7"/>
    </row>
    <row r="57" spans="1:7">
      <c r="A57" s="184" t="s">
        <v>202</v>
      </c>
      <c r="B57" s="7"/>
      <c r="C57" s="7"/>
      <c r="D57" s="7"/>
      <c r="E57" s="7"/>
      <c r="F57" s="7"/>
      <c r="G57" s="7"/>
    </row>
    <row r="58" spans="1:7">
      <c r="A58" s="184" t="s">
        <v>203</v>
      </c>
      <c r="B58" s="7"/>
      <c r="C58" s="7"/>
      <c r="D58" s="7"/>
      <c r="E58" s="7"/>
      <c r="F58" s="7"/>
      <c r="G58" s="7"/>
    </row>
    <row r="59" spans="1:7">
      <c r="A59" s="184" t="s">
        <v>204</v>
      </c>
      <c r="B59" s="7"/>
      <c r="C59" s="7"/>
      <c r="D59" s="7"/>
      <c r="E59" s="7"/>
      <c r="F59" s="7"/>
      <c r="G59" s="7"/>
    </row>
    <row r="60" spans="1:7">
      <c r="A60" s="184" t="s">
        <v>205</v>
      </c>
      <c r="B60" s="7"/>
      <c r="C60" s="7"/>
      <c r="D60" s="7"/>
      <c r="E60" s="7"/>
      <c r="F60" s="7"/>
      <c r="G60" s="7"/>
    </row>
    <row r="61" spans="1:7">
      <c r="A61" s="185"/>
      <c r="B61" s="7"/>
      <c r="C61" s="7"/>
      <c r="D61" s="7"/>
      <c r="E61" s="7"/>
      <c r="F61" s="7"/>
      <c r="G61" s="7"/>
    </row>
    <row r="62" spans="1:7">
      <c r="A62" s="184" t="s">
        <v>206</v>
      </c>
      <c r="B62" s="7"/>
      <c r="C62" s="7"/>
      <c r="D62" s="7"/>
      <c r="E62" s="7"/>
      <c r="F62" s="7"/>
      <c r="G62" s="7"/>
    </row>
    <row r="63" spans="1:7">
      <c r="A63" s="184" t="s">
        <v>207</v>
      </c>
      <c r="B63" s="7"/>
      <c r="C63" s="7"/>
      <c r="D63" s="7"/>
      <c r="E63" s="7"/>
      <c r="F63" s="7"/>
      <c r="G63" s="7"/>
    </row>
    <row r="64" spans="1:7">
      <c r="A64" s="184" t="s">
        <v>208</v>
      </c>
      <c r="B64" s="7"/>
      <c r="C64" s="7"/>
      <c r="D64" s="7"/>
      <c r="E64" s="7"/>
      <c r="F64" s="7"/>
      <c r="G64" s="7"/>
    </row>
    <row r="65" spans="1:7">
      <c r="A65" s="185"/>
      <c r="B65" s="7"/>
      <c r="C65" s="7"/>
      <c r="D65" s="7"/>
      <c r="E65" s="7"/>
      <c r="F65" s="7"/>
      <c r="G65" s="7"/>
    </row>
    <row r="66" spans="1:7">
      <c r="A66" s="184" t="s">
        <v>209</v>
      </c>
      <c r="B66" s="7"/>
      <c r="C66" s="7"/>
      <c r="D66" s="7"/>
      <c r="E66" s="7"/>
      <c r="F66" s="7"/>
      <c r="G66" s="7"/>
    </row>
    <row r="67" spans="1:7">
      <c r="A67" s="184" t="s">
        <v>210</v>
      </c>
      <c r="B67" s="7"/>
      <c r="C67" s="7"/>
      <c r="D67" s="7"/>
      <c r="E67" s="7"/>
      <c r="F67" s="7"/>
      <c r="G67" s="7"/>
    </row>
    <row r="68" spans="1:7">
      <c r="A68" s="184" t="s">
        <v>211</v>
      </c>
      <c r="B68" s="7"/>
      <c r="C68" s="7"/>
      <c r="D68" s="7"/>
      <c r="E68" s="7"/>
      <c r="F68" s="7"/>
      <c r="G68" s="7"/>
    </row>
    <row r="69" spans="1:7">
      <c r="A69" s="184" t="s">
        <v>212</v>
      </c>
      <c r="B69" s="7"/>
      <c r="C69" s="7"/>
      <c r="D69" s="7"/>
      <c r="E69" s="7"/>
      <c r="F69" s="7"/>
      <c r="G69" s="7"/>
    </row>
    <row r="70" spans="1:7">
      <c r="A70" s="184" t="s">
        <v>213</v>
      </c>
      <c r="B70" s="7"/>
      <c r="C70" s="7"/>
      <c r="D70" s="7"/>
      <c r="E70" s="7"/>
      <c r="F70" s="7"/>
      <c r="G70" s="7"/>
    </row>
    <row r="71" spans="1:7">
      <c r="A71" s="184" t="s">
        <v>214</v>
      </c>
      <c r="B71" s="7"/>
      <c r="C71" s="7"/>
      <c r="D71" s="7"/>
      <c r="E71" s="7"/>
      <c r="F71" s="7"/>
      <c r="G71" s="7"/>
    </row>
    <row r="72" spans="1:7">
      <c r="A72" s="185"/>
      <c r="B72" s="7"/>
      <c r="C72" s="7"/>
      <c r="D72" s="7"/>
      <c r="E72" s="7"/>
      <c r="F72" s="7"/>
      <c r="G72" s="7"/>
    </row>
    <row r="73" spans="1:7">
      <c r="A73" s="184" t="s">
        <v>215</v>
      </c>
      <c r="B73" s="7"/>
      <c r="C73" s="7"/>
      <c r="D73" s="7"/>
      <c r="E73" s="7"/>
      <c r="F73" s="7"/>
      <c r="G73" s="7"/>
    </row>
    <row r="74" spans="1:7">
      <c r="A74" s="184" t="s">
        <v>210</v>
      </c>
      <c r="B74" s="7"/>
      <c r="C74" s="7"/>
      <c r="D74" s="7"/>
      <c r="E74" s="7"/>
      <c r="F74" s="7"/>
      <c r="G74" s="7"/>
    </row>
    <row r="75" spans="1:7">
      <c r="A75" s="184" t="s">
        <v>211</v>
      </c>
      <c r="B75" s="7"/>
      <c r="C75" s="7"/>
      <c r="D75" s="7"/>
      <c r="E75" s="7"/>
      <c r="F75" s="7"/>
      <c r="G75" s="7"/>
    </row>
    <row r="76" spans="1:7">
      <c r="A76" s="184" t="s">
        <v>216</v>
      </c>
      <c r="B76" s="7"/>
      <c r="C76" s="7"/>
      <c r="D76" s="7"/>
      <c r="E76" s="7"/>
      <c r="F76" s="7"/>
      <c r="G76" s="7"/>
    </row>
    <row r="77" spans="1:7">
      <c r="A77" s="184" t="s">
        <v>217</v>
      </c>
      <c r="B77" s="7"/>
      <c r="C77" s="7"/>
      <c r="D77" s="7"/>
      <c r="E77" s="7"/>
      <c r="F77" s="7"/>
      <c r="G77" s="7"/>
    </row>
    <row r="78" spans="1:7">
      <c r="A78" s="184" t="s">
        <v>218</v>
      </c>
      <c r="B78" s="7"/>
      <c r="C78" s="7"/>
      <c r="D78" s="7"/>
      <c r="E78" s="7"/>
      <c r="F78" s="7"/>
      <c r="G78" s="7"/>
    </row>
    <row r="79" spans="1:7">
      <c r="A79" s="184" t="s">
        <v>219</v>
      </c>
      <c r="B79" s="7"/>
      <c r="C79" s="7"/>
      <c r="D79" s="7"/>
      <c r="E79" s="7"/>
      <c r="F79" s="7"/>
      <c r="G79" s="7"/>
    </row>
    <row r="80" spans="1:7">
      <c r="A80" s="184" t="s">
        <v>220</v>
      </c>
      <c r="B80" s="7"/>
      <c r="C80" s="7"/>
      <c r="D80" s="7"/>
      <c r="E80" s="7"/>
      <c r="F80" s="7"/>
      <c r="G80" s="7"/>
    </row>
    <row r="81" spans="1:7">
      <c r="A81" s="184" t="s">
        <v>221</v>
      </c>
      <c r="B81" s="7"/>
      <c r="C81" s="7"/>
      <c r="D81" s="7"/>
      <c r="E81" s="7"/>
      <c r="F81" s="7"/>
      <c r="G81" s="7"/>
    </row>
    <row r="82" spans="1:7">
      <c r="A82" s="184" t="s">
        <v>222</v>
      </c>
      <c r="B82" s="7"/>
      <c r="C82" s="7"/>
      <c r="D82" s="7"/>
      <c r="E82" s="7"/>
      <c r="F82" s="7"/>
      <c r="G82" s="7"/>
    </row>
    <row r="83" spans="1:7">
      <c r="A83" s="184" t="s">
        <v>223</v>
      </c>
      <c r="B83" s="7"/>
      <c r="C83" s="7"/>
      <c r="D83" s="7"/>
      <c r="E83" s="7"/>
      <c r="F83" s="7"/>
      <c r="G83" s="7"/>
    </row>
    <row r="84" spans="1:7">
      <c r="A84" s="184" t="s">
        <v>224</v>
      </c>
      <c r="B84" s="7"/>
      <c r="C84" s="7"/>
      <c r="D84" s="7"/>
      <c r="E84" s="7"/>
      <c r="F84" s="7"/>
      <c r="G84" s="7"/>
    </row>
    <row r="85" spans="1:7">
      <c r="A85" s="184" t="s">
        <v>225</v>
      </c>
      <c r="B85" s="7"/>
      <c r="C85" s="7"/>
      <c r="D85" s="7"/>
      <c r="E85" s="7"/>
      <c r="F85" s="7"/>
      <c r="G85" s="7"/>
    </row>
    <row r="86" spans="1:7">
      <c r="A86" s="184" t="s">
        <v>226</v>
      </c>
      <c r="B86" s="7"/>
      <c r="C86" s="7"/>
      <c r="D86" s="7"/>
      <c r="E86" s="7"/>
      <c r="F86" s="7"/>
      <c r="G86" s="7"/>
    </row>
    <row r="87" spans="1:7">
      <c r="A87" s="184" t="s">
        <v>227</v>
      </c>
      <c r="B87" s="7"/>
      <c r="C87" s="7"/>
      <c r="D87" s="7"/>
      <c r="E87" s="7"/>
      <c r="F87" s="7"/>
      <c r="G87" s="7"/>
    </row>
    <row r="88" spans="1:7">
      <c r="A88" s="185"/>
      <c r="B88" s="7"/>
      <c r="C88" s="7"/>
      <c r="D88" s="7"/>
      <c r="E88" s="7"/>
      <c r="F88" s="7"/>
      <c r="G88" s="7"/>
    </row>
    <row r="89" spans="1:7">
      <c r="A89" s="184" t="s">
        <v>228</v>
      </c>
      <c r="B89" s="7"/>
      <c r="C89" s="7"/>
      <c r="D89" s="7"/>
      <c r="E89" s="7"/>
      <c r="F89" s="7"/>
      <c r="G89" s="7"/>
    </row>
    <row r="90" spans="1:7">
      <c r="A90" s="184" t="s">
        <v>229</v>
      </c>
      <c r="B90" s="7"/>
      <c r="C90" s="7"/>
      <c r="D90" s="7"/>
      <c r="E90" s="7"/>
      <c r="F90" s="7"/>
      <c r="G90" s="7"/>
    </row>
    <row r="91" spans="1:7">
      <c r="A91" s="184" t="s">
        <v>230</v>
      </c>
      <c r="B91" s="7"/>
      <c r="C91" s="7"/>
      <c r="D91" s="7"/>
      <c r="E91" s="7"/>
      <c r="F91" s="7"/>
      <c r="G91" s="7"/>
    </row>
    <row r="92" spans="1:7">
      <c r="A92" s="184" t="s">
        <v>231</v>
      </c>
      <c r="B92" s="7"/>
      <c r="C92" s="7"/>
      <c r="D92" s="7"/>
      <c r="E92" s="7"/>
      <c r="F92" s="7"/>
      <c r="G92" s="7"/>
    </row>
    <row r="93" spans="1:7">
      <c r="A93" s="185"/>
      <c r="B93" s="7"/>
      <c r="C93" s="7"/>
      <c r="D93" s="7"/>
      <c r="E93" s="7"/>
      <c r="F93" s="7"/>
      <c r="G93" s="7"/>
    </row>
    <row r="94" spans="1:7">
      <c r="A94" s="184" t="s">
        <v>232</v>
      </c>
      <c r="B94" s="7"/>
      <c r="C94" s="7"/>
      <c r="D94" s="7"/>
      <c r="E94" s="7"/>
      <c r="F94" s="7"/>
      <c r="G94" s="7"/>
    </row>
    <row r="95" spans="1:7">
      <c r="A95" s="184" t="s">
        <v>233</v>
      </c>
      <c r="B95" s="7"/>
      <c r="C95" s="7"/>
      <c r="D95" s="7"/>
      <c r="E95" s="7"/>
      <c r="F95" s="7"/>
      <c r="G95" s="7"/>
    </row>
    <row r="96" spans="1:7">
      <c r="A96" s="185"/>
      <c r="B96" s="7"/>
      <c r="C96" s="7"/>
      <c r="D96" s="7"/>
      <c r="E96" s="7"/>
      <c r="F96" s="7"/>
      <c r="G96" s="7"/>
    </row>
    <row r="97" spans="1:7">
      <c r="A97" s="184" t="s">
        <v>234</v>
      </c>
      <c r="B97" s="7"/>
      <c r="C97" s="7"/>
      <c r="D97" s="7"/>
      <c r="E97" s="7"/>
      <c r="F97" s="7"/>
      <c r="G97" s="7"/>
    </row>
    <row r="98" spans="1:7">
      <c r="A98" s="184" t="s">
        <v>235</v>
      </c>
      <c r="B98" s="7"/>
      <c r="C98" s="7"/>
      <c r="D98" s="7"/>
      <c r="E98" s="7"/>
      <c r="F98" s="7"/>
      <c r="G98" s="7"/>
    </row>
    <row r="99" spans="1:7">
      <c r="A99" s="185"/>
      <c r="B99" s="7"/>
      <c r="C99" s="7"/>
      <c r="D99" s="7"/>
      <c r="E99" s="7"/>
      <c r="F99" s="7"/>
      <c r="G99" s="7"/>
    </row>
    <row r="100" spans="1:7">
      <c r="A100" s="184" t="s">
        <v>236</v>
      </c>
      <c r="B100" s="7"/>
      <c r="C100" s="7"/>
      <c r="D100" s="7"/>
      <c r="E100" s="7"/>
      <c r="F100" s="7"/>
      <c r="G100" s="7"/>
    </row>
    <row r="101" spans="1:7">
      <c r="A101" s="184" t="s">
        <v>237</v>
      </c>
      <c r="B101" s="7"/>
      <c r="C101" s="7"/>
      <c r="D101" s="7"/>
      <c r="E101" s="7"/>
      <c r="F101" s="7"/>
      <c r="G101" s="7"/>
    </row>
    <row r="102" spans="1:7">
      <c r="A102" s="184" t="s">
        <v>238</v>
      </c>
      <c r="B102" s="7"/>
      <c r="C102" s="7"/>
      <c r="D102" s="7"/>
      <c r="E102" s="7"/>
      <c r="F102" s="7"/>
      <c r="G102" s="7"/>
    </row>
    <row r="103" spans="1:7">
      <c r="A103" s="184" t="s">
        <v>239</v>
      </c>
      <c r="B103" s="7"/>
      <c r="C103" s="7"/>
      <c r="D103" s="7"/>
      <c r="E103" s="7"/>
      <c r="F103" s="7"/>
      <c r="G103" s="7"/>
    </row>
    <row r="104" spans="1:7">
      <c r="A104" s="184" t="s">
        <v>240</v>
      </c>
      <c r="B104" s="7"/>
      <c r="C104" s="7"/>
      <c r="D104" s="7"/>
      <c r="E104" s="7"/>
      <c r="F104" s="7"/>
      <c r="G104" s="7"/>
    </row>
    <row r="105" spans="1:7">
      <c r="A105" s="185"/>
      <c r="B105" s="7"/>
      <c r="C105" s="7"/>
      <c r="D105" s="7"/>
      <c r="E105" s="7"/>
      <c r="F105" s="7"/>
      <c r="G105" s="7"/>
    </row>
    <row r="106" spans="1:7">
      <c r="A106" s="184" t="s">
        <v>241</v>
      </c>
      <c r="B106" s="7"/>
      <c r="C106" s="7"/>
      <c r="D106" s="7"/>
      <c r="E106" s="7"/>
      <c r="F106" s="7"/>
      <c r="G106" s="7"/>
    </row>
    <row r="107" spans="1:7">
      <c r="A107" s="184" t="s">
        <v>242</v>
      </c>
      <c r="B107" s="7"/>
      <c r="C107" s="7"/>
      <c r="D107" s="7"/>
      <c r="E107" s="7"/>
      <c r="F107" s="7"/>
      <c r="G107" s="7"/>
    </row>
    <row r="108" spans="1:7">
      <c r="A108" s="184" t="s">
        <v>243</v>
      </c>
      <c r="B108" s="7"/>
      <c r="C108" s="7"/>
      <c r="D108" s="7"/>
      <c r="E108" s="7"/>
      <c r="F108" s="7"/>
      <c r="G108" s="7"/>
    </row>
    <row r="109" spans="1:7">
      <c r="A109" s="184" t="s">
        <v>244</v>
      </c>
      <c r="B109" s="7"/>
      <c r="C109" s="7"/>
      <c r="D109" s="7"/>
      <c r="E109" s="7"/>
      <c r="F109" s="7"/>
      <c r="G109" s="7"/>
    </row>
    <row r="110" spans="1:7">
      <c r="A110" s="184" t="s">
        <v>245</v>
      </c>
      <c r="B110" s="7"/>
      <c r="C110" s="7"/>
      <c r="D110" s="7"/>
      <c r="E110" s="7"/>
      <c r="F110" s="7"/>
      <c r="G110" s="7"/>
    </row>
    <row r="111" spans="1:7">
      <c r="A111" s="184" t="s">
        <v>246</v>
      </c>
      <c r="B111" s="7"/>
      <c r="C111" s="7"/>
      <c r="D111" s="7"/>
      <c r="E111" s="7"/>
      <c r="F111" s="7"/>
      <c r="G111" s="7"/>
    </row>
    <row r="112" spans="1:7">
      <c r="A112" s="184" t="s">
        <v>247</v>
      </c>
      <c r="B112" s="7"/>
      <c r="C112" s="7"/>
      <c r="D112" s="7"/>
      <c r="E112" s="7"/>
      <c r="F112" s="7"/>
      <c r="G112" s="7"/>
    </row>
    <row r="113" spans="1:7">
      <c r="A113" s="184" t="s">
        <v>248</v>
      </c>
      <c r="B113" s="7"/>
      <c r="C113" s="7"/>
      <c r="D113" s="7"/>
      <c r="E113" s="7"/>
      <c r="F113" s="7"/>
      <c r="G113" s="7"/>
    </row>
    <row r="114" spans="1:7">
      <c r="A114" s="184" t="s">
        <v>249</v>
      </c>
      <c r="B114" s="7"/>
      <c r="C114" s="7"/>
      <c r="D114" s="7"/>
      <c r="E114" s="7"/>
      <c r="F114" s="7"/>
      <c r="G114" s="7"/>
    </row>
    <row r="115" spans="1:7">
      <c r="A115" s="184" t="s">
        <v>250</v>
      </c>
      <c r="B115" s="7"/>
      <c r="C115" s="7"/>
      <c r="D115" s="7"/>
      <c r="E115" s="7"/>
      <c r="F115" s="7"/>
      <c r="G115" s="7"/>
    </row>
    <row r="116" spans="1:7">
      <c r="A116" s="184" t="s">
        <v>251</v>
      </c>
      <c r="B116" s="7"/>
      <c r="C116" s="7"/>
      <c r="D116" s="7"/>
      <c r="E116" s="7"/>
      <c r="F116" s="7"/>
      <c r="G116" s="7"/>
    </row>
    <row r="117" spans="1:7">
      <c r="A117" s="184" t="s">
        <v>252</v>
      </c>
      <c r="B117" s="7"/>
      <c r="C117" s="7"/>
      <c r="D117" s="7"/>
      <c r="E117" s="7"/>
      <c r="F117" s="7"/>
      <c r="G117" s="7"/>
    </row>
    <row r="118" spans="1:7">
      <c r="A118" s="184" t="s">
        <v>253</v>
      </c>
      <c r="B118" s="7"/>
      <c r="C118" s="7"/>
      <c r="D118" s="7"/>
      <c r="E118" s="7"/>
      <c r="F118" s="7"/>
      <c r="G118" s="7"/>
    </row>
    <row r="119" spans="1:7">
      <c r="A119" s="184" t="s">
        <v>254</v>
      </c>
      <c r="B119" s="7"/>
      <c r="C119" s="7"/>
      <c r="D119" s="7"/>
      <c r="E119" s="7"/>
      <c r="F119" s="7"/>
      <c r="G119" s="7"/>
    </row>
    <row r="120" spans="1:7">
      <c r="A120" s="184" t="s">
        <v>255</v>
      </c>
      <c r="B120" s="7"/>
      <c r="C120" s="7"/>
      <c r="D120" s="7"/>
      <c r="E120" s="7"/>
      <c r="F120" s="7"/>
      <c r="G120" s="7"/>
    </row>
    <row r="121" spans="1:7">
      <c r="A121" s="184" t="s">
        <v>256</v>
      </c>
      <c r="B121" s="7"/>
      <c r="C121" s="7"/>
      <c r="D121" s="7"/>
      <c r="E121" s="7"/>
      <c r="F121" s="7"/>
      <c r="G121" s="7"/>
    </row>
    <row r="122" spans="1:7">
      <c r="A122" s="185"/>
      <c r="B122" s="7"/>
      <c r="C122" s="7"/>
      <c r="D122" s="7"/>
      <c r="E122" s="7"/>
      <c r="F122" s="7"/>
      <c r="G122" s="7"/>
    </row>
    <row r="123" spans="1:7">
      <c r="A123" s="184" t="s">
        <v>257</v>
      </c>
      <c r="B123" s="7"/>
      <c r="C123" s="7"/>
      <c r="D123" s="7"/>
      <c r="E123" s="7"/>
      <c r="F123" s="7"/>
      <c r="G123" s="7"/>
    </row>
    <row r="124" spans="1:7">
      <c r="A124" s="184" t="s">
        <v>258</v>
      </c>
      <c r="B124" s="7"/>
      <c r="C124" s="7"/>
      <c r="D124" s="7"/>
      <c r="E124" s="7"/>
      <c r="F124" s="7"/>
      <c r="G124" s="7"/>
    </row>
    <row r="125" spans="1:7">
      <c r="A125" s="184" t="s">
        <v>259</v>
      </c>
      <c r="B125" s="7"/>
      <c r="C125" s="7"/>
      <c r="D125" s="7"/>
      <c r="E125" s="7"/>
      <c r="F125" s="7"/>
      <c r="G125" s="7"/>
    </row>
    <row r="126" spans="1:7">
      <c r="A126" s="184" t="s">
        <v>260</v>
      </c>
      <c r="B126" s="7"/>
      <c r="C126" s="7"/>
      <c r="D126" s="7"/>
      <c r="E126" s="7"/>
      <c r="F126" s="7"/>
      <c r="G126" s="7"/>
    </row>
    <row r="127" spans="1:7">
      <c r="A127" s="184" t="s">
        <v>261</v>
      </c>
      <c r="B127" s="7"/>
      <c r="C127" s="7"/>
      <c r="D127" s="7"/>
      <c r="E127" s="7"/>
      <c r="F127" s="7"/>
      <c r="G127" s="7"/>
    </row>
    <row r="128" spans="1:7">
      <c r="A128" s="184" t="s">
        <v>262</v>
      </c>
      <c r="B128" s="7"/>
      <c r="C128" s="7"/>
      <c r="D128" s="7"/>
      <c r="E128" s="7"/>
      <c r="F128" s="7"/>
      <c r="G128" s="7"/>
    </row>
    <row r="129" spans="1:7">
      <c r="A129" s="185"/>
      <c r="B129" s="7"/>
      <c r="C129" s="7"/>
      <c r="D129" s="7"/>
      <c r="E129" s="7"/>
      <c r="F129" s="7"/>
      <c r="G129" s="7"/>
    </row>
    <row r="130" spans="1:7">
      <c r="A130" s="184" t="s">
        <v>263</v>
      </c>
      <c r="B130" s="7"/>
      <c r="C130" s="7"/>
      <c r="D130" s="7"/>
      <c r="E130" s="7"/>
      <c r="F130" s="7"/>
      <c r="G130" s="7"/>
    </row>
    <row r="131" spans="1:7">
      <c r="A131" s="184" t="s">
        <v>264</v>
      </c>
      <c r="B131" s="7"/>
      <c r="C131" s="7"/>
      <c r="D131" s="7"/>
      <c r="E131" s="7"/>
      <c r="F131" s="7"/>
      <c r="G131" s="7"/>
    </row>
    <row r="132" spans="1:7">
      <c r="A132" s="184" t="s">
        <v>265</v>
      </c>
      <c r="B132" s="7"/>
      <c r="C132" s="7"/>
      <c r="D132" s="7"/>
      <c r="E132" s="7"/>
      <c r="F132" s="7"/>
      <c r="G132" s="7"/>
    </row>
    <row r="133" spans="1:7">
      <c r="A133" s="184" t="s">
        <v>266</v>
      </c>
      <c r="B133" s="7"/>
      <c r="C133" s="7"/>
      <c r="D133" s="7"/>
      <c r="E133" s="7"/>
      <c r="F133" s="7"/>
      <c r="G133" s="7"/>
    </row>
    <row r="134" spans="1:7">
      <c r="A134" s="184" t="s">
        <v>267</v>
      </c>
      <c r="B134" s="7"/>
      <c r="C134" s="7"/>
      <c r="D134" s="7"/>
      <c r="E134" s="7"/>
      <c r="F134" s="7"/>
      <c r="G134" s="7"/>
    </row>
    <row r="135" spans="1:7">
      <c r="A135" s="184" t="s">
        <v>268</v>
      </c>
      <c r="B135" s="7"/>
      <c r="C135" s="7"/>
      <c r="D135" s="7"/>
      <c r="E135" s="7"/>
      <c r="F135" s="7"/>
      <c r="G135" s="7"/>
    </row>
    <row r="136" spans="1:7">
      <c r="A136" s="184" t="s">
        <v>269</v>
      </c>
      <c r="B136" s="7"/>
      <c r="C136" s="7"/>
      <c r="D136" s="7"/>
      <c r="E136" s="7"/>
      <c r="F136" s="7"/>
      <c r="G136" s="7"/>
    </row>
    <row r="137" spans="1:7">
      <c r="A137" s="185"/>
      <c r="B137" s="7"/>
      <c r="C137" s="7"/>
      <c r="D137" s="7"/>
      <c r="E137" s="7"/>
      <c r="F137" s="7"/>
      <c r="G137" s="7"/>
    </row>
    <row r="138" spans="1:7">
      <c r="A138" s="184" t="s">
        <v>270</v>
      </c>
      <c r="B138" s="7"/>
      <c r="C138" s="7"/>
      <c r="D138" s="7"/>
      <c r="E138" s="7"/>
      <c r="F138" s="7"/>
      <c r="G138" s="7"/>
    </row>
    <row r="139" spans="1:7">
      <c r="A139" s="184" t="s">
        <v>271</v>
      </c>
      <c r="B139" s="7"/>
      <c r="C139" s="7"/>
      <c r="D139" s="7"/>
      <c r="E139" s="7"/>
      <c r="F139" s="7"/>
      <c r="G139" s="7"/>
    </row>
    <row r="140" spans="1:7">
      <c r="A140" s="184" t="s">
        <v>272</v>
      </c>
      <c r="B140" s="7"/>
      <c r="C140" s="7"/>
      <c r="D140" s="7"/>
      <c r="E140" s="7"/>
      <c r="F140" s="7"/>
      <c r="G140" s="7"/>
    </row>
    <row r="141" spans="1:7">
      <c r="A141" s="184" t="s">
        <v>273</v>
      </c>
      <c r="B141" s="7"/>
      <c r="C141" s="7"/>
      <c r="D141" s="7"/>
      <c r="E141" s="7"/>
      <c r="F141" s="7"/>
      <c r="G141" s="7"/>
    </row>
    <row r="142" spans="1:7">
      <c r="A142" s="185"/>
      <c r="B142" s="7"/>
      <c r="C142" s="7"/>
      <c r="D142" s="7"/>
      <c r="E142" s="7"/>
      <c r="F142" s="7"/>
      <c r="G142" s="7"/>
    </row>
    <row r="143" spans="1:7">
      <c r="A143" s="184" t="s">
        <v>274</v>
      </c>
      <c r="B143" s="7"/>
      <c r="C143" s="7"/>
      <c r="D143" s="7"/>
      <c r="E143" s="7"/>
      <c r="F143" s="7"/>
      <c r="G143" s="7"/>
    </row>
    <row r="144" spans="1:7">
      <c r="A144" s="184" t="s">
        <v>275</v>
      </c>
      <c r="B144" s="7"/>
      <c r="C144" s="7"/>
      <c r="D144" s="7"/>
      <c r="E144" s="7"/>
      <c r="F144" s="7"/>
      <c r="G144" s="7"/>
    </row>
    <row r="145" spans="1:7">
      <c r="A145" s="184" t="s">
        <v>276</v>
      </c>
      <c r="B145" s="7"/>
      <c r="C145" s="7"/>
      <c r="D145" s="7"/>
      <c r="E145" s="7"/>
      <c r="F145" s="7"/>
      <c r="G145" s="7"/>
    </row>
    <row r="146" spans="1:7">
      <c r="A146" s="184" t="s">
        <v>277</v>
      </c>
      <c r="B146" s="7"/>
      <c r="C146" s="7"/>
      <c r="D146" s="7"/>
      <c r="E146" s="7"/>
      <c r="F146" s="7"/>
      <c r="G146" s="7"/>
    </row>
    <row r="147" spans="1:7">
      <c r="A147" s="184" t="s">
        <v>278</v>
      </c>
      <c r="B147" s="7"/>
      <c r="C147" s="7"/>
      <c r="D147" s="7"/>
      <c r="E147" s="7"/>
      <c r="F147" s="7"/>
      <c r="G147" s="7"/>
    </row>
    <row r="148" spans="1:7">
      <c r="A148" s="184" t="s">
        <v>279</v>
      </c>
      <c r="B148" s="7"/>
      <c r="C148" s="7"/>
      <c r="D148" s="7"/>
      <c r="E148" s="7"/>
      <c r="F148" s="7"/>
      <c r="G148" s="7"/>
    </row>
    <row r="149" spans="1:7">
      <c r="A149" s="184" t="s">
        <v>280</v>
      </c>
      <c r="B149" s="7"/>
      <c r="C149" s="7"/>
      <c r="D149" s="7"/>
      <c r="E149" s="7"/>
      <c r="F149" s="7"/>
      <c r="G149" s="7"/>
    </row>
    <row r="150" spans="1:7">
      <c r="A150" s="184" t="s">
        <v>281</v>
      </c>
      <c r="B150" s="7"/>
      <c r="C150" s="7"/>
      <c r="D150" s="7"/>
      <c r="E150" s="7"/>
      <c r="F150" s="7"/>
      <c r="G150" s="7"/>
    </row>
    <row r="151" spans="1:7">
      <c r="A151" s="184" t="s">
        <v>282</v>
      </c>
      <c r="B151" s="7"/>
      <c r="C151" s="7"/>
      <c r="D151" s="7"/>
      <c r="E151" s="7"/>
      <c r="F151" s="7"/>
      <c r="G151" s="7"/>
    </row>
    <row r="152" spans="1:7">
      <c r="A152" s="185"/>
      <c r="B152" s="7"/>
      <c r="C152" s="7"/>
      <c r="D152" s="7"/>
      <c r="E152" s="7"/>
      <c r="F152" s="7"/>
      <c r="G152" s="7"/>
    </row>
    <row r="153" spans="1:7">
      <c r="A153" s="184" t="s">
        <v>283</v>
      </c>
      <c r="B153" s="7"/>
      <c r="C153" s="7"/>
      <c r="D153" s="7"/>
      <c r="E153" s="7"/>
      <c r="F153" s="7"/>
      <c r="G153" s="7"/>
    </row>
    <row r="154" spans="1:7">
      <c r="A154" s="184" t="s">
        <v>284</v>
      </c>
      <c r="B154" s="7"/>
      <c r="C154" s="7"/>
      <c r="D154" s="7"/>
      <c r="E154" s="7"/>
      <c r="F154" s="7"/>
      <c r="G154" s="7"/>
    </row>
    <row r="155" spans="1:7">
      <c r="A155" s="184" t="s">
        <v>285</v>
      </c>
      <c r="B155" s="7"/>
      <c r="C155" s="7"/>
      <c r="D155" s="7"/>
      <c r="E155" s="7"/>
      <c r="F155" s="7"/>
      <c r="G155" s="7"/>
    </row>
    <row r="156" spans="1:7">
      <c r="A156" s="184" t="s">
        <v>286</v>
      </c>
      <c r="B156" s="7"/>
      <c r="C156" s="7"/>
      <c r="D156" s="7"/>
      <c r="E156" s="7"/>
      <c r="F156" s="7"/>
      <c r="G156" s="7"/>
    </row>
    <row r="157" spans="1:7">
      <c r="A157" s="184" t="s">
        <v>287</v>
      </c>
      <c r="B157" s="7"/>
      <c r="C157" s="7"/>
      <c r="D157" s="7"/>
      <c r="E157" s="7"/>
      <c r="F157" s="7"/>
      <c r="G157" s="7"/>
    </row>
    <row r="158" spans="1:7">
      <c r="A158" s="184" t="s">
        <v>288</v>
      </c>
      <c r="B158" s="7"/>
      <c r="C158" s="7"/>
      <c r="D158" s="7"/>
      <c r="E158" s="7"/>
      <c r="F158" s="7"/>
      <c r="G158" s="7"/>
    </row>
    <row r="159" spans="1:7">
      <c r="A159" s="184" t="s">
        <v>289</v>
      </c>
      <c r="B159" s="7"/>
      <c r="C159" s="7"/>
      <c r="D159" s="7"/>
      <c r="E159" s="7"/>
      <c r="F159" s="7"/>
      <c r="G159" s="7"/>
    </row>
    <row r="160" spans="1:7">
      <c r="A160" s="184" t="s">
        <v>290</v>
      </c>
      <c r="B160" s="7"/>
      <c r="C160" s="7"/>
      <c r="D160" s="7"/>
      <c r="E160" s="7"/>
      <c r="F160" s="7"/>
      <c r="G160" s="7"/>
    </row>
    <row r="161" spans="1:7">
      <c r="A161" s="184" t="s">
        <v>291</v>
      </c>
      <c r="B161" s="7"/>
      <c r="C161" s="7"/>
      <c r="D161" s="7"/>
      <c r="E161" s="7"/>
      <c r="F161" s="7"/>
      <c r="G161" s="7"/>
    </row>
    <row r="162" spans="1:7">
      <c r="A162" s="184" t="s">
        <v>292</v>
      </c>
      <c r="B162" s="7"/>
      <c r="C162" s="7"/>
      <c r="D162" s="7"/>
      <c r="E162" s="7"/>
      <c r="F162" s="7"/>
      <c r="G162" s="7"/>
    </row>
    <row r="163" spans="1:7">
      <c r="A163" s="184" t="s">
        <v>293</v>
      </c>
      <c r="B163" s="7"/>
      <c r="C163" s="7"/>
      <c r="D163" s="7"/>
      <c r="E163" s="7"/>
      <c r="F163" s="7"/>
      <c r="G163" s="7"/>
    </row>
    <row r="164" spans="1:7">
      <c r="A164" s="185"/>
      <c r="B164" s="7"/>
      <c r="C164" s="7"/>
      <c r="D164" s="7"/>
      <c r="E164" s="7"/>
      <c r="F164" s="7"/>
      <c r="G164" s="7"/>
    </row>
    <row r="165" spans="1:7">
      <c r="A165" s="184" t="s">
        <v>294</v>
      </c>
      <c r="B165" s="7"/>
      <c r="C165" s="7"/>
      <c r="D165" s="7"/>
      <c r="E165" s="7"/>
      <c r="F165" s="7"/>
      <c r="G165" s="7"/>
    </row>
    <row r="166" spans="1:7">
      <c r="A166" s="184" t="s">
        <v>295</v>
      </c>
      <c r="B166" s="7"/>
      <c r="C166" s="7"/>
      <c r="D166" s="7"/>
      <c r="E166" s="7"/>
      <c r="F166" s="7"/>
      <c r="G166" s="7"/>
    </row>
    <row r="167" spans="1:7">
      <c r="A167" s="184" t="s">
        <v>296</v>
      </c>
      <c r="B167" s="7"/>
      <c r="C167" s="7"/>
      <c r="D167" s="7"/>
      <c r="E167" s="7"/>
      <c r="F167" s="7"/>
      <c r="G167" s="7"/>
    </row>
    <row r="168" spans="1:7">
      <c r="A168" s="184" t="s">
        <v>297</v>
      </c>
      <c r="B168" s="7"/>
      <c r="C168" s="7"/>
      <c r="D168" s="7"/>
      <c r="E168" s="7"/>
      <c r="F168" s="7"/>
      <c r="G168" s="7"/>
    </row>
    <row r="169" spans="1:7">
      <c r="A169" s="184" t="s">
        <v>298</v>
      </c>
      <c r="B169" s="7"/>
      <c r="C169" s="7"/>
      <c r="D169" s="7"/>
      <c r="E169" s="7"/>
      <c r="F169" s="7"/>
      <c r="G169" s="7"/>
    </row>
    <row r="170" spans="1:7">
      <c r="A170" s="184" t="s">
        <v>299</v>
      </c>
      <c r="B170" s="7"/>
      <c r="C170" s="7"/>
      <c r="D170" s="7"/>
      <c r="E170" s="7"/>
      <c r="F170" s="7"/>
      <c r="G170" s="7"/>
    </row>
    <row r="171" spans="1:7">
      <c r="A171" s="184" t="s">
        <v>300</v>
      </c>
      <c r="B171" s="7"/>
      <c r="C171" s="7"/>
      <c r="D171" s="7"/>
      <c r="E171" s="7"/>
      <c r="F171" s="7"/>
      <c r="G171" s="7"/>
    </row>
    <row r="172" spans="1:7">
      <c r="A172" s="184" t="s">
        <v>301</v>
      </c>
      <c r="B172" s="7"/>
      <c r="C172" s="7"/>
      <c r="D172" s="7"/>
      <c r="E172" s="7"/>
      <c r="F172" s="7"/>
      <c r="G172" s="7"/>
    </row>
    <row r="173" spans="1:7">
      <c r="A173" s="184" t="s">
        <v>302</v>
      </c>
      <c r="B173" s="7"/>
      <c r="C173" s="7"/>
      <c r="D173" s="7"/>
      <c r="E173" s="7"/>
      <c r="F173" s="7"/>
      <c r="G173" s="7"/>
    </row>
    <row r="174" spans="1:7">
      <c r="A174" s="184" t="s">
        <v>303</v>
      </c>
      <c r="B174" s="7"/>
      <c r="C174" s="7"/>
      <c r="D174" s="7"/>
      <c r="E174" s="7"/>
      <c r="F174" s="7"/>
      <c r="G174" s="7"/>
    </row>
    <row r="175" spans="1:7">
      <c r="A175" s="185"/>
      <c r="B175" s="7"/>
      <c r="C175" s="7"/>
      <c r="D175" s="7"/>
      <c r="E175" s="7"/>
      <c r="F175" s="7"/>
      <c r="G175" s="7"/>
    </row>
    <row r="176" spans="1:7">
      <c r="A176" s="184" t="s">
        <v>304</v>
      </c>
      <c r="B176" s="7"/>
      <c r="C176" s="7"/>
      <c r="D176" s="7"/>
      <c r="E176" s="7"/>
      <c r="F176" s="7"/>
      <c r="G176" s="7"/>
    </row>
    <row r="177" spans="1:7">
      <c r="A177" s="185"/>
      <c r="B177" s="7"/>
      <c r="C177" s="7"/>
      <c r="D177" s="7"/>
      <c r="E177" s="7"/>
      <c r="F177" s="7"/>
      <c r="G177" s="7"/>
    </row>
    <row r="178" spans="1:7">
      <c r="A178" s="184" t="s">
        <v>305</v>
      </c>
      <c r="B178" s="7"/>
      <c r="C178" s="7"/>
      <c r="D178" s="7"/>
      <c r="E178" s="7"/>
      <c r="F178" s="7"/>
      <c r="G178" s="7"/>
    </row>
    <row r="179" spans="1:7">
      <c r="A179" s="185"/>
      <c r="B179" s="7"/>
      <c r="C179" s="7"/>
      <c r="D179" s="7"/>
      <c r="E179" s="7"/>
      <c r="F179" s="7"/>
      <c r="G179" s="7"/>
    </row>
    <row r="180" spans="1:7">
      <c r="A180" s="184" t="s">
        <v>306</v>
      </c>
      <c r="B180" s="7"/>
      <c r="C180" s="7"/>
      <c r="D180" s="7"/>
      <c r="E180" s="7"/>
      <c r="F180" s="7"/>
      <c r="G180" s="7"/>
    </row>
    <row r="181" spans="1:7">
      <c r="A181" s="184" t="s">
        <v>307</v>
      </c>
      <c r="B181" s="7"/>
      <c r="C181" s="7"/>
      <c r="D181" s="7"/>
      <c r="E181" s="7"/>
      <c r="F181" s="7"/>
      <c r="G181" s="7"/>
    </row>
    <row r="182" spans="1:7">
      <c r="A182" s="184" t="s">
        <v>308</v>
      </c>
      <c r="B182" s="7"/>
      <c r="C182" s="7"/>
      <c r="D182" s="7"/>
      <c r="E182" s="7"/>
      <c r="F182" s="7"/>
      <c r="G182" s="7"/>
    </row>
    <row r="183" spans="1:7">
      <c r="A183" s="184" t="s">
        <v>309</v>
      </c>
      <c r="B183" s="7"/>
      <c r="C183" s="7"/>
      <c r="D183" s="7"/>
      <c r="E183" s="7"/>
      <c r="F183" s="7"/>
      <c r="G183" s="7"/>
    </row>
    <row r="184" spans="1:7">
      <c r="A184" s="184" t="s">
        <v>310</v>
      </c>
      <c r="B184" s="7"/>
      <c r="C184" s="7"/>
      <c r="D184" s="7"/>
      <c r="E184" s="7"/>
      <c r="F184" s="7"/>
      <c r="G184" s="7"/>
    </row>
    <row r="185" spans="1:7">
      <c r="A185" s="184" t="s">
        <v>311</v>
      </c>
      <c r="B185" s="7"/>
      <c r="C185" s="7"/>
      <c r="D185" s="7"/>
      <c r="E185" s="7"/>
      <c r="F185" s="7"/>
      <c r="G185" s="7"/>
    </row>
    <row r="186" spans="1:7">
      <c r="A186" s="184" t="s">
        <v>312</v>
      </c>
      <c r="B186" s="7"/>
      <c r="C186" s="7"/>
      <c r="D186" s="7"/>
      <c r="E186" s="7"/>
      <c r="F186" s="7"/>
      <c r="G186" s="7"/>
    </row>
    <row r="187" spans="1:7">
      <c r="A187" s="184" t="s">
        <v>313</v>
      </c>
      <c r="B187" s="7"/>
      <c r="C187" s="7"/>
      <c r="D187" s="7"/>
      <c r="E187" s="7"/>
      <c r="F187" s="7"/>
      <c r="G187" s="7"/>
    </row>
    <row r="188" spans="1:7">
      <c r="A188" s="185"/>
      <c r="B188" s="7"/>
      <c r="C188" s="7"/>
      <c r="D188" s="7"/>
      <c r="E188" s="7"/>
      <c r="F188" s="7"/>
      <c r="G188" s="7"/>
    </row>
    <row r="189" spans="1:7">
      <c r="A189" s="184" t="s">
        <v>323</v>
      </c>
      <c r="B189" s="7"/>
      <c r="C189" s="7"/>
      <c r="D189" s="7"/>
      <c r="E189" s="7"/>
      <c r="F189" s="7"/>
      <c r="G189" s="7"/>
    </row>
    <row r="190" spans="1:7">
      <c r="A190" s="185"/>
      <c r="B190" s="7"/>
      <c r="C190" s="7"/>
      <c r="D190" s="7"/>
      <c r="E190" s="7"/>
      <c r="F190" s="7"/>
      <c r="G190" s="7"/>
    </row>
    <row r="191" spans="1:7">
      <c r="A191" s="184" t="s">
        <v>314</v>
      </c>
      <c r="B191" s="7"/>
      <c r="C191" s="7"/>
      <c r="D191" s="7"/>
      <c r="E191" s="7"/>
      <c r="F191" s="7"/>
      <c r="G191" s="7"/>
    </row>
    <row r="192" spans="1:7">
      <c r="A192" s="184" t="s">
        <v>315</v>
      </c>
      <c r="B192" s="7"/>
      <c r="C192" s="7"/>
      <c r="D192" s="7"/>
      <c r="E192" s="7"/>
      <c r="F192" s="7"/>
      <c r="G192" s="7"/>
    </row>
    <row r="193" spans="1:7">
      <c r="A193" s="184" t="s">
        <v>316</v>
      </c>
      <c r="B193" s="7"/>
      <c r="C193" s="7"/>
      <c r="D193" s="7"/>
      <c r="E193" s="7"/>
      <c r="F193" s="7"/>
      <c r="G193" s="7"/>
    </row>
    <row r="194" spans="1:7">
      <c r="A194" s="185"/>
      <c r="B194" s="7"/>
      <c r="C194" s="7"/>
      <c r="D194" s="7"/>
      <c r="E194" s="7"/>
      <c r="F194" s="7"/>
      <c r="G194" s="7"/>
    </row>
    <row r="195" spans="1:7">
      <c r="A195" s="184" t="s">
        <v>317</v>
      </c>
      <c r="B195" s="7"/>
      <c r="C195" s="7"/>
      <c r="D195" s="7"/>
      <c r="E195" s="7"/>
      <c r="F195" s="7"/>
      <c r="G195" s="7"/>
    </row>
    <row r="196" spans="1:7">
      <c r="A196" s="185"/>
      <c r="B196" s="7"/>
      <c r="C196" s="7"/>
      <c r="D196" s="7"/>
      <c r="E196" s="7"/>
      <c r="F196" s="7"/>
      <c r="G196" s="7"/>
    </row>
    <row r="197" spans="1:7">
      <c r="A197" s="184" t="s">
        <v>318</v>
      </c>
      <c r="B197" s="7"/>
      <c r="C197" s="7"/>
      <c r="D197" s="7"/>
      <c r="E197" s="7"/>
      <c r="F197" s="7"/>
      <c r="G197" s="7"/>
    </row>
    <row r="198" spans="1:7">
      <c r="A198" s="184" t="s">
        <v>319</v>
      </c>
      <c r="B198" s="7"/>
      <c r="C198" s="7"/>
      <c r="D198" s="7"/>
      <c r="E198" s="7"/>
      <c r="F198" s="7"/>
      <c r="G198" s="7"/>
    </row>
    <row r="199" spans="1:7">
      <c r="A199" s="184" t="s">
        <v>320</v>
      </c>
      <c r="B199" s="7"/>
      <c r="C199" s="7"/>
      <c r="D199" s="7"/>
      <c r="E199" s="7"/>
      <c r="F199" s="7"/>
      <c r="G199" s="7"/>
    </row>
    <row r="200" spans="1:7">
      <c r="A200" s="184" t="s">
        <v>321</v>
      </c>
      <c r="B200" s="7"/>
      <c r="C200" s="7"/>
      <c r="D200" s="7"/>
      <c r="E200" s="7"/>
      <c r="F200" s="7"/>
      <c r="G200" s="7"/>
    </row>
    <row r="201" spans="1:7">
      <c r="A201" s="184" t="s">
        <v>322</v>
      </c>
      <c r="B201" s="7"/>
      <c r="C201" s="7"/>
      <c r="D201" s="7"/>
      <c r="E201" s="7"/>
      <c r="F201" s="7"/>
      <c r="G2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130</vt:i4>
      </vt:variant>
    </vt:vector>
  </HeadingPairs>
  <TitlesOfParts>
    <vt:vector size="135" baseType="lpstr">
      <vt:lpstr>WebTeam1</vt:lpstr>
      <vt:lpstr>Availability</vt:lpstr>
      <vt:lpstr>Settings</vt:lpstr>
      <vt:lpstr>Team</vt:lpstr>
      <vt:lpstr>Licence</vt:lpstr>
      <vt:lpstr>AvailableHours</vt:lpstr>
      <vt:lpstr>Days_in_iteration</vt:lpstr>
      <vt:lpstr>FullTimeE1</vt:lpstr>
      <vt:lpstr>FullTimeE10</vt:lpstr>
      <vt:lpstr>FullTimeE11</vt:lpstr>
      <vt:lpstr>FullTimeE12</vt:lpstr>
      <vt:lpstr>FullTimeE13</vt:lpstr>
      <vt:lpstr>FullTimeE14</vt:lpstr>
      <vt:lpstr>FullTimeE15</vt:lpstr>
      <vt:lpstr>FullTimeE16</vt:lpstr>
      <vt:lpstr>FullTimeE17</vt:lpstr>
      <vt:lpstr>FullTimeE18</vt:lpstr>
      <vt:lpstr>FullTimeE19</vt:lpstr>
      <vt:lpstr>FullTimeE2</vt:lpstr>
      <vt:lpstr>FullTimeE20</vt:lpstr>
      <vt:lpstr>FullTimeE21</vt:lpstr>
      <vt:lpstr>FullTimeE22</vt:lpstr>
      <vt:lpstr>FullTimeE23</vt:lpstr>
      <vt:lpstr>FullTimeE24</vt:lpstr>
      <vt:lpstr>FullTimeE25</vt:lpstr>
      <vt:lpstr>FullTimeE26</vt:lpstr>
      <vt:lpstr>FullTimeE27</vt:lpstr>
      <vt:lpstr>FullTimeE3</vt:lpstr>
      <vt:lpstr>FullTimeE4</vt:lpstr>
      <vt:lpstr>FullTimeE5</vt:lpstr>
      <vt:lpstr>FullTimeE6</vt:lpstr>
      <vt:lpstr>FullTimeE7</vt:lpstr>
      <vt:lpstr>FullTimeE8</vt:lpstr>
      <vt:lpstr>FullTimeE9</vt:lpstr>
      <vt:lpstr>Holidays</vt:lpstr>
      <vt:lpstr>HolidayTime</vt:lpstr>
      <vt:lpstr>Hours_in_iteration</vt:lpstr>
      <vt:lpstr>Hours_per_sprint</vt:lpstr>
      <vt:lpstr>HoursPerDay</vt:lpstr>
      <vt:lpstr>LastSprint</vt:lpstr>
      <vt:lpstr>MaxSprintsToCurve</vt:lpstr>
      <vt:lpstr>MaxStoryPointCost</vt:lpstr>
      <vt:lpstr>Normal_Iteration_Length</vt:lpstr>
      <vt:lpstr>OneTotalPoints</vt:lpstr>
      <vt:lpstr>OriginalBudget</vt:lpstr>
      <vt:lpstr>People</vt:lpstr>
      <vt:lpstr>Person1</vt:lpstr>
      <vt:lpstr>Person10</vt:lpstr>
      <vt:lpstr>Person11</vt:lpstr>
      <vt:lpstr>Person12</vt:lpstr>
      <vt:lpstr>Person13</vt:lpstr>
      <vt:lpstr>Person14</vt:lpstr>
      <vt:lpstr>Person15</vt:lpstr>
      <vt:lpstr>Person16</vt:lpstr>
      <vt:lpstr>Person17</vt:lpstr>
      <vt:lpstr>Person18</vt:lpstr>
      <vt:lpstr>Person19</vt:lpstr>
      <vt:lpstr>Person2</vt:lpstr>
      <vt:lpstr>Person20</vt:lpstr>
      <vt:lpstr>Person3</vt:lpstr>
      <vt:lpstr>Person4</vt:lpstr>
      <vt:lpstr>Person5</vt:lpstr>
      <vt:lpstr>Person6</vt:lpstr>
      <vt:lpstr>Person7</vt:lpstr>
      <vt:lpstr>Person8</vt:lpstr>
      <vt:lpstr>Person9</vt:lpstr>
      <vt:lpstr>PersonCommitment</vt:lpstr>
      <vt:lpstr>PersonOnVacation</vt:lpstr>
      <vt:lpstr>PessimisticeOutlookPercent</vt:lpstr>
      <vt:lpstr>PessimisticOutlookPercent</vt:lpstr>
      <vt:lpstr>Pg1_Velocity_Factor</vt:lpstr>
      <vt:lpstr>WebTeam1!Print_Area</vt:lpstr>
      <vt:lpstr>Proj1_InitGrowthFactor</vt:lpstr>
      <vt:lpstr>Proj1_InitGrw</vt:lpstr>
      <vt:lpstr>Proj1_Iteration</vt:lpstr>
      <vt:lpstr>Proj1_Max_Velocity</vt:lpstr>
      <vt:lpstr>Proj1_MaxVel</vt:lpstr>
      <vt:lpstr>Proj1_MaxVelocity</vt:lpstr>
      <vt:lpstr>Proj1_OngoingGrowthFactor</vt:lpstr>
      <vt:lpstr>Proj1_VelGrowthSprints</vt:lpstr>
      <vt:lpstr>Proj1_VelocityStartGrowth</vt:lpstr>
      <vt:lpstr>Proj1_VelStrtGrowth</vt:lpstr>
      <vt:lpstr>Proj1Devs</vt:lpstr>
      <vt:lpstr>Proj2Devs</vt:lpstr>
      <vt:lpstr>Proj3Devs</vt:lpstr>
      <vt:lpstr>Proj4Devs</vt:lpstr>
      <vt:lpstr>Proj5Devs</vt:lpstr>
      <vt:lpstr>ProjectFive</vt:lpstr>
      <vt:lpstr>ProjectFour</vt:lpstr>
      <vt:lpstr>ProjectOne</vt:lpstr>
      <vt:lpstr>ProjectThree</vt:lpstr>
      <vt:lpstr>ProjectTwo</vt:lpstr>
      <vt:lpstr>RevisedBudget</vt:lpstr>
      <vt:lpstr>Sprint1</vt:lpstr>
      <vt:lpstr>Sprint10</vt:lpstr>
      <vt:lpstr>Sprint11</vt:lpstr>
      <vt:lpstr>Sprint12</vt:lpstr>
      <vt:lpstr>Sprint13</vt:lpstr>
      <vt:lpstr>Sprint14</vt:lpstr>
      <vt:lpstr>Sprint15</vt:lpstr>
      <vt:lpstr>Sprint16</vt:lpstr>
      <vt:lpstr>Sprint17</vt:lpstr>
      <vt:lpstr>Sprint18</vt:lpstr>
      <vt:lpstr>Sprint19</vt:lpstr>
      <vt:lpstr>Sprint2</vt:lpstr>
      <vt:lpstr>Sprint20</vt:lpstr>
      <vt:lpstr>Sprint21</vt:lpstr>
      <vt:lpstr>Sprint22</vt:lpstr>
      <vt:lpstr>Sprint23</vt:lpstr>
      <vt:lpstr>Sprint24</vt:lpstr>
      <vt:lpstr>Sprint25</vt:lpstr>
      <vt:lpstr>Sprint26</vt:lpstr>
      <vt:lpstr>Sprint27</vt:lpstr>
      <vt:lpstr>Sprint3</vt:lpstr>
      <vt:lpstr>Sprint4</vt:lpstr>
      <vt:lpstr>Sprint5</vt:lpstr>
      <vt:lpstr>Sprint6</vt:lpstr>
      <vt:lpstr>Sprint7</vt:lpstr>
      <vt:lpstr>Sprint8</vt:lpstr>
      <vt:lpstr>Sprint9</vt:lpstr>
      <vt:lpstr>SprintCommitment</vt:lpstr>
      <vt:lpstr>SprintCountProj1</vt:lpstr>
      <vt:lpstr>SprintHoliday</vt:lpstr>
      <vt:lpstr>SprintHoursOff</vt:lpstr>
      <vt:lpstr>SprintList</vt:lpstr>
      <vt:lpstr>sprints</vt:lpstr>
      <vt:lpstr>start_date</vt:lpstr>
      <vt:lpstr>StartEndSprint</vt:lpstr>
      <vt:lpstr>Starting_defect_hours</vt:lpstr>
      <vt:lpstr>Starting_Iteration</vt:lpstr>
      <vt:lpstr>TeamEndSprints</vt:lpstr>
      <vt:lpstr>TeamStartSprints</vt:lpstr>
      <vt:lpstr>UseSCurveSetting</vt:lpstr>
      <vt:lpstr>Vacations</vt:lpstr>
      <vt:lpstr>VacationSprint</vt:lpstr>
    </vt:vector>
  </TitlesOfParts>
  <Company>Octopus Software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Hayes</dc:creator>
  <cp:lastModifiedBy>Shane Hayes</cp:lastModifiedBy>
  <cp:lastPrinted>2013-06-06T20:41:32Z</cp:lastPrinted>
  <dcterms:created xsi:type="dcterms:W3CDTF">2004-10-26T13:50:29Z</dcterms:created>
  <dcterms:modified xsi:type="dcterms:W3CDTF">2015-02-20T00:44:34Z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Octopus Software LLC</vt:lpwstr>
  </property>
</Properties>
</file>