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File 2" sheetId="1" r:id="rId4"/>
    <sheet state="visible" name="MASTER FILE" sheetId="2" r:id="rId5"/>
    <sheet state="visible" name="Work File" sheetId="3" r:id="rId6"/>
    <sheet state="visible" name="Company Validation" sheetId="4" r:id="rId7"/>
    <sheet state="visible" name="Company Validation 2" sheetId="5" r:id="rId8"/>
    <sheet state="visible" name="Temp" sheetId="6" r:id="rId9"/>
  </sheets>
  <definedNames>
    <definedName hidden="1" localSheetId="1" name="_xlnm._FilterDatabase">'MASTER FILE'!$A$1:$F$521</definedName>
    <definedName hidden="1" localSheetId="5" name="_xlnm._FilterDatabase">Temp!$A$1:$A$1000</definedName>
  </definedNames>
  <calcPr/>
</workbook>
</file>

<file path=xl/sharedStrings.xml><?xml version="1.0" encoding="utf-8"?>
<sst xmlns="http://schemas.openxmlformats.org/spreadsheetml/2006/main" count="10268" uniqueCount="4564">
  <si>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</si>
  <si>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</si>
  <si>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</si>
  <si>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</si>
  <si>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</si>
  <si>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</si>
  <si>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</si>
  <si>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</si>
  <si>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</si>
  <si>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AURAMONT LC</t>
  </si>
  <si>
    <t>AURUM ORGANICS</t>
  </si>
  <si>
    <t>RABAURA DSR</t>
  </si>
  <si>
    <t>AURASAFE LB 200</t>
  </si>
  <si>
    <t>AURAMET G1</t>
  </si>
  <si>
    <t>AURAMET G2</t>
  </si>
  <si>
    <t>AURAMET VG1</t>
  </si>
  <si>
    <t>AURAMET VG2</t>
  </si>
  <si>
    <t>AURATEL 40</t>
  </si>
  <si>
    <t>AURATEL AM</t>
  </si>
  <si>
    <t>AURATEL H</t>
  </si>
  <si>
    <t>AURATEL M 50</t>
  </si>
  <si>
    <t>AURATEL TRIO</t>
  </si>
  <si>
    <t>AURAPAM</t>
  </si>
  <si>
    <t>AURAPAM PLUS</t>
  </si>
  <si>
    <t>AURAZOLA</t>
  </si>
  <si>
    <t>AUESOME</t>
  </si>
  <si>
    <t>AUFEE XT</t>
  </si>
  <si>
    <t>AURCIUM D3</t>
  </si>
  <si>
    <t>AURAMAX</t>
  </si>
  <si>
    <t>AURAPLEX</t>
  </si>
  <si>
    <t>AURAPARA</t>
  </si>
  <si>
    <t>ARTZEN 10MG TABLET</t>
  </si>
  <si>
    <t>VASOLIFE HEALTHCARE</t>
  </si>
  <si>
    <t>CLOPIZEX CV 10MG/75MG TABLET</t>
  </si>
  <si>
    <t>LOSACT 50MG TABLET</t>
  </si>
  <si>
    <t>LOSACT H 50MG/12.5MG TABLET</t>
  </si>
  <si>
    <t>TENLIZEX M 500MG/20MG TABLET</t>
  </si>
  <si>
    <t>TORSIVAS 20 TABLET</t>
  </si>
  <si>
    <t>VASOTEL H TABLET</t>
  </si>
  <si>
    <t>VASOGLIZ M 60MG/500MG TABLET</t>
  </si>
  <si>
    <t>VASOTEL CH TABLET</t>
  </si>
  <si>
    <t>ARTZEN 20 TABLET</t>
  </si>
  <si>
    <t>GLIPIZEX 10MG TABLET</t>
  </si>
  <si>
    <t>NG VAS 2.6MG TABLET</t>
  </si>
  <si>
    <t>OLMACT 40MG TABLET</t>
  </si>
  <si>
    <t>VASOGLIM 4 TABLET</t>
  </si>
  <si>
    <t>VASOGLIM M 1MG/500MG TABLET ER</t>
  </si>
  <si>
    <t>VASOGLIM M 2MG/500MG TABLET ER</t>
  </si>
  <si>
    <t>METACT 1000MG TABLET SR</t>
  </si>
  <si>
    <t>OLMACT 20MG TABLET</t>
  </si>
  <si>
    <t>RAMACT AM 5MG/5MG TABLET</t>
  </si>
  <si>
    <t>RAMACT H 5MG/12.5MG TABLET</t>
  </si>
  <si>
    <t>ROSACT 10 TABLET</t>
  </si>
  <si>
    <t>TANUVAS 0.4MG TABLET</t>
  </si>
  <si>
    <t>VASOPAN D 30MG/40MG CAPSULE SR</t>
  </si>
  <si>
    <t>VASOTEL 40MG TABLET</t>
  </si>
  <si>
    <t>VYOGOES 0.3MG TABLET</t>
  </si>
  <si>
    <t>ARTZEN F 10MG/160MG TABLET</t>
  </si>
  <si>
    <t>BENIZEX T 4MG/40MG TABLET</t>
  </si>
  <si>
    <t>LOSACT AM 50MG/5MG TABLET</t>
  </si>
  <si>
    <t>MT 25MG TABLET XL</t>
  </si>
  <si>
    <t>MT 50MG TABLET XL</t>
  </si>
  <si>
    <t>RAMACT 5MG TABLET</t>
  </si>
  <si>
    <t>VASOGLIZ M PLUS 80MG/500MG TABLET SR</t>
  </si>
  <si>
    <t>VYOGOES GM TABLET</t>
  </si>
  <si>
    <t>ANTROSPAS 10MG/50MG TABLET</t>
  </si>
  <si>
    <t>Zenacts Pharma P Ltd</t>
  </si>
  <si>
    <t>APECYP SYRUP</t>
  </si>
  <si>
    <t>ARUMARIA 80MG/480MG TABLET</t>
  </si>
  <si>
    <t>CALOXYY CV 1GM/0.2GM INJECTION</t>
  </si>
  <si>
    <t>DARVIBACT LOTION</t>
  </si>
  <si>
    <t>FLUBAN TABLET</t>
  </si>
  <si>
    <t>FUZONIB 150MG TABLET</t>
  </si>
  <si>
    <t>ITODERV 200MG CAPSULE</t>
  </si>
  <si>
    <t>JUVIGEN G 300MG/500MCG TABLET</t>
  </si>
  <si>
    <t>KETODERV 75GM SOAP</t>
  </si>
  <si>
    <t>MEDDY 2MG TABLET</t>
  </si>
  <si>
    <t>MERACT 250MG INJECTION</t>
  </si>
  <si>
    <t>MINICIN 500MG INJECTION</t>
  </si>
  <si>
    <t>NARBULL 50 INJECTION</t>
  </si>
  <si>
    <t>RIBACE D 30MG/20MG CAPSULE</t>
  </si>
  <si>
    <t>VYOSEF 500MG INJECTION</t>
  </si>
  <si>
    <t>VYOSEF S 500MG/250MG INJECTION</t>
  </si>
  <si>
    <t>ACIZAP 40 TABLET</t>
  </si>
  <si>
    <t>CALOXYY CV DRY SYRUP</t>
  </si>
  <si>
    <t>CALOXYY D 250MG/250MG TABLET</t>
  </si>
  <si>
    <t>CIROXIME 250MG TABLET</t>
  </si>
  <si>
    <t>IZZI 500MG TABLET</t>
  </si>
  <si>
    <t>JUVIGEN 1500MCG INJECTION</t>
  </si>
  <si>
    <t>JUVIGEN P 500MCG/75MG TABLET</t>
  </si>
  <si>
    <t>LUZEI 5MG TABLET</t>
  </si>
  <si>
    <t>MINICIN 100MG INJECTION</t>
  </si>
  <si>
    <t>MINICIN 250MG INJECTION</t>
  </si>
  <si>
    <t>OQUEEN 200MG TABLET</t>
  </si>
  <si>
    <t>OSSUM D 10MG/20MG CAPSULE</t>
  </si>
  <si>
    <t>ROBILAC CAPSULE</t>
  </si>
  <si>
    <t>SEFTICA 100MG TABLET</t>
  </si>
  <si>
    <t>SEFTICA 200MG TABLET</t>
  </si>
  <si>
    <t>SIZOWIN S 0.5GM/0.5GM INJECTION</t>
  </si>
  <si>
    <t>T DERV 250MG TABLET</t>
  </si>
  <si>
    <t>TUSBAN A SYRUP</t>
  </si>
  <si>
    <t>TUSBAN D SYRUP</t>
  </si>
  <si>
    <t>VYOSEF 1GM INJECTION</t>
  </si>
  <si>
    <t>VYOSEF O 200MG TABLET</t>
  </si>
  <si>
    <t>VYOSEF S 250MG/125MG INJECTION</t>
  </si>
  <si>
    <t>ZACTS 250MG TABLET</t>
  </si>
  <si>
    <t>APHEN SP TABLET</t>
  </si>
  <si>
    <t>CALLACT TABLET</t>
  </si>
  <si>
    <t>CIROXIME 500MG TABLET</t>
  </si>
  <si>
    <t>CQUEEN TZ 500MG/600MG TABLET</t>
  </si>
  <si>
    <t>DARVIDERM CREAM</t>
  </si>
  <si>
    <t>DIXFREE 25MG INJECTION</t>
  </si>
  <si>
    <t>DIXFREE SP TABLET</t>
  </si>
  <si>
    <t>JUVIGEN NP 75MG/10MG/1500MCG TABLET</t>
  </si>
  <si>
    <t>KETODERV SHAMPOO</t>
  </si>
  <si>
    <t>LQUEEN 500MG TABLET</t>
  </si>
  <si>
    <t>LUZEI M KID TABLET DT</t>
  </si>
  <si>
    <t>MEDDY 2MG INJECTION</t>
  </si>
  <si>
    <t>NARBULL 25MG INJECTION</t>
  </si>
  <si>
    <t>NIPOOL P 100MG/500MG TABLET</t>
  </si>
  <si>
    <t>OQUEEN OZ 200MG/500MG TABLET</t>
  </si>
  <si>
    <t>RIBACE 20MG INJECTION</t>
  </si>
  <si>
    <t>SEFTICA CV 200MG/125MG TABLET</t>
  </si>
  <si>
    <t>SIZOWIN S 1GM/0.5GM INJECTION</t>
  </si>
  <si>
    <t>SKINLONG CREAM</t>
  </si>
  <si>
    <t>TENLIZEX 20MG TABLET</t>
  </si>
  <si>
    <t>VYOSEF 250MG INJECTION</t>
  </si>
  <si>
    <t>VYOSEF O 50MG SYRUP</t>
  </si>
  <si>
    <t>VYOSEF S 1GM/0.5GM INJECTION</t>
  </si>
  <si>
    <t>ALFAVIN 150MG INJECTION</t>
  </si>
  <si>
    <t>ALWIN WILCARE PHARMACEUTICALS</t>
  </si>
  <si>
    <t>ANTOREX 40MG INJECTION</t>
  </si>
  <si>
    <t>ANTOREX D 10MG/40MG TABLET</t>
  </si>
  <si>
    <t>HEETHRO 500MG TABLET</t>
  </si>
  <si>
    <t>MYOXYVIN 1000MCG INJECTION</t>
  </si>
  <si>
    <t>MYSHEROL TABLET</t>
  </si>
  <si>
    <t>ORCEF S 1000MG/500MG INJECTION</t>
  </si>
  <si>
    <t>ORCLAVE 500MG/125MG TABLET</t>
  </si>
  <si>
    <t>ZEVODIL 250MG TABLET</t>
  </si>
  <si>
    <t>HEETHRO 250MG TABLET</t>
  </si>
  <si>
    <t>ORCEF 1000MG INJECTION</t>
  </si>
  <si>
    <t>ORCEF 500MG INJECTION</t>
  </si>
  <si>
    <t>ORCEF T 1000MG/125MG INJECTION</t>
  </si>
  <si>
    <t>RECOGEEL PLUS SYRUP</t>
  </si>
  <si>
    <t>YOZID 1000MG INJECTION</t>
  </si>
  <si>
    <t>ZEKPOD 200MG TABLET</t>
  </si>
  <si>
    <t>ORCEF 250MG INJECTION</t>
  </si>
  <si>
    <t>ORCEF S 250MG/125MG INJECTION</t>
  </si>
  <si>
    <t>ORCEF S 500MG/250MG INJECTION</t>
  </si>
  <si>
    <t>YOZID 250MG INJECTION</t>
  </si>
  <si>
    <t>ANTOREX 40MG TABLET</t>
  </si>
  <si>
    <t>AZVZN 1000MG INJECTION</t>
  </si>
  <si>
    <t>FITPAK CAPSULE</t>
  </si>
  <si>
    <t>ORCLAVE 1000MG/200MG INJECTION</t>
  </si>
  <si>
    <t>ORLON 4MG INJECTION</t>
  </si>
  <si>
    <t>ORNEX 500MG/500MG INJECTION</t>
  </si>
  <si>
    <t>ORTICORT 6MG TABLET</t>
  </si>
  <si>
    <t>ADIPIN 2.5MG TABLET</t>
  </si>
  <si>
    <t>SAIN MEDICAMENTS PVT LTD</t>
  </si>
  <si>
    <t>ALTO SP TABLET</t>
  </si>
  <si>
    <t>AMOXYSAIN 500MG CAPSULE</t>
  </si>
  <si>
    <t>ASAT 10 TABLET</t>
  </si>
  <si>
    <t>ASAT 20MG TABLET</t>
  </si>
  <si>
    <t>BIOTIN PLUS TABLET</t>
  </si>
  <si>
    <t>CIPROXAIN TZ 250MG/300MG TABLET</t>
  </si>
  <si>
    <t>DN PLUS TABLET</t>
  </si>
  <si>
    <t>DIOR VG 2MG/500MG/0.2MG TABLET</t>
  </si>
  <si>
    <t>DIOR G1 TABLET</t>
  </si>
  <si>
    <t>ENTROQUINE 125MG TABLET</t>
  </si>
  <si>
    <t>EPRIL 5MG TABLET</t>
  </si>
  <si>
    <t>ESZOL D 30MG/40MG CAPSULE SR</t>
  </si>
  <si>
    <t>ETOSAIN 60 TABLET</t>
  </si>
  <si>
    <t>L CET M 5MG/10MG TABLET</t>
  </si>
  <si>
    <t>LOSAIN H 50MG/12.5MG TABLET</t>
  </si>
  <si>
    <t>MECOZEN NT 400MG/10MG TABLET</t>
  </si>
  <si>
    <t>MECOZEN PLUS FORTE TABLET</t>
  </si>
  <si>
    <t>O GNAT 250MG TABLET</t>
  </si>
  <si>
    <t>OFZEN 200MG TABLET</t>
  </si>
  <si>
    <t>OFZEN 400MG TABLET</t>
  </si>
  <si>
    <t>OLSAT 20MG TABLET</t>
  </si>
  <si>
    <t>OLZEN 2.5MG TABLET</t>
  </si>
  <si>
    <t>RAZ D 10MG/20MG TABLET</t>
  </si>
  <si>
    <t>REVENZ 600MG TABLET</t>
  </si>
  <si>
    <t>SAZITH 250MG TABLET</t>
  </si>
  <si>
    <t>SUCRAGEL ORAL SUSPENSION</t>
  </si>
  <si>
    <t>SUCRAGEL O SYRUP</t>
  </si>
  <si>
    <t>TAM D 0.4MG/0.5MG TABLET</t>
  </si>
  <si>
    <t>TELSAT 20 TABLET</t>
  </si>
  <si>
    <t>TELSAT H TABLET</t>
  </si>
  <si>
    <t>TRIVIR 150MG/40MG/200MG TABLET</t>
  </si>
  <si>
    <t>TRYCIN 650MG TABLET</t>
  </si>
  <si>
    <t>ZIDDIVIR 100MG TABLET</t>
  </si>
  <si>
    <t>ADIPIN 10MG TABLET</t>
  </si>
  <si>
    <t>ADIPIN L 50MG/5MG TABLET</t>
  </si>
  <si>
    <t>ALTO P 100MG/500MG TABLET</t>
  </si>
  <si>
    <t>AMOXYSAIN 250MG CAPSULE</t>
  </si>
  <si>
    <t>APRIZOL 5MG TABLET</t>
  </si>
  <si>
    <t>ASAT 5MG TABLET</t>
  </si>
  <si>
    <t>BASICS TABLET</t>
  </si>
  <si>
    <t>BECOVIT Z TABLET</t>
  </si>
  <si>
    <t>CX CV 200MG/125MG TABLET</t>
  </si>
  <si>
    <t>CALSHEL CTZ TABLET</t>
  </si>
  <si>
    <t>CEFIXAIN 200MG TABLET</t>
  </si>
  <si>
    <t>CEFIXAIN 400MG TABLET</t>
  </si>
  <si>
    <t>CEFIXAIN 50MG DRY SYRUP</t>
  </si>
  <si>
    <t>CEPHAXAIN 125MG TABLET DT</t>
  </si>
  <si>
    <t>CEPHAXAIN 250MG CAPSULE</t>
  </si>
  <si>
    <t>CEPHAXAIN 500MG CAPSULE</t>
  </si>
  <si>
    <t>CEZEN PLUS 200MG/125MG TABLET</t>
  </si>
  <si>
    <t>CLAZITH 500MG TABLET</t>
  </si>
  <si>
    <t>DIOR PLUS 5MG/500MG TABLET</t>
  </si>
  <si>
    <t>EPRIL 2.5MG TABLET</t>
  </si>
  <si>
    <t>ETOSAIN 90 TABLET</t>
  </si>
  <si>
    <t>FLAX 369 CAPSULE</t>
  </si>
  <si>
    <t>HIVIR 100MG TABLET</t>
  </si>
  <si>
    <t>L CET 5MG TABLET</t>
  </si>
  <si>
    <t>OFZEN OZ 200MG/500MG TABLET</t>
  </si>
  <si>
    <t>OLZEN 5MG TABLET</t>
  </si>
  <si>
    <t>OSTEOFLEX TABLET</t>
  </si>
  <si>
    <t>PR 1MG TABLET DR</t>
  </si>
  <si>
    <t>PILEACT CAPSULE</t>
  </si>
  <si>
    <t>PROZOL 10MG CAPSULE</t>
  </si>
  <si>
    <t>SAINZEN K (AS) CAPSULE</t>
  </si>
  <si>
    <t>SAZITH 500MG TABLET</t>
  </si>
  <si>
    <t>SELVIT CAPSULE</t>
  </si>
  <si>
    <t>SPARSAIN 100MG TABLET</t>
  </si>
  <si>
    <t>STADIN 40MG TABLET</t>
  </si>
  <si>
    <t>STADIN PLUS 150MG/30MG TABLET</t>
  </si>
  <si>
    <t>TELSAT AM 40MG/5MG TABLET</t>
  </si>
  <si>
    <t>V D3 CAPSULE</t>
  </si>
  <si>
    <t>VILL M 500MG/50MG TABLET</t>
  </si>
  <si>
    <t>AMOXYSAIN 125MG DRY SYRUP</t>
  </si>
  <si>
    <t>CEFIXAIN 100MG TABLET DT</t>
  </si>
  <si>
    <t>CETCOCIN 5MG/500MG/5MG TABLET</t>
  </si>
  <si>
    <t>CIPROXAIN 500MG TABLET</t>
  </si>
  <si>
    <t>DICLOSAIN K 50MG/325MG TABLET</t>
  </si>
  <si>
    <t>DIOR 500MG TABLET</t>
  </si>
  <si>
    <t>DIOR SR TABLET</t>
  </si>
  <si>
    <t>DIOR PG 2 TABLET</t>
  </si>
  <si>
    <t>DIOR PG1 TABLET ER</t>
  </si>
  <si>
    <t>DIVAZEN 250MG TABLET</t>
  </si>
  <si>
    <t>DZCOT 6MG TABLET</t>
  </si>
  <si>
    <t>ESZEN 10MG TABLET</t>
  </si>
  <si>
    <t>ESZOL 40MG TABLET</t>
  </si>
  <si>
    <t>HIVIR 150MG TABLET</t>
  </si>
  <si>
    <t>LOSAIN 50 TABLET</t>
  </si>
  <si>
    <t>MALOFER XT TABLET</t>
  </si>
  <si>
    <t>MECOZEN PG CAPSULE</t>
  </si>
  <si>
    <t>O TINIB 100MG CAPSULE</t>
  </si>
  <si>
    <t>PB LAC TABLET</t>
  </si>
  <si>
    <t>PR 2MG TABLET DR</t>
  </si>
  <si>
    <t>PAM 800MG TABLET</t>
  </si>
  <si>
    <t>PANZOL PLUS 10MG/40MG TABLET</t>
  </si>
  <si>
    <t>PANZOL D 30MG/40MG CAPSULE</t>
  </si>
  <si>
    <t>PROPLEX POWDER CHOCOLATE</t>
  </si>
  <si>
    <t>QAIN 300MG TABLET</t>
  </si>
  <si>
    <t>ROSAT 10 TABLET</t>
  </si>
  <si>
    <t>ROSAT 20 TABLET</t>
  </si>
  <si>
    <t>CEBRITE LOTION</t>
  </si>
  <si>
    <t>COSMOGEN INDIA</t>
  </si>
  <si>
    <t>CEBRITE CAPSULE</t>
  </si>
  <si>
    <t>HYDROPHAR GEL</t>
  </si>
  <si>
    <t>CEFISAT 200 TABLET</t>
  </si>
  <si>
    <t>SATURN LAB</t>
  </si>
  <si>
    <t>ECOSAT 90MG TABLET</t>
  </si>
  <si>
    <t>FEBSAT 40MG TABLET</t>
  </si>
  <si>
    <t>GLIMSAT GM 2MG/500MG TABLET</t>
  </si>
  <si>
    <t>GOFENAC 75MG INJECTION</t>
  </si>
  <si>
    <t>MEFISAT T 500MG/250MG TABLET</t>
  </si>
  <si>
    <t>METHY PLUS INJECTION</t>
  </si>
  <si>
    <t>NEATSAT 5 TABLET</t>
  </si>
  <si>
    <t>OLYFERIC INJECTION</t>
  </si>
  <si>
    <t>PLEMOX 400MG INJECTION</t>
  </si>
  <si>
    <t>SATBEN 6MG/400MG CHEWABLE TABLET</t>
  </si>
  <si>
    <t>SATFATE O ORAL SUSPENSION</t>
  </si>
  <si>
    <t>SATLIN 300MG INJECTION</t>
  </si>
  <si>
    <t>SATMINE 20 TABLET</t>
  </si>
  <si>
    <t>SATMOLIZ 40MG INJECTION</t>
  </si>
  <si>
    <t>SILITEL A TABLET</t>
  </si>
  <si>
    <t>TRIASAT 40MG INJECTION</t>
  </si>
  <si>
    <t>TRIAZO S INJECTION</t>
  </si>
  <si>
    <t>VANCOSAT 500MG INJECTION</t>
  </si>
  <si>
    <t>ZINILET 5 TABLET</t>
  </si>
  <si>
    <t>BOXINE SYRUP</t>
  </si>
  <si>
    <t>CAREZOL 500 TABLET</t>
  </si>
  <si>
    <t>CEFISAT 100 TABLET DT</t>
  </si>
  <si>
    <t>CIFLOSAT 500MG TABLET</t>
  </si>
  <si>
    <t>CLAVSAT 1.2 INJECTION</t>
  </si>
  <si>
    <t>ECOSAT TH 60MG/4MG TABLET</t>
  </si>
  <si>
    <t>EDOSAT 1.5MG INJECTION</t>
  </si>
  <si>
    <t>EMUNAT 60MG INJECTION</t>
  </si>
  <si>
    <t>EROPEM 1000MG INJECTION</t>
  </si>
  <si>
    <t>FUCON 150 TABLET</t>
  </si>
  <si>
    <t>GIMACK SP TABLET</t>
  </si>
  <si>
    <t>GLIMSAT MV 1MG/500MG/0.3MG TABLET</t>
  </si>
  <si>
    <t>GLIMSAT MV 2MG/500MG/0.3MG TABLET</t>
  </si>
  <si>
    <t>GOFENAC S TABLET</t>
  </si>
  <si>
    <t>ITRASAT 100 CAPSULE</t>
  </si>
  <si>
    <t>LEGOLIFE 500 TABLET</t>
  </si>
  <si>
    <t>LINZOT 600MG TABLET</t>
  </si>
  <si>
    <t>MEFISAT ORAL SUSPENSION</t>
  </si>
  <si>
    <t>MEFISAT P TABLET</t>
  </si>
  <si>
    <t>OFAWIN OZ 200MG/500MG INFUSION</t>
  </si>
  <si>
    <t>RIFASAT 200MG TABLET</t>
  </si>
  <si>
    <t>RUTO DSR CAPSULE</t>
  </si>
  <si>
    <t>RUTO IT 20MG/150MG CAPSULE SR</t>
  </si>
  <si>
    <t>RUTO L CAPSULE SR</t>
  </si>
  <si>
    <t>SATCIN 500 INJECTION</t>
  </si>
  <si>
    <t>SATCOLIN 250MG INJECTION</t>
  </si>
  <si>
    <t>SATGEST 200 SOFTGEL CAPSULE</t>
  </si>
  <si>
    <t>SATGEST 300MG TABLET</t>
  </si>
  <si>
    <t>SATMOL 125MG ORAL SUSPENSION</t>
  </si>
  <si>
    <t>SATVASTIN 20MG TABLET</t>
  </si>
  <si>
    <t>SATZOLE 2.5MG TABLET</t>
  </si>
  <si>
    <t>SILITEL CT 80MG/12.5MG TABLET</t>
  </si>
  <si>
    <t>STAPOLIN CV TABLET</t>
  </si>
  <si>
    <t>TAMSLAR 0.5MG TABLET</t>
  </si>
  <si>
    <t>TIVILIN 50MG INJECTION</t>
  </si>
  <si>
    <t>TRIAZO 500MG INJECTION</t>
  </si>
  <si>
    <t>ZEDASAT 1000MG/125MG INJECTION</t>
  </si>
  <si>
    <t>ZINILET AB 10MG/5MG/200MG TABLET</t>
  </si>
  <si>
    <t>ABIVORI 200 TABLET</t>
  </si>
  <si>
    <t>AMLOSAT M 5MG/25MG TABLET</t>
  </si>
  <si>
    <t>APICYP SYRUP</t>
  </si>
  <si>
    <t>ARA P ORAL SUSPENSION</t>
  </si>
  <si>
    <t>ARA TH 100MG/4MG TABLET</t>
  </si>
  <si>
    <t>ARA MR TABLET</t>
  </si>
  <si>
    <t>ARA SP TABLET</t>
  </si>
  <si>
    <t>AROLACT ORAL SOLUTION</t>
  </si>
  <si>
    <t>BROFIL CAPSULE</t>
  </si>
  <si>
    <t>CEFIPROC TZ INJECTION</t>
  </si>
  <si>
    <t>CEFISAT 50MG DRY SYRUP</t>
  </si>
  <si>
    <t>CEFISAT CV DRY SYRUP</t>
  </si>
  <si>
    <t>CEFISAT CV TABLET</t>
  </si>
  <si>
    <t>CEFISAT O TABLET</t>
  </si>
  <si>
    <t>CEFISAT OZ TABLET</t>
  </si>
  <si>
    <t>CINSAT 25 TABLET</t>
  </si>
  <si>
    <t>CLAVSAT 625 TABLET</t>
  </si>
  <si>
    <t>ECOSAT C CHEWABLE TABLET DELICIOUS ORANGE</t>
  </si>
  <si>
    <t>EROPEM S 1000MG/500MG INJECTION</t>
  </si>
  <si>
    <t>FALCID INJECTION</t>
  </si>
  <si>
    <t>FEROSAT 200MG TABLET</t>
  </si>
  <si>
    <t>HEDOSAT 10MG SYRUP</t>
  </si>
  <si>
    <t>ISOSATE 40MG TABLET SR</t>
  </si>
  <si>
    <t>ITRASAT 200 CAPSULE</t>
  </si>
  <si>
    <t>LEGOLIFE OZ 250MG/500MG TABLET</t>
  </si>
  <si>
    <t>METHY FORTE INJECTION</t>
  </si>
  <si>
    <t>METHY N 75MG/10MG TABLET SR</t>
  </si>
  <si>
    <t>OFAWIN F 200MG/200MG TABLET</t>
  </si>
  <si>
    <t>PIROTAM 200MG INJECTION</t>
  </si>
  <si>
    <t>RUTO IV 20MG INJECTION</t>
  </si>
  <si>
    <t>SATCORT 6 TABLET</t>
  </si>
  <si>
    <t>SATCORT 6MG ORAL SUSPENSION</t>
  </si>
  <si>
    <t>SATGEST 400MG TABLET SR</t>
  </si>
  <si>
    <t>SATLOR P 8MG/325MG TABLET</t>
  </si>
  <si>
    <t>SATMOLIZ D 30MG/40MG CAPSULE SR</t>
  </si>
  <si>
    <t>SATROXIN SYRUP</t>
  </si>
  <si>
    <t>SILITEL H 40 TABLET</t>
  </si>
  <si>
    <t>TAMSLAR INJECTION</t>
  </si>
  <si>
    <t>TAMSLAR D TABLET</t>
  </si>
  <si>
    <t>TERBITOTAL 250MG TABLET</t>
  </si>
  <si>
    <t>ZINILET COLD TABLET</t>
  </si>
  <si>
    <t>ARA P TABLET</t>
  </si>
  <si>
    <t>AVOLICIA CREAM</t>
  </si>
  <si>
    <t>CEFISAT LB TABLET DT</t>
  </si>
  <si>
    <t>CLAVSAT 375 TABLET</t>
  </si>
  <si>
    <t>CLAVSAT DRY SYRUP</t>
  </si>
  <si>
    <t>GIMACK P TABLET</t>
  </si>
  <si>
    <t>GLIMSAT GM 1MG/500MG TABLET</t>
  </si>
  <si>
    <t>LEGOLIFE IV 500MG INFUSION</t>
  </si>
  <si>
    <t>METHY 2500 INJECTION</t>
  </si>
  <si>
    <t>METHY PG TABLET</t>
  </si>
  <si>
    <t>OFAWIN OZ TABLET</t>
  </si>
  <si>
    <t>PAZOBET D 30MG/40MG CAPSULE SR</t>
  </si>
  <si>
    <t>PAZOBET D TABLET</t>
  </si>
  <si>
    <t>SATBEN SYRUP</t>
  </si>
  <si>
    <t>SATCOLIN P 500MG/800MG TABLET</t>
  </si>
  <si>
    <t>SATGEST 200MG INJECTION</t>
  </si>
  <si>
    <t>SATLIN 300MG TABLET</t>
  </si>
  <si>
    <t>SATLIV 300 TABLET</t>
  </si>
  <si>
    <t>SATLIV SL 140MG/300MG TABLET</t>
  </si>
  <si>
    <t>SATMOL 650MG TABLET</t>
  </si>
  <si>
    <t>SATROXI 20MG INJECTION</t>
  </si>
  <si>
    <t>SILITEL 40 TABLET</t>
  </si>
  <si>
    <t>SILITEL TRIO 40MG/5MG/12.5MG TABLET</t>
  </si>
  <si>
    <t>STAPOLIN O TABLET</t>
  </si>
  <si>
    <t>TRIAZO 250 INJECTION</t>
  </si>
  <si>
    <t>TRIAZO T 1000MG/125MG INJECTION</t>
  </si>
  <si>
    <t>VIDASAT M TABLET</t>
  </si>
  <si>
    <t>ZINILET KID TABLET</t>
  </si>
  <si>
    <t>OVARICH Q10</t>
  </si>
  <si>
    <t>ACEBID 100MG TABLET</t>
  </si>
  <si>
    <t>SHIELD HEALTH CARE PVT LTD</t>
  </si>
  <si>
    <t>ACETO PLUS 100 MG/500 MG TABLET</t>
  </si>
  <si>
    <t>APCOD POWDER</t>
  </si>
  <si>
    <t>CETRIPLUS 300 MG/10 MG TABLET</t>
  </si>
  <si>
    <t>MEGA V TABLET</t>
  </si>
  <si>
    <t>ORAA SPA CAPSULE</t>
  </si>
  <si>
    <t>RINOFAST 2MG/ML/5MG/ML ORAL DROPS</t>
  </si>
  <si>
    <t>S 75 POWDER</t>
  </si>
  <si>
    <t>TOTALIS CAPSULE</t>
  </si>
  <si>
    <t>UTI FLUSH GRANULES</t>
  </si>
  <si>
    <t>AH PLUS TABLET</t>
  </si>
  <si>
    <t>ACEBID PLUS 100 MG/500 MG TABLET</t>
  </si>
  <si>
    <t>ACEBID SP TABLET</t>
  </si>
  <si>
    <t>ACETO 100MG/ML DROP</t>
  </si>
  <si>
    <t>ACETO 250MG/5ML SUSPENSION</t>
  </si>
  <si>
    <t>ACETO 500MG TABLET</t>
  </si>
  <si>
    <t>ART LUTON VAGINAL SPRAY</t>
  </si>
  <si>
    <t>BENFORCE TABLET</t>
  </si>
  <si>
    <t>BENFORCE M TABLET</t>
  </si>
  <si>
    <t>CETRIPLUS 5MG/5ML SYRUP</t>
  </si>
  <si>
    <t>GDM SAFE POWDER</t>
  </si>
  <si>
    <t>LOKIAPAD</t>
  </si>
  <si>
    <t>MINI LUTON VAGINAL SPRAY</t>
  </si>
  <si>
    <t>ONERVE SR CAPSULE</t>
  </si>
  <si>
    <t>ONERVE CAPSULE</t>
  </si>
  <si>
    <t>OVAA SHIELD DS COMBIPACK</t>
  </si>
  <si>
    <t>PRIMI TABLET</t>
  </si>
  <si>
    <t>REGLY TABLET</t>
  </si>
  <si>
    <t>RELAX TABLET</t>
  </si>
  <si>
    <t>RINOFAST TABLET</t>
  </si>
  <si>
    <t>RUDIMIN DROP</t>
  </si>
  <si>
    <t>RUDIMIN SYRUP</t>
  </si>
  <si>
    <t>RUDIMIN TABLET</t>
  </si>
  <si>
    <t>UTI FLUSH NUTACEUTICAL SACHET (3.5GM EACH)</t>
  </si>
  <si>
    <t>UTI FLUSH POWDER</t>
  </si>
  <si>
    <t>ACEBID CZ 100 MG/325 MG/250 MG TABLET</t>
  </si>
  <si>
    <t>ACETO 125MG/5ML SYRUP</t>
  </si>
  <si>
    <t>APCOD OBIS SACHET</t>
  </si>
  <si>
    <t>APCOD SOFTULE</t>
  </si>
  <si>
    <t>APCOD MAX SACHET</t>
  </si>
  <si>
    <t>BENQ10 CAPSULE</t>
  </si>
  <si>
    <t>EXTRAFER TABLET</t>
  </si>
  <si>
    <t>LABIFOS CAPSULE</t>
  </si>
  <si>
    <t>OVAA SHIELD COMBIPACK</t>
  </si>
  <si>
    <t>PRIWASH SOAP FREE HYGIENE WASH</t>
  </si>
  <si>
    <t>ZOAMATES POWDER</t>
  </si>
  <si>
    <t>ACETO 150MG DROP</t>
  </si>
  <si>
    <t>ACETO 650MG TABLET</t>
  </si>
  <si>
    <t>ESTRO G 100 TABLET</t>
  </si>
  <si>
    <t>EXTRAFER SUSPENSION</t>
  </si>
  <si>
    <t>GASOME 10 MG/20 MG CAPSULE</t>
  </si>
  <si>
    <t>JUSMILE SANITARY PADS</t>
  </si>
  <si>
    <t>NEO FERRITIN TABLET</t>
  </si>
  <si>
    <t>RENEA 5MG/10MG TABLET</t>
  </si>
  <si>
    <t>RINOFAST P 2 MG/125 MG/5 MG SYRUP</t>
  </si>
  <si>
    <t>RINOFAST SYRUP</t>
  </si>
  <si>
    <t>RUDIMIN ALPHA CAPSULE</t>
  </si>
  <si>
    <t>TOTALEES CAPSULE</t>
  </si>
  <si>
    <t>ALKADIUM SYRUP</t>
  </si>
  <si>
    <t>BEST BIOTECH</t>
  </si>
  <si>
    <t>ALOBEST SOAP</t>
  </si>
  <si>
    <t>AQUAFENAC 75MG INJECTION</t>
  </si>
  <si>
    <t>BENFIT M TABLET</t>
  </si>
  <si>
    <t>BESTIMUNE TABLET</t>
  </si>
  <si>
    <t>BUDEBEST NEBULISER SUSPENSION</t>
  </si>
  <si>
    <t>CALCIMATE CL NASAL SPRAY</t>
  </si>
  <si>
    <t>CALCIMATE CL SOFTGEL CAPSULE</t>
  </si>
  <si>
    <t>CALCIMATE CQ CAPSULE</t>
  </si>
  <si>
    <t>COLONEXT ORAL DROPS</t>
  </si>
  <si>
    <t>COLONEXT AD DS DRY SUSPENSION</t>
  </si>
  <si>
    <t>DILIDOL GEL</t>
  </si>
  <si>
    <t>DOOX INJECTION</t>
  </si>
  <si>
    <t>DPP VIL 50 TABLET</t>
  </si>
  <si>
    <t>DPP VIL MET 500MG/50MG TABLET</t>
  </si>
  <si>
    <t>ECOSOFT GLA SOFT GELATIN CAPSULE</t>
  </si>
  <si>
    <t>EFZOLE DRY SYRUP</t>
  </si>
  <si>
    <t>ELCET SYRUP</t>
  </si>
  <si>
    <t>ELCET DEC SYRUP</t>
  </si>
  <si>
    <t>EXTCLAV DS XL DRY SYRUP</t>
  </si>
  <si>
    <t>EXTCLAV DS DRY SYRUP</t>
  </si>
  <si>
    <t>FERFECT XT TABLET</t>
  </si>
  <si>
    <t>FERTINORM TABLET</t>
  </si>
  <si>
    <t>FEXT 120MG TABLET</t>
  </si>
  <si>
    <t>FEXT ORAL SUSPENSION</t>
  </si>
  <si>
    <t>FLUTINORM S 250 INHACAPS</t>
  </si>
  <si>
    <t>FORAHALE 400 INHA CAPS</t>
  </si>
  <si>
    <t>FUDATE CREAM</t>
  </si>
  <si>
    <t>GLIBEST M FORTE 2MG/1000MG TABLET SR</t>
  </si>
  <si>
    <t>GLYSOFT SKIN CARE SOAP</t>
  </si>
  <si>
    <t>HI RISE SYRUP</t>
  </si>
  <si>
    <t>HI CEF 50MG TABLET DT</t>
  </si>
  <si>
    <t>HICEF 200 DRY SYRUP</t>
  </si>
  <si>
    <t>HIPOD 50 ORAL SUSPENSION</t>
  </si>
  <si>
    <t>HIPOD CV 100 ORAL SUSPENSION</t>
  </si>
  <si>
    <t>HITUM 250MG TABLET</t>
  </si>
  <si>
    <t>HYPOD 200MG TABLET</t>
  </si>
  <si>
    <t>INSPIHALER INHALER</t>
  </si>
  <si>
    <t>IORY 200MG CAPSULE</t>
  </si>
  <si>
    <t>IVEBEST 12MG TABLET</t>
  </si>
  <si>
    <t>JUNIOR LGERD 15MG TABLET DT</t>
  </si>
  <si>
    <t>KETOLAC 10MG TABLET DT</t>
  </si>
  <si>
    <t>KIDIVENT LS SYRUP</t>
  </si>
  <si>
    <t>KIDIVENT PD SYRUP</t>
  </si>
  <si>
    <t>KNOZOLE B ANTI DANDRUFF SHAMPOO</t>
  </si>
  <si>
    <t>LACTO QUTE POWDER</t>
  </si>
  <si>
    <t>LITHONORM TABLET</t>
  </si>
  <si>
    <t>M2DAY 40MG INJECTION</t>
  </si>
  <si>
    <t>M2DAY 8MG TABLET</t>
  </si>
  <si>
    <t>MEGABEST ORAL SUSPENSION ELAICHI</t>
  </si>
  <si>
    <t>MEGABEST DM ORAL GEL ELAICHI</t>
  </si>
  <si>
    <t>MIST F NASAL SPRAY</t>
  </si>
  <si>
    <t>MONTEN L 5MG/10MG TABLET</t>
  </si>
  <si>
    <t>MONTEN FX ORAL SUSPENSION</t>
  </si>
  <si>
    <t>NACDAY T TABLET</t>
  </si>
  <si>
    <t>NORNIA DRY SYRUP</t>
  </si>
  <si>
    <t>NUREAL D 30MG/20MG CAPSULE SR</t>
  </si>
  <si>
    <t>NUREAL L 75MG/20MG CAPSULE SR</t>
  </si>
  <si>
    <t>OFLOBEST OZ 200MG/500MG TABLET</t>
  </si>
  <si>
    <t>OFLOBEST ORAL SUSPENSION</t>
  </si>
  <si>
    <t>PANGERD 40MG TABLET</t>
  </si>
  <si>
    <t>PATNY D 20MG/325MG TABLET</t>
  </si>
  <si>
    <t>PEDIBATH SOAP</t>
  </si>
  <si>
    <t>PRENURON M 750MCG/75MG TABLET</t>
  </si>
  <si>
    <t>PROQURE SACHET</t>
  </si>
  <si>
    <t>REDIFFIT XTRA TABLET</t>
  </si>
  <si>
    <t>REDIVIT GOLD TONIC</t>
  </si>
  <si>
    <t>REDIVIT PLUS INJECTION</t>
  </si>
  <si>
    <t>REDIVIT DF POWDER CARDAMOM</t>
  </si>
  <si>
    <t>REDY SYRUP</t>
  </si>
  <si>
    <t>REEQURE OF ORAL SUSPENSION</t>
  </si>
  <si>
    <t>RINOLIFE PLUS 5MG/325MG/5MG TABLET</t>
  </si>
  <si>
    <t>ROSYCLEAR F 160MG/10MG TABLET</t>
  </si>
  <si>
    <t>SAFENAC 100MG TABLET</t>
  </si>
  <si>
    <t>SAFENAC XP 100MG/20MG TABLET ER</t>
  </si>
  <si>
    <t>SAFEZYME ORAL DROPS</t>
  </si>
  <si>
    <t>SAFEZYME PLUS ORAL SUSPENSION</t>
  </si>
  <si>
    <t>SAFEZYME TABLET</t>
  </si>
  <si>
    <t>SLIMPLEX TABLET</t>
  </si>
  <si>
    <t>SNONORM TABLET</t>
  </si>
  <si>
    <t>SPIRO BEST 3MIU TABLET</t>
  </si>
  <si>
    <t>STOMASAFE ORAL PASTE</t>
  </si>
  <si>
    <t>STROKLEAR PLUS 500MG/800MG TABLET</t>
  </si>
  <si>
    <t>SYNCLONA MD TABLET</t>
  </si>
  <si>
    <t>TRICLOCALM SYRUP</t>
  </si>
  <si>
    <t>TRIGLIBEST GM 1MG/500MG/0.2MG TABLET SR</t>
  </si>
  <si>
    <t>VERYFE NXT TABLET</t>
  </si>
  <si>
    <t>VESCAB P MEDICATED SOAP</t>
  </si>
  <si>
    <t>VONDER 4MG INJECTION</t>
  </si>
  <si>
    <t>VONDER SYRUP</t>
  </si>
  <si>
    <t>VOVATREX ET 250MG/250MG TABLET</t>
  </si>
  <si>
    <t>VYPAN 40MG TABLET</t>
  </si>
  <si>
    <t>XTREX 25MG TABLET</t>
  </si>
  <si>
    <t>XTREX DROPS</t>
  </si>
  <si>
    <t>AGRILET A 75MG/150MG TABLET</t>
  </si>
  <si>
    <t>ARME L 80MG/480MG TABLET</t>
  </si>
  <si>
    <t>ASTRO 10MG TABLET</t>
  </si>
  <si>
    <t>AZILIFE ORAL SUSPENSION</t>
  </si>
  <si>
    <t>BENFIT M 500MG/600MG TABLET SR</t>
  </si>
  <si>
    <t>BILARGY 20MG TABLET</t>
  </si>
  <si>
    <t>BIOSPAAZ 325MG/250MG TABLET</t>
  </si>
  <si>
    <t>BIOVATE GM CREAM</t>
  </si>
  <si>
    <t>CETSAFE AM 10MG/75MG TABLET SR</t>
  </si>
  <si>
    <t>COLONEXT PD ORAL DROPS</t>
  </si>
  <si>
    <t>COLONEXT PD ORAL SUSPENSION</t>
  </si>
  <si>
    <t>DIZNOR PLUS 20MG/40MG TABLET</t>
  </si>
  <si>
    <t>DOOX LDR CAPSULE</t>
  </si>
  <si>
    <t>DOXOBEST 400MG TABLET</t>
  </si>
  <si>
    <t>DROTO BEST 80MG/250MG TABLET</t>
  </si>
  <si>
    <t>ELCET DEC 300MG/5MG TABLET</t>
  </si>
  <si>
    <t>ESGERD IV 40MG INJECTION</t>
  </si>
  <si>
    <t>EXTCEF S 1000MG/500MG INJECTION</t>
  </si>
  <si>
    <t>EXTCLAV 500MG/125MG TABLET</t>
  </si>
  <si>
    <t>EXTCLAV LB 500MG/125MG TABLET</t>
  </si>
  <si>
    <t>FEVIFAST 400 TABLET</t>
  </si>
  <si>
    <t>FEXT 180MG TABLET</t>
  </si>
  <si>
    <t>FLAVOBEST O 200MG/200MG TABLET</t>
  </si>
  <si>
    <t>FLUPINORM P 100MG/325MG TABLET</t>
  </si>
  <si>
    <t>FOLIK DHA POWDER AMERICAN ICE CREAM</t>
  </si>
  <si>
    <t>FURANORM 100MG TABLET</t>
  </si>
  <si>
    <t>GETMET 500MG TABLET</t>
  </si>
  <si>
    <t>HAICARE HAIR SERUM</t>
  </si>
  <si>
    <t>HI CEF 100MG TABLET DT</t>
  </si>
  <si>
    <t>HICEF 100 DRY SYRUP</t>
  </si>
  <si>
    <t>HIPOD 100MG TABLET DT</t>
  </si>
  <si>
    <t>HIPOD 200MG TABLET</t>
  </si>
  <si>
    <t>HIPOD 50MG TABLET DT</t>
  </si>
  <si>
    <t>HIPOD CV 200MG/125MG TABLET</t>
  </si>
  <si>
    <t>KIDIBATH SYNDET BAR</t>
  </si>
  <si>
    <t>KLARIDAY ORAL SUSPENSION</t>
  </si>
  <si>
    <t>KNEEFAST SACHET SUGAR FREE</t>
  </si>
  <si>
    <t>KNOZOLE MEDICATED SOAP</t>
  </si>
  <si>
    <t>KNOZOLE B CREAM</t>
  </si>
  <si>
    <t>LACTACT ORAL DROPS</t>
  </si>
  <si>
    <t>LIPICLEAR F 10MG/160MG TABLET</t>
  </si>
  <si>
    <t>LRG DHA GRANULES ORANGE SUGAR FREE</t>
  </si>
  <si>
    <t>LUKS 500MG TABLET</t>
  </si>
  <si>
    <t>MEBENEXT SPAS 135MG/5MG TABLET</t>
  </si>
  <si>
    <t>MEGABEST ORAL SUSPENSION ORANGE</t>
  </si>
  <si>
    <t>NACDAY AB 100MG/600MG TABLET</t>
  </si>
  <si>
    <t>NASOLIFE SALINE NASAL SPRAY/DROP</t>
  </si>
  <si>
    <t>OM PPI DS 10MG/20MG CAPSULE</t>
  </si>
  <si>
    <t>PANGERD D 30MG/40MG CAPSULE SR</t>
  </si>
  <si>
    <t>PANGERD IV 40MG INJECTION</t>
  </si>
  <si>
    <t>PATNY 250 ORAL SUSPENSION</t>
  </si>
  <si>
    <t>PATNY ORAL DROPS</t>
  </si>
  <si>
    <t>POVISTOP GARGLE MINT</t>
  </si>
  <si>
    <t>PRENURON M NT 75MG/10MG/1500MCG TABLET</t>
  </si>
  <si>
    <t>REDIVIT 5G TABLET</t>
  </si>
  <si>
    <t>REDIVIT 9G SOFTGEL CAPSULE</t>
  </si>
  <si>
    <t>REDIVIT TABLET</t>
  </si>
  <si>
    <t>RINOLIFE INHALANT CAPSULE</t>
  </si>
  <si>
    <t>RINOLIFE ORAL DROPS</t>
  </si>
  <si>
    <t>RINOLIFE SYRUP</t>
  </si>
  <si>
    <t>RIVOSAFE 10MG TABLET</t>
  </si>
  <si>
    <t>S MAX TABLET</t>
  </si>
  <si>
    <t>SAFEZYME PLUS CAPSULE</t>
  </si>
  <si>
    <t>SENA SMUTH TABLET</t>
  </si>
  <si>
    <t>SKYLAX DUO ORAL SUSPENSION SUGAR FREE</t>
  </si>
  <si>
    <t>TETMO BEST SOAP</t>
  </si>
  <si>
    <t>THIOBEST A 100MG/4MG TABLET</t>
  </si>
  <si>
    <t>TRIGLIBEST GM 2MG/500MG/0.3MG TABLET SR</t>
  </si>
  <si>
    <t>TRUDOL D 10MG/325MG/37.5MG TABLET</t>
  </si>
  <si>
    <t>TRYPLE 90MG/48MG/100MG TABLET</t>
  </si>
  <si>
    <t>TRYPLE D 50MG/50000AU TABLET</t>
  </si>
  <si>
    <t>TSTAR TRIO 40MG/10MG/12.5MG TABLET</t>
  </si>
  <si>
    <t>TUSTY AM ORAL DROPS</t>
  </si>
  <si>
    <t>VOVATONE HERBAL UTERINE TONIC</t>
  </si>
  <si>
    <t>XTREX 10MG TABLET</t>
  </si>
  <si>
    <t>GRAVISAFE 2.5MG TABLET</t>
  </si>
  <si>
    <t>HI RISE TABLET</t>
  </si>
  <si>
    <t>HAICARE TABLET</t>
  </si>
  <si>
    <t>HI CEF 200 DT TABLET</t>
  </si>
  <si>
    <t>HICEF XL 200MG TABLET DT</t>
  </si>
  <si>
    <t>HIPOD CV 50 DRY SYRUP</t>
  </si>
  <si>
    <t>HIPOD CV 50 XL ORAL SUSPENSION</t>
  </si>
  <si>
    <t>HIPOD PD DROP</t>
  </si>
  <si>
    <t>KIDI ORS POWDER</t>
  </si>
  <si>
    <t>KNOZOLE 200MG TABLET</t>
  </si>
  <si>
    <t>LEECYP JUNIOR SYRUP</t>
  </si>
  <si>
    <t>LEECYP ORAL DROPS</t>
  </si>
  <si>
    <t>LEECYP SYRUP</t>
  </si>
  <si>
    <t>LIVREAL DS LIVER TONIC</t>
  </si>
  <si>
    <t>LULIZED CREAM</t>
  </si>
  <si>
    <t>M2DAY 125MG INJECTION</t>
  </si>
  <si>
    <t>M2DAY 16MG TABLET</t>
  </si>
  <si>
    <t>M2DAY 2MG TABLET</t>
  </si>
  <si>
    <t>MIST AZ METERED DOSE NASAL SPRAY</t>
  </si>
  <si>
    <t>MONTEN FX 10MG/120MG TABLET</t>
  </si>
  <si>
    <t>MUPILIFE OINTMENT</t>
  </si>
  <si>
    <t>NASOLIFE PD NASAL DROPS</t>
  </si>
  <si>
    <t>NUREAL 20MG TABLET</t>
  </si>
  <si>
    <t>OFLOCEF 200MG/200MG TABLET</t>
  </si>
  <si>
    <t>OTOBEST EAR DROP</t>
  </si>
  <si>
    <t>PMS JOY SOFT GEL CAPSULE</t>
  </si>
  <si>
    <t>PANGERD HP KIT</t>
  </si>
  <si>
    <t>PRICOSOFT 1000 SOFTGEL CAPSULE</t>
  </si>
  <si>
    <t>QCAN ANTI FUNGAL MEDICATED SOAP</t>
  </si>
  <si>
    <t>QCAN ANTIFUNGAL DUSTING POWDER</t>
  </si>
  <si>
    <t>REDIFFIT SYRUP</t>
  </si>
  <si>
    <t>REDIMEF P ORAL SUSPENSION</t>
  </si>
  <si>
    <t>TUSTY AM SYRUP</t>
  </si>
  <si>
    <t>TUSTY DX SYRUP SUGAR FREE</t>
  </si>
  <si>
    <t>UDAY 300MG TABLET</t>
  </si>
  <si>
    <t>VERYFE NXT SYRUP</t>
  </si>
  <si>
    <t>VONDER 4MG TABLET MD</t>
  </si>
  <si>
    <t>WAXNIL EAR DROP</t>
  </si>
  <si>
    <t>XBEND ORAL SUSPENSION</t>
  </si>
  <si>
    <t>ACEMONT FX 10MG/120MG/200MG TABLET PR</t>
  </si>
  <si>
    <t>AGRILET 75MG TABLET</t>
  </si>
  <si>
    <t>AGRILET A 75MG/75MG TABLET</t>
  </si>
  <si>
    <t>ALOBEST LOTION</t>
  </si>
  <si>
    <t>ALOBEST NMF GEL</t>
  </si>
  <si>
    <t>ASF 150MG/1000MG/1000MG KIT</t>
  </si>
  <si>
    <t>BBGABA NT 400MG/10MG TABLET</t>
  </si>
  <si>
    <t>BESTIMUNE SYRUP</t>
  </si>
  <si>
    <t>CALPRICK CALAMINE LOTION</t>
  </si>
  <si>
    <t>COLONEXT ORAL SUSPENSION</t>
  </si>
  <si>
    <t>CRANDAY SYRUP</t>
  </si>
  <si>
    <t>DEFRENT 6MG TABLET</t>
  </si>
  <si>
    <t>DEFRENT ORAL SUSPENSION</t>
  </si>
  <si>
    <t>DILIDOL INSTANT PAIN RELIEF SPRAY</t>
  </si>
  <si>
    <t>DILIDOL PLUS 50MG/325MG TABLET</t>
  </si>
  <si>
    <t>DILIDOL SENSITIVE PAIN OIL</t>
  </si>
  <si>
    <t>DOXOMONT 400MG/10MG TABLET ER</t>
  </si>
  <si>
    <t>ELCET 5MG TABLET</t>
  </si>
  <si>
    <t>ESGERD 40MG TABLET</t>
  </si>
  <si>
    <t>ESGERD DSR CAPSULE</t>
  </si>
  <si>
    <t>ETSAFE MR 60MG/4MG TABLET</t>
  </si>
  <si>
    <t>EXTCLAV DRY SYRUP</t>
  </si>
  <si>
    <t>EXTCLAV PD ORAL DROPS</t>
  </si>
  <si>
    <t>FERFECT XT TONIC</t>
  </si>
  <si>
    <t>FERTINORM DHEA TABLET</t>
  </si>
  <si>
    <t>GLIBEST M 1MG/500MG TABLET SR</t>
  </si>
  <si>
    <t>GLIBEST M 2MG/500MG TABLET SR</t>
  </si>
  <si>
    <t>GLIBEST M FORTE 1MG/1000MG TABLET SR</t>
  </si>
  <si>
    <t>GLIBEST MP 1MG/500MG/15MG TABLET SR</t>
  </si>
  <si>
    <t>GLIFLOBEST 10MG TABLET</t>
  </si>
  <si>
    <t>HEMONEXT TABLET</t>
  </si>
  <si>
    <t>HICEF 25MG ORAL DROPS</t>
  </si>
  <si>
    <t>HICEF 50 DRY SYRUP</t>
  </si>
  <si>
    <t>HIPOD 100 ORAL SUSPENSION</t>
  </si>
  <si>
    <t>HITUM 500MG TABLET</t>
  </si>
  <si>
    <t>HITUM DRY SYRUP</t>
  </si>
  <si>
    <t>HITUM S 1000MG/500MG INJECTION</t>
  </si>
  <si>
    <t>KIDIMUNE CZ SYRUP</t>
  </si>
  <si>
    <t>KIDIVENT LS ORAL DROPS</t>
  </si>
  <si>
    <t>KIDIVENT LS P SYRUP</t>
  </si>
  <si>
    <t>ALERVO M 5MG/10MG TABLET</t>
  </si>
  <si>
    <t>ARVINCARE PHARMA</t>
  </si>
  <si>
    <t>AMSUS 0.4MG TABLET</t>
  </si>
  <si>
    <t>AMSUS FORTE 0.4MG/0.5MG TABLET</t>
  </si>
  <si>
    <t>ANOLIV 300MG TABLET</t>
  </si>
  <si>
    <t>ANTAV ORAL SUSPENSION</t>
  </si>
  <si>
    <t>ARAZAP 300MG TABLET</t>
  </si>
  <si>
    <t>ARIDOM C 10MG/20MG TABLET</t>
  </si>
  <si>
    <t>ARITOM 400MG TABLET</t>
  </si>
  <si>
    <t>ARITOM 800MG TABLET</t>
  </si>
  <si>
    <t>AROLID CF 200MG/600MG TABLET</t>
  </si>
  <si>
    <t>AROSI 5MG INJECTION</t>
  </si>
  <si>
    <t>ARVIFLOX 200MG TABLET</t>
  </si>
  <si>
    <t>ARVIFLOX 300MG TABLET</t>
  </si>
  <si>
    <t>ARVISONE 100MG INJECTION</t>
  </si>
  <si>
    <t>ARVISONE 200MG INJECTION</t>
  </si>
  <si>
    <t>AVCAL D3 INJECTION</t>
  </si>
  <si>
    <t>AVCEF 500MG INJECTION</t>
  </si>
  <si>
    <t>AVCEF S 500MG/250MG INJECTION</t>
  </si>
  <si>
    <t>AVCEF TZ 1000MG/125MG INJECTION</t>
  </si>
  <si>
    <t>AVCLAV 250MG/50MG INJECTION</t>
  </si>
  <si>
    <t>AVCLAV LB 500MG/125MG TABLET</t>
  </si>
  <si>
    <t>AVIRON 100MG INJECTION</t>
  </si>
  <si>
    <t>AVPRED 125MG INJECTION</t>
  </si>
  <si>
    <t>AVPRED 40MG INJECTION</t>
  </si>
  <si>
    <t>AVPRED 4MG TABLET</t>
  </si>
  <si>
    <t>AVPRED 8MG TABLET</t>
  </si>
  <si>
    <t>AZVIN 1000MG INJECTION</t>
  </si>
  <si>
    <t>AZVIN 500MG INJECTION</t>
  </si>
  <si>
    <t>BITOB 80MG INJECTION</t>
  </si>
  <si>
    <t>CAIN ORAL SUSPENSION</t>
  </si>
  <si>
    <t>DEFSU 6MG SYRUP</t>
  </si>
  <si>
    <t>EEBIA P 10MG/10MG TABLET</t>
  </si>
  <si>
    <t>ERAMET XT CAPSULE</t>
  </si>
  <si>
    <t>ERASAN 10MG TABLET</t>
  </si>
  <si>
    <t>FEVACOLD SYRUP</t>
  </si>
  <si>
    <t>FOXTIN A 0.25MG/20MG TABLET</t>
  </si>
  <si>
    <t>HYBET 8MG TABLET</t>
  </si>
  <si>
    <t>IMOSAN P 100MG/325MG TABLET</t>
  </si>
  <si>
    <t>INTOR 10MG TABLET</t>
  </si>
  <si>
    <t>IOMET G 1MG/500MG TABLET SR</t>
  </si>
  <si>
    <t>IOMET VG 1MG/500MG/1MG TABLET SR</t>
  </si>
  <si>
    <t>KAMSA 250MG INJECTION</t>
  </si>
  <si>
    <t>LEXA 500MG CAPSULE</t>
  </si>
  <si>
    <t>LOCET P 100MG/500MG TABLET</t>
  </si>
  <si>
    <t>LOR 8MG TABLET</t>
  </si>
  <si>
    <t>LOR PLUS FORTE 8MG/325MG TABLET</t>
  </si>
  <si>
    <t>LOSOFEN P 100MG/325MG TABLET</t>
  </si>
  <si>
    <t>MACBI PLUS 6MG/400MG TABLET</t>
  </si>
  <si>
    <t>MACBI PLUS ORAL SUSPENSION</t>
  </si>
  <si>
    <t>MEVOF OZ 250MG/500MG TABLET</t>
  </si>
  <si>
    <t>NIDE 8MG TABLET</t>
  </si>
  <si>
    <t>ORTHOBACT 50MG CAPSULE</t>
  </si>
  <si>
    <t>REEB D 10MG/20MG TABLET</t>
  </si>
  <si>
    <t>REEB DSR 30MG/20MG CAPSULE</t>
  </si>
  <si>
    <t>REVA NC OINTMENT</t>
  </si>
  <si>
    <t>RVGEST 200MG INJECTION</t>
  </si>
  <si>
    <t>RVGEST 200MG SOFT GELATIN CAPSULE</t>
  </si>
  <si>
    <t>SANDEC 100MG INJECTION</t>
  </si>
  <si>
    <t>SANDEC 25MG INJECTION</t>
  </si>
  <si>
    <t>SANTHER 150MG INJECTION</t>
  </si>
  <si>
    <t>STERT 250MG INJECTION</t>
  </si>
  <si>
    <t>TAMI 750MG TABLET</t>
  </si>
  <si>
    <t>TANSA 40MG INJECTION</t>
  </si>
  <si>
    <t>TAPENTAL 100MG TABLET</t>
  </si>
  <si>
    <t>TESRAN AM 40MG/5MG TABLET</t>
  </si>
  <si>
    <t>TGL MF FORTE 1000MG/20MG TABLET</t>
  </si>
  <si>
    <t>TIXI 100MG TABLET DT</t>
  </si>
  <si>
    <t>TIXI 200MG TABLET DT</t>
  </si>
  <si>
    <t>TIXI 50MG TABLET DT</t>
  </si>
  <si>
    <t>TIXI OF 200MG/200MG TABLET</t>
  </si>
  <si>
    <t>TIXI OZ 200MG/500MG TABLET</t>
  </si>
  <si>
    <t>Z POD 100MG DRY SYRUP</t>
  </si>
  <si>
    <t>Z POD 100MG TABLET DT</t>
  </si>
  <si>
    <t>Z POD 50MG TABLET DT</t>
  </si>
  <si>
    <t>ZATSA 1000MG INJECTION</t>
  </si>
  <si>
    <t>ZETODAC 10MG TABLET</t>
  </si>
  <si>
    <t>ZISAN 500MG INJECTION</t>
  </si>
  <si>
    <t>ZISAN 500MG TABLET</t>
  </si>
  <si>
    <t>ZISAN CF DRY SYRUP</t>
  </si>
  <si>
    <t>A TIOS 400MG TABLET</t>
  </si>
  <si>
    <t>A TIOS P 400MG/325MG TABLET</t>
  </si>
  <si>
    <t>AV CID MF 500MG/250MG TABLET</t>
  </si>
  <si>
    <t>AB PENEM 200MG TABLET</t>
  </si>
  <si>
    <t>ALERVO AM 5MG/60MG TABLET</t>
  </si>
  <si>
    <t>ALERVO M SYRUP</t>
  </si>
  <si>
    <t>ARAZAP 450MG TABLET</t>
  </si>
  <si>
    <t>ARAZAP 600MG TABLET</t>
  </si>
  <si>
    <t>ARITOM 1000MG INJECTION</t>
  </si>
  <si>
    <t>ARIVEL 500MG INJECTION</t>
  </si>
  <si>
    <t>ARVIFLOX OZ 200MG/500MG TABLET</t>
  </si>
  <si>
    <t>ARVIFLOX OZ SYRUP</t>
  </si>
  <si>
    <t>ARVILET 2.5MG TABLET</t>
  </si>
  <si>
    <t>AV CID 500MG TABLET</t>
  </si>
  <si>
    <t>AVBET 50MG TABLET</t>
  </si>
  <si>
    <t>AVCEF 125MG INJECTION</t>
  </si>
  <si>
    <t>AVCEF S 1000MG/500MG INJECTION</t>
  </si>
  <si>
    <t>AVCEF S 125MG/62.5MG INJECTION</t>
  </si>
  <si>
    <t>AVCEF S 250MG/125MG INJECTION</t>
  </si>
  <si>
    <t>AVCLAV 1000MG/200MG INJECTION</t>
  </si>
  <si>
    <t>AVCLAV 250MG/125MG TABLET</t>
  </si>
  <si>
    <t>AVCLAV 500MG/100MG INJECTION</t>
  </si>
  <si>
    <t>AVCLAV DRY SYRUP</t>
  </si>
  <si>
    <t>AVCLAV DUO DRY SYRUP</t>
  </si>
  <si>
    <t>AVCORT 40MG INJECTION</t>
  </si>
  <si>
    <t>AVDOL 100MG INJECTION</t>
  </si>
  <si>
    <t>AVIRON 50MG INJECTION</t>
  </si>
  <si>
    <t>AVPRED 1000MG INJECTION</t>
  </si>
  <si>
    <t>AVPRED 500MG INJECTION</t>
  </si>
  <si>
    <t>CEBROF LM 10MG/5MG/200MG TABLET</t>
  </si>
  <si>
    <t>CLINDAMAC 300MG CAPSULE</t>
  </si>
  <si>
    <t>COBSA 1000MCG INJECTION</t>
  </si>
  <si>
    <t>COBSA 1500MCG INJECTION</t>
  </si>
  <si>
    <t>COBSA 500MCG INJECTION</t>
  </si>
  <si>
    <t>COBSA FORTE INJECTION</t>
  </si>
  <si>
    <t>COBSA G 300MG/750MCG TABLET</t>
  </si>
  <si>
    <t>DELOCK MR TABLET</t>
  </si>
  <si>
    <t>HYBET 16MG TABLET</t>
  </si>
  <si>
    <t>KAMSA 100MG INJECTION</t>
  </si>
  <si>
    <t>KAMSA 500MG INJECTION</t>
  </si>
  <si>
    <t>LOCET 200MG TABLET SR</t>
  </si>
  <si>
    <t>LOCET MR 100MG/325MG/250MG TABLET</t>
  </si>
  <si>
    <t>LOCET S 100MG/15MG TABLET</t>
  </si>
  <si>
    <t>MACBI 6MG TABLET</t>
  </si>
  <si>
    <t>MELFOR G 80MG/500MG TABLET</t>
  </si>
  <si>
    <t>MEVOF 500MG TABLET</t>
  </si>
  <si>
    <t>MOLUX 20MG CAPSULE</t>
  </si>
  <si>
    <t>MOME F OINTMENT</t>
  </si>
  <si>
    <t>NO BPH 4MG CAPSULE</t>
  </si>
  <si>
    <t>ORUF 250MG TABLET</t>
  </si>
  <si>
    <t>PRECAP 75MG CAPSULE</t>
  </si>
  <si>
    <t>PRECOB 750MCG/75MG TABLET</t>
  </si>
  <si>
    <t>PRECOB NT 75MG/75MG CAPSULE</t>
  </si>
  <si>
    <t>REEB 20MG INJECTION</t>
  </si>
  <si>
    <t>REEB IT 20MG/150MG CAPSULE SR</t>
  </si>
  <si>
    <t>RVGEST 100MG INJECTION</t>
  </si>
  <si>
    <t>SANOCIP 500MG TABLET</t>
  </si>
  <si>
    <t>SANOTAZ 2000MG/250MG INJECTION</t>
  </si>
  <si>
    <t>SANOTAZ 4000MG/500MG INJECTION</t>
  </si>
  <si>
    <t>SANOZONE S 1000MG/500MG INJECTION</t>
  </si>
  <si>
    <t>SANTIL 400MG TABLET</t>
  </si>
  <si>
    <t>SERADISE N 100MG/10MG TABLET</t>
  </si>
  <si>
    <t>STERT PR 500MG/800MG TABLET</t>
  </si>
  <si>
    <t>TAPENTAL 50MG TABLET</t>
  </si>
  <si>
    <t>TESRAN 40MG TABLET</t>
  </si>
  <si>
    <t>TG LINE 50MG INJECTION</t>
  </si>
  <si>
    <t>TIXI DUO 100MG DRY SYRUP</t>
  </si>
  <si>
    <t>TIXI LB 200MG TABLET</t>
  </si>
  <si>
    <t>TOLCARE 150MG TABLET SR</t>
  </si>
  <si>
    <t>TRCOX 90MG TABLET</t>
  </si>
  <si>
    <t>TZACT TH 60MG/4MG TABLET</t>
  </si>
  <si>
    <t>WIN MF ORAL SUSPENSION</t>
  </si>
  <si>
    <t>Z POD AZ 200MG/250MG TABLET</t>
  </si>
  <si>
    <t>Z POD CV 200MG/125MG TABLET</t>
  </si>
  <si>
    <t>ZATSA TZ 1000MG/125MG INJECTION</t>
  </si>
  <si>
    <t>ZISAN XL 200MG ORAL SUSPENSION</t>
  </si>
  <si>
    <t>ADERMN 250MG TABLET</t>
  </si>
  <si>
    <t>ALERVO M KID 2.5MG/4MG TABLET</t>
  </si>
  <si>
    <t>ALLOGESIC GEL</t>
  </si>
  <si>
    <t>AMIRIN 140MG TABLET</t>
  </si>
  <si>
    <t>ARIDERM OINTMENT</t>
  </si>
  <si>
    <t>ARITOM 100MG SYRUP</t>
  </si>
  <si>
    <t>AROSIDE 90MG/48MG/100MG TABLET</t>
  </si>
  <si>
    <t>AROSIDE FORTE 180MG/96MG/200MG TABLET</t>
  </si>
  <si>
    <t>ARVICLO 800MG TABLET</t>
  </si>
  <si>
    <t>ATHI 5MG TABLET</t>
  </si>
  <si>
    <t>AV FORCE 100MG TABLET</t>
  </si>
  <si>
    <t>AVCEF 1000MG INJECTION</t>
  </si>
  <si>
    <t>AVCEF TZ 250MG/31.25MG INJECTION</t>
  </si>
  <si>
    <t>AVCLAV 500MG/125MG TABLET</t>
  </si>
  <si>
    <t>AVCLAV 875MG/125MG TABLET</t>
  </si>
  <si>
    <t>AVDOL 50MG CAPSULE</t>
  </si>
  <si>
    <t>AVORI 200MG TABLET</t>
  </si>
  <si>
    <t>AVPRED 16MG TABLET</t>
  </si>
  <si>
    <t>CEBROF 200MG CAPSULE</t>
  </si>
  <si>
    <t>COBSA NT 400MG/10MG CAPSULE</t>
  </si>
  <si>
    <t>COBSA VIT C INJECTION</t>
  </si>
  <si>
    <t>CODIL ATG SYRUP</t>
  </si>
  <si>
    <t>CODIL D SYRUP</t>
  </si>
  <si>
    <t>DANAR 100MG CAPSULE</t>
  </si>
  <si>
    <t>DANAR 50MG CAPSULE</t>
  </si>
  <si>
    <t>DIXI LB 250MG/250MG CAPSULE</t>
  </si>
  <si>
    <t>EEBIA 10MG TABLET</t>
  </si>
  <si>
    <t>EEBIA 20MG TABLET</t>
  </si>
  <si>
    <t>FABUAR 80MG TABLET</t>
  </si>
  <si>
    <t>FARO 200MG TABLET</t>
  </si>
  <si>
    <t>FEBUTOP 40MG TABLET</t>
  </si>
  <si>
    <t>FEVACOLD TABLET</t>
  </si>
  <si>
    <t>FULLAGE 40 TABLET</t>
  </si>
  <si>
    <t>FYLY 400MG TABLET</t>
  </si>
  <si>
    <t>INTOR 40MG TABLET</t>
  </si>
  <si>
    <t>IOMET 1000MG TABLET SR</t>
  </si>
  <si>
    <t>LEEBEC AP 100MG/325MG TABLET</t>
  </si>
  <si>
    <t>LEXA 250MG TABLET DT</t>
  </si>
  <si>
    <t>LOCET P ORAL SUSPENSION</t>
  </si>
  <si>
    <t>LOCET SP 100MG/325MG/15MG TABLET</t>
  </si>
  <si>
    <t>LOCET TH 100MG/8MG TABLET</t>
  </si>
  <si>
    <t>LODI 5MG TABLET</t>
  </si>
  <si>
    <t>LOPRA 20MG TABLET</t>
  </si>
  <si>
    <t>LOSOFEN SP 100MG/325MG/15MG TABLET</t>
  </si>
  <si>
    <t>MEROSAN 125MG INJECTION</t>
  </si>
  <si>
    <t>MEROSAN 250MG INJECTION</t>
  </si>
  <si>
    <t>META D 80MG/250MG TABLET</t>
  </si>
  <si>
    <t>MEVOF 250MG TABLET</t>
  </si>
  <si>
    <t>MOXIN 400MG TABLET</t>
  </si>
  <si>
    <t>NETLEE 300MG INJECTION</t>
  </si>
  <si>
    <t>NIDE 4MG TABLET</t>
  </si>
  <si>
    <t>ORTHOBACT FORTE 750MG/50MG/250MG TABLET</t>
  </si>
  <si>
    <t>ORUF 1500MG INJECTION</t>
  </si>
  <si>
    <t>ORUF 500MG TABLET</t>
  </si>
  <si>
    <t>ORUF 750MG INJECTION</t>
  </si>
  <si>
    <t>PROVIN P ORAL SUSPENSION</t>
  </si>
  <si>
    <t>RASEN 50MG/10MG TABLET</t>
  </si>
  <si>
    <t>REEB LD 75MG/20MG CAPSULE</t>
  </si>
  <si>
    <t>RESTAB 10MG/1MG TABLET</t>
  </si>
  <si>
    <t>SANLAP 30MG SOFT GELATIN CAPSULE</t>
  </si>
  <si>
    <t>SANOCIP TZ 500MG/600MG TABLET</t>
  </si>
  <si>
    <t>SANOX 150MG TABLET</t>
  </si>
  <si>
    <t>SANOZONE S 500MG/500MG INJECTION</t>
  </si>
  <si>
    <t>SANTHER P 75MG INJECTION</t>
  </si>
  <si>
    <t>SANTIL 200MG ORAL SUSPENSION</t>
  </si>
  <si>
    <t>TAMI 375MG TABLET</t>
  </si>
  <si>
    <t>TANSA DSR 30MG/40MG CAPSULE</t>
  </si>
  <si>
    <t>TESRAN H 40MG/12.5MG TABLET</t>
  </si>
  <si>
    <t>TGL 20MG TABLET</t>
  </si>
  <si>
    <t>TIXI 50MG DRY SYRUP</t>
  </si>
  <si>
    <t>VOMIT CARE 2MG INJECTION</t>
  </si>
  <si>
    <t>WIN 650MG TABLET DT</t>
  </si>
  <si>
    <t>WIN P 125MG ORAL SUSPENSION</t>
  </si>
  <si>
    <t>YDRO 200MG TABLET</t>
  </si>
  <si>
    <t>ZATSA 125MG INJECTION</t>
  </si>
  <si>
    <t>ZATSA S 1000MG/500MG INJECTION</t>
  </si>
  <si>
    <t>ZISAN 250MG TABLET</t>
  </si>
  <si>
    <t>ZISAN 50MG SYRUP</t>
  </si>
  <si>
    <t>ZISAN LV 250MG/250MG TABLET</t>
  </si>
  <si>
    <t>ZISAN XL 100MG ORAL SUSPENSION</t>
  </si>
  <si>
    <t>AEROSIDE D TABLET</t>
  </si>
  <si>
    <t>ALERVO 5MG TABLET</t>
  </si>
  <si>
    <t>ANTAV D ORAL SUSPENSION</t>
  </si>
  <si>
    <t>ARIVEL 1000MG INJECTION</t>
  </si>
  <si>
    <t>AROLID 600MG TABLET</t>
  </si>
  <si>
    <t>AROSIDE D TABLET</t>
  </si>
  <si>
    <t>ARVIFLOX 400MG TABLET</t>
  </si>
  <si>
    <t>ARVIFLOX 50MG ORAL SUSPENSION</t>
  </si>
  <si>
    <t>ARVIFLOX N SYRUP</t>
  </si>
  <si>
    <t>ATEPRED M EYE DROP</t>
  </si>
  <si>
    <t>AV CID 100MG INJECTION</t>
  </si>
  <si>
    <t>AV FORCE 50MG TABLET</t>
  </si>
  <si>
    <t>AVBET 120MG INJECTION</t>
  </si>
  <si>
    <t>AVBET 60MG INJECTION</t>
  </si>
  <si>
    <t>ZISAN CF 200MG/250MG TABLET</t>
  </si>
  <si>
    <t>ZISAN CF FORTE 200MG/500MG TABLET</t>
  </si>
  <si>
    <t>ZISAN KIT</t>
  </si>
  <si>
    <t>SANDEC 50MG INJECTION</t>
  </si>
  <si>
    <t>SANOCAN 150MG TABLET</t>
  </si>
  <si>
    <t>SANOCIP 250MG TABLET</t>
  </si>
  <si>
    <t>SANOTAZ 1000MG/125MG INJECTION</t>
  </si>
  <si>
    <t>SANTHER KID DRY SYRUP</t>
  </si>
  <si>
    <t>SANTHER LF 80MG/480MG TABLET</t>
  </si>
  <si>
    <t>STERT 500MG TABLET</t>
  </si>
  <si>
    <t>STRI 5MG TABLET</t>
  </si>
  <si>
    <t>SUCAM 20MG INJECTION</t>
  </si>
  <si>
    <t>TANSA 40MG TABLET</t>
  </si>
  <si>
    <t>TANSA D 10MG/40MG TABLET</t>
  </si>
  <si>
    <t>TANSA LD 75MG/40MG CAPSULE SR</t>
  </si>
  <si>
    <t>TESRAN 80MG TABLET</t>
  </si>
  <si>
    <t>TIXI C 200MG/125MG TABLET</t>
  </si>
  <si>
    <t>TIXI CV DRY SYRUP</t>
  </si>
  <si>
    <t>TIXI LB 50MG DRY SYRUP</t>
  </si>
  <si>
    <t>TIXI OF DRY SYRUP</t>
  </si>
  <si>
    <t>TOLCARE 450MG TABLET SR</t>
  </si>
  <si>
    <t>TZACT 120MG TABLET</t>
  </si>
  <si>
    <t>TZACT 90MG TABLET</t>
  </si>
  <si>
    <t>VANSAN 10MG TABLET</t>
  </si>
  <si>
    <t>VANSAN 20MG TABLET</t>
  </si>
  <si>
    <t>WIN P 250MG ORAL SUSPENSION</t>
  </si>
  <si>
    <t>YDRO 400MG TABLET</t>
  </si>
  <si>
    <t>Z POD 200MG TABLET DT</t>
  </si>
  <si>
    <t>Z POD 50MG DRY SYRUP</t>
  </si>
  <si>
    <t>Z POD CV DRY SYRUP</t>
  </si>
  <si>
    <t>Z POD OF 200MG/200MG TABLET</t>
  </si>
  <si>
    <t>ZATSA 250MG INJECTION</t>
  </si>
  <si>
    <t>ZISAN 100MG ORAL DROPS</t>
  </si>
  <si>
    <t>ZISAN 200MG ORAL DROPS</t>
  </si>
  <si>
    <t>ARECROSS Β 150MG INJECTION</t>
  </si>
  <si>
    <t>Healthkind Labs Pvt. Ltd.</t>
  </si>
  <si>
    <t>CHINAR 5MG/325MG/5MG TABLET</t>
  </si>
  <si>
    <t>CLAVSERCH 200MG/28.5MG TABLET DT</t>
  </si>
  <si>
    <t>DECNANIS 50MG INJECTION</t>
  </si>
  <si>
    <t>FREEHIT MR 100MG/325MG/250MG TABLET</t>
  </si>
  <si>
    <t>FREEHIT T 100MG/4MG TABLET</t>
  </si>
  <si>
    <t>GANGLIA P 750MCG/75MG TABLET</t>
  </si>
  <si>
    <t>GASTRO 20MG CAPSULE</t>
  </si>
  <si>
    <t>GASTRO D 10MG/20MG CAPSULE</t>
  </si>
  <si>
    <t>GIDDY 2MG INJECTION</t>
  </si>
  <si>
    <t>GLIMWIN M1 TABLET ER</t>
  </si>
  <si>
    <t>GLIMWIN M2 TABLET ER</t>
  </si>
  <si>
    <t>GUTFIT O ORAL SUSPENSION</t>
  </si>
  <si>
    <t>HEALPOD 200MG TABLET</t>
  </si>
  <si>
    <t>HEALPOD 50MG DRY SYRUP</t>
  </si>
  <si>
    <t>HEALZONE 250MG INJECTION</t>
  </si>
  <si>
    <t>HEALZONE 500MG INJECTION</t>
  </si>
  <si>
    <t>HEALZONE S 250MG/125MG INJECTION</t>
  </si>
  <si>
    <t>HEALZONE S 500MG/250MG INJECTION</t>
  </si>
  <si>
    <t>ITRAHEAL 100MG CAPSULE</t>
  </si>
  <si>
    <t>MIKACARE 500MG INJECTION</t>
  </si>
  <si>
    <t>OHEAL 200MG TABLET</t>
  </si>
  <si>
    <t>PATENT D TABLET</t>
  </si>
  <si>
    <t>PATENT DSR CAPSULE</t>
  </si>
  <si>
    <t>PHAGOCEF CV 200MG/125MG TABLET</t>
  </si>
  <si>
    <t>PHAGOCEF DRY SYRUP</t>
  </si>
  <si>
    <t>PIPROTIS 4000MG/500MG INJECTION</t>
  </si>
  <si>
    <t>ROONEY AQUAS 25MG INJECTION</t>
  </si>
  <si>
    <t>ROONEY SP TABLET</t>
  </si>
  <si>
    <t>VENTRIOL COLD SYRUP</t>
  </si>
  <si>
    <t>VENTRIOL LC 5MG/10MG TABLET</t>
  </si>
  <si>
    <t>ALKADAY 1.37GM SYRUP</t>
  </si>
  <si>
    <t>CHINAR ORAL SUSPENSION</t>
  </si>
  <si>
    <t>CHINAR PLUS ORAL SUSPENSION</t>
  </si>
  <si>
    <t>CLAVSERCH 500MG/125MG TABLET</t>
  </si>
  <si>
    <t>CLAVSERCH FORTE DRY SYRUP</t>
  </si>
  <si>
    <t>CLAVSERCH LB 500MG/125MG TABLET</t>
  </si>
  <si>
    <t>DEFLASURE 6MG TABLET</t>
  </si>
  <si>
    <t>FREEHIT P 100MG/325MG TABLET</t>
  </si>
  <si>
    <t>GAYLE 250MG TABLET</t>
  </si>
  <si>
    <t>GIDDY 2MG ORAL DROPS</t>
  </si>
  <si>
    <t>GIDDY 4MG TABLET MD</t>
  </si>
  <si>
    <t>HEAL DX 250MG/250MG CAPSULE</t>
  </si>
  <si>
    <t>HEALPOD 100MG TABLET</t>
  </si>
  <si>
    <t>HEALPOD CV 200MG/125MG TABLET</t>
  </si>
  <si>
    <t>HEALZONE XP 1000MG/125MG INJECTION</t>
  </si>
  <si>
    <t>PHAGOCEF 100MG TABLET DT</t>
  </si>
  <si>
    <t>PHAGOCEF 50MG DRY SYRUP</t>
  </si>
  <si>
    <t>PHAGOCEF CV DRY SYRUP</t>
  </si>
  <si>
    <t>PHAGOCEF OZ 200MG/500MG TABLET</t>
  </si>
  <si>
    <t>RABLANTH D 30MG/20MG CAPSULE SR</t>
  </si>
  <si>
    <t>SAIFINA 500MG TABLET</t>
  </si>
  <si>
    <t>SPASNORM 10MG/250MG TABLET</t>
  </si>
  <si>
    <t>TRINMOL 100MG INJECTION</t>
  </si>
  <si>
    <t>VENTRIOL A SYRUP</t>
  </si>
  <si>
    <t>APETIZER SYRUP</t>
  </si>
  <si>
    <t>FACOZOLE 150MG TABLET</t>
  </si>
  <si>
    <t>FREEHIT SP 100MG/325MG/15MG TABLET</t>
  </si>
  <si>
    <t>GANGLIA M 750MCG/75MG TABLET</t>
  </si>
  <si>
    <t>HEALZONE 1000MG INJECTION</t>
  </si>
  <si>
    <t>HEALZONE 125MG INJECTION</t>
  </si>
  <si>
    <t>HEALZONE S 1000MG/500MG INJECTION</t>
  </si>
  <si>
    <t>HEALZONE XP 250MG/31.25MG INJECTION</t>
  </si>
  <si>
    <t>ITALY 5MG TABLET</t>
  </si>
  <si>
    <t>LEAFY 500MG TABLET</t>
  </si>
  <si>
    <t>LIPINEXT 10MG TABLET</t>
  </si>
  <si>
    <t>MIKACARE 100MG INJECTION</t>
  </si>
  <si>
    <t>PATENT 40MG TABLET</t>
  </si>
  <si>
    <t>PHAGOCEF LB 200MG TABLET</t>
  </si>
  <si>
    <t>RABLANTH 20MG TABLET</t>
  </si>
  <si>
    <t>TRINMOL P 37.5MG/325MG TABLET</t>
  </si>
  <si>
    <t>APOZYMES SYRUP</t>
  </si>
  <si>
    <t>ARECROSS 60MG INJECTION</t>
  </si>
  <si>
    <t>CLAVSERCH 1000MG/200MG INJECTION</t>
  </si>
  <si>
    <t>CLAVSERCH 250MG/125MG TABLET</t>
  </si>
  <si>
    <t>CLAVSERCH DRY SYRUP</t>
  </si>
  <si>
    <t>DECNANIS 25MG INJECTION</t>
  </si>
  <si>
    <t>DOLOSERCH 100MG/375MG TABLET</t>
  </si>
  <si>
    <t>DOLOSERCH MF ORAL SUSPENSION</t>
  </si>
  <si>
    <t>GANGLIA G 300MG/500MCG TABLET</t>
  </si>
  <si>
    <t>GAYLE 500MG TABLET</t>
  </si>
  <si>
    <t>HEALPOD 100MG DRY SYRUP</t>
  </si>
  <si>
    <t>HEALZONE CF 1000MG/500MG INJECTION</t>
  </si>
  <si>
    <t>LIPINEXT 20MG TABLET</t>
  </si>
  <si>
    <t>MIKACARE 250MG INJECTION</t>
  </si>
  <si>
    <t>OHEAL OZ TABLET</t>
  </si>
  <si>
    <t>PHAGOCEF 200MG TABLET DT</t>
  </si>
  <si>
    <t>PHAGOCEF AZ 200MG/250MG TABLET</t>
  </si>
  <si>
    <t>PHAGOCEF O 200MG/200MG TABLET</t>
  </si>
  <si>
    <t>ROONEY S 50MG/10MG TABLET</t>
  </si>
  <si>
    <t>SAIFINA 250MG TABLET</t>
  </si>
  <si>
    <t>TELENEXT 40MG TABLET</t>
  </si>
  <si>
    <t>VENTRIOL LC SYRUP</t>
  </si>
  <si>
    <t>VITASURE SYRUP</t>
  </si>
  <si>
    <t>LULIYAP 1% CREAM</t>
  </si>
  <si>
    <t>YAP BIOCEUTICALS</t>
  </si>
  <si>
    <t>BERITUS D SYRUP</t>
  </si>
  <si>
    <t>ROSSWELT BIOSCIENCES PVT LTD</t>
  </si>
  <si>
    <t>COLCET 5MG TABLET</t>
  </si>
  <si>
    <t>COLCET PLUS 5MG/325MG/5MG TABLET</t>
  </si>
  <si>
    <t>DIGIMOX CV 500MG/125MG TABLET</t>
  </si>
  <si>
    <t>DIGIMOX CV DRY SYRUP</t>
  </si>
  <si>
    <t>DIGIPROX DUO DRY SYRUP</t>
  </si>
  <si>
    <t>DIVELT GM 50MG/750MG/250MG TABLET</t>
  </si>
  <si>
    <t>DOXYCLIN M 400MG/10MG TABLET</t>
  </si>
  <si>
    <t>LORNIROSS P 8MG/325MG TABLET</t>
  </si>
  <si>
    <t>MECOHIT PLUS INJECTION</t>
  </si>
  <si>
    <t>OFLOHIT OZ 200MG/500MG TABLET</t>
  </si>
  <si>
    <t>PRASMOL SP 100MG/325MG/15MG TABLET</t>
  </si>
  <si>
    <t>ROSCETAM 500MG SYRUP</t>
  </si>
  <si>
    <t>ROSFLAV 200MG TABLET</t>
  </si>
  <si>
    <t>ROSIFIX CV 200MG/125MG TABLET</t>
  </si>
  <si>
    <t>ROSIFIX OX 200MG/200MG TABLET</t>
  </si>
  <si>
    <t>ROSIPRIME P 60MG/325MG TABLET</t>
  </si>
  <si>
    <t>ROSPENAM 200MG TABLET</t>
  </si>
  <si>
    <t>ROSS VEE C 500MG INJECTION</t>
  </si>
  <si>
    <t>ROSTRYP 25MG TABLET</t>
  </si>
  <si>
    <t>ROSUCEF T 1000MG/125MG INJECTION</t>
  </si>
  <si>
    <t>ROSUKAST L 5MG/10MG TABLET</t>
  </si>
  <si>
    <t>THIOHIT AP 4MG/100MG/325MG TABLET</t>
  </si>
  <si>
    <t>VOLPAN IV 40MG INJECTION</t>
  </si>
  <si>
    <t>VOSFATE O SYRUP</t>
  </si>
  <si>
    <t>VOSNAC FAST 75MG INJECTION</t>
  </si>
  <si>
    <t>VOSNAC SP 50MG/325MG/15MG TABLET</t>
  </si>
  <si>
    <t>VOSNAC XL 50MG/325MG TABLET</t>
  </si>
  <si>
    <t>BERITUS AM SYRUP</t>
  </si>
  <si>
    <t>BERITUS L SYRUP</t>
  </si>
  <si>
    <t>COLCET PLUS SYRUP</t>
  </si>
  <si>
    <t>EMOCORT 6MG TABLET</t>
  </si>
  <si>
    <t>MECOHIT P 500MCG/75MG CAPSULE</t>
  </si>
  <si>
    <t>OFLOHIT 200MG TABLET</t>
  </si>
  <si>
    <t>PRASMOL 650MG TABLET</t>
  </si>
  <si>
    <t>PRASMOL FP 100MG/325MG TABLET</t>
  </si>
  <si>
    <t>PRASMOL MR 100MG/325MG/250MG TABLET</t>
  </si>
  <si>
    <t>ROSIFIX 100MG TABLET</t>
  </si>
  <si>
    <t>ROSSMET G 2MG/500MG TABLET SR</t>
  </si>
  <si>
    <t>ROSTAZO 4000MG/500MG INJECTION</t>
  </si>
  <si>
    <t>ROSTOLIN 90MG/48MG/100MG TABLET</t>
  </si>
  <si>
    <t>ROSUCEF 1000MG INJECTION</t>
  </si>
  <si>
    <t>ROSUCEF S 1000MG/500MG INJECTION</t>
  </si>
  <si>
    <t>ROSUCEF S 500MG/250MG INJECTION</t>
  </si>
  <si>
    <t>ROSUKAST L ORAL SUSPENSION</t>
  </si>
  <si>
    <t>VEKTUM 250MG TABLET</t>
  </si>
  <si>
    <t>VOSLIV 300MG TABLET</t>
  </si>
  <si>
    <t>VOSLIV SYRUP</t>
  </si>
  <si>
    <t>AZICLIK 250MG TABLET</t>
  </si>
  <si>
    <t>AZICLIK 500MG TABLET</t>
  </si>
  <si>
    <t>DIGIPROX 200MG TABLET DT</t>
  </si>
  <si>
    <t>DIGIPROX DS 50MG DRY SYRUP</t>
  </si>
  <si>
    <t>MECOHIT 1500MCG INJECTION</t>
  </si>
  <si>
    <t>NUCABOLIN 25MG INJECTION</t>
  </si>
  <si>
    <t>NUCABOLIN 50MG INJECTION</t>
  </si>
  <si>
    <t>OSPRIDE D 30MG/40MG CAPSULE SR</t>
  </si>
  <si>
    <t>OSPRIDE LS 75MG/40MG TABLET</t>
  </si>
  <si>
    <t>PRASMOL A ORAL SUSPENSION</t>
  </si>
  <si>
    <t>PRASMOL M ORAL SUSPENSION</t>
  </si>
  <si>
    <t>R LIZER 1.53GM SYRUP</t>
  </si>
  <si>
    <t>RITRA 200MG CAPSULE</t>
  </si>
  <si>
    <t>ROSBIL M 20MG/10MG TABLET</t>
  </si>
  <si>
    <t>ROSIFIX 200MG TABLET DT</t>
  </si>
  <si>
    <t>ROSIPRIME MR 60MG/4MG TABLET</t>
  </si>
  <si>
    <t>ROSSMET G 1MG/500MG TABLET SR</t>
  </si>
  <si>
    <t>ROSTOLIN D TABLET</t>
  </si>
  <si>
    <t>ROSUCEF T 250MG/31.25MG INJECTION</t>
  </si>
  <si>
    <t>ROSUGEST 200MG SOFT GELATIN CAPSULE</t>
  </si>
  <si>
    <t>ROSUKAST F 10MG/120MG TABLET</t>
  </si>
  <si>
    <t>ROSVENT 100MG CAPSULE</t>
  </si>
  <si>
    <t>THIOHIT A 100MG/4MG TABLET</t>
  </si>
  <si>
    <t>VEKTUM 500MG TABLET</t>
  </si>
  <si>
    <t>VOSGIL MPS SYRUP MANGO</t>
  </si>
  <si>
    <t>COLZIN D 15MG/20MG TABLET</t>
  </si>
  <si>
    <t>DIGIPROX CV 200MG/125MG TABLET</t>
  </si>
  <si>
    <t>EMOCORT 6MG ORAL SUSPENSION</t>
  </si>
  <si>
    <t>ENLOOZ 3.35GM SYRUP</t>
  </si>
  <si>
    <t>OFLOHIT MS ORAL SUSPENSION</t>
  </si>
  <si>
    <t>PRASMOL 250MG ORAL SUSPENSION</t>
  </si>
  <si>
    <t>PRASMOL A 100MG/325MG TABLET</t>
  </si>
  <si>
    <t>PRASMOL N 100MG/325MG TABLET</t>
  </si>
  <si>
    <t>RABICLIK 20MG TABLET</t>
  </si>
  <si>
    <t>RABICLIK D 30MG/20MG CAPSULE SR</t>
  </si>
  <si>
    <t>RABICLIK LS 75MG/20MG CAPSULE SR</t>
  </si>
  <si>
    <t>RIDOFLOX 500MG TABLET</t>
  </si>
  <si>
    <t>RIDOFLOX OZ 250MG/500MG TABLET</t>
  </si>
  <si>
    <t>ROSHIST 16MG TABLET</t>
  </si>
  <si>
    <t>ROSHIST 24MG TABLET</t>
  </si>
  <si>
    <t>ROSIFIX LB 200MG TABLET</t>
  </si>
  <si>
    <t>ROSIPRIDE 4MG TABLET</t>
  </si>
  <si>
    <t>ROSMIN 500MG INJECTION</t>
  </si>
  <si>
    <t>ROSSGUT 400MG TABLET</t>
  </si>
  <si>
    <t>ROSUCEF 250MG INJECTION</t>
  </si>
  <si>
    <t>ROSUCEF 500MG INJECTION</t>
  </si>
  <si>
    <t>ROSUCEF S 250MG/125MG INJECTION</t>
  </si>
  <si>
    <t>ROSUZOL 20MG CAPSULE</t>
  </si>
  <si>
    <t>ROSUZOL D 10MG/20MG CAPSULE</t>
  </si>
  <si>
    <t>TENELIN 20MG TABLET</t>
  </si>
  <si>
    <t>VOSMIN SACHET</t>
  </si>
  <si>
    <t>AMFRO 1000MG INJECTION</t>
  </si>
  <si>
    <t>RIDHIMA BIOCARE</t>
  </si>
  <si>
    <t>AMINEMEG 100MG INJECTION</t>
  </si>
  <si>
    <t>ASCOLEX 5MG SYRUP</t>
  </si>
  <si>
    <t>BAM FORTE INJECTION</t>
  </si>
  <si>
    <t>BAM GM 300MG/500MCG TABLET</t>
  </si>
  <si>
    <t>BAM M 750MCG/75MG CAPSULE</t>
  </si>
  <si>
    <t>BAM NP 75MG/10MG TABLET</t>
  </si>
  <si>
    <t>C LEXA 250MG CAPSULE</t>
  </si>
  <si>
    <t>CAPTIVA ES 30MG/40MG CAPSULE</t>
  </si>
  <si>
    <t>CAPTIVA IT 40MG/150MG CAPSULE SR</t>
  </si>
  <si>
    <t>CAPTIVA O 40MG/4MG TABLET</t>
  </si>
  <si>
    <t>CARGOBID 250MG TABLET</t>
  </si>
  <si>
    <t>CARGOBID 500MG TABLET</t>
  </si>
  <si>
    <t>CARGOBID TZ 250MG/300MG TABLET</t>
  </si>
  <si>
    <t>CIBROMEG 100 CAPSULE</t>
  </si>
  <si>
    <t>CITCODEC 20MG CAPSULE</t>
  </si>
  <si>
    <t>DANAMEG 100MG TABLET</t>
  </si>
  <si>
    <t>DECTOCEF 100MG TABLET</t>
  </si>
  <si>
    <t>DECTOCEF O 200MG/200MG TABLET</t>
  </si>
  <si>
    <t>DECVILOL 3.125MG TABLET</t>
  </si>
  <si>
    <t>DEFICAM 4MG TABLET</t>
  </si>
  <si>
    <t>DEFICAM PLUS 4MG/100MG/325MG TABLET</t>
  </si>
  <si>
    <t>DEFIDROT 40MG INJECTION</t>
  </si>
  <si>
    <t>DEFIDROT 80MG TABLET</t>
  </si>
  <si>
    <t>DEFIDROT N 80MG/100MG TABLET</t>
  </si>
  <si>
    <t>DEFISPAS ORAL SUSPENSION</t>
  </si>
  <si>
    <t>DOBIMEG 500MG TABLET</t>
  </si>
  <si>
    <t>DOBUTAMEG 250MG INJECTION</t>
  </si>
  <si>
    <t>ETIMEG 0.25MG TABLET</t>
  </si>
  <si>
    <t>ETIMEG 0.5MG TABLET</t>
  </si>
  <si>
    <t>EXMITE 125MG ORAL SUSPENSION</t>
  </si>
  <si>
    <t>EXMITE 250MG TABLET</t>
  </si>
  <si>
    <t>EXPOTUS D SYRUP</t>
  </si>
  <si>
    <t>EXPOTUS GT SYRUP</t>
  </si>
  <si>
    <t>FEXOMEG 120MG TABLET</t>
  </si>
  <si>
    <t>FORTHCEF 1000MG INJECTION</t>
  </si>
  <si>
    <t>GLUTAMEG 600MG INJECTION</t>
  </si>
  <si>
    <t>GREASWELL 50MG/750MG/250MG TABLET</t>
  </si>
  <si>
    <t>GUTAMEG 300MG TABLET SR</t>
  </si>
  <si>
    <t>IRCOMEG 200MG CAPSULE</t>
  </si>
  <si>
    <t>ITCOMEG 500MG TABLET</t>
  </si>
  <si>
    <t>ITCOMEG P 500MG/800MG TABLET</t>
  </si>
  <si>
    <t>IVERMEG 6MG TABLET</t>
  </si>
  <si>
    <t>JUNTO P 100MG/325MG TABLET</t>
  </si>
  <si>
    <t>JUNTO P ORAL SUSPENSION</t>
  </si>
  <si>
    <t>LABIMEG 20MG INJECTION</t>
  </si>
  <si>
    <t>LARGE CLAV DUO DRY SYRUP</t>
  </si>
  <si>
    <t>LESOMEG 25MG TABLET</t>
  </si>
  <si>
    <t>LIBROMEG 5MG/2.5MG TABLET</t>
  </si>
  <si>
    <t>LOFIDASE 150MG INJECTION</t>
  </si>
  <si>
    <t>LOFTIDASE AP 100MG/325MG TABLET</t>
  </si>
  <si>
    <t>LOFTIDASE DP 10MG/325MG TABLET</t>
  </si>
  <si>
    <t>LOFTINAC AQ 75MG INJECTION</t>
  </si>
  <si>
    <t>LOFTYCORT 200MG INJECTION</t>
  </si>
  <si>
    <t>MEGCETAM 500MG TABLET</t>
  </si>
  <si>
    <t>MEGCLID 300MG CAPSULE</t>
  </si>
  <si>
    <t>MEGCLID 600MG INJECTION</t>
  </si>
  <si>
    <t>MEGCOXIB 60MG TABLET</t>
  </si>
  <si>
    <t>MEGMABEND 200MG ORAL SUSPENSION</t>
  </si>
  <si>
    <t>MEGMACER 125MG INJECTION</t>
  </si>
  <si>
    <t>MEGMACER SB 1000MG/500MG INJECTION</t>
  </si>
  <si>
    <t>MEGMADOL 1000MG INFUSION</t>
  </si>
  <si>
    <t>MEGMAFER 50MG INJECTION</t>
  </si>
  <si>
    <t>MEGMAFIN PLUS SYRUP</t>
  </si>
  <si>
    <t>MEGMAGEST 100MG INJECTION</t>
  </si>
  <si>
    <t>MEGMAPRED 1000MG INJECTION</t>
  </si>
  <si>
    <t>MEGMAPRED 40MG INJECTION</t>
  </si>
  <si>
    <t>MEGMASTATE 250MG INJECTION</t>
  </si>
  <si>
    <t>MEGMAZIX 1GM INJECTION</t>
  </si>
  <si>
    <t>MEGMAZOLE 150MG TABLET</t>
  </si>
  <si>
    <t>MEGMAZOLE 400MG TABLET</t>
  </si>
  <si>
    <t>MEGPHYLLE M 400MG/10MG TABLET</t>
  </si>
  <si>
    <t>MEGPITAM 200MG INJECTION</t>
  </si>
  <si>
    <t>MEGPROX 750MG TABLET</t>
  </si>
  <si>
    <t>MEGSORES ORAL GEL</t>
  </si>
  <si>
    <t>MEGTHRO 125MG DRY SYRUP</t>
  </si>
  <si>
    <t>MEGTHRO 500MG INJECTION</t>
  </si>
  <si>
    <t>MEGTIOS 600MG TABLET</t>
  </si>
  <si>
    <t>MEGTIOS TH 400MG/4MG TABLET</t>
  </si>
  <si>
    <t>MEGTISTAM M FORTE 1000MG/20MG TABLET SR</t>
  </si>
  <si>
    <t>MEGTRLI 1MG INJECTION</t>
  </si>
  <si>
    <t>MORMECT CL DRY SYRUP</t>
  </si>
  <si>
    <t>MORMECT LZ 500MG/600MG TABLET</t>
  </si>
  <si>
    <t>MORMECT CL TABLET</t>
  </si>
  <si>
    <t>MOXIMEG 400MG TABLET</t>
  </si>
  <si>
    <t>MUCOMEG AM 300MG/60MG TABLET</t>
  </si>
  <si>
    <t>NETLYMEG 50MG INJECTION</t>
  </si>
  <si>
    <t>NIPOCIN 100MG INJECTION</t>
  </si>
  <si>
    <t>ORVICLO 250MG INJECTION</t>
  </si>
  <si>
    <t>ORVICLO 500MG INJECTION</t>
  </si>
  <si>
    <t>OXIT 20MG TABLET</t>
  </si>
  <si>
    <t>PAZOCID D ORAL SUSPENSION</t>
  </si>
  <si>
    <t>PAZOCID O ORAL SUSPENSION</t>
  </si>
  <si>
    <t>PAZOREX XP 1000MG/125MG INJECTION</t>
  </si>
  <si>
    <t>PAZOREX XP 250MG/31.25MG INJECTION</t>
  </si>
  <si>
    <t>PAZOTAZ 4000MG/500MG INJECTION</t>
  </si>
  <si>
    <t>PETROMEG 8MG TABLET</t>
  </si>
  <si>
    <t>PHANTOMEG 50MG INJECTION</t>
  </si>
  <si>
    <t>PLETAMEG 50MG TABLET</t>
  </si>
  <si>
    <t>RAMPHI 250MG TABLET</t>
  </si>
  <si>
    <t>RAMPHI 500MG TABLET</t>
  </si>
  <si>
    <t>RANIMEG 75MG SYRUP</t>
  </si>
  <si>
    <t>RECTOCEF 1000MG INJECTION</t>
  </si>
  <si>
    <t>RECTOCEF SB 2000MG/1000MG INJECTION</t>
  </si>
  <si>
    <t>RECTOCEF XP 1000MG/125MG INJECTION</t>
  </si>
  <si>
    <t>RECTOMOX 125MG TABLET DT</t>
  </si>
  <si>
    <t>RHINOWELL D TABLET</t>
  </si>
  <si>
    <t>RHINOWELL ORAL DROPS</t>
  </si>
  <si>
    <t>RHINOWELL PLUS 5MG/325MG/5MG TABLET</t>
  </si>
  <si>
    <t>RIFAMEG 200MG TABLET</t>
  </si>
  <si>
    <t>RIFAMEG 550MG TABLET</t>
  </si>
  <si>
    <t>ROXIMEG 150MG TABLET</t>
  </si>
  <si>
    <t>SAFEUTERO 40MG TABLET SR</t>
  </si>
  <si>
    <t>SECTOCEF 100MG TABLET</t>
  </si>
  <si>
    <t>SECTOCEF 50MG TABLET</t>
  </si>
  <si>
    <t>SECTOCEF CL DRY SYRUP</t>
  </si>
  <si>
    <t>SECTOCEF O KID 100MG/100MG TABLET</t>
  </si>
  <si>
    <t>SECTOCEF SB 200MG/150MG TABLET</t>
  </si>
  <si>
    <t>SEVECAR 800MG TABLET</t>
  </si>
  <si>
    <t>SPANFLOX 200MG INFUSION</t>
  </si>
  <si>
    <t>SPANFLOX 400MG TABLET</t>
  </si>
  <si>
    <t>SPANFLOX M ORAL SUSPENSION</t>
  </si>
  <si>
    <t>SPANFLOX NT ORAL SUSPENSION</t>
  </si>
  <si>
    <t>SPANFLOX OZ ORAL SUSPENSION</t>
  </si>
  <si>
    <t>TECOPENE 400MG INJECTION</t>
  </si>
  <si>
    <t>TELPIMEG 150MG TABLET</t>
  </si>
  <si>
    <t>TELPIMEG SR TABLET</t>
  </si>
  <si>
    <t>TIDALMEG PLUS 20MG/30MG TABLET</t>
  </si>
  <si>
    <t>TILOMEG 10MG TABLET</t>
  </si>
  <si>
    <t>TRYPSO BR 90MG/48MG/100MG TABLET</t>
  </si>
  <si>
    <t>TRYPZA KP 50MG/325MG TABLET</t>
  </si>
  <si>
    <t>URSOMEG 150MG TABLET</t>
  </si>
  <si>
    <t>URSOMEG 450MG TABLET SR</t>
  </si>
  <si>
    <t>5 AGA 1200MG TABLET DR</t>
  </si>
  <si>
    <t>5 AGA 800MG TABLET DR</t>
  </si>
  <si>
    <t>AMIOJUST 100MG TABLET</t>
  </si>
  <si>
    <t>AMTHRO 500MG INJECTION</t>
  </si>
  <si>
    <t>AMTHRO CF LB 200MG/250MG TABLET</t>
  </si>
  <si>
    <t>ASCOTUS SYRUP</t>
  </si>
  <si>
    <t>AZIMATHRO 250MG TABLET</t>
  </si>
  <si>
    <t>BAM 2500MCG INJECTION</t>
  </si>
  <si>
    <t>BAM 500MCG INJECTION</t>
  </si>
  <si>
    <t>BAM NP PLUS 75MG/10MG/1500MCG TABLET</t>
  </si>
  <si>
    <t>C LEXA 500MG CAPSULE</t>
  </si>
  <si>
    <t>CAPTIVA 40MG INJECTION</t>
  </si>
  <si>
    <t>CAPTIVA D 10MG/20MG TABLET</t>
  </si>
  <si>
    <t>CAPTIVA D 10MG/40MG TABLET</t>
  </si>
  <si>
    <t>CARGOBID 250MG INFUSION</t>
  </si>
  <si>
    <t>CARTIVEER 250MG INJECTION</t>
  </si>
  <si>
    <t>CARTIVEER 500MG INJECTION</t>
  </si>
  <si>
    <t>CERIBAN 60MG INJECTION</t>
  </si>
  <si>
    <t>CIBROMEG 200MG TABLET SR</t>
  </si>
  <si>
    <t>DANAMEG 200MG TABLET</t>
  </si>
  <si>
    <t>DECTOCEF 25MG ORAL DROPS</t>
  </si>
  <si>
    <t>DECTOCEF 50MG DRY SYRUP</t>
  </si>
  <si>
    <t>DECTOCEF CL DRY SYRUP</t>
  </si>
  <si>
    <t>DECTOCEF L 200MG/250MG TABLET</t>
  </si>
  <si>
    <t>DEFICAM 8MG TABLET</t>
  </si>
  <si>
    <t>DEFICORT 40MG INJECTION</t>
  </si>
  <si>
    <t>DEFINATE LF 80MG/480MG TABLET</t>
  </si>
  <si>
    <t>DEFINATE LF SYRUP</t>
  </si>
  <si>
    <t>DILOMEG 100MG TABLET SR</t>
  </si>
  <si>
    <t>DILOMEG 75MG TABLET SR</t>
  </si>
  <si>
    <t>DILOMEG MR 500MG/50MG/325MG TABLET</t>
  </si>
  <si>
    <t>DOPAMEG 40MG INJECTION</t>
  </si>
  <si>
    <t>DURADOL 37.5MG/325MG TABLET</t>
  </si>
  <si>
    <t>EBIMEG 20MG TABLET</t>
  </si>
  <si>
    <t>ERGO MEG 0.125MG TABLET</t>
  </si>
  <si>
    <t>EXPOTUS DX SYRUP</t>
  </si>
  <si>
    <t>EXPOTUS L SYRUP</t>
  </si>
  <si>
    <t>FACLOR 250MG TABLET DT</t>
  </si>
  <si>
    <t>FAROMEG 300MG TABLET SR</t>
  </si>
  <si>
    <t>FAROMEG TABLET</t>
  </si>
  <si>
    <t>FLUPIMEG 100MG CAPSULE</t>
  </si>
  <si>
    <t>FLUPIROAD 100MG CAPSULE</t>
  </si>
  <si>
    <t>GAMIMEG 3MG INJECTION</t>
  </si>
  <si>
    <t>IRCOMEG TRB 100MG/250MG TABLET</t>
  </si>
  <si>
    <t>JUNTO COLD PLUS 100MG/5MG/5MG TABLET</t>
  </si>
  <si>
    <t>LABIAMEG 100MG TABLET</t>
  </si>
  <si>
    <t>LARGE CLAV 250MG/50MG INJECTION</t>
  </si>
  <si>
    <t>LARGE CLAV 500MG/125MG TABLET</t>
  </si>
  <si>
    <t>LARGE CLAV ORAL DROPS</t>
  </si>
  <si>
    <t>LOFTIDASE 50MG/10MG TABLET</t>
  </si>
  <si>
    <t>LOFTIDASE KR 250MG/50MG/325MG TABLET</t>
  </si>
  <si>
    <t>LOFTIDASE SP TABLET</t>
  </si>
  <si>
    <t>LOFTINEC 200MG TABLET SR</t>
  </si>
  <si>
    <t>LOFTINEC S 100MG/15MG TABLET</t>
  </si>
  <si>
    <t>LOFTYCORT 100MG INJECTION</t>
  </si>
  <si>
    <t>LOFTYCORT 30MG TABLET</t>
  </si>
  <si>
    <t>MEG C 2 500MG/500MG INJECTION</t>
  </si>
  <si>
    <t>MEG DEPOT 250MG INJECTION</t>
  </si>
  <si>
    <t>MEG QCS 200 TABLET</t>
  </si>
  <si>
    <t>MEGCETAM 1000MG TABLET</t>
  </si>
  <si>
    <t>MEGCOXIB 90MG TABLET</t>
  </si>
  <si>
    <t>MEGCOXIB P 60MG/325MG TABLET</t>
  </si>
  <si>
    <t>MEGMA NS 0.9% INFUSION</t>
  </si>
  <si>
    <t>MEGMADOL 150MG INJECTION</t>
  </si>
  <si>
    <t>MEGMADRUFF 200MG TABLET</t>
  </si>
  <si>
    <t>MEGMADRYL SYRUP</t>
  </si>
  <si>
    <t>MEGMAFER 100MG INJECTION</t>
  </si>
  <si>
    <t>MEGMALOT N 5MG TABLET</t>
  </si>
  <si>
    <t>MEGMANOX 60MG INJECTION</t>
  </si>
  <si>
    <t>MEGMASTATE MF INJECTION</t>
  </si>
  <si>
    <t>MEGMATOR GOLD 75MG/10MG/75MG TABLET</t>
  </si>
  <si>
    <t>MEGMAZID 1000MG INJECTION</t>
  </si>
  <si>
    <t>MEGMAZID 250MG INJECTION</t>
  </si>
  <si>
    <t>MEGMAZID 600MG INFUSION</t>
  </si>
  <si>
    <t>MEGMAZID SB 1000MG/500MG INJECTION</t>
  </si>
  <si>
    <t>MEGMAZOLE 200MG TABLET</t>
  </si>
  <si>
    <t>MEGMAZOLE 300MG TABLET</t>
  </si>
  <si>
    <t>MEGOUT 40MG TABLET</t>
  </si>
  <si>
    <t>MEGOUT 80MG TABLET</t>
  </si>
  <si>
    <t>MEGPHYLLE 400MG TABLET</t>
  </si>
  <si>
    <t>MEGPIROME 1000MG INJECTION</t>
  </si>
  <si>
    <t>MEGPITAM 500MG SYRUP</t>
  </si>
  <si>
    <t>MEGPRATE 133.5MG/58MG TABLET CR</t>
  </si>
  <si>
    <t>MEGPRATE 333MG/145MG TABLET</t>
  </si>
  <si>
    <t>MEGTHRO 250MG TABLET</t>
  </si>
  <si>
    <t>MEGTIOS P 400MG/325MG TABLET</t>
  </si>
  <si>
    <t>MEGTISTAM 20MG TABLET</t>
  </si>
  <si>
    <t>MEGZEP 0.5MG TABLET</t>
  </si>
  <si>
    <t>MORMECT 1500MG INJECTION</t>
  </si>
  <si>
    <t>MUCOMEG 1000MG INJECTION</t>
  </si>
  <si>
    <t>NIMOMEG 10MG INFUSION</t>
  </si>
  <si>
    <t>NIPOCIN 500MG INJECTION</t>
  </si>
  <si>
    <t>ORNAMEG 500MG INFUSION</t>
  </si>
  <si>
    <t>ORVICLO 400MG TABLET</t>
  </si>
  <si>
    <t>PAZOCAIN ORAL GEL</t>
  </si>
  <si>
    <t>PAZOCID 20MG CAPSULE</t>
  </si>
  <si>
    <t>PAZOREX 1000MG INJECTION</t>
  </si>
  <si>
    <t>RECTODEC 50MG INJECTION</t>
  </si>
  <si>
    <t>RECTOMOX 250MG TABLET DT</t>
  </si>
  <si>
    <t>RECTOMOX 500MG CAPSULE</t>
  </si>
  <si>
    <t>RETROZOLE AP 100MG/325MG/20MG CAPSULE</t>
  </si>
  <si>
    <t>RETROZOLE D 30MG/20MG CAPSULE SR</t>
  </si>
  <si>
    <t>RETROZOLE IT 20MG/150MG CAPSULE SR</t>
  </si>
  <si>
    <t>RETROZOLE INJECTION 20MG</t>
  </si>
  <si>
    <t>RETROZOLE LD 75MG/20MG CAPSULE SR</t>
  </si>
  <si>
    <t>RHINOWELL ADVANCE TABLET</t>
  </si>
  <si>
    <t>RODARIL 100MG CAPSULE</t>
  </si>
  <si>
    <t>ROSAMEG GOLD 75MG/10MG/75MG CAPSULE</t>
  </si>
  <si>
    <t>SECTOCEF 100MG DRY SYRUP</t>
  </si>
  <si>
    <t>SECTOCEF 50MG DRY SYRUP</t>
  </si>
  <si>
    <t>SECTOCEF CLB 200MG/500MG TABLET</t>
  </si>
  <si>
    <t>SECTOCEF LB 200MG TABLET</t>
  </si>
  <si>
    <t>SECTOCEF O 200MG/200MG TABLET</t>
  </si>
  <si>
    <t>SEVECAR 400MG TABLET</t>
  </si>
  <si>
    <t>SPANFLOX 200MG TABLET</t>
  </si>
  <si>
    <t>TERBIMEG 500 TABLET</t>
  </si>
  <si>
    <t>TICO MEG CV 300MG/100MG INJECTION</t>
  </si>
  <si>
    <t>TRAPHEP T SYRUP</t>
  </si>
  <si>
    <t>TRIMMEG 20MG TABLET</t>
  </si>
  <si>
    <t>URSOMEG 300MG TABLET</t>
  </si>
  <si>
    <t>VALAMEG DS 25MG DRY SYRUP</t>
  </si>
  <si>
    <t>VALNAFEX 100MG TABLET ER</t>
  </si>
  <si>
    <t>VENCOMEG 1000MG INJECTION</t>
  </si>
  <si>
    <t>VOTRI 5MG TABLET</t>
  </si>
  <si>
    <t>VOTRI A 5MG/60MG TABLET</t>
  </si>
  <si>
    <t>VOTRI M 5MG/10MG TABLET</t>
  </si>
  <si>
    <t>VOTRI M KID 2.5MG/4MG TABLET</t>
  </si>
  <si>
    <t>AMIOJUST 200MG TABLET</t>
  </si>
  <si>
    <t>AMTHRO 250 TABLET</t>
  </si>
  <si>
    <t>AMTHRO CF DRY SYRUP</t>
  </si>
  <si>
    <t>AUDITONE 2MG INJECTION</t>
  </si>
  <si>
    <t>AZIMATHRO 500 TABLET</t>
  </si>
  <si>
    <t>CAPTIVA D 30MG/40MG CAPSULE SR</t>
  </si>
  <si>
    <t>CARGOBID TZ 500MG/600MG TABLET</t>
  </si>
  <si>
    <t>CELLROSE 90MG TABLET</t>
  </si>
  <si>
    <t>CIBROMEG 50MG SYRUP</t>
  </si>
  <si>
    <t>CIBROMEG A 100MG/600MG TABLET</t>
  </si>
  <si>
    <t>CINNAMEG 25MG TABLET</t>
  </si>
  <si>
    <t>CITCODEC FORT 0.25MG/20MG TABLET</t>
  </si>
  <si>
    <t>CITCODEC P 0.25MG/20MG TABLET</t>
  </si>
  <si>
    <t>DECTOCEF 200MG TABLET</t>
  </si>
  <si>
    <t>DECTOCEF AZ 200MG/250MG TABLET</t>
  </si>
  <si>
    <t>DECVILOL 6.25MG TABLET</t>
  </si>
  <si>
    <t>DEFIDROT A 80MG/100MG TABLET</t>
  </si>
  <si>
    <t>DEFIDROT P 80MG/325MG TABLET</t>
  </si>
  <si>
    <t>DEFIMAIL 150MG INJECTION</t>
  </si>
  <si>
    <t>DEFINATE 100MG/500MG/25MG KIT</t>
  </si>
  <si>
    <t>DEFISPAS ORAL DROPS</t>
  </si>
  <si>
    <t>DOMDON 1MG ORAL DROPS</t>
  </si>
  <si>
    <t>DORIMEG 500MG INJECTION</t>
  </si>
  <si>
    <t>DORZINA 10MG/20MG TABLET</t>
  </si>
  <si>
    <t>DURADOL DP 10MG/325MG/37.5MG TABLET</t>
  </si>
  <si>
    <t>DURADOL PLUS 75MG/50MG TABLET SR</t>
  </si>
  <si>
    <t>DURADOL TD 50MG TABLET</t>
  </si>
  <si>
    <t>ESOMEG LD 75MG/40MG TABLET SR</t>
  </si>
  <si>
    <t>EXMITE 500MG TABLET</t>
  </si>
  <si>
    <t>EXMITE OZ 250MG/500MG TABLET</t>
  </si>
  <si>
    <t>EXMITE OZ ORAL SUSPENSION</t>
  </si>
  <si>
    <t>EXPOTUS BR SYRUP</t>
  </si>
  <si>
    <t>EXPOTUS DMR 5MG/2MG/10MG TABLET</t>
  </si>
  <si>
    <t>EXPOTUS DMR SYRUP</t>
  </si>
  <si>
    <t>F BISO 1000MG TABLET</t>
  </si>
  <si>
    <t>F BISO 500MG TABLET</t>
  </si>
  <si>
    <t>FAMOMEG 40MG TABLET</t>
  </si>
  <si>
    <t>FENOFLY 200MG TABLET</t>
  </si>
  <si>
    <t>FEXOMEG 180MG TABLET</t>
  </si>
  <si>
    <t>FEXOMEG MA 10MG/120MG/200MG TABLET SR</t>
  </si>
  <si>
    <t>MEGMAPRED 125MG INJECTION</t>
  </si>
  <si>
    <t>MEGMAPRED 16MG TABLET</t>
  </si>
  <si>
    <t>MEGMAVERT 8MG TABLET</t>
  </si>
  <si>
    <t>MEGMAZID TM 1000MG/120MG INJECTION</t>
  </si>
  <si>
    <t>MEGMAZID T INJECTION</t>
  </si>
  <si>
    <t>MEGMAZOLE 50MG TABLET</t>
  </si>
  <si>
    <t>MEGOAL TRIO 20MG/10MG/12.5MG TABLET</t>
  </si>
  <si>
    <t>MEGPHYLLE AM 400MG/30MG TABLET</t>
  </si>
  <si>
    <t>MEGPITAM 400MG TABLET</t>
  </si>
  <si>
    <t>MEGPLACE H 2MG TABLET</t>
  </si>
  <si>
    <t>MEGPRIDE 50MG TABLET</t>
  </si>
  <si>
    <t>MEGROSI 5GM INJECTION</t>
  </si>
  <si>
    <t>MEGSAFE 10MG/10MG/5MG TABLET</t>
  </si>
  <si>
    <t>MEGTHRO 500MG TABLET</t>
  </si>
  <si>
    <t>MEGTIOS 400MG TABLET ER</t>
  </si>
  <si>
    <t>MEGTISTAM M 500MG/20MG TABLET SR</t>
  </si>
  <si>
    <t>METAMEG MR 50MG/40MG TABLET</t>
  </si>
  <si>
    <t>METROMEG 500MG INFUSION</t>
  </si>
  <si>
    <t>MINOMEG 100MG TABLET</t>
  </si>
  <si>
    <t>MOGESTER 5MG TABLET</t>
  </si>
  <si>
    <t>MORMECT 250 TABLET</t>
  </si>
  <si>
    <t>MUCOMEG 400MG INJECTION</t>
  </si>
  <si>
    <t>MUCOMEG 600MG TABLET</t>
  </si>
  <si>
    <t>MUCOMEG T 500MG/150MG TABLET</t>
  </si>
  <si>
    <t>NETLYMEG 10MG INJECTION</t>
  </si>
  <si>
    <t>NIPOCIN 250MG INJECTION</t>
  </si>
  <si>
    <t>OCUMEG 100MCG INJECTION</t>
  </si>
  <si>
    <t>OCUMEG 50MCG INJECTION</t>
  </si>
  <si>
    <t>ORVICLO 800MG TABLET</t>
  </si>
  <si>
    <t>PAZOCID FORTE ORAL SUSPENSION</t>
  </si>
  <si>
    <t>PAZOREX 2000MG INJECTION</t>
  </si>
  <si>
    <t>PAZOREX 500MG INJECTION</t>
  </si>
  <si>
    <t>PERJOSI 5MG TABLET</t>
  </si>
  <si>
    <t>POTMEG 1.5GM ORAL SOLUTION SUGAR FREE</t>
  </si>
  <si>
    <t>PREGAMEG 10MG TABLET</t>
  </si>
  <si>
    <t>RAMPHI 125MG ORAL SUSPENSION</t>
  </si>
  <si>
    <t>RANOMEG 1000MG TABLET</t>
  </si>
  <si>
    <t>RECTOCEF SB 1000MG/500MG INJECTION</t>
  </si>
  <si>
    <t>RECTOCLOX LB 250MG/250MG CAPSULE</t>
  </si>
  <si>
    <t>RECTOMOX LB CAPSULE 500MG/60MILLIONSPORES</t>
  </si>
  <si>
    <t>RETROZOLE 20MG TABLET</t>
  </si>
  <si>
    <t>RETROZOLE D 10MG/20MG TABLET</t>
  </si>
  <si>
    <t>RHINOWELL SYRUP</t>
  </si>
  <si>
    <t>SECTOCEF 25MG ORAL DROPS</t>
  </si>
  <si>
    <t>SECTOCEF CL 200MG/125MG TABLET</t>
  </si>
  <si>
    <t>SECTOCEF D 200MG/500MG TABLET</t>
  </si>
  <si>
    <t>SECTOCEF LZ 200MG/600MG TABLET</t>
  </si>
  <si>
    <t>SPANFLOX LB 200MG TABLET</t>
  </si>
  <si>
    <t>SPANFLOX OZ 200MG/500MG TABLET</t>
  </si>
  <si>
    <t>SPANFLOX RA ORAL SUSPENSION</t>
  </si>
  <si>
    <t>TERBIMEG 250 TABLET</t>
  </si>
  <si>
    <t>TORSAMEG PLUS 50MG/20MG TABLET</t>
  </si>
  <si>
    <t>TRYPSO FORTE 100000IU TABLET</t>
  </si>
  <si>
    <t>TRYPZA K 50MG TABLET</t>
  </si>
  <si>
    <t>URSOMEG S 140MG/300MG TABLET</t>
  </si>
  <si>
    <t>VALAMEG 12.5MG DRY SYRUP</t>
  </si>
  <si>
    <t>VENCOMEG 500MG INJECTION</t>
  </si>
  <si>
    <t>VOTRIN A ORAL SUSPENSION</t>
  </si>
  <si>
    <t>VOXIMEG 50MG TABLET</t>
  </si>
  <si>
    <t>RHINOWELL PLUS SYRUP</t>
  </si>
  <si>
    <t>RHINOWELL Q TABLET</t>
  </si>
  <si>
    <t>RHINOWELL TABLET</t>
  </si>
  <si>
    <t>RIFAMEG 400MG TABLET</t>
  </si>
  <si>
    <t>SECTOCEF 200MG TABLET</t>
  </si>
  <si>
    <t>SECTOCEF LB DRY SYRUP</t>
  </si>
  <si>
    <t>SECTOCEF O DRY SYRUP</t>
  </si>
  <si>
    <t>SECTOCEF OZ 200MG/500MG TABLET</t>
  </si>
  <si>
    <t>SILOMEG 4MG CAPSULE</t>
  </si>
  <si>
    <t>SILOMEG 8GM CAPSULE</t>
  </si>
  <si>
    <t>SPANFLOX NT 500MG/200MG TABLET</t>
  </si>
  <si>
    <t>TG MEG 50MG INJECTION</t>
  </si>
  <si>
    <t>TECOPENE 200MG INJECTION</t>
  </si>
  <si>
    <t>TILOMEG CL 0.25MG/10MG TABLET</t>
  </si>
  <si>
    <t>TILOMEG CL 0.5MG/20MG TABLET</t>
  </si>
  <si>
    <t>TILOMEG EL 0.5MG/10MG TABLET</t>
  </si>
  <si>
    <t>TRAPHEP T ORAL DROPS</t>
  </si>
  <si>
    <t>UTOMEG 10MG TABLET</t>
  </si>
  <si>
    <t>VOTRI 10MG TABLET</t>
  </si>
  <si>
    <t>VOTRI AM SYRUP</t>
  </si>
  <si>
    <t>VOTRI PLUS 5MG/10MG TABLET</t>
  </si>
  <si>
    <t>CHRISFOL TAB</t>
  </si>
  <si>
    <t>CHRISTA HEALTHCARE</t>
  </si>
  <si>
    <t>C VIT FACIAL LIPOSOMAL SERUM</t>
  </si>
  <si>
    <t>SESDERMA INDIA PVT LTD</t>
  </si>
  <si>
    <t>K VIT ANTI DARK CIRCLE SERUM</t>
  </si>
  <si>
    <t>SESDERMA ATOPISES MOISTURIZING CREAM</t>
  </si>
  <si>
    <t>SESDERMA AZELAC RU LIPOSOMAL SERUM</t>
  </si>
  <si>
    <t>SESDERMA BABYSES SHAMPOO PH TEAR</t>
  </si>
  <si>
    <t>SESDERMA HIDRALOE ALOE GEL</t>
  </si>
  <si>
    <t>SESDERMA HIDRAVEN FOAMY SOAP FREE CREAM</t>
  </si>
  <si>
    <t>AZELAC LOTION</t>
  </si>
  <si>
    <t>RETISES CREAM</t>
  </si>
  <si>
    <t>SESDERMA ACGLICOLIC CLASSIC FORTE GEL CREAM</t>
  </si>
  <si>
    <t>SESDERMA ACGLICOLIC LIPOSOMAL SERUM</t>
  </si>
  <si>
    <t>SESDERMA ACNISES YOUNG ROLL ON FOCAL</t>
  </si>
  <si>
    <t>SESDERMA HIDRADERM HYAL FACIAL CREAM</t>
  </si>
  <si>
    <t>SESDERMA RETI AGE ANTI AGING CREAM</t>
  </si>
  <si>
    <t>SESDERMA SESKAVEL ANTI HAIR LOSS SHAMPOO</t>
  </si>
  <si>
    <t>SESDERMA SESKAVEL EVERYDAY SHAMPOO</t>
  </si>
  <si>
    <t>SESDERMA ACNISES SPOT CREAM</t>
  </si>
  <si>
    <t>SESDERMA C VIT EYE CONTOUR CREAM</t>
  </si>
  <si>
    <t>SESDERMA C VIT RADIANCE GLOWING FACIAL FLUID</t>
  </si>
  <si>
    <t>SESDERMA SCRUB EXFOLIATOR</t>
  </si>
  <si>
    <t>SESDERMA SEBOVALIS TREATMENT SHAMPOO</t>
  </si>
  <si>
    <t>HIDROQUIN FORTE SKIN LIGHTENER GEL</t>
  </si>
  <si>
    <t>SESDERMA ABRADERMOL MICRODERMABRASION CREAM</t>
  </si>
  <si>
    <t>SESDERMA HIDROQUIN FORTE SKIN LIGHTENER GEL</t>
  </si>
  <si>
    <t>SESDERMA HIDROQUIN WHITENING GEL</t>
  </si>
  <si>
    <t>SESDERMA MEN EYE CONTOUR CREAM</t>
  </si>
  <si>
    <t>SESDERMA SESKAVEL KERATIN SHAMPOO</t>
  </si>
  <si>
    <t>ALTRACEF 200MG TABLET DT</t>
  </si>
  <si>
    <t>ALTRAWELL BIOTECH PVT LTD</t>
  </si>
  <si>
    <t>ALTRAPOD CV DRY SYRUP</t>
  </si>
  <si>
    <t>AVERNIM SP 100MG/325MG/15MG TABLET</t>
  </si>
  <si>
    <t>AVERPRED 4MG TABLET</t>
  </si>
  <si>
    <t>AVERTROX 500MG INJECTION</t>
  </si>
  <si>
    <t>AVERTROX S 500MG/250MG INJECTION</t>
  </si>
  <si>
    <t>CANDIWELL 1% SOAP</t>
  </si>
  <si>
    <t>CANDIWELL 100MG CAPSULE</t>
  </si>
  <si>
    <t>CANDIWELL 200 CAPSULE</t>
  </si>
  <si>
    <t>ETOWELL 120MG TABLET</t>
  </si>
  <si>
    <t>ETOWELL P 60MG/325MG TABLET</t>
  </si>
  <si>
    <t>FLUWELL 150 TABLET</t>
  </si>
  <si>
    <t>TAZOROX P 4000MG/500MG INJECTION</t>
  </si>
  <si>
    <t>UDVL 300MG TABLET</t>
  </si>
  <si>
    <t>WELL FEEL 100MG TABLET</t>
  </si>
  <si>
    <t>WELLBEND PLUS 6MG/400MG TABLET</t>
  </si>
  <si>
    <t>WELLGAS D 10MG/40MG TABLET</t>
  </si>
  <si>
    <t>WELLGAS D 30MG/40MG CAPSULE SR</t>
  </si>
  <si>
    <t>WELLGESIC P 100MG/325MG TABLET</t>
  </si>
  <si>
    <t>WELLGESIC P ORAL SUSPENSION</t>
  </si>
  <si>
    <t>WELLROX 250MG TABLET</t>
  </si>
  <si>
    <t>WELLROX 500MG TABLET</t>
  </si>
  <si>
    <t>WELLROX CV 500MG/125MG TABLET</t>
  </si>
  <si>
    <t>WELLZITH LB 500 TABLET</t>
  </si>
  <si>
    <t>WELMYTH PLUS 75MG/10MG/1500MCG TABLET</t>
  </si>
  <si>
    <t>ALTRACEF LB 200MG TABLET DT</t>
  </si>
  <si>
    <t>ALTRACUF DX SYRUP</t>
  </si>
  <si>
    <t>ALTRAMOX CV 500MG/125MG TABLET</t>
  </si>
  <si>
    <t>ALTRAMOX CV DRY SYRUP</t>
  </si>
  <si>
    <t>ALTRAPOD 200MG TABLET</t>
  </si>
  <si>
    <t>AVERLEV 5MG TABLET</t>
  </si>
  <si>
    <t>AVERMONT L 5MG/10MG TABLET</t>
  </si>
  <si>
    <t>AVERNIM P TABLET</t>
  </si>
  <si>
    <t>AVERRIDE M 1MG/500MG TABLET SR</t>
  </si>
  <si>
    <t>CEFWELL 1000MG/500MG INJECTION</t>
  </si>
  <si>
    <t>COLDWELL FORTE TABLET</t>
  </si>
  <si>
    <t>FAROWELL 200MG TABLET</t>
  </si>
  <si>
    <t>FLOXWELL 200MG TABLET</t>
  </si>
  <si>
    <t>MEFWELL P ORAL SUSPENSION</t>
  </si>
  <si>
    <t>OMEWEL 20MG CAPSULE</t>
  </si>
  <si>
    <t>WELLCON 1% CREAM</t>
  </si>
  <si>
    <t>WELLCON 1% LOTION</t>
  </si>
  <si>
    <t>WELLGAS 40MG INJECTION</t>
  </si>
  <si>
    <t>WELLGESIC MR 100MG/325MG/250MG TABLET</t>
  </si>
  <si>
    <t>WELLGESIC SP 100MG/325MG/15MG TABLET</t>
  </si>
  <si>
    <t>WELLGESIC TH 100MG/4MG TABLET</t>
  </si>
  <si>
    <t>WELLMYTH 2500MCG INJECTION</t>
  </si>
  <si>
    <t>WELLSTO 1% SOAP</t>
  </si>
  <si>
    <t>WELLZITH 250MG TABLET</t>
  </si>
  <si>
    <t>ALTRACEF 100MG TABLET DT</t>
  </si>
  <si>
    <t>PREGWELL NT 75MG/10MG TABLET</t>
  </si>
  <si>
    <t>WELLRED 100MG INJECTION</t>
  </si>
  <si>
    <t>WELLZITH 500MG TABLET</t>
  </si>
  <si>
    <t>ALTRACEF O TABLET</t>
  </si>
  <si>
    <t>ALTRALOX 500MG TABLET</t>
  </si>
  <si>
    <t>ALTRAMOX CV DS DRY SYRUP</t>
  </si>
  <si>
    <t>AVERFLAM MR 250MG/50MG/325MG TABLET</t>
  </si>
  <si>
    <t>AVERMONT L ORAL SUSPENSION</t>
  </si>
  <si>
    <t>AVERREB D 10MG/20MG TABLET</t>
  </si>
  <si>
    <t>AVERTROX S 250MG/125MG INJECTION</t>
  </si>
  <si>
    <t>CYPROWELL 200 SYRUP</t>
  </si>
  <si>
    <t>FLOXWELL 50MG ORAL SUSPENSION</t>
  </si>
  <si>
    <t>FLOXWELL OZ 200MG/500MG TABLET</t>
  </si>
  <si>
    <t>GABWELL NT 400MG/10MG TABLET</t>
  </si>
  <si>
    <t>NANOWELL 50MG INJECTION</t>
  </si>
  <si>
    <t>OMEWEL D 10MG/20MG CAPSULE</t>
  </si>
  <si>
    <t>WELLGAS 40MG TABLET</t>
  </si>
  <si>
    <t>WELLGAS L 75MG/40MG CAPSULE SR</t>
  </si>
  <si>
    <t>WELLMYTH 1500MCG INJECTION</t>
  </si>
  <si>
    <t>PREGWELL NT</t>
  </si>
  <si>
    <t>ELECLIN GEL</t>
  </si>
  <si>
    <t>ELEGANT COSMED PVT LTD</t>
  </si>
  <si>
    <t>ZOLEKOT L 1% LOTION</t>
  </si>
  <si>
    <t>UVEELITE SPF 50</t>
  </si>
  <si>
    <t>BETRIZUST PLUS 25MG/10MG TABLET</t>
  </si>
  <si>
    <t>ZENOTIS HEALTHCARE</t>
  </si>
  <si>
    <t>CARONAC P TABLET</t>
  </si>
  <si>
    <t>CEFDELL LB TABLET DT</t>
  </si>
  <si>
    <t>CEFUZIP 500 TABLET</t>
  </si>
  <si>
    <t>ETPRO 0.5MG/20MG TABLET</t>
  </si>
  <si>
    <t>KOFFECO GREEN TEA &amp; CHAMOMILE FACE WASH</t>
  </si>
  <si>
    <t>MEROBIG 1 INJECTION</t>
  </si>
  <si>
    <t>MIKAZUST 500 INJECTION</t>
  </si>
  <si>
    <t>MOXYZUST CV DRY SYRUP</t>
  </si>
  <si>
    <t>OMEZIP 20MG CAPSULE</t>
  </si>
  <si>
    <t>OMEZIP D CAPSULE</t>
  </si>
  <si>
    <t>ONDIZIP 4MG TABLET MD</t>
  </si>
  <si>
    <t>RABLAY DSR CAPSULE</t>
  </si>
  <si>
    <t>RICOXIB 90 TABLET</t>
  </si>
  <si>
    <t>SARTIS 100 TABLET</t>
  </si>
  <si>
    <t>TELMIZIP 40MG TABLET</t>
  </si>
  <si>
    <t>VITAMUCH ACTIVE HEALTHY BONES TABLET</t>
  </si>
  <si>
    <t>VUCEF 200 TABLET DT</t>
  </si>
  <si>
    <t>VUCEF 50 DRY SYRUP</t>
  </si>
  <si>
    <t>VUCEF CV 325 TABLET</t>
  </si>
  <si>
    <t>XOLOCOLD TABLET</t>
  </si>
  <si>
    <t>XOLODIC 75MG INJECTION</t>
  </si>
  <si>
    <t>XOLONAC MR TABLET</t>
  </si>
  <si>
    <t>XOLONAC TH 4 TABLET</t>
  </si>
  <si>
    <t>AZILAY 250MG TABLET</t>
  </si>
  <si>
    <t>CEFUZIP 250 TABLET</t>
  </si>
  <si>
    <t>DNOTE 25 INJECTION</t>
  </si>
  <si>
    <t>DNOTE 50 INJECTION</t>
  </si>
  <si>
    <t>FEVELAST ORAL SUSPENSION</t>
  </si>
  <si>
    <t>FLOZONE SB INJECTION</t>
  </si>
  <si>
    <t>ITOZONE 100 CAPSULE</t>
  </si>
  <si>
    <t>KOFFECO MAHA BHRINGRAJ &amp; ONION HAIR OIL</t>
  </si>
  <si>
    <t>MEFATIS P ORAL SUSPENSION</t>
  </si>
  <si>
    <t>MONOTIS TABLET</t>
  </si>
  <si>
    <t>MONOTIS LM TABLET</t>
  </si>
  <si>
    <t>MOXYZUST CV 500MG/125MG TABLET</t>
  </si>
  <si>
    <t>OCMIN 100 TABLET CR</t>
  </si>
  <si>
    <t>OCMIN 50MG TABLET CR</t>
  </si>
  <si>
    <t>PANTOUCH D 10MG/40MG TABLET</t>
  </si>
  <si>
    <t>PANTOUCH DSR CAPSULE</t>
  </si>
  <si>
    <t>PIPRAZUST INJECTION</t>
  </si>
  <si>
    <t>RABLAY LSR CAPSULE</t>
  </si>
  <si>
    <t>UROZIP 300 TABLET</t>
  </si>
  <si>
    <t>VIGOMUCH GOLD AYURVEDIC CAPSULE</t>
  </si>
  <si>
    <t>VITAMUCH ACTIVE BIOTIN PLUS SOFTGEL CAPSULE</t>
  </si>
  <si>
    <t>VITAMUCH ACTIVE CALCIUM PLUS SOFTGEL CAPSULE</t>
  </si>
  <si>
    <t>VITAMUCH ACTIVE IRON PLUS SOFTGEL CAPSULE</t>
  </si>
  <si>
    <t>VUCEF 100 TABLET DT</t>
  </si>
  <si>
    <t>VUCEF LB TABLET</t>
  </si>
  <si>
    <t>XOLONAC SP 100MG/325MG/15MG TABLET</t>
  </si>
  <si>
    <t>XOLOTRYP BR TABLET</t>
  </si>
  <si>
    <t>ZXONE INJECTION</t>
  </si>
  <si>
    <t>ZXONE SB INJECTION</t>
  </si>
  <si>
    <t>ZYNOLID PLUS 100MG/325MG TABLET</t>
  </si>
  <si>
    <t>BENYCOF LS SYRUP</t>
  </si>
  <si>
    <t>FERITOUCH 100MG INJECTION</t>
  </si>
  <si>
    <t>IMMUNO BIG CAPSULE</t>
  </si>
  <si>
    <t>ITOZONE 200 CAPSULE</t>
  </si>
  <si>
    <t>KOFFECO BLUEBERRY &amp; POMEGRANATE BODY WASH</t>
  </si>
  <si>
    <t>KOFFECO ONION &amp; KERATIN SHAMPOO</t>
  </si>
  <si>
    <t>KOFFECO ROSE &amp; ALOE VERA BODY LOTION</t>
  </si>
  <si>
    <t>MONOTIS 10MG TABLET</t>
  </si>
  <si>
    <t>MONOTIS LM KID SYRUP</t>
  </si>
  <si>
    <t>MOXYZUST LB 500MG/125MG TABLET</t>
  </si>
  <si>
    <t>NUROZUST GOLD INJECTION</t>
  </si>
  <si>
    <t>OFDELL 200 TABLET</t>
  </si>
  <si>
    <t>OFDELL OZ TABLET</t>
  </si>
  <si>
    <t>PANTOUCH 40 TABLET</t>
  </si>
  <si>
    <t>RABLAY 20MG TABLET</t>
  </si>
  <si>
    <t>SUGOMED SR M1 TABLET</t>
  </si>
  <si>
    <t>SUGOMED SR M2 TABLET</t>
  </si>
  <si>
    <t>VERTIZIP 16MG TABLET</t>
  </si>
  <si>
    <t>VITAMUCH ACTIVE FLEXIBLE JOINTS SOFTGEL CAPSULE</t>
  </si>
  <si>
    <t>VITAMUCH ACTIVE HE &amp; SHE SOFTGEL CAPSULE</t>
  </si>
  <si>
    <t>VUCEF O TABLET</t>
  </si>
  <si>
    <t>VUPROX SR TABLET</t>
  </si>
  <si>
    <t>WEPOD 200 TABLET DT</t>
  </si>
  <si>
    <t>WEPOD CV 325 TABLET</t>
  </si>
  <si>
    <t>WEPOD DS DRY SYRUP</t>
  </si>
  <si>
    <t>ZECILEX 250MG TABLET</t>
  </si>
  <si>
    <t>ZENFOX 500 TABLET</t>
  </si>
  <si>
    <t>ZENOTIS BODY GROW CAPSULE</t>
  </si>
  <si>
    <t>ZENOTIS STONEZIP CAPSULE</t>
  </si>
  <si>
    <t>XOLORAB D 30MG/20MG CAPSULE SR</t>
  </si>
  <si>
    <t>ZENOTIS PILOZIP CAPSULE</t>
  </si>
  <si>
    <t>CALCIDELL TAB</t>
  </si>
  <si>
    <t>ONECAL SG</t>
  </si>
  <si>
    <t>SAPIENS LABS PVT LTD</t>
  </si>
  <si>
    <t>LAB O 200MG TABLET</t>
  </si>
  <si>
    <t>MEDROID 4MG TABLET</t>
  </si>
  <si>
    <t>MONALISA 5MG/10MG TABLET</t>
  </si>
  <si>
    <t>ORIFLO 200MG/500MG TABLET</t>
  </si>
  <si>
    <t>PTO 10MG/40MG TABLET</t>
  </si>
  <si>
    <t>THIODOL 100MG/8MG TABLET</t>
  </si>
  <si>
    <t>DOLASE 50MG/10MG TABLET</t>
  </si>
  <si>
    <t>ERASCAN 200MG CAPSULE</t>
  </si>
  <si>
    <t>MICRA 1500MG INJECTION</t>
  </si>
  <si>
    <t>ODYNIA SP 100MG/325MG/15MG TABLET</t>
  </si>
  <si>
    <t>ONECAL TABLET</t>
  </si>
  <si>
    <t>SAPFIX O 200MG/200MG TABLET</t>
  </si>
  <si>
    <t>THIODAL 100MG/8MG TABLET</t>
  </si>
  <si>
    <t>TRISOME LA 1000MG/500MG INJECTION</t>
  </si>
  <si>
    <t>DEFRID 6MG TABLET</t>
  </si>
  <si>
    <t>DENTOCLAV 200MG/28.5MG DRY SYRUP</t>
  </si>
  <si>
    <t>DOLASE P 50MG/325MG/10MG TABLET</t>
  </si>
  <si>
    <t>ODYNIA 100MG/325MG TABLET</t>
  </si>
  <si>
    <t>SAPOF 200MG TABLET</t>
  </si>
  <si>
    <t>SURAXIME 500MG TABLET</t>
  </si>
  <si>
    <t>DENTOCLAV 250MG/125MG TABLET</t>
  </si>
  <si>
    <t>DENTOCLAV 500MG/125MG TABLET</t>
  </si>
  <si>
    <t>FIXIB 100MG/500MG TABLET</t>
  </si>
  <si>
    <t>LEAVE 500 TABLET</t>
  </si>
  <si>
    <t>MEGASAP 500MG/500MG INJECTION</t>
  </si>
  <si>
    <t>SAPFIX 200MG TABLET</t>
  </si>
  <si>
    <t>SCAN 150MG TABLET</t>
  </si>
  <si>
    <t>TRISOME 1000MG INJECTION</t>
  </si>
  <si>
    <t>ACETRIAL 200MG TABLET SR</t>
  </si>
  <si>
    <t>WERKE HEALTHCARE</t>
  </si>
  <si>
    <t>ACIKEY 75MG SYRUP</t>
  </si>
  <si>
    <t>ACTORET 20MG SOFT GELATIN CAPSULE</t>
  </si>
  <si>
    <t>ALZOSIN 10MG TABLET PR</t>
  </si>
  <si>
    <t>AZISTAY 200MG ORAL SUSPENSION</t>
  </si>
  <si>
    <t>BETAMIG TABLET</t>
  </si>
  <si>
    <t>BETWAY 24MG TABLET</t>
  </si>
  <si>
    <t>BETWAY 8MG TABLET</t>
  </si>
  <si>
    <t>BRONFYL 100MG CAPSULE</t>
  </si>
  <si>
    <t>BRONFYL 200MG TABLET SR</t>
  </si>
  <si>
    <t>CEFAVIAL SB 250MG/125MG INJECTION</t>
  </si>
  <si>
    <t>CEFORIDE 1000MG INJECTION</t>
  </si>
  <si>
    <t>CILALONE T 10MG/40MG TABLET</t>
  </si>
  <si>
    <t>CLINTOK 600MG INJECTION</t>
  </si>
  <si>
    <t>CLOFIGHT B CREAM</t>
  </si>
  <si>
    <t>COXIFY 120MG TABLET</t>
  </si>
  <si>
    <t>COXIFY 90MG TABLET</t>
  </si>
  <si>
    <t>CYPLOCK SYRUP</t>
  </si>
  <si>
    <t>DANAGIL 100MG CAPSULE</t>
  </si>
  <si>
    <t>DENFIX CV DRY SYRUP</t>
  </si>
  <si>
    <t>DEXQUIL 5MG/2MG/10MG TABLET</t>
  </si>
  <si>
    <t>DOXYROAD LB 100MG CAPSULE</t>
  </si>
  <si>
    <t>ELATRIP C 12.5MG/5MG TABLET</t>
  </si>
  <si>
    <t>ETIPHEN 0.25MG CAPSULE SR</t>
  </si>
  <si>
    <t>FAROCONE 200MG TABLET</t>
  </si>
  <si>
    <t>FEXORAL 120MG TABLET</t>
  </si>
  <si>
    <t>FEXORAL 180MG TABLET</t>
  </si>
  <si>
    <t>FLUCORYP 150MG TABLET</t>
  </si>
  <si>
    <t>FRIONIL PLUS ORAL SUSPENSION</t>
  </si>
  <si>
    <t>GELQUE SYRUP</t>
  </si>
  <si>
    <t>GLUMIGHT M 2MG/500MG TABLET ER</t>
  </si>
  <si>
    <t>GLUMIGHT M FORTE 1MG/1000MG TABLET PR</t>
  </si>
  <si>
    <t>GLUPRED 4MG TABLET</t>
  </si>
  <si>
    <t>HERPEMED 800MG TABLET</t>
  </si>
  <si>
    <t>ILAFLOW LS 75MG/10MG CAPSULE</t>
  </si>
  <si>
    <t>KETOFUR PLUS SOAP</t>
  </si>
  <si>
    <t>KETORIX 10MG TABLET DT</t>
  </si>
  <si>
    <t>LEPCETAM 500MG TABLET</t>
  </si>
  <si>
    <t>LEPOX 150MG TABLET</t>
  </si>
  <si>
    <t>LEVOGIC 2.5MG ORAL SUSPENSION</t>
  </si>
  <si>
    <t>LEVOGIC M SYRUP</t>
  </si>
  <si>
    <t>LONADEP 0.5MG TABLET MD</t>
  </si>
  <si>
    <t>MALJECT 150MG INJECTION</t>
  </si>
  <si>
    <t>MELAGLIM CREAM</t>
  </si>
  <si>
    <t>METOREST 50MG TABLET ER</t>
  </si>
  <si>
    <t>MOXYBLESS 250MG TABLET DT</t>
  </si>
  <si>
    <t>MOXYBLESS 500MG CAPSULE</t>
  </si>
  <si>
    <t>MOXYBLESS CV 1000MG/200MG INJECTION</t>
  </si>
  <si>
    <t>MOXYBLESS CV 500MG/125MG TABLET</t>
  </si>
  <si>
    <t>MOXYBLESS CV DS DRY SYRUP</t>
  </si>
  <si>
    <t>MYOMUSC PACE 4MG/100MG/325MG TABLET</t>
  </si>
  <si>
    <t>NERVOPEN NT 400MG/10MG TABLET</t>
  </si>
  <si>
    <t>NEXTRUM 500MG TABLET</t>
  </si>
  <si>
    <t>NICORK 5MG TABLET</t>
  </si>
  <si>
    <t>NUROTHYL 1500MCG INJECTION</t>
  </si>
  <si>
    <t>NUROVION 750MCG/75MG CAPSULE</t>
  </si>
  <si>
    <t>OXDRIP 200MG TABLET</t>
  </si>
  <si>
    <t>OXYGALL 300MG TABLET</t>
  </si>
  <si>
    <t>PACIGRIP 250MG ORAL SUSPENSION</t>
  </si>
  <si>
    <t>PANWERKE 40MG INJECTION</t>
  </si>
  <si>
    <t>PIROLE 20MG TABLET DT</t>
  </si>
  <si>
    <t>PODECK 100MG DRY SYRUP</t>
  </si>
  <si>
    <t>PODECK 100MG TABLET DT</t>
  </si>
  <si>
    <t>PODECK CV 200MG/125MG TABLET</t>
  </si>
  <si>
    <t>PODECK CV DRY SYRUP</t>
  </si>
  <si>
    <t>PREDSHOT 40MG INJECTION</t>
  </si>
  <si>
    <t>PREDSHOT 500MG INJECTION</t>
  </si>
  <si>
    <t>PREDSHOT 80MG INJECTION</t>
  </si>
  <si>
    <t>PROSEP D 50MG/10MG TABLET</t>
  </si>
  <si>
    <t>ROSUDOC 10MG TABLET</t>
  </si>
  <si>
    <t>ROSUDOC F 160MG/10MG TABLET</t>
  </si>
  <si>
    <t>ROSUDOC GOLD 75MG/20MG/75MG CAPSULE</t>
  </si>
  <si>
    <t>SUCRALIFT O ORAL SUSPENSION</t>
  </si>
  <si>
    <t>TAMPURE 0.4MG TABLET MR</t>
  </si>
  <si>
    <t>TELFOST 40MG TABLET</t>
  </si>
  <si>
    <t>TELFOST TRIO 80MG/5MG/12.5MG TABLET</t>
  </si>
  <si>
    <t>TOBDIP 0.3% EYE DROP</t>
  </si>
  <si>
    <t>TOLZEST D 150MG/50MG TABLET</t>
  </si>
  <si>
    <t>URITOIN 100MG TABLET SR</t>
  </si>
  <si>
    <t>UROFEB 40MG TABLET</t>
  </si>
  <si>
    <t>UROFEB 80MG TABLET</t>
  </si>
  <si>
    <t>VELTERB 1% CREAM</t>
  </si>
  <si>
    <t>VENTDOX 400MG TABLET</t>
  </si>
  <si>
    <t>VILGUS 50MG TABLET</t>
  </si>
  <si>
    <t>ZIDSHOT 1000MG INJECTION</t>
  </si>
  <si>
    <t>ZIDSHOT 250MG INJECTION</t>
  </si>
  <si>
    <t>ZOLVEX ORAL SUSPENSION</t>
  </si>
  <si>
    <t>ACETRIAL MR 100MG/325MG/250MG TABLET</t>
  </si>
  <si>
    <t>ACETRIAL P 100MG/325MG TABLET</t>
  </si>
  <si>
    <t>ACETRIAL P ORAL SUSPENSION</t>
  </si>
  <si>
    <t>ACETRIAL SP 100MG/325MG/15MG TABLET</t>
  </si>
  <si>
    <t>ACTORET 30MG SOFT GELATIN CAPSULE</t>
  </si>
  <si>
    <t>AMIDRIP 500MG INJECTION</t>
  </si>
  <si>
    <t>ANXILOX TABLET</t>
  </si>
  <si>
    <t>BETAMIG PLUS 40MG/10MG TABLET</t>
  </si>
  <si>
    <t>CEFAVIAL 1000MG INJECTION</t>
  </si>
  <si>
    <t>CEFAVIAL 2000MG INJECTION</t>
  </si>
  <si>
    <t>CEFAVIAL 500MG INJECTION</t>
  </si>
  <si>
    <t>CEFAVIAL SB 1000MG/500MG INJECTION</t>
  </si>
  <si>
    <t>CEFAVIAL SB 500MG/250MG INJECTION</t>
  </si>
  <si>
    <t>CITIAID 500MG TABLET</t>
  </si>
  <si>
    <t>CLINTOK N GEL</t>
  </si>
  <si>
    <t>COXIFY MR 60MG/4MG TABLET</t>
  </si>
  <si>
    <t>CRIGEST 100MG SOFT GELATIN CAPSULE</t>
  </si>
  <si>
    <t>CRIGEST H 500MG INJECTION</t>
  </si>
  <si>
    <t>DENFIX 100MG DRY SYRUP</t>
  </si>
  <si>
    <t>DENFIX 100MG TABLET DT</t>
  </si>
  <si>
    <t>DENFIX DC 200MG/500MG TABLET</t>
  </si>
  <si>
    <t>DENFIX LB 200MG TABLET DT</t>
  </si>
  <si>
    <t>DENFIX O 200MG/200MG TABLET</t>
  </si>
  <si>
    <t>DEPALEP 250MG TABLET ER</t>
  </si>
  <si>
    <t>DEPALEP 500MG TABLET ER</t>
  </si>
  <si>
    <t>DROLATE M 80MG/250MG TABLET</t>
  </si>
  <si>
    <t>ESOTRIC 40MG INJECTION</t>
  </si>
  <si>
    <t>ETIPHEN BETA 0.5MG/20MG TABLET</t>
  </si>
  <si>
    <t>ETOET 400MG TABLET ER</t>
  </si>
  <si>
    <t>FAROCONE 300MG TABLET SR</t>
  </si>
  <si>
    <t>FEXORAL M 10MG/120MG TABLET</t>
  </si>
  <si>
    <t>FLUPIRET PLUS 100MG/325MG TABLET</t>
  </si>
  <si>
    <t>FUREXIL 125MG DRY SYRUP</t>
  </si>
  <si>
    <t>FUREXIL 500MG TABLET</t>
  </si>
  <si>
    <t>FUREXIL 750MG INJECTION</t>
  </si>
  <si>
    <t>FUROFINE 0.1% CREAM</t>
  </si>
  <si>
    <t>GELFLUX O SYRUP</t>
  </si>
  <si>
    <t>GLIPDOZ 20MG TABLET</t>
  </si>
  <si>
    <t>GLIPDOZ M 500MG/20MG TABLET SR</t>
  </si>
  <si>
    <t>GLUMIGHT PM 1MG/500MG/15MG TABLET ER</t>
  </si>
  <si>
    <t>IBUFATE P ORAL SUSPENSION</t>
  </si>
  <si>
    <t>KETOFUR EXTRA 2% SOAP</t>
  </si>
  <si>
    <t>LIPINOY 20MG TABLET</t>
  </si>
  <si>
    <t>LIPINOY 40MG TABLET</t>
  </si>
  <si>
    <t>LULIANT 1% CREAM</t>
  </si>
  <si>
    <t>MEBEROX 200 SR CAPSULE</t>
  </si>
  <si>
    <t>MEBEROX PLUS 135MG/5MG TABLET</t>
  </si>
  <si>
    <t>MEROMINE 1000MG INJECTION</t>
  </si>
  <si>
    <t>MEROMINE SL 1000MG/500MG INJECTION</t>
  </si>
  <si>
    <t>MOXIRING 0.5% EYE DROP</t>
  </si>
  <si>
    <t>MOXYBLESS CX 250MG/250MG CAPSULE</t>
  </si>
  <si>
    <t>MYOSKEL 50MG TABLET</t>
  </si>
  <si>
    <t>NICORK 10MG TABLET</t>
  </si>
  <si>
    <t>NORTIGEN 5MG TABLET</t>
  </si>
  <si>
    <t>NUROTHYL 2500MCG INJECTION</t>
  </si>
  <si>
    <t>NUROVION NT 75MG/10MG TABLET</t>
  </si>
  <si>
    <t>NUROVION PLUS 1500MCG/75MG TABLET SR</t>
  </si>
  <si>
    <t>NUTADOL 100MG TABLET</t>
  </si>
  <si>
    <t>PANWERKE 40MG TABLET</t>
  </si>
  <si>
    <t>PANWERKE LS 75MG/40MG CAPSULE SR</t>
  </si>
  <si>
    <t>PIMEDOSE SB 1000MG/500MG INJECTION</t>
  </si>
  <si>
    <t>PIPLAST 4000MG/500MG INJECTION</t>
  </si>
  <si>
    <t>PROMECTIN A 6MG/400MG TABLET</t>
  </si>
  <si>
    <t>RABEFLOW 20MG TABLET</t>
  </si>
  <si>
    <t>RABEFLOW D 10MG/20MG TABLET</t>
  </si>
  <si>
    <t>RABEFLOW D 30MG/40MG CAPSULE SR</t>
  </si>
  <si>
    <t>RABEFLOW IT 20MG/150MG CAPSULE SR</t>
  </si>
  <si>
    <t>RIFAPILL 400MG TABLET</t>
  </si>
  <si>
    <t>RIFAPILL 550MG TABLET</t>
  </si>
  <si>
    <t>ROSUDOC AS 10MG/75MG CAPSULE</t>
  </si>
  <si>
    <t>ROXITONE 150MG TABLET</t>
  </si>
  <si>
    <t>SILOREIGN 4MG CAPSULE</t>
  </si>
  <si>
    <t>TAMPURE D 0.4MG/0.5MG TABLET MR</t>
  </si>
  <si>
    <t>TELFOST AM 40MG/5MG TABLET</t>
  </si>
  <si>
    <t>TELFOST M 40MG/25MG TABLET ER</t>
  </si>
  <si>
    <t>TRAMFORT P 37.5MG/325MG TABLET</t>
  </si>
  <si>
    <t>VENTDOX AM 400MG/30MG TABLET</t>
  </si>
  <si>
    <t>VENTDOX M 400MG/10MG TABLET SR</t>
  </si>
  <si>
    <t>VIROLOX 500MG TABLET</t>
  </si>
  <si>
    <t>VIROLOX TZ 500MG/600MG TABLET</t>
  </si>
  <si>
    <t>VOLRIN TH 2MG/37.5MG INJECTION</t>
  </si>
  <si>
    <t>VOXQUIN OZ 250MG/500MG TABLET</t>
  </si>
  <si>
    <t>AMCUF LS SYRUP</t>
  </si>
  <si>
    <t>AULSID 100MG/325MG TABLET</t>
  </si>
  <si>
    <t>AZISTAY 100MG ORAL SUSPENSION</t>
  </si>
  <si>
    <t>BRECHEN 4MG TABLET MD</t>
  </si>
  <si>
    <t>BRONFYL FM 10MG/120MG/200MG TABLET</t>
  </si>
  <si>
    <t>CEFAVIAL TZ 1000MG/125MG INJECTION</t>
  </si>
  <si>
    <t>CETLAZ 30MG TABLET</t>
  </si>
  <si>
    <t>CHYMOLIFT PLUS 100MG/325MG TABLET</t>
  </si>
  <si>
    <t>CILALONE 10MG TABLET</t>
  </si>
  <si>
    <t>CILALONE 20MG TABLET</t>
  </si>
  <si>
    <t>CITIAID PLUS 500MG/800MG TABLET</t>
  </si>
  <si>
    <t>CLINTOK 300MG CAPSULE</t>
  </si>
  <si>
    <t>CRIGEST 200MG SOFT GELATIN CAPSULE</t>
  </si>
  <si>
    <t>DECADROP 50MG INJECTION</t>
  </si>
  <si>
    <t>DENFIX CV 200MG/125MG TABLET</t>
  </si>
  <si>
    <t>DESCILEX 10MG TABLET</t>
  </si>
  <si>
    <t>DESCILEX CZ 0.5MG/10MG TABLET</t>
  </si>
  <si>
    <t>DEXQUIL SYRUP</t>
  </si>
  <si>
    <t>DIATRIL ACE 100MG/50MG TABLET</t>
  </si>
  <si>
    <t>DIATRIL GM 50MG/750MG/250MG TABLET</t>
  </si>
  <si>
    <t>DIZNOR D 15MG/20MG TABLET</t>
  </si>
  <si>
    <t>DROLATE A 80MG/100MG TABLET</t>
  </si>
  <si>
    <t>DUVERKE 40MG TABLET SR</t>
  </si>
  <si>
    <t>EBASCON 20MG TABLET</t>
  </si>
  <si>
    <t>ELATRIP 10MG TABLET</t>
  </si>
  <si>
    <t>ESOTRIC LS 75MG/40MG CAPSULE SR</t>
  </si>
  <si>
    <t>ETOLET 600MG TABLET ER</t>
  </si>
  <si>
    <t>ETOLET MR 400MG/4MG TABLET</t>
  </si>
  <si>
    <t>FALCITRUM 80MG/480MG TABLET</t>
  </si>
  <si>
    <t>FUREXIL 1000MG INJECTION</t>
  </si>
  <si>
    <t>ITRAXIL 1% CREAM</t>
  </si>
  <si>
    <t>ITRAXIL 100MG CAPSULE</t>
  </si>
  <si>
    <t>ITRAXIL 200MG CAPSULE</t>
  </si>
  <si>
    <t>IVACORE 5MG TABLET</t>
  </si>
  <si>
    <t>KETOFUR SOAP</t>
  </si>
  <si>
    <t>KETONID MR 50MG/4MG TABLET</t>
  </si>
  <si>
    <t>LEPOX 300MG TABLET</t>
  </si>
  <si>
    <t>LIPINOY 10MG TABLET</t>
  </si>
  <si>
    <t>LIPINOY C 10MG/75MG TABLET</t>
  </si>
  <si>
    <t>MEROMINE 250MG INJECTION</t>
  </si>
  <si>
    <t>MEROMINE TZ 1000MG/125MG INJECTION</t>
  </si>
  <si>
    <t>MOXYBLESS CV DRY SYRUP</t>
  </si>
  <si>
    <t>NEXTRUM MF 500MG/250MG TABLET</t>
  </si>
  <si>
    <t>NUROVION NT PLUS 75MG/10MG/1500MCG TABLET</t>
  </si>
  <si>
    <t>NUTADOL 50MG TABLET</t>
  </si>
  <si>
    <t>OXDRIP 400MG TABLET</t>
  </si>
  <si>
    <t>PANWERKE D 10MG/40MG TABLET</t>
  </si>
  <si>
    <t>PIMEDOSE 1000MG INJECTION</t>
  </si>
  <si>
    <t>PIRATRYL 400MG TABLET</t>
  </si>
  <si>
    <t>PIRATRYL 800MG TABLET</t>
  </si>
  <si>
    <t>PRASUMED 10MG TABLET</t>
  </si>
  <si>
    <t>ALZOSIN PLUS 10MG/0.5MG TABLET</t>
  </si>
  <si>
    <t>ARTEDIP 120MG INJECTION</t>
  </si>
  <si>
    <t>ARTEDIP 60MG INJECTION</t>
  </si>
  <si>
    <t>AZISTAY 250MG TABLET</t>
  </si>
  <si>
    <t>AZISTAY 500 TABLET</t>
  </si>
  <si>
    <t>AZISTAY 500MG INJECTION</t>
  </si>
  <si>
    <t>BETWAY 16MG TABLET</t>
  </si>
  <si>
    <t>BILADRIVE M 20MG/10MG TABLET</t>
  </si>
  <si>
    <t>CEFAVIAL 250MG INJECTION</t>
  </si>
  <si>
    <t>CEFORIDE SB 1000MG/500MG INJECTION</t>
  </si>
  <si>
    <t>CEFORIDE SB 500MG/500MG INJECTION</t>
  </si>
  <si>
    <t>CHYMOLIFT BR 90MG/48MG/100MG TABLET</t>
  </si>
  <si>
    <t>CITIAID 500MG INJECTION</t>
  </si>
  <si>
    <t>PODECK 50MG DRY SYRUP</t>
  </si>
  <si>
    <t>PODECK O 200MG/200MG TABLET</t>
  </si>
  <si>
    <t>PREDSHOT 1000MG INJECTION</t>
  </si>
  <si>
    <t>PREDSHOT 125MG INJECTION</t>
  </si>
  <si>
    <t>PROSEP 10MG TABLET</t>
  </si>
  <si>
    <t>RABEFLOW D 30MG/20MG CAPSULE SR</t>
  </si>
  <si>
    <t>RABEFLOW LS 75MG/20MG CAPSULE SR</t>
  </si>
  <si>
    <t>RIFAPILL 200MG TABLET</t>
  </si>
  <si>
    <t>ROSUDOC 20MG TABLET</t>
  </si>
  <si>
    <t>ROSUDOC GOLD 75MG/10MG/75MG CAPSULE</t>
  </si>
  <si>
    <t>TELFOST AT 40MG/10MG TABLET</t>
  </si>
  <si>
    <t>TELFOST H 40MG/12.5MG TABLET</t>
  </si>
  <si>
    <t>TELFOST M 40MG/50MG TABLET ER</t>
  </si>
  <si>
    <t>URIZYL 100MG TABLET</t>
  </si>
  <si>
    <t>UROFLAX O 200MG/200MG TABLET</t>
  </si>
  <si>
    <t>VOLRIN MR 250MG/50MG/325MG TABLET</t>
  </si>
  <si>
    <t>VOXQUIN AM 500MG/75MG TABLET SR</t>
  </si>
  <si>
    <t>ALLER B 0.5MG TABLET</t>
  </si>
  <si>
    <t>ELIKEM PHARMACEUTICALS PVT LTD</t>
  </si>
  <si>
    <t>APAL SR 1.5MG TABLET</t>
  </si>
  <si>
    <t>BUTASULIDE P 100MG/500MG TABLET</t>
  </si>
  <si>
    <t>CQ EC 500MG TABLET</t>
  </si>
  <si>
    <t>DIACOR 80MG TABLET</t>
  </si>
  <si>
    <t>EFLOXIN 200MG TABLET</t>
  </si>
  <si>
    <t>EFON 20MG CAPSULE</t>
  </si>
  <si>
    <t>EFON 60MG CAPSULE</t>
  </si>
  <si>
    <t>ELICEPH 250MG CAPSULE</t>
  </si>
  <si>
    <t>ELICEPH 500MG CAPSULE</t>
  </si>
  <si>
    <t>ELIFLAM PLUS TABLET</t>
  </si>
  <si>
    <t>ELTRAZIN 10MG TABLET</t>
  </si>
  <si>
    <t>EMPICLOX KID 125MG/125MG TABLET</t>
  </si>
  <si>
    <t>EMSERA 10MG TABLET</t>
  </si>
  <si>
    <t>ENGESIC PLUS 100MG/325MG TABLET</t>
  </si>
  <si>
    <t>EPCID 40MG TABLET</t>
  </si>
  <si>
    <t>IRA 75MG TABLET</t>
  </si>
  <si>
    <t>IRA PLUS 2MG/25MG TABLET</t>
  </si>
  <si>
    <t>OP DOM 10MG/20MG TABLET</t>
  </si>
  <si>
    <t>OMR TABLET</t>
  </si>
  <si>
    <t>OZIM 5MG TABLET</t>
  </si>
  <si>
    <t>RAMI 5MG TABLET</t>
  </si>
  <si>
    <t>SEFIL KID 100MG TABLET</t>
  </si>
  <si>
    <t>SYPROX 500MG TABLET</t>
  </si>
  <si>
    <t>SYPROX OZ 500MG/600MG TABLET</t>
  </si>
  <si>
    <t>TRENAX 500MG TABLET</t>
  </si>
  <si>
    <t>APAL SR 1MG TABLET</t>
  </si>
  <si>
    <t>COEC 250MG TABLET</t>
  </si>
  <si>
    <t>EFLOXIN 400MG TABLET</t>
  </si>
  <si>
    <t>EFLOXIN 50MG SYRUP</t>
  </si>
  <si>
    <t>ELGESIC 400MG/400MG TABLET</t>
  </si>
  <si>
    <t>ELIVOF 500MG TABLET</t>
  </si>
  <si>
    <t>ELOSPAR 200MG TABLET</t>
  </si>
  <si>
    <t>ELPIDONE 10MG TABLET</t>
  </si>
  <si>
    <t>ERAZOL 0.25MG TABLET</t>
  </si>
  <si>
    <t>ETHRIL 250MG TABLET</t>
  </si>
  <si>
    <t>EVIC SR 400MG TABLET</t>
  </si>
  <si>
    <t>EXIMO 200MG TABLET</t>
  </si>
  <si>
    <t>EXPICLOX 250MG/250MG CAPSULE</t>
  </si>
  <si>
    <t>EZIL 500MG TABLET</t>
  </si>
  <si>
    <t>FIZ 150MG TABLET</t>
  </si>
  <si>
    <t>ONIZOL OF 200MG/500MG TABLET</t>
  </si>
  <si>
    <t>OZIM 10MG TABLET</t>
  </si>
  <si>
    <t>PIM 400MG TABLET</t>
  </si>
  <si>
    <t>PMEZOLE 20MG CAPSULE</t>
  </si>
  <si>
    <t>RELDIN 150MG TABLET</t>
  </si>
  <si>
    <t>TEFLOXIN 200MG/600MG TABLET</t>
  </si>
  <si>
    <t>UTRIL 400MG TABLET</t>
  </si>
  <si>
    <t>ZON 3MG TABLET</t>
  </si>
  <si>
    <t>ZON PLUS 3MG/2MG TABLET</t>
  </si>
  <si>
    <t>APAL P 0.25MG/20MG TABLET</t>
  </si>
  <si>
    <t>EFON 40MG CAPSULE</t>
  </si>
  <si>
    <t>ELBAZOL 200MG SUSPENSION</t>
  </si>
  <si>
    <t>ELIQUIN EC 300MG TABLET</t>
  </si>
  <si>
    <t>ELPAM 5MG TABLET</t>
  </si>
  <si>
    <t>EVIC 200MG TABLET</t>
  </si>
  <si>
    <t>EVIC SR 200MG TABLET</t>
  </si>
  <si>
    <t>EXIMO 100MG TABLET</t>
  </si>
  <si>
    <t>NANCY SR 40MG TABLET</t>
  </si>
  <si>
    <t>NOZIM 2MG TABLET</t>
  </si>
  <si>
    <t>PL 40 TABLET</t>
  </si>
  <si>
    <t>PS 10MG TABLET</t>
  </si>
  <si>
    <t>PIM 800MG TABLET</t>
  </si>
  <si>
    <t>PROM 100MG TABLET</t>
  </si>
  <si>
    <t>RIPIM 300MG CAPSULE</t>
  </si>
  <si>
    <t>SEFIL 250MG TABLET</t>
  </si>
  <si>
    <t>SEFIL 500MG TABLET</t>
  </si>
  <si>
    <t>SETA 50MG TABLET</t>
  </si>
  <si>
    <t>TIXIL 2MG TABLET</t>
  </si>
  <si>
    <t>ZINA PLUS TABLET</t>
  </si>
  <si>
    <t>AMYGYN 500MG TABLET</t>
  </si>
  <si>
    <t>APAL SR 0.5MG TABLET</t>
  </si>
  <si>
    <t>DEFENIC 50MG TABLET</t>
  </si>
  <si>
    <t>ELICEPH KID 125MG TABLET</t>
  </si>
  <si>
    <t>ELIFLAM 400MG/325MG TABLET</t>
  </si>
  <si>
    <t>ELITH SR 400MG TABLET</t>
  </si>
  <si>
    <t>EMCLOXY 250MG/250MG CAPSULE</t>
  </si>
  <si>
    <t>ERAZOL 0.5MG TABLET</t>
  </si>
  <si>
    <t>EVIC 100MG TABLET</t>
  </si>
  <si>
    <t>EVIC 400MG TABLET</t>
  </si>
  <si>
    <t>EZIL 250MG TABLET</t>
  </si>
  <si>
    <t>IRA 25MG TABLET</t>
  </si>
  <si>
    <t>LANKEM 30MG CAPSULE</t>
  </si>
  <si>
    <t>NOZIM 0.5MG TABLET</t>
  </si>
  <si>
    <t>PROM 200MG TABLET</t>
  </si>
  <si>
    <t>RIPIM 450MG CAPSULE</t>
  </si>
  <si>
    <t>SYPROX 250MG TABLET</t>
  </si>
  <si>
    <t>TRAKRM P 37.5MG/325MG TABLET</t>
  </si>
  <si>
    <t>TRENAX 250MG TABLET</t>
  </si>
  <si>
    <t>TRENAX KID 125MG TABLET</t>
  </si>
  <si>
    <t>ZINA 25MG TABLET</t>
  </si>
  <si>
    <t>ZINA 50MG TABLET</t>
  </si>
  <si>
    <t>ZON 1MG TABLET</t>
  </si>
  <si>
    <t>ZON 2MG TABLET</t>
  </si>
  <si>
    <t>ZYL N 400MG TABLET</t>
  </si>
  <si>
    <t>BHARGAVA ACISET SYRUP</t>
  </si>
  <si>
    <t>BHARGAVA PHYTOLAB</t>
  </si>
  <si>
    <t>BHARGAVA ALLERGIN DROP</t>
  </si>
  <si>
    <t>BHARGAVA ANAS BARBARIAE PELLETS (1GM EACH)</t>
  </si>
  <si>
    <t>BHARGAVA APPETISER SYRUP</t>
  </si>
  <si>
    <t>BHARGAVA ARNIN ORAL DROPS</t>
  </si>
  <si>
    <t>BHARGAVA ARSENICUM ALBUM 30 DILUTION (30ML EACH)</t>
  </si>
  <si>
    <t>BHARGAVA ASOMIN ORAL DROPS</t>
  </si>
  <si>
    <t>BHARGAVA ASPIDOSPERMA Q MOTHER TINCTURE</t>
  </si>
  <si>
    <t>BHARGAVA BAKPANIN DROP</t>
  </si>
  <si>
    <t>BHARGAVA BIO VALLEY FACE WASH</t>
  </si>
  <si>
    <t>BHARGAVA BIO VALLEY SUN CARE LOTION</t>
  </si>
  <si>
    <t>BHARGAVA CHOLESTRIN ORAL DROPS</t>
  </si>
  <si>
    <t>BHARGAVA CUTICA CREAM</t>
  </si>
  <si>
    <t>BHARGAVA DEPROTAL N TABLET</t>
  </si>
  <si>
    <t>BHARGAVA DYSOMIN ORAL DROPS</t>
  </si>
  <si>
    <t>BHARGAVA FEVIN ORAL DROPS</t>
  </si>
  <si>
    <t>BHARGAVA GASIN ORAL DROPS</t>
  </si>
  <si>
    <t>BHARGAVA GRIPYA FORTE SYRUP</t>
  </si>
  <si>
    <t>BHARGAVA HEPATINA SYRUP</t>
  </si>
  <si>
    <t>BHARGAVA NEURO FIT FORTE TABLET</t>
  </si>
  <si>
    <t>BHARGAVA NOMIN L DROP</t>
  </si>
  <si>
    <t>BHARGAVA PHYTOLACCA BERRY TABLET</t>
  </si>
  <si>
    <t>BHARGAVA PILTIN DROP</t>
  </si>
  <si>
    <t>BHARGAVA PROSTORAL TABLET</t>
  </si>
  <si>
    <t>BHARGAVA RENOFLAM SYRUP</t>
  </si>
  <si>
    <t>BHARGAVA RHOMA TABLET</t>
  </si>
  <si>
    <t>BHARGAVA RHUS TOXICODENDRON GEL</t>
  </si>
  <si>
    <t>BHARGAVA SETIN M DROP</t>
  </si>
  <si>
    <t>BHARGAVA SPONDIN DROP</t>
  </si>
  <si>
    <t>BHARGAVA SULPHUR GEL</t>
  </si>
  <si>
    <t>BHARGAVA THUJA OCCIDENTALIS GEL</t>
  </si>
  <si>
    <t>BHARGAVA THUNDER M TABLET</t>
  </si>
  <si>
    <t>BHARGAVA URICOCIN ORAL DROPS</t>
  </si>
  <si>
    <t>BHARGAVA WART OFF CREAM</t>
  </si>
  <si>
    <t>BHARGAVA WARTIN DROP</t>
  </si>
  <si>
    <t>BHARGAVA WORMALIN TABLET</t>
  </si>
  <si>
    <t>BIO VALLEY BABY HAIR OIL</t>
  </si>
  <si>
    <t>BIO VALLEY BABY MASSAGE OIL</t>
  </si>
  <si>
    <t>BIO VALLEY CEDAR WOOD SHAMPOO</t>
  </si>
  <si>
    <t>BIO VALLEY DAILY FACE WASH WITH ALOE VERA</t>
  </si>
  <si>
    <t>BIO VALLEY DEAD SEA SHAMPOO</t>
  </si>
  <si>
    <t>BIO VALLEY VENONE ANTI DANDRUFF SHAMPOO</t>
  </si>
  <si>
    <t>BIO VALLEY VOLCANIC ASH FAIRNESS VITAMIN LOTION</t>
  </si>
  <si>
    <t>BHARGAVA ANGEL GLOSS COMPLEXION CREAM</t>
  </si>
  <si>
    <t>BHARGAVA ARTHARAL TABLET</t>
  </si>
  <si>
    <t>BHARGAVA CO EX SYRUP</t>
  </si>
  <si>
    <t>BHARGAVA CALENDULA GEL</t>
  </si>
  <si>
    <t>BHARGAVA CHESIN ORAL DROPS</t>
  </si>
  <si>
    <t>BHARGAVA CINERARIA MARITIMA EYE DROP</t>
  </si>
  <si>
    <t>BHARGAVA COLIN ORAL DROPS</t>
  </si>
  <si>
    <t>BHARGAVA FERROGLOB TABLET</t>
  </si>
  <si>
    <t>BHARGAVA FRESH GEL</t>
  </si>
  <si>
    <t>BHARGAVA GARCINIA CAMBOGIA TABLET</t>
  </si>
  <si>
    <t>BHARGAVA GAS OFF TABLET</t>
  </si>
  <si>
    <t>BHARGAVA GINSENG 1X TABLET</t>
  </si>
  <si>
    <t>BHARGAVA LEUKONA F SYRUP</t>
  </si>
  <si>
    <t>BHARGAVA S S SARSAPARILLA SYRUP</t>
  </si>
  <si>
    <t>BHARGAVA SINORAS TABLET</t>
  </si>
  <si>
    <t>BHARGAVA TALLO VIT TABLET</t>
  </si>
  <si>
    <t>BHARGAVA URICIN ORAL DROPS</t>
  </si>
  <si>
    <t>BHARGAVA UTRONIN ORAL DROPS</t>
  </si>
  <si>
    <t>BHARGAVA WINTIN ORAL DROPS</t>
  </si>
  <si>
    <t>BIO VALLEY ARNICA CONDITIONING SHAMPOO</t>
  </si>
  <si>
    <t>BIO VALLEY HAND RUB WITH CALENDULA EXTRACT</t>
  </si>
  <si>
    <t>BIO VALLEY VOLCANIC ASH FAIRNESS VITAMIN SCRUB</t>
  </si>
  <si>
    <t>BIO VALLEY WHITING SOAP</t>
  </si>
  <si>
    <t>BHARGAVA AGUE NIL SYRUP</t>
  </si>
  <si>
    <t>BHARGAVA ALFALFA SUPERIOR TONIC</t>
  </si>
  <si>
    <t>BHARGAVA ANTIGRIN DROP</t>
  </si>
  <si>
    <t>BHARGAVA BERBERIS AQUIFOLIUM GEL</t>
  </si>
  <si>
    <t>BHARGAVA BIO VALLEY ANTI AGING MOISTURIZER LOTION</t>
  </si>
  <si>
    <t>BHARGAVA DIABORAL TABLET</t>
  </si>
  <si>
    <t>BHARGAVA DIACARDIAC GOLD DROP</t>
  </si>
  <si>
    <t>BHARGAVA LECODIN ORAL DROPS</t>
  </si>
  <si>
    <t>BHARGAVA LUMBORAL TABLET</t>
  </si>
  <si>
    <t>BHARGAVA MARHAMDAD ANTI FUNGAL CREAM</t>
  </si>
  <si>
    <t>BHARGAVA MIGIN TABLET</t>
  </si>
  <si>
    <t>BHARGAVA NOMIN H DROP</t>
  </si>
  <si>
    <t>BHARGAVA OSTEO STRONG TABLET</t>
  </si>
  <si>
    <t>BHARGAVA OVINORM DROP</t>
  </si>
  <si>
    <t>BHARGAVA PANIN ORAL DROPS</t>
  </si>
  <si>
    <t>BHARGAVA RHOMO OIL</t>
  </si>
  <si>
    <t>BHARGAVA SCIAATI DROP</t>
  </si>
  <si>
    <t>BHARGAVA SKEDIN DROP</t>
  </si>
  <si>
    <t>BHARGAVA TEETH EASY 3 MONTHS &amp; ABOVE (1.5ML EACH)</t>
  </si>
  <si>
    <t>BHARGAVA THYRODIN ORAL DROPS</t>
  </si>
  <si>
    <t>BHARGAVA WHITENING BLEACH FREE CREAM</t>
  </si>
  <si>
    <t>BHARGAVA WHITIGO CREAM</t>
  </si>
  <si>
    <t>BIO VALLEY NEEM SANDAL FACE WASH</t>
  </si>
  <si>
    <t>DR BHARGAVA ANAS BARBARIAE</t>
  </si>
  <si>
    <t>BHARGAVA AESCULUS GEL</t>
  </si>
  <si>
    <t>BHARGAVA BALS TABLET</t>
  </si>
  <si>
    <t>BHARGAVA COLD CARE 3 MONTHS &amp; ABOVE (1.5ML EACH)</t>
  </si>
  <si>
    <t>BHARGAVA COLIC CARE 1 MONTH &amp; ABOVE (1.5ML EACH)</t>
  </si>
  <si>
    <t>BHARGAVA CORY C ORAL DROPS</t>
  </si>
  <si>
    <t>THYRODIN</t>
  </si>
  <si>
    <t>COALTOZ KZ SHAMPOO</t>
  </si>
  <si>
    <t>CYTOZ PHARMACEUTICALS</t>
  </si>
  <si>
    <t>DUTATOZ 0.5MG TABLET</t>
  </si>
  <si>
    <t>IMUNET 25MG CAPSULE</t>
  </si>
  <si>
    <t>TOPCLO 0.05% LOTION</t>
  </si>
  <si>
    <t>AZATOZ 50MG TABLET</t>
  </si>
  <si>
    <t>CYTRA 100MG CAPSULE</t>
  </si>
  <si>
    <t>IMUNET 100MG CAPSULE</t>
  </si>
  <si>
    <t>OSPIN 25MG CAPSULE</t>
  </si>
  <si>
    <t>TOZCIN 500MG TABLET</t>
  </si>
  <si>
    <t>VERMINIL 12MG/400MG TABLET</t>
  </si>
  <si>
    <t>CYTOFULVIN 500MG TABLET</t>
  </si>
  <si>
    <t>CYTOKET CREAM</t>
  </si>
  <si>
    <t>CYTOKET TABLET</t>
  </si>
  <si>
    <t>CYTRA DS 200MG CAPSULE</t>
  </si>
  <si>
    <t>FLUTOZ CREAM</t>
  </si>
  <si>
    <t>IMUNET 50MG CAPSULE</t>
  </si>
  <si>
    <t>TOZCIN 250MG TABLET</t>
  </si>
  <si>
    <t>CYTOKET LOTION</t>
  </si>
  <si>
    <t>CYTOSAFE SHAMPOO</t>
  </si>
  <si>
    <t>TOZFIN 0.25% CREAM</t>
  </si>
  <si>
    <t>ITRACHEM T CREAM</t>
  </si>
  <si>
    <t>SWISSCHEM DERMACARE</t>
  </si>
  <si>
    <t>SWISSGLOW SOAP</t>
  </si>
  <si>
    <t>DOIN 20 SOFT GEL CAP</t>
  </si>
  <si>
    <t>FENOGRAS 120 TAB</t>
  </si>
  <si>
    <t>KESHGAIN TABS</t>
  </si>
  <si>
    <t>ALOGLOW SOAP</t>
  </si>
  <si>
    <t>KETOLECHEM</t>
  </si>
  <si>
    <t>SCABICHEM SOAP</t>
  </si>
  <si>
    <t>SHINE N BEAUTY SOAP</t>
  </si>
  <si>
    <t>ULTRA SHINE SOAP</t>
  </si>
  <si>
    <t>CALACHEM LOTION</t>
  </si>
  <si>
    <t>CETOCHEM LOTION</t>
  </si>
  <si>
    <t>CLOBSOL S LOTION</t>
  </si>
  <si>
    <t>SWISSGLOW UV LOTION</t>
  </si>
  <si>
    <t>ULTRA SHINE FACEWASH</t>
  </si>
  <si>
    <t>ULTRA SHINE SUPER 3 IN ONE FACEWASH</t>
  </si>
  <si>
    <t>ULTRASHINE HALDI CHANDAN FACE WASH</t>
  </si>
  <si>
    <t>CLINTOL POWDER</t>
  </si>
  <si>
    <t>SWISSFLU POWDER</t>
  </si>
  <si>
    <t>KETOLE POWDER</t>
  </si>
  <si>
    <t>ALENE DUO GEL CREAM</t>
  </si>
  <si>
    <t>ANGLEGLOW MOISTURISING CREAM</t>
  </si>
  <si>
    <t>BECOLITE CN CREAM</t>
  </si>
  <si>
    <t>CIPROCHEM TC</t>
  </si>
  <si>
    <t>CLEARLITE CREAM</t>
  </si>
  <si>
    <t>CLOBSOL MN CREAM</t>
  </si>
  <si>
    <t>CLOBSOL S CREAM</t>
  </si>
  <si>
    <t>FIT UP FOOT CREAM</t>
  </si>
  <si>
    <t>FUSICHEM CREAM</t>
  </si>
  <si>
    <t>ITRACHEM CREAM</t>
  </si>
  <si>
    <t>KETOLE CREAM</t>
  </si>
  <si>
    <t>KETOLESCAB</t>
  </si>
  <si>
    <t>LULICHEM CREAM</t>
  </si>
  <si>
    <t>MARINA CREAM</t>
  </si>
  <si>
    <t>MOPIN CREAM</t>
  </si>
  <si>
    <t>SCABICHEM CREAM</t>
  </si>
  <si>
    <t>SCABICHEM LOTION</t>
  </si>
  <si>
    <t>SHINE N BEAUTY CREAM</t>
  </si>
  <si>
    <t>SWISSDERM CREAM</t>
  </si>
  <si>
    <t>SWISSDINE MS</t>
  </si>
  <si>
    <t>TERBICHEM CREAM</t>
  </si>
  <si>
    <t>ULTRASHINE FAIRNESS CREAM</t>
  </si>
  <si>
    <t>ULTRA SHINE GEL CREAM</t>
  </si>
  <si>
    <t>ITRACHEM F</t>
  </si>
  <si>
    <t>GAMMACHEMLOTION</t>
  </si>
  <si>
    <t>EBEROSWISS CREAM</t>
  </si>
  <si>
    <t>EVE WASH</t>
  </si>
  <si>
    <t>IVERCHEM TAB</t>
  </si>
  <si>
    <t>EVIOCHEM SOFT</t>
  </si>
  <si>
    <t>KETOLECHEM TAB</t>
  </si>
  <si>
    <t>LULICHEM LOTION</t>
  </si>
  <si>
    <t>LULICHEM SOAP</t>
  </si>
  <si>
    <t>TERBICHEM POWDER</t>
  </si>
  <si>
    <t>SERTACHEM CREAM</t>
  </si>
  <si>
    <t>TERBICHEM M</t>
  </si>
  <si>
    <t>FUSICHEM M</t>
  </si>
  <si>
    <t>R'NUE FINE 1 TAB</t>
  </si>
  <si>
    <t>TERBICHEM 250</t>
  </si>
  <si>
    <t>R'NUE FORTE HAIR GAIN</t>
  </si>
  <si>
    <t>KETOLE ZPTO SHAMPOO</t>
  </si>
  <si>
    <t>ANGEL GLOW LOTION</t>
  </si>
  <si>
    <t>CLOBSOL F CREAM</t>
  </si>
  <si>
    <t>MARINADERM F CREAM</t>
  </si>
  <si>
    <t>SWISSDINE TS</t>
  </si>
  <si>
    <t>AMORLCHEM CREAM</t>
  </si>
  <si>
    <t>R'NUE ONION HAIR</t>
  </si>
  <si>
    <t>AZITHROMYCIN 500</t>
  </si>
  <si>
    <t>LULICHEM POWDER</t>
  </si>
  <si>
    <t>ULTRA SHINE CREAM</t>
  </si>
  <si>
    <t>Supplier Name &amp; Contact Number</t>
  </si>
  <si>
    <t>Address</t>
  </si>
  <si>
    <t>Date</t>
  </si>
  <si>
    <t>Update Status</t>
  </si>
  <si>
    <t>CONICOBAL D3</t>
  </si>
  <si>
    <t>MEDCONIC</t>
  </si>
  <si>
    <t>MISHKA PHARMACY - 9981046231</t>
  </si>
  <si>
    <t/>
  </si>
  <si>
    <t>MARCAS HEALTH CARE</t>
  </si>
  <si>
    <t>TBS DISTRIBUTERS - 9713071841, 9826884947</t>
  </si>
  <si>
    <t>68, 3RD FLOOR DAWA MARKET 13-14 RNT MARG INDORE</t>
  </si>
  <si>
    <t>LARK</t>
  </si>
  <si>
    <t>DSK PHARMA
EASY PHARMA
SHANTINATH MEDICAL AGENCIES
SHREE GANESH MEDICOSE</t>
  </si>
  <si>
    <t>DAWABAZAR INDORE MP</t>
  </si>
  <si>
    <t>LAMIPRO</t>
  </si>
  <si>
    <t>NUTRACARE</t>
  </si>
  <si>
    <t>RISHIT ENT - 9893833665</t>
  </si>
  <si>
    <t>163.A.F. SCH NO. 54 VIJAY NAGAR INDORE MP</t>
  </si>
  <si>
    <t>PHARMANOVA</t>
  </si>
  <si>
    <t>BAKLIWAL BR.</t>
  </si>
  <si>
    <t>DAWABAZAR INDORE</t>
  </si>
  <si>
    <t>SESDERMA</t>
  </si>
  <si>
    <t>SHEETAL SALES AGENCIES</t>
  </si>
  <si>
    <t>PEDI D3 DROP</t>
  </si>
  <si>
    <t>OLCARE LABORATORIES PVT LTD</t>
  </si>
  <si>
    <t>RELIABLE
SUPREME
PATEL
ROKEN
WAHEGURU
MANDOT</t>
  </si>
  <si>
    <t>OAKNET HEALTHCARE PVT LTD</t>
  </si>
  <si>
    <t>AMIT MEDICOSE
ARPAN MEDICAL AGENCY
CENTRAL CHEMIST
EASY PHARMA
FALODI PHARMA
SWAPNIL MEDICAL AGENCIES</t>
  </si>
  <si>
    <t>JUSTOZA M 10MG/500MG TABLET</t>
  </si>
  <si>
    <t>MANKIND PHARMA LTD</t>
  </si>
  <si>
    <t>PRATHVI
JEET
MAA ENTERPRISES
AVON</t>
  </si>
  <si>
    <t>ESVAL SURE</t>
  </si>
  <si>
    <t>FERTILESURE PHARMA</t>
  </si>
  <si>
    <t>GAURAV KESHARWANI -9712758477</t>
  </si>
  <si>
    <t>INDORE</t>
  </si>
  <si>
    <t>AQUILA</t>
  </si>
  <si>
    <t>FALODI PHARMA</t>
  </si>
  <si>
    <t>OLAMIC HEALTH CARE</t>
  </si>
  <si>
    <t>MAYA MEDICOSE - 9893365500</t>
  </si>
  <si>
    <t>NEUROMIC P</t>
  </si>
  <si>
    <t>H &amp; CARE INCORP</t>
  </si>
  <si>
    <t>MEDCIN HUB - 9098443356</t>
  </si>
  <si>
    <t>TOBACHEM F</t>
  </si>
  <si>
    <t>PANCHEM</t>
  </si>
  <si>
    <t>KUMAR MEDICAL AGENCIES</t>
  </si>
  <si>
    <t>LG DAWABAZAR INDORE MP</t>
  </si>
  <si>
    <t>URSOMIN TAB</t>
  </si>
  <si>
    <t>MEDICUS LABS</t>
  </si>
  <si>
    <t>SURAJ MEDICAL AGENCIES - 9425057880</t>
  </si>
  <si>
    <t>A 4. SOUTH TUKOGANJ INDORE MP</t>
  </si>
  <si>
    <t>IPC HEALTH CARE</t>
  </si>
  <si>
    <t>MURLI PHARMA</t>
  </si>
  <si>
    <t>LG DAWABAZAR KAASHVI ENT 1ST FLOOR DAWABAZAR INDORE MP</t>
  </si>
  <si>
    <t>KONVERGE HEALTH CARE</t>
  </si>
  <si>
    <t>NAMOKAR DISTRIBUTOR
ASHOK TRADERS</t>
  </si>
  <si>
    <t>DAWA BAZAAR INDORE MP</t>
  </si>
  <si>
    <t>TALENT INDIA</t>
  </si>
  <si>
    <t>OM
AUSH
GURUKRIPA</t>
  </si>
  <si>
    <t>SCORTIS</t>
  </si>
  <si>
    <t>KOOLWAL DISTRIBUTORS - 9826699219</t>
  </si>
  <si>
    <t>ABIGAIL CARE PHARMACEUTICAL</t>
  </si>
  <si>
    <t>SHREEJI AGENCY</t>
  </si>
  <si>
    <t>DAWA BAZAR INDORE MP</t>
  </si>
  <si>
    <t>Q-TOP CAPSULES</t>
  </si>
  <si>
    <t>KLOKTER DIVISION OF ZEE LABORATORY</t>
  </si>
  <si>
    <t>LIVE WELL - 9993878430</t>
  </si>
  <si>
    <t>DENTE 91</t>
  </si>
  <si>
    <t>FRIMLINE PVT LTD</t>
  </si>
  <si>
    <t>NANDANI PHARMA</t>
  </si>
  <si>
    <t>CARDETICS</t>
  </si>
  <si>
    <t>VIBHUTI ENT - 9926070703</t>
  </si>
  <si>
    <t>PRIDE HEALTH CARE</t>
  </si>
  <si>
    <t>MAHAVEER AG.</t>
  </si>
  <si>
    <t>FUZOLE DSR CAPSULES</t>
  </si>
  <si>
    <t>FOCUS HEALTHCARE</t>
  </si>
  <si>
    <t>RKON PHARMACEUTICALS</t>
  </si>
  <si>
    <t>ANUSHKA PHARMA, MR VIMAL - 8839245221</t>
  </si>
  <si>
    <t>115, 4TH FLOOR DAWABAZAR INDORE MP</t>
  </si>
  <si>
    <t>DILTRA TAB</t>
  </si>
  <si>
    <t>AUROBINDO PHARMA LTD</t>
  </si>
  <si>
    <t>SHANTINATH MEDICAL AGENCIES
SHREEJI AGENCY
VISHAL GENERICS</t>
  </si>
  <si>
    <t>INDORE MP</t>
  </si>
  <si>
    <t>MSCARE B6 TAB</t>
  </si>
  <si>
    <t>WINFERTILITY</t>
  </si>
  <si>
    <t>DAIZE BIOCARE</t>
  </si>
  <si>
    <t>158, 3RD FLOOR DAWABAZAR INDORE MP</t>
  </si>
  <si>
    <t>KRTOGRACE TABLET</t>
  </si>
  <si>
    <t>BIOKINDLE LIFESINCES</t>
  </si>
  <si>
    <t>SIDDHI
VITAMIN INDIA
SHANTI</t>
  </si>
  <si>
    <t>ZERICO LIFE SCIENCES</t>
  </si>
  <si>
    <t>ASHOK TRADERS
AYUSH MEDICAL AGENCY
FALODI PHARMA
RAKESH MEDICAL AGENCIES</t>
  </si>
  <si>
    <t>ERIKA REMEDIES</t>
  </si>
  <si>
    <t>MUKUL RAGHUVANSHI - 8770127324</t>
  </si>
  <si>
    <t>OMEEX 1000 MG</t>
  </si>
  <si>
    <t>ASOJ SOFTCAPS</t>
  </si>
  <si>
    <t>D.C. MEDICAL AGENCIES, ROSHAN LAL JI - 07314021902</t>
  </si>
  <si>
    <t>359-A, 1ST FLOOR, DAWA BAZAR, 13-14, R.N.T. MARG, INDORE</t>
  </si>
  <si>
    <t>SANCTUM PHARMA - 9826409826</t>
  </si>
  <si>
    <t>ORIEL HEALTH CARE</t>
  </si>
  <si>
    <t>KETCONOR SHAMPOO</t>
  </si>
  <si>
    <t>TRUWORTH HEALTHCARE</t>
  </si>
  <si>
    <t>GIRNISH BHAI - 9992022220</t>
  </si>
  <si>
    <t>BIOSANS LIFECARE</t>
  </si>
  <si>
    <t>SYRA BIOTECH - 9691553363</t>
  </si>
  <si>
    <t>ONAC SR LOTION</t>
  </si>
  <si>
    <t>PRAISE PHARMA</t>
  </si>
  <si>
    <t>AMIT MEDICOZ</t>
  </si>
  <si>
    <t>LINUX LABORATORY</t>
  </si>
  <si>
    <t>ANILA
SHANTI MEDICOS</t>
  </si>
  <si>
    <t>MAYRA PHARMACEUTICALS</t>
  </si>
  <si>
    <t>DIVY CHOUHAN - 9713034596</t>
  </si>
  <si>
    <t>MG-PRO HIGH PROTEIN</t>
  </si>
  <si>
    <t>MRG PHARMACEUTICALS</t>
  </si>
  <si>
    <t>SHANTI MEDICOSE
RAVI MEDICAL</t>
  </si>
  <si>
    <t>SHILPA MEDICARE LTD</t>
  </si>
  <si>
    <t>NOVA CARE</t>
  </si>
  <si>
    <t>204, GANESH MARKET, 1ST FLOOR, DAWA BAZAR, INDORE</t>
  </si>
  <si>
    <t>SERNORM 50MG TABLET</t>
  </si>
  <si>
    <t>ARDENT LIFE SCIENCES</t>
  </si>
  <si>
    <t>SHAH ENTERPRISES</t>
  </si>
  <si>
    <t>MAHESHWARI PHARMACEUTICALS LTD</t>
  </si>
  <si>
    <t>PRATIK MEDICOSE - 8839191211</t>
  </si>
  <si>
    <t>DAWA BAJAR INDORE</t>
  </si>
  <si>
    <t>PHARMAKON</t>
  </si>
  <si>
    <t>SANKET GUPTA - 9039715235</t>
  </si>
  <si>
    <t>UDI 300 TABLET</t>
  </si>
  <si>
    <t>RIASMO LIFE SCIENCES</t>
  </si>
  <si>
    <t>SHREE GANESH MEDICOSE</t>
  </si>
  <si>
    <t>METTA LIFE SCIENCES</t>
  </si>
  <si>
    <t>VAISHNAVI HEALTHCARE - 6260601333</t>
  </si>
  <si>
    <t>HORIZON</t>
  </si>
  <si>
    <t>KRISHNA ENT
SAI NATH MEDICAL AGENCIES</t>
  </si>
  <si>
    <t>VINTEK PHARMACEUTICAL SCIENCES</t>
  </si>
  <si>
    <t>ANSH PHARMA - 9826600001</t>
  </si>
  <si>
    <t>AEROLIFE INDIA HEALTHCARE</t>
  </si>
  <si>
    <t>ANILA MEDICAL PVT LTD
SIDDHI ENTERPRISES</t>
  </si>
  <si>
    <t>CRINOVA HEALTHCARE PVT LTD</t>
  </si>
  <si>
    <t>PLUS POINT PHARMA - 9977263838</t>
  </si>
  <si>
    <t>DEON HEALTH CARE</t>
  </si>
  <si>
    <t>N.R PHARMACY - 9406622652</t>
  </si>
  <si>
    <t>ZENSTAR</t>
  </si>
  <si>
    <t>ARPEN MEDICAL AGENCIES</t>
  </si>
  <si>
    <t>BONCHOICE</t>
  </si>
  <si>
    <t>DR CHOICE HEALTH CARE</t>
  </si>
  <si>
    <t>SHANTI MEDICAL AGENCIES
RAKESH</t>
  </si>
  <si>
    <t>OASIS BIOTECH</t>
  </si>
  <si>
    <t>SHANTINATH MEDICAL AGENCIES</t>
  </si>
  <si>
    <t>FINECURE PHARMACEUTICAL LTD</t>
  </si>
  <si>
    <t>JEET</t>
  </si>
  <si>
    <t>NEVELOL AM TAB</t>
  </si>
  <si>
    <t>NEOCARDIAB</t>
  </si>
  <si>
    <t>GINESH PHARMA - 07312702726
RAKESH -</t>
  </si>
  <si>
    <t>218, 2ED FLOOR DAWA BAZAAR
LG DAWA BAZAAR INDORE MP</t>
  </si>
  <si>
    <t>BIOS LABS</t>
  </si>
  <si>
    <t>RAKESH
ARPAN</t>
  </si>
  <si>
    <t>ORLISURE 120</t>
  </si>
  <si>
    <t>MACMED BIOTECH</t>
  </si>
  <si>
    <t>SAGAR MEDICAL STORE</t>
  </si>
  <si>
    <t>SAPNA SANGITA ROAD, INDORE MP</t>
  </si>
  <si>
    <t>KEVENTIS</t>
  </si>
  <si>
    <t>JAIN MEDICAL AGENCY</t>
  </si>
  <si>
    <t>LG DAWABAZAR</t>
  </si>
  <si>
    <t>LYCOFAIR TABLET</t>
  </si>
  <si>
    <t>FAIR FORD PHARMACEUTICAL</t>
  </si>
  <si>
    <t>RELIF FORMULATION</t>
  </si>
  <si>
    <t>DIEVER 500 MG TABLET</t>
  </si>
  <si>
    <t>EVEREN HEALTH CARE</t>
  </si>
  <si>
    <t>JMD PHARMA</t>
  </si>
  <si>
    <t>4FOL-Q</t>
  </si>
  <si>
    <t>GYNOFEM</t>
  </si>
  <si>
    <t>ARCHANA CHEM
DAWAR SALES AGENCIES
MURLI PHARMA</t>
  </si>
  <si>
    <t>XIENIL FM</t>
  </si>
  <si>
    <t>ELIXIR</t>
  </si>
  <si>
    <t>FALODI PHARMA
SHANTINATH MEDICAL AGENCIES
SUPREME BIOTECH</t>
  </si>
  <si>
    <t>STERIS HEALTH CARE</t>
  </si>
  <si>
    <t>OMNI MEDICAL</t>
  </si>
  <si>
    <t>320, 1ST FLOOR DAWA BAZAR INDORE MP</t>
  </si>
  <si>
    <t>MRHM PHARMA</t>
  </si>
  <si>
    <t>RAMESH MEDICAL
SANDESH MEDICAL</t>
  </si>
  <si>
    <t>COSMOQ</t>
  </si>
  <si>
    <t>AMIT MEDICOSE</t>
  </si>
  <si>
    <t>LG DAWABAZAR INDORE</t>
  </si>
  <si>
    <t>LDD BIOSCIENCE PVT LTD</t>
  </si>
  <si>
    <t>SHREE NAKODA HOMEO PHARMACY - 9926020902</t>
  </si>
  <si>
    <t>ASTRONIA LIFE SCIENCES</t>
  </si>
  <si>
    <t>GOPI MEDICAL</t>
  </si>
  <si>
    <t>BUXSTAT 120</t>
  </si>
  <si>
    <t>AUREATE HEALTH CARE</t>
  </si>
  <si>
    <t>NOVACARE
PP ENT.</t>
  </si>
  <si>
    <t>DAWABAZAR INDOR
CHETAK CHEMBUR</t>
  </si>
  <si>
    <t>ZEE DRUGS</t>
  </si>
  <si>
    <t>DHEERAJ KRISHNA ENT - 8718888688</t>
  </si>
  <si>
    <t>DERMITAS HEALTHCARE</t>
  </si>
  <si>
    <t>PHARMA CARE - 9826247340</t>
  </si>
  <si>
    <t>LYF HEALTHCARE</t>
  </si>
  <si>
    <t>SHANTI MEDICAL AGENCIES</t>
  </si>
  <si>
    <t>BIOGENOMICS</t>
  </si>
  <si>
    <t>MODI
ASHOK TR.</t>
  </si>
  <si>
    <t>REDIGEST SYRUP</t>
  </si>
  <si>
    <t>INDORICH THERAPEUTICS</t>
  </si>
  <si>
    <t>ISHITA PHARMA</t>
  </si>
  <si>
    <t>RAPLITE TABLETS</t>
  </si>
  <si>
    <t>IBERIA SKIN</t>
  </si>
  <si>
    <t>BAFNA MEDICAL AGENCIES</t>
  </si>
  <si>
    <t>JMK HEALTH CARE</t>
  </si>
  <si>
    <t>SHREE RAM MEDICAL AGENCIES</t>
  </si>
  <si>
    <t>OPP GELDA KACHORI, DAWABAZAR INDORE MP</t>
  </si>
  <si>
    <t>LACTOGUT UG</t>
  </si>
  <si>
    <t>VELBIOM PROBIOTICS</t>
  </si>
  <si>
    <t>LAXMI DRUG HOUSE
KUMAR
GOPI</t>
  </si>
  <si>
    <t>ALLOTROPE LIFE SCIENCES</t>
  </si>
  <si>
    <t>AQUNOVA</t>
  </si>
  <si>
    <t>EASY
ANILA</t>
  </si>
  <si>
    <t>DELLWICH HEALTH CARE</t>
  </si>
  <si>
    <t>RELIEF FORMULATION - 9425312432</t>
  </si>
  <si>
    <t>AIRFULL AN</t>
  </si>
  <si>
    <t>SWARAJ PHARMA</t>
  </si>
  <si>
    <t>SUPRIM PHARMA - 8959907710</t>
  </si>
  <si>
    <t>NITHYASHA HEALTH CARE</t>
  </si>
  <si>
    <t>ARPAN MEDICAL AGENCIES</t>
  </si>
  <si>
    <t>LAPIEL BIOTECH</t>
  </si>
  <si>
    <t>ABHISHEK
SHREE SAI MEDICO AND SURGICO</t>
  </si>
  <si>
    <t>INDORE MP INDIA</t>
  </si>
  <si>
    <t>RITZ PHARMA</t>
  </si>
  <si>
    <t>JD PHARMA - 9826156058</t>
  </si>
  <si>
    <t>ASTALEAF</t>
  </si>
  <si>
    <t>SAMARTH LIFESINCE</t>
  </si>
  <si>
    <t>JEET
KOTHARI</t>
  </si>
  <si>
    <t>DAWA BAZAR INDORE</t>
  </si>
  <si>
    <t>KAIZEN PHARMACEUTICAL PVT LTD</t>
  </si>
  <si>
    <t>NEW VACCINE HOUSE - 6260082092</t>
  </si>
  <si>
    <t>NUCLEO REMEDIES</t>
  </si>
  <si>
    <t>S.S. PHARMA</t>
  </si>
  <si>
    <t>LG-208, DAWA BAZAR, 13-14 R.N.T. MARG, INDORE</t>
  </si>
  <si>
    <t>LIKAMEDA PHARMACEUTICALS PVT LTD</t>
  </si>
  <si>
    <t>SHANTI</t>
  </si>
  <si>
    <t>TREATWELL BIOTECH</t>
  </si>
  <si>
    <t>GREEN ORA</t>
  </si>
  <si>
    <t>1ST FLOOR 204/1, GANESH MARKET, DAWA BAZAR INDORE MP INDIA</t>
  </si>
  <si>
    <t>GRACE DERMA</t>
  </si>
  <si>
    <t>ABHISHEK MEDICAL
HINDUSTAN</t>
  </si>
  <si>
    <t>LG DAWA BAZAR INDORE MP</t>
  </si>
  <si>
    <t>HAUZ PHARMA</t>
  </si>
  <si>
    <t>DEEP MARKETING</t>
  </si>
  <si>
    <t>59 LG DAWA BAZAR INDORE MP INDIA</t>
  </si>
  <si>
    <t>AZOBRIL FORTE 20% CREAM</t>
  </si>
  <si>
    <t>BRINTON PHARMACEUTICALS LTD</t>
  </si>
  <si>
    <t>SHAH ENT
SHREE SAI
ABHISHEK</t>
  </si>
  <si>
    <t>DAWA BAZAR INDORE MP INDIA</t>
  </si>
  <si>
    <t>ATOPIC LABORATORIES PVT. LTD.</t>
  </si>
  <si>
    <t>ANILA MEDICAL AGENCIES</t>
  </si>
  <si>
    <t>WELCEFU 250 TAB</t>
  </si>
  <si>
    <t>WELLERS LIFESCIENCES RESEARCH LAB</t>
  </si>
  <si>
    <t>SHAH ENTERPRISES
VISHAL GENERICS</t>
  </si>
  <si>
    <t>MEXWELL</t>
  </si>
  <si>
    <t>SHANTINATH MEDICAL AGENCIES
VISHAL GENERICS</t>
  </si>
  <si>
    <t>EYEGLOW ENDER EYE CREAM</t>
  </si>
  <si>
    <t>BIO-HB</t>
  </si>
  <si>
    <t>BIOMI HEALTHCARE</t>
  </si>
  <si>
    <t>LIFESAVER
BAKIWAL</t>
  </si>
  <si>
    <t>SITAHENZ 100MG TAB</t>
  </si>
  <si>
    <t>LA RENON HEALTHCARE PVT LTD</t>
  </si>
  <si>
    <t>NIPAVIT FORTE KIT INJ</t>
  </si>
  <si>
    <t>DHAMUS PHARMA</t>
  </si>
  <si>
    <t>KULWAL</t>
  </si>
  <si>
    <t>AZINE HEALTHCARE</t>
  </si>
  <si>
    <t>MAHESHWARI REMEDIES</t>
  </si>
  <si>
    <t>55, 3RD FLOOR DAWABAZAR INDORE MP</t>
  </si>
  <si>
    <t>B 10 FORTE TAB</t>
  </si>
  <si>
    <t>SARANSH PHARMACUTICALS</t>
  </si>
  <si>
    <t>GOPI
A-ONE</t>
  </si>
  <si>
    <t>LG DAWA BAZAAR INDORE MP</t>
  </si>
  <si>
    <t>EPSAN - 5 DT</t>
  </si>
  <si>
    <t>SANITY PHARMA</t>
  </si>
  <si>
    <t>NEW DILIP MEDICAL STORE - 9691243604</t>
  </si>
  <si>
    <t>TUHI LIFE SCIENCES</t>
  </si>
  <si>
    <t>VINEET MEDICAL AGENCIES</t>
  </si>
  <si>
    <t>NERVEHEAL</t>
  </si>
  <si>
    <t>CELLGEN BIOPHARMA</t>
  </si>
  <si>
    <t>WERKE HEALTH CARE</t>
  </si>
  <si>
    <t>RELIGARE PHARMA</t>
  </si>
  <si>
    <t>LG 229, DAWA BAZAR INDORE MP</t>
  </si>
  <si>
    <t>XOCOF SYP</t>
  </si>
  <si>
    <t>ABL PHARMA</t>
  </si>
  <si>
    <t>MCFORD</t>
  </si>
  <si>
    <t>DAWAR MEDICAL AGENCIES</t>
  </si>
  <si>
    <t>ASSURE SOAP</t>
  </si>
  <si>
    <t>VESTIGE PVT LIMITED, INDORE RAJA JADHAV - +919977544453</t>
  </si>
  <si>
    <t>G. D. PHARMA DISTRIBUTORS, INDORE BRIJESH GARG - +91804194751
MAC ORGANICS, INDORE SONU NAGWANI - +918042905993</t>
  </si>
  <si>
    <t>NEW ASTYMIN LIQUID</t>
  </si>
  <si>
    <t>TABLETS INDIA</t>
  </si>
  <si>
    <t>CHHABRA ENTERPRISES
GURUDEV TRADERS
HERITAGE PHARMACEUTICALS
PATEL &amp; COMPANY</t>
  </si>
  <si>
    <t>BHOPAL</t>
  </si>
  <si>
    <t>AFFLATUS PHARMACEUTICALS - SUPER STOKIST - 9425319501</t>
  </si>
  <si>
    <t>GLIMPURE M2</t>
  </si>
  <si>
    <t>ARRIENT HEALTHCARE</t>
  </si>
  <si>
    <t>KAPIL PHARMA</t>
  </si>
  <si>
    <t>UJJAIN MP</t>
  </si>
  <si>
    <t>WILCURE REMEDIES PRIVATE LIMITED, INDORE</t>
  </si>
  <si>
    <t>J.K SARAF/SHAILENDRA SARAF - +918079465441</t>
  </si>
  <si>
    <t>NEUCURE LIFE SCIENCES</t>
  </si>
  <si>
    <t>ATISHAY
RAMESH</t>
  </si>
  <si>
    <t>CAZLE AYURVEDIC</t>
  </si>
  <si>
    <t>K M AYURVEDA</t>
  </si>
  <si>
    <t>2ND FLOOR, 6A MAHAVEER MARKET, DAWABAZAR INDORE MP</t>
  </si>
  <si>
    <t>ASCLEPIUS</t>
  </si>
  <si>
    <t>BIOGEN IDEC</t>
  </si>
  <si>
    <t>KIRAN MEDICAL STORES
KWALITY DRUG HOUSE
RAJPAL MEDICOSE</t>
  </si>
  <si>
    <t>MERRYGLOW</t>
  </si>
  <si>
    <t>COSMEDERMA</t>
  </si>
  <si>
    <t>ASHI MEDICOS - 9575746867</t>
  </si>
  <si>
    <t>MBTRON PLUS</t>
  </si>
  <si>
    <t>TRION PHARMA</t>
  </si>
  <si>
    <t>STALIX M 50+500 TABLET</t>
  </si>
  <si>
    <t>MACLEODS PHARMACEUTICALS PVT LTD</t>
  </si>
  <si>
    <t>DAMITA 10 MG TABLET</t>
  </si>
  <si>
    <t>TORRENT PHARMACEUTICALS LTD</t>
  </si>
  <si>
    <t>CALCIBEL TAB</t>
  </si>
  <si>
    <t>CIBELES PHARMACEUTICALS PVT LTD</t>
  </si>
  <si>
    <t>TELMEND 40</t>
  </si>
  <si>
    <t>MENDCURE LIFE SCIENCES</t>
  </si>
  <si>
    <t>LEELA ENT - 9713031321</t>
  </si>
  <si>
    <t>GLOBUS LABS</t>
  </si>
  <si>
    <t>NAVKAR AG.</t>
  </si>
  <si>
    <t>276,1ST FLOOR DAWABAZAR INDORE MP</t>
  </si>
  <si>
    <t>RELAXFULL</t>
  </si>
  <si>
    <t>BISANI PHARMACEUTICS</t>
  </si>
  <si>
    <t>GOPI</t>
  </si>
  <si>
    <t>RUBRA MEDICAMENTS LTD</t>
  </si>
  <si>
    <t>EASY PHARMA</t>
  </si>
  <si>
    <t>LG 217, DAWABAZAR INDORE MP</t>
  </si>
  <si>
    <t>LIFE VISION</t>
  </si>
  <si>
    <t>1-A, YADAV MAHAL, RNT MARG, BEHIND GOLDY HOTEL DAWA BAZAR, INDORE, MADHYA PRADESH</t>
  </si>
  <si>
    <t>LUCKYS PHARMA</t>
  </si>
  <si>
    <t>KEY PERSON
MR SANDEEP GOKHRU (CEO)
MOBILE :08068342288</t>
  </si>
  <si>
    <t>PLOT NO- 82, 1ST FLOOR, JAORA COMPOUND, NEAR POLICE LINES, INDORE PHONE :91-731-4005892</t>
  </si>
  <si>
    <t>K2-CARE CAPSULE</t>
  </si>
  <si>
    <t>EDWARD YOUNG LABS</t>
  </si>
  <si>
    <t>ATISHYA PHARMA</t>
  </si>
  <si>
    <t>NECTAR BIO PHARMA</t>
  </si>
  <si>
    <t>1. AMPOULE HOUSE L/G
2. KAPADIA STORE 1ST FLOOR
3. VISHAL GENERICS L/G
4. SAPPHIRE DRUGS GROUND FLOOR
5. MACDON AG L/G</t>
  </si>
  <si>
    <t>MDC PHARMACEUTICALS</t>
  </si>
  <si>
    <t>KAVERI DRUGS - 09425318458</t>
  </si>
  <si>
    <t>159, LG DAWA BAZAAR INDORE MP</t>
  </si>
  <si>
    <t>AXYTOP PLUSE SOAP
BIOROME</t>
  </si>
  <si>
    <t>AXYZEN DIVISION OF ZEE LABORATORY</t>
  </si>
  <si>
    <t>SERNORM 50MG TABLET
DESLAPS-PLUS</t>
  </si>
  <si>
    <t>SINUCAL TAB</t>
  </si>
  <si>
    <t>ALNA BIOTECH PVT LTD</t>
  </si>
  <si>
    <t>SWASTIK PHARMA - 9826049524</t>
  </si>
  <si>
    <t>219 , 1ST FLOOR DAWABAZAR INDORE MP</t>
  </si>
  <si>
    <t>4FOL-Q
PMS TOTAL CAP</t>
  </si>
  <si>
    <t>GYNOFEM HEALTHCARE</t>
  </si>
  <si>
    <t>DERMATOPICS HEALTHCARE</t>
  </si>
  <si>
    <t>ROKEN AGENCY</t>
  </si>
  <si>
    <t>SILVER BIOTECH</t>
  </si>
  <si>
    <t>HOSPARA HEALTHCARE - 9826231118, 8358824788</t>
  </si>
  <si>
    <t>79 GROUND FLOOR J P ROAD NEAR KHAJURI BAZAR M G ROAD, INDORE</t>
  </si>
  <si>
    <t>FOREVER ALOE BERRY NACTAR GEL</t>
  </si>
  <si>
    <t>ADDRESS:- 202, SHRI HARI GOPAL COMPLEX, BHAWARKUA ROAD, INFRONT IDBI BANK, TAWAR SQUARE INDORE (M.P.)</t>
  </si>
  <si>
    <t>SHIVAM - 9826211169</t>
  </si>
  <si>
    <t>PROTYANA</t>
  </si>
  <si>
    <t>ZENONA</t>
  </si>
  <si>
    <t>SG PHARMA YASIR - 7987841326</t>
  </si>
  <si>
    <t>NERVOWISH LC</t>
  </si>
  <si>
    <t>NUSMITH PHARMA PVT LTD</t>
  </si>
  <si>
    <t>HEMANT PATIDAR - 8770189759</t>
  </si>
  <si>
    <t>CAPRI</t>
  </si>
  <si>
    <t>MANGAL MURTI</t>
  </si>
  <si>
    <t>GLUCRETA TABLET</t>
  </si>
  <si>
    <t>TRIOMIL</t>
  </si>
  <si>
    <t>TITUS HEALTH TECH</t>
  </si>
  <si>
    <t>EVA DISTRIBUTOR - ANKUSH JI - 7489114748</t>
  </si>
  <si>
    <t>NEOLINA PHARMACEUTICALS</t>
  </si>
  <si>
    <t>ASHIRWAD MEDICAL STORE - 90987 77894</t>
  </si>
  <si>
    <t>1 KAVI KALIDAS MARG NAYA PURA, DIST: DEWAS (MADHYA PRADESH) PIN CORD: 455001</t>
  </si>
  <si>
    <t>WHIZ LABORATORY</t>
  </si>
  <si>
    <t>MEDIMPEX</t>
  </si>
  <si>
    <t>238 1ST FLOOR DAWA BAZAAR INDORE MP</t>
  </si>
  <si>
    <t>RENUGLOW H</t>
  </si>
  <si>
    <t>DOLPHIN PHARMATECH</t>
  </si>
  <si>
    <t>ABHISHEK MED AG</t>
  </si>
  <si>
    <t>MATIAS HEALTHCARE</t>
  </si>
  <si>
    <t>KOTHARI BR.</t>
  </si>
  <si>
    <t>BABYFOL</t>
  </si>
  <si>
    <t>BESTEL LABORATORIES PVT LTD</t>
  </si>
  <si>
    <t>ANILA MEDICAL STORE
SHAH ENTERPRISES</t>
  </si>
  <si>
    <t>MAXNOVA HEALTHCARE</t>
  </si>
  <si>
    <t>SHREE ANJANI AGENCIES
SHREE GANESH MEDICOSA
SONAM PHARMA</t>
  </si>
  <si>
    <t>FORLEX F TABLETS</t>
  </si>
  <si>
    <t>PROGRESSIVE LIFE CARE</t>
  </si>
  <si>
    <t>AYASHA MEDICAL - 9826587777</t>
  </si>
  <si>
    <t>ALSITA 50</t>
  </si>
  <si>
    <t>ALKEM LABORATORIES LTD</t>
  </si>
  <si>
    <t>KARDS GENCARE</t>
  </si>
  <si>
    <t>M-105 1ST FLOOR MEDICINE CHEMBER, 13-14 RNT MARG, INDORE MP</t>
  </si>
  <si>
    <t>CIAGA PHARMA</t>
  </si>
  <si>
    <t>MAHAKAL PHARMA</t>
  </si>
  <si>
    <t>TRIVITAL</t>
  </si>
  <si>
    <t>ANUSHKA PHARMA - MR VIMAL - 8839245221</t>
  </si>
  <si>
    <t>COSMETIC LABORATORIES</t>
  </si>
  <si>
    <t>SHAH
SUJATA</t>
  </si>
  <si>
    <t>GLASIER WELLNES</t>
  </si>
  <si>
    <t>J D PHARMA</t>
  </si>
  <si>
    <t>140 2ND FLOOR DAWA BAZAAR INDORE MP</t>
  </si>
  <si>
    <t>BIONOVA (MAXNOVA)</t>
  </si>
  <si>
    <t>E DERMA</t>
  </si>
  <si>
    <t>INDIAN TREDERS</t>
  </si>
  <si>
    <t>LIVO MALT</t>
  </si>
  <si>
    <t>DEE INDIA HERBALS</t>
  </si>
  <si>
    <t>DIVYADEEP HEARBAL - 07314291114</t>
  </si>
  <si>
    <t>HYPO SYP</t>
  </si>
  <si>
    <t>AGM BIOTECH</t>
  </si>
  <si>
    <t>SAI KRUPA</t>
  </si>
  <si>
    <t>ORIEL HEALTHCARE PRIVATE LIMITED</t>
  </si>
  <si>
    <t>SANZORGO REMEDIES - 8827215089</t>
  </si>
  <si>
    <t>91, 2ND FLOOR, CHANAKYA COMPLEX, INDORE MP</t>
  </si>
  <si>
    <t>PENTAGLOBIN INJ</t>
  </si>
  <si>
    <t>PAVIOUR PHARMACEUTICALS PVT LTD</t>
  </si>
  <si>
    <t>QUALITY DRUG HOUSE
VACCINE HUB</t>
  </si>
  <si>
    <t>MILESTONE</t>
  </si>
  <si>
    <t>SAJAL CHEMIST - MUKESH JI KUMAWAT - 9977159761
AVINASH JI JAIN 9300406420</t>
  </si>
  <si>
    <t>6/1, NORTH RAJMOHALLA (DOCTOR'S HOUSE) INDORE (M.P.) INDORE</t>
  </si>
  <si>
    <t>SHIELD HEALTH CARE</t>
  </si>
  <si>
    <t>ICBRY
ELZAGLO FACEWASH</t>
  </si>
  <si>
    <t>ELZA LABORATORY</t>
  </si>
  <si>
    <t>KRISHNA ENT - 8718888688</t>
  </si>
  <si>
    <t>GYNOGEN CAPTAB
D TINE 20MG TAB</t>
  </si>
  <si>
    <t>KABIR LIFESCIENCES AND RESEARCH PVT LTD</t>
  </si>
  <si>
    <t>KOTHARI BR. CNF ANSH PHARMA - 09826600001</t>
  </si>
  <si>
    <t>VITAROM-C</t>
  </si>
  <si>
    <t>RHOMBUS PHARMA</t>
  </si>
  <si>
    <t>MAYANK MEDICAL AGENCY (RH),MR. HEMANT PUROHIT-09893107518,098272-22344,0734-2557741,9575503322, 09926017747- KUSUM</t>
  </si>
  <si>
    <t>MAX 9 SACHET</t>
  </si>
  <si>
    <t>MAXQURE LABS</t>
  </si>
  <si>
    <t>ALOK SINGH INDORE DISTRIBUTER MAXQURE M.P</t>
  </si>
  <si>
    <t>RAZENTA PHARMA PVT.LTD</t>
  </si>
  <si>
    <t>PREM MEDICAL AGENCY SAIDEEP PHARMACY PATEL MEDICAL</t>
  </si>
  <si>
    <t>UJJAIN
RATLAM
MANDSAUR</t>
  </si>
  <si>
    <t>SCUTONIX</t>
  </si>
  <si>
    <t>SHANTI MEDICAL AABHAS PHARMA</t>
  </si>
  <si>
    <t>VIHAAN PHARMACEUTICALS</t>
  </si>
  <si>
    <t>G-2, URAVSHI COMPLEX JAORA COMPOUND INDORE M.P</t>
  </si>
  <si>
    <t>ALEEFER F TAB</t>
  </si>
  <si>
    <t>AMBIT BIOMEDIX</t>
  </si>
  <si>
    <t>MAYA MEDICOSE - 8120410975</t>
  </si>
  <si>
    <t>BOIGEN IDEC</t>
  </si>
  <si>
    <t>KIRAN MEDIACAL STORES KWALITY DRUG HOUSE RAJPAL MEDICOSE</t>
  </si>
  <si>
    <t>LULINOX 30GM KETOGUD 200 TABLET</t>
  </si>
  <si>
    <t>SCOT DERMA PRIVATE LIMITED</t>
  </si>
  <si>
    <t>SURJAL PHARMA 7999498486</t>
  </si>
  <si>
    <t>PANTOREL D TAB REPOVIT 12 CAPSULES</t>
  </si>
  <si>
    <t>RELAX PHARMA</t>
  </si>
  <si>
    <t>REX DRUG DISTRIBUTORS S/4</t>
  </si>
  <si>
    <t>DAWA BAZAR , R.N.T MARG INDORE</t>
  </si>
  <si>
    <t>TAMEX D 0.4MG/0.5MG TABLET</t>
  </si>
  <si>
    <t>NEXKEM PHARMA</t>
  </si>
  <si>
    <t>LIFESAVER</t>
  </si>
  <si>
    <t>43 GROUND FLOOR DAWA BAZAR INDORE MP</t>
  </si>
  <si>
    <t>SINSAN PHARMACUETICALS</t>
  </si>
  <si>
    <t>ATTISHAY PHARMA PRATHIVI PHARMA VIMAL MEDICAL AGENCIES</t>
  </si>
  <si>
    <t>LAVANYA BIOTECH</t>
  </si>
  <si>
    <t>1ST FLOOR GANESH MARKET DAWA BAZAR INDORE</t>
  </si>
  <si>
    <t>NEUROCK PLUS INJ</t>
  </si>
  <si>
    <t>ZICAD</t>
  </si>
  <si>
    <t>INDORE MIHIR BHATT - 7828840410, 7879277602</t>
  </si>
  <si>
    <t>DAPAKEY 10MG TABLET</t>
  </si>
  <si>
    <t>PRECIA PHARMA PRIVATE LIMITED</t>
  </si>
  <si>
    <t>MAA PADMAVATI MEDICOSE</t>
  </si>
  <si>
    <t>DAWA BAZAR</t>
  </si>
  <si>
    <t>SP LAX SUSPENSION</t>
  </si>
  <si>
    <t>SPECIALITY MEDITECH PVT. LTD.</t>
  </si>
  <si>
    <t>S S ENT. - 9752519807</t>
  </si>
  <si>
    <t>UNIMARCK HEALTHCARE LTD</t>
  </si>
  <si>
    <t>M.A. DISTRIBUTORS
MEDICURE
NIKITA
ENTERNRIES</t>
  </si>
  <si>
    <t>UNISON PHARMA</t>
  </si>
  <si>
    <t>ATISHAYA
KUMAR</t>
  </si>
  <si>
    <t>CISTA MEDICORP</t>
  </si>
  <si>
    <t>NEW VECCIN HOUSE</t>
  </si>
  <si>
    <t>INTEGRAL LIFE SCIENCES</t>
  </si>
  <si>
    <t>BILBERRY PHARMACEUTICALS</t>
  </si>
  <si>
    <t>ATTISHAY
AYUSH</t>
  </si>
  <si>
    <t>RB D</t>
  </si>
  <si>
    <t>JM REMEDIES/HEALTH CARE</t>
  </si>
  <si>
    <t>SANWARIA PHARMA</t>
  </si>
  <si>
    <t>G-1,,MAHAVEER PALACE, 4, MAHAVEER NAGAR, KANADIA ROAD NEAR HANUMAN MANDIR INDORE PIN CODE 452018 M.NO.9826056274 KNBIOTEC.IND@GMAIL.COM</t>
  </si>
  <si>
    <t>28-SEP-2022</t>
  </si>
  <si>
    <t>ASTERISK</t>
  </si>
  <si>
    <t>DIVINE DEW BIOTECH - POONAM GUPTA - 8048957868
HTTPS://WWW.DIVINEDEWBIOTECH.IN/</t>
  </si>
  <si>
    <t>SHED NO 101, INDUSTRIAL AREA PHASE 2, PANCHKULA - 134113, HARYANA, INDIA</t>
  </si>
  <si>
    <t>29-SEP-2022</t>
  </si>
  <si>
    <t>S.P PHARMACEUTICALS - 8048271299
HTTPS://WWW.GOMCOPHARMA.IN/</t>
  </si>
  <si>
    <t>S.C.F 449 2ND FLOOR, CHANDIGARH - 160101, CHANDIGARH, INDIA</t>
  </si>
  <si>
    <t>MYLOFIX D</t>
  </si>
  <si>
    <t>SIXTH SENSE PHARMACEUTICALS
YOGENDRA SINGH RAGHUWANSHI
SIXTH SENSE PHARMACEUTICALS, GALI NO. 02, BEHIND MAHAK VATIKA GARDARN, MR-9, INDORE - 452001, MADHYA PRADESH, INDIA
CLICK TO CALL: +91-8043859393
SIXTHSENSEPHARMA@GMAIL.COM
HTTPS://WWW.INDIAMART.COM/SIXTHSENSEPHARMACEUTICALS/</t>
  </si>
  <si>
    <t>SHANTI
RAKESH</t>
  </si>
  <si>
    <t>BIOGLINT</t>
  </si>
  <si>
    <t>BHAGYA LAKSHMI AGENCIES - 9754736864</t>
  </si>
  <si>
    <t>30-SEP-2022</t>
  </si>
  <si>
    <t>OBESET 120 CAPSULE</t>
  </si>
  <si>
    <t>WONSET HEALTHCARE PVT LTD</t>
  </si>
  <si>
    <t>ATTISHAYA PHARMA
GALAXY PHARMA</t>
  </si>
  <si>
    <t>NERVITROZ D3</t>
  </si>
  <si>
    <t>MAANAS DIST.</t>
  </si>
  <si>
    <t>TNS MERYL</t>
  </si>
  <si>
    <t>9425900908</t>
  </si>
  <si>
    <t>DERMISOL S CREAM</t>
  </si>
  <si>
    <t>PUREMED</t>
  </si>
  <si>
    <t>NEW IMPERIAL PHARMA</t>
  </si>
  <si>
    <t>LG 180 DAWABAZAR INDORE MP</t>
  </si>
  <si>
    <t>3-OCT-2022</t>
  </si>
  <si>
    <t>AESTHETIX COSMECEUTICALS</t>
  </si>
  <si>
    <t>AMIT MEDICOSE
GANESH PHARMA
AARPAN</t>
  </si>
  <si>
    <t>MULTIRX GX PLUS CAP</t>
  </si>
  <si>
    <t>ATLINA LIFE SCIENCE</t>
  </si>
  <si>
    <t>AGRAWAL PHARMA</t>
  </si>
  <si>
    <t>4-OCT-2022</t>
  </si>
  <si>
    <t>LUDOFLU S ROTACAP</t>
  </si>
  <si>
    <t>LXIR MEDILABS</t>
  </si>
  <si>
    <t>JAI SHRI KRISHNA MEDICAL STORE 206/207 A- 4 1ST FLOOR DAWA BAZAR 13- 14 R NT MARG INDORE GST NO 23FMIPM5485A1Z2
MOBILE NO 8770444933</t>
  </si>
  <si>
    <t>ZENNER LIFESCIENCES</t>
  </si>
  <si>
    <t>MAHAVEER ENT</t>
  </si>
  <si>
    <t>5-OCT-2022</t>
  </si>
  <si>
    <t>CONSERN PHARMA</t>
  </si>
  <si>
    <t>SUPRIM MEDICAL</t>
  </si>
  <si>
    <t>7-OCT-2022</t>
  </si>
  <si>
    <t>ELIKEM</t>
  </si>
  <si>
    <t>NEW ROSY MEDICAL MO : 8319814228</t>
  </si>
  <si>
    <t>8-OCT-2022</t>
  </si>
  <si>
    <t>DROTIFIN M TAB</t>
  </si>
  <si>
    <t>CROSSED FINGERSS ORGANIC PVT LTD</t>
  </si>
  <si>
    <t>TYWOR</t>
  </si>
  <si>
    <t>WORLD HEALTH CARE</t>
  </si>
  <si>
    <t>M P NUTRITION - 9826563436</t>
  </si>
  <si>
    <t>SAMAR PARK COLONY, NIPANIYA</t>
  </si>
  <si>
    <t>9-OCT-2022</t>
  </si>
  <si>
    <t>HIMRACT CAP</t>
  </si>
  <si>
    <t>HIMEROS PHARMACEUTICALS PVT LTD</t>
  </si>
  <si>
    <t>12-OCT-2022</t>
  </si>
  <si>
    <t>DIOS LIFESINCES</t>
  </si>
  <si>
    <t>ATISHAYA
AONE COMBINE</t>
  </si>
  <si>
    <t>MEDSERA PHARMACEUTICAL</t>
  </si>
  <si>
    <t>MALWA MEDICAL AGENCIES</t>
  </si>
  <si>
    <t>66, LG DAWA BAZAR, RNT MARG, INDORE (M.P.) INDORE</t>
  </si>
  <si>
    <t>ZYLOFEB 40</t>
  </si>
  <si>
    <t>ZYLIG LIFE SCIENCES</t>
  </si>
  <si>
    <t>MHPL PHARMA - 8225012439</t>
  </si>
  <si>
    <t>OPP KARNATKA SCHOOL, KANADIYA ROAD, INDORE MP</t>
  </si>
  <si>
    <t>SHADELITE SILICONE SUNSCREEN SPF 30 30GM GEL</t>
  </si>
  <si>
    <t>BINDU MADHAV PHARMA PVT LTD</t>
  </si>
  <si>
    <t>ABHISHEK MEDICAL AGENCIES</t>
  </si>
  <si>
    <t>OXIPLUS SYP</t>
  </si>
  <si>
    <t>REPENTO DSR</t>
  </si>
  <si>
    <t>MAA SHARDA</t>
  </si>
  <si>
    <t>13-OCT-2022</t>
  </si>
  <si>
    <t>ROCKFORD</t>
  </si>
  <si>
    <t>SHANKHIN HEALTHCARE</t>
  </si>
  <si>
    <t>MAITRI
ARPAN</t>
  </si>
  <si>
    <t>MELA WHITE</t>
  </si>
  <si>
    <t>AQUALAB</t>
  </si>
  <si>
    <t>VIVEK JAIN - 7987866921</t>
  </si>
  <si>
    <t>KESHARDEEP MARKET, SUBHASH CHOWK, INDORE MP</t>
  </si>
  <si>
    <t>CALISTA D</t>
  </si>
  <si>
    <t>OPTIMUS HEALTH CARE</t>
  </si>
  <si>
    <t>KOTHARI BR</t>
  </si>
  <si>
    <t>SANTIAGO LIFE SCIENCE</t>
  </si>
  <si>
    <t>SAI KRIPA PHARMA</t>
  </si>
  <si>
    <t>154 2ND FLOOR DAWA BAZAR</t>
  </si>
  <si>
    <t>15-OCT-2022</t>
  </si>
  <si>
    <t>16-OCT-2022</t>
  </si>
  <si>
    <t>17-OCT-2022</t>
  </si>
  <si>
    <t>COGELYC Q10 CAPSULE</t>
  </si>
  <si>
    <t>GADIN BIOTECH</t>
  </si>
  <si>
    <t>YADAV MEDICAL STORE</t>
  </si>
  <si>
    <t>18-OCT-2022</t>
  </si>
  <si>
    <t>GLAFIS M1</t>
  </si>
  <si>
    <t>BIONICS REMEDIES GUJ PVT LTD</t>
  </si>
  <si>
    <t>RHYTHM ENTERPRISES - 9893232274, 7000424739</t>
  </si>
  <si>
    <t>20-OCT-2022</t>
  </si>
  <si>
    <t>MEDFE</t>
  </si>
  <si>
    <t>ROSEWELL MEDICOSE</t>
  </si>
  <si>
    <t>ACNE JOY CAPSULES</t>
  </si>
  <si>
    <t>NUTRACOS</t>
  </si>
  <si>
    <t>ABHISHEK</t>
  </si>
  <si>
    <t>21-OCT-2022</t>
  </si>
  <si>
    <t>MAX CARE (NITIN KHARBANDA - 9893209297)</t>
  </si>
  <si>
    <t>AILVIL HEALTHCARE</t>
  </si>
  <si>
    <t>22-OCT-2022</t>
  </si>
  <si>
    <t>SARGICAL MEDI MART - ‪9039459437‬</t>
  </si>
  <si>
    <t>26-OCT-2022</t>
  </si>
  <si>
    <t>SAG HEALTH SCIENCE</t>
  </si>
  <si>
    <t>S S PHARMA</t>
  </si>
  <si>
    <t>LG 218 DAWABAZARINDORE</t>
  </si>
  <si>
    <t>28-OCT-2022</t>
  </si>
  <si>
    <t>PARRY PHARMA PVT LTD</t>
  </si>
  <si>
    <t>J D PHARMA, MR DIPAK - 9826071629</t>
  </si>
  <si>
    <t>163.A.F. SCH NO. 54, VIJAY NAGAR, INDOREMP</t>
  </si>
  <si>
    <t>29-OCT-2022</t>
  </si>
  <si>
    <t>ATTEMPT HEALTHCARE PRIVATE LIMITED</t>
  </si>
  <si>
    <t>FALODI</t>
  </si>
  <si>
    <t>DAWABAZARINDOREMP</t>
  </si>
  <si>
    <t>31-OCT-2022</t>
  </si>
  <si>
    <t>SUNMORE PHARMACEUTICALS PVT LTD
AJAY SHUKLA - 9826044202, 9131770662</t>
  </si>
  <si>
    <t>RAKESH MEDICAL AGENCIES
SUNMORE PHARMA
BAJAJ MEDICALAGENCIES</t>
  </si>
  <si>
    <t>INDORE DAWA BAZAR
AIRPORT ROAD INDORE
BHOPAL</t>
  </si>
  <si>
    <t>BESTEL LABORATORIESPVTLTD</t>
  </si>
  <si>
    <t>ETROXY-90</t>
  </si>
  <si>
    <t>PRATEEK PHARMA - 8839191211</t>
  </si>
  <si>
    <t>BIOVITAMINS</t>
  </si>
  <si>
    <t>A G PHARMA
TRIPATHI PHARMA</t>
  </si>
  <si>
    <t>UJJAINMP</t>
  </si>
  <si>
    <t>LYLINK SYRUP</t>
  </si>
  <si>
    <t>GREEK PHARMA</t>
  </si>
  <si>
    <t>DEVRAJ</t>
  </si>
  <si>
    <t>SHOPNO56, 4TH FLOOR DAWABAZAR, INDORE</t>
  </si>
  <si>
    <t>NORMOFLORA BV CAPSULE</t>
  </si>
  <si>
    <t>MMC</t>
  </si>
  <si>
    <t>ARCHANA CHEM
GUPTA MEDICAL STORES
RAJ MEDICOSE
SONAM PHARMA</t>
  </si>
  <si>
    <t>INDOREMP</t>
  </si>
  <si>
    <t>MAXQURE</t>
  </si>
  <si>
    <t>ALOK SINGH - ‪9826212205‬</t>
  </si>
  <si>
    <t>1-NOV-2022</t>
  </si>
  <si>
    <t>H &amp; B WELLNESS</t>
  </si>
  <si>
    <t>KRISHNA ENT.</t>
  </si>
  <si>
    <t>LG DAWABAZARINDOREMP</t>
  </si>
  <si>
    <t>2-NOV-2022</t>
  </si>
  <si>
    <t>AINPRO POWDER</t>
  </si>
  <si>
    <t>INJAYS PHARMACEUTICAL</t>
  </si>
  <si>
    <t>MANAS DISTRIBUTOR
JINESH PHARMA</t>
  </si>
  <si>
    <t>MOLNAFLU 200
VILDANEED M 500MG TABLET</t>
  </si>
  <si>
    <t>VERITAZ HEALTHCARE</t>
  </si>
  <si>
    <t>SANDESH</t>
  </si>
  <si>
    <t>3-NOV-2022</t>
  </si>
  <si>
    <t>PROGRESSIVELIFECARE</t>
  </si>
  <si>
    <t>AYASHA MEDICAL - 98265 87777</t>
  </si>
  <si>
    <t>59 LG DAWA BAZARINDOREMPINDIA</t>
  </si>
  <si>
    <t>4-NOV-2022</t>
  </si>
  <si>
    <t>EVANS PHARMA</t>
  </si>
  <si>
    <t>SHAH ENT</t>
  </si>
  <si>
    <t>5-NOV-2022</t>
  </si>
  <si>
    <t>EPRIVA CAPSULE</t>
  </si>
  <si>
    <t>AVRIVA SKINTECH PRIVATE LIMITED</t>
  </si>
  <si>
    <t>AMIT</t>
  </si>
  <si>
    <t>BRINTON</t>
  </si>
  <si>
    <t>BOBAL MEDICAL AGENCIES
KAPIL PHARMA
KHANDELWAL MEDICAL AGENCIES</t>
  </si>
  <si>
    <t>7-NOV-2022</t>
  </si>
  <si>
    <t>VIKRANT MEDICAL AGENCIES</t>
  </si>
  <si>
    <t>NERVIGUD PG</t>
  </si>
  <si>
    <t>ROWLINGES LIFE SCIENCES</t>
  </si>
  <si>
    <t>DHANVANTARI PHARMA - ‪7771900007‬</t>
  </si>
  <si>
    <t>MADHYA PRADESH, INDIA</t>
  </si>
  <si>
    <t>8-NOV-2022</t>
  </si>
  <si>
    <t>MAXIGLO CREAM 20GM</t>
  </si>
  <si>
    <t>SEGMENT CARE</t>
  </si>
  <si>
    <t>SHREE ANJANI AGENCIES</t>
  </si>
  <si>
    <t>COLISTOP DS SYRUP</t>
  </si>
  <si>
    <t>INDI PHARMA</t>
  </si>
  <si>
    <t>ANIL PHARMA
KAPIL PHARMA
SANDEEP PHARMA</t>
  </si>
  <si>
    <t>BHOPALMP</t>
  </si>
  <si>
    <t>NEMIHEAL CREAM</t>
  </si>
  <si>
    <t>MIL LABORATORIES</t>
  </si>
  <si>
    <t>KRISHNA ENT</t>
  </si>
  <si>
    <t>10-NOV-2022</t>
  </si>
  <si>
    <t>CARE TREE HEALTHCARE</t>
  </si>
  <si>
    <t>SUCHINT INDORE - 9826579611</t>
  </si>
  <si>
    <t>VC-WHITE FACE WASH</t>
  </si>
  <si>
    <t>11-NOV-2022</t>
  </si>
  <si>
    <t>VALAMIN CAPSULE</t>
  </si>
  <si>
    <t>VINAYAK AGENCIES</t>
  </si>
  <si>
    <t>SHAH ENTERPRISES
SHREEJIAGENCY</t>
  </si>
  <si>
    <t>12-NOV-2022</t>
  </si>
  <si>
    <t>VITASURE</t>
  </si>
  <si>
    <t>HEALTHKIND LABS PVT. LTD</t>
  </si>
  <si>
    <t>NEW ALAMIN - SHARUKHSALIM - 7869648655</t>
  </si>
  <si>
    <t>ZYNOVIA LIFE</t>
  </si>
  <si>
    <t>L R K REDDY - ‪9826040113‬</t>
  </si>
  <si>
    <t>13-NOV-2022</t>
  </si>
  <si>
    <t>BONSORB</t>
  </si>
  <si>
    <t>YOURMED HEALTHCARE</t>
  </si>
  <si>
    <t>SIDHI ENTERPRISES</t>
  </si>
  <si>
    <t>DIGICAL CT TAB</t>
  </si>
  <si>
    <t>ALISIER DRUGS</t>
  </si>
  <si>
    <t>SHYAMA PHARMA - 9826025076</t>
  </si>
  <si>
    <t>BE 117 FCH SCHIME NO 94, VIJAY NAGAR INDORE MP</t>
  </si>
  <si>
    <t>HELIX PHARMA</t>
  </si>
  <si>
    <t>SRIVINAYAK SALES CORPORATION
MR. GANESH WADE KAR - 9893081016</t>
  </si>
  <si>
    <t>OLCARE LABORATORIES</t>
  </si>
  <si>
    <t>BOBAL MEDICAL AGENCIES
NIKITA ENTERPRISES</t>
  </si>
  <si>
    <t>14-NOV-2022</t>
  </si>
  <si>
    <t>PATACIN EYE DROPS</t>
  </si>
  <si>
    <t>OPCIN PHARMA PVT LTD</t>
  </si>
  <si>
    <t>KUMAR</t>
  </si>
  <si>
    <t>PRIMOSA BOOST SOFTGELS</t>
  </si>
  <si>
    <t>UNIVERSAL NUTRISCIENCE</t>
  </si>
  <si>
    <t>SANDES</t>
  </si>
  <si>
    <t>NEUROCK PLUS INJ
ACHIEV 4G</t>
  </si>
  <si>
    <t>MIHIR BHATT - ‪7828840410, ‪7879277602‬‬</t>
  </si>
  <si>
    <t>15-NOV-2022</t>
  </si>
  <si>
    <t>JOUSTER</t>
  </si>
  <si>
    <t>JARUN PHARMA</t>
  </si>
  <si>
    <t>HIRA MED
PANDIT MARKETING</t>
  </si>
  <si>
    <t>PARKINTA 2 10</t>
  </si>
  <si>
    <t>ARINNA LIFE SCIENCES</t>
  </si>
  <si>
    <t>DERMA HOUSE
SHREE MEDICAL AGENCIES
SHREE MEDICAL AGENCIES</t>
  </si>
  <si>
    <t>IVA HEALTHCARE</t>
  </si>
  <si>
    <t>ABHINAV MEDICOSE - 9926124321</t>
  </si>
  <si>
    <t>DAWABAZAR INDOREMP</t>
  </si>
  <si>
    <t>17-NOV-2022</t>
  </si>
  <si>
    <t>BSA PHARMA</t>
  </si>
  <si>
    <t>ASHI MEDICAL AGENCY</t>
  </si>
  <si>
    <t>NEW VECCINHOUSE</t>
  </si>
  <si>
    <t>ESOWELL DSRCAP</t>
  </si>
  <si>
    <t>18-NOV-2022</t>
  </si>
  <si>
    <t>LAXIAN PHARMA MANISH GUPTA - ‪9425479564, ‪9131237208‬‬</t>
  </si>
  <si>
    <t>CURE QUICK PHARMA</t>
  </si>
  <si>
    <t>MAXWELL</t>
  </si>
  <si>
    <t>SHANTINATH MEDICAL AGENCIES
VISHAL GENERIC</t>
  </si>
  <si>
    <t>19-NOV-2022</t>
  </si>
  <si>
    <t>REINDEER INDIA</t>
  </si>
  <si>
    <t>HIRA MEDICAL</t>
  </si>
  <si>
    <t>ESPEE FORMULATION</t>
  </si>
  <si>
    <t>SANGHVI MEDICAL AG. BHAVESH BHAI - 9425074265</t>
  </si>
  <si>
    <t>21-NOV-2022</t>
  </si>
  <si>
    <t>K ZPTO SHAMPOO</t>
  </si>
  <si>
    <t>HBC DERMIZA HEALTHCARE PRIVATE LIMITED</t>
  </si>
  <si>
    <t>1. SHREESAI MEDICO &amp; SURGICAL INDORE 2. SHANTI MEDICAL 3. CEE CEE AGENCIES</t>
  </si>
  <si>
    <t>DECCAN HEALTHCARE</t>
  </si>
  <si>
    <t>JAI PHARMA
JAIN MEDICAL AGENCIES</t>
  </si>
  <si>
    <t>WILBURT REMEDIES PVT.LTD</t>
  </si>
  <si>
    <t>KAPIL PHARMA
PARSHWA PHARMA</t>
  </si>
  <si>
    <t>GAVIRAFT ORAL SUSPENSION</t>
  </si>
  <si>
    <t>ELAN PHARMA INDIA PVT LTD</t>
  </si>
  <si>
    <t>AMIT MEDICOSE
KHANDELWAL PHARMACEUTICAL</t>
  </si>
  <si>
    <t>22-NOV-2022</t>
  </si>
  <si>
    <t>MAXEL PHARMA</t>
  </si>
  <si>
    <t>GOUTAM MEDICAL
DR RP SISODIYA SISODIYA - ‪9893002879‬</t>
  </si>
  <si>
    <t>LG DAWA BAZAR INDOREMP</t>
  </si>
  <si>
    <t>IGCON ACNE CREAM</t>
  </si>
  <si>
    <t>LIFECOM PHARMACEUTICALS</t>
  </si>
  <si>
    <t>AKSHAY MARKETING
VIMAL AGENCY
HIRA</t>
  </si>
  <si>
    <t>139, SR COMPOUND, LASUDIYA MORI, DEVASNAKA, INDOREMP</t>
  </si>
  <si>
    <t>158, 3RD FLOOR DAWABAZARINDOREMP</t>
  </si>
  <si>
    <t>1. AMPOULE HOUSE L/G
2. KAPADIA STORE 1ST FLOOR
3. VISHAL GENERICS L/G
4. SAPPHIRE DRUGS GROUND FLOOR
5.MACDONAGL/G</t>
  </si>
  <si>
    <t>23-NOV-2022</t>
  </si>
  <si>
    <t>VILNORM-M 500 TAB</t>
  </si>
  <si>
    <t>ATON BIOTECH</t>
  </si>
  <si>
    <t>K M MEDICAL AGENCIES</t>
  </si>
  <si>
    <t>24-NOV-2022</t>
  </si>
  <si>
    <t>ALLOES PHARMACEUTICALS</t>
  </si>
  <si>
    <t>GALAXY PHARMA</t>
  </si>
  <si>
    <t>25-NOV-2022</t>
  </si>
  <si>
    <t>LACTIEASE</t>
  </si>
  <si>
    <t>GICARE LIFESCIENCES</t>
  </si>
  <si>
    <t>ICEBERG HEALTHCARE PRIVATE LIMITED</t>
  </si>
  <si>
    <t>SHREE GANESHMEDICOSE</t>
  </si>
  <si>
    <t>LG-72, DAWA BAZAAR, 13-14 R.N.T. MARG, INDORE</t>
  </si>
  <si>
    <t>26-NOV-2022</t>
  </si>
  <si>
    <t>BIODERMA ATODERM INTENSIVE PAIN CLEANSING ULTRA-RICHSOAP</t>
  </si>
  <si>
    <t>BIODERMA</t>
  </si>
  <si>
    <t>AMIT MEDICOSE
GANESH PHARMA</t>
  </si>
  <si>
    <t>DIAGLUMIK M</t>
  </si>
  <si>
    <t>RUMIK LIFESCIENCE PVT. LTD.</t>
  </si>
  <si>
    <t>MEPALENT - 8103548116</t>
  </si>
  <si>
    <t>DAWABAZARINDORE</t>
  </si>
  <si>
    <t>GENESIS</t>
  </si>
  <si>
    <t>CENTRAL CHEMIST
SHAH ENTERPRISES</t>
  </si>
  <si>
    <t>28-NOV-2022</t>
  </si>
  <si>
    <t>CONNOTE HEALTH CARE</t>
  </si>
  <si>
    <t>VIMAL MEDICAL
MR SAJAN - 9770677877</t>
  </si>
  <si>
    <t>OBIOTIC</t>
  </si>
  <si>
    <t>BRD MEDILAB</t>
  </si>
  <si>
    <t>MR. ANKIT GARG SAFFRON INDORE - ‪9926053250‬</t>
  </si>
  <si>
    <t>UNIHERB</t>
  </si>
  <si>
    <t>KANAK AYURVED STORE - ‪9826425537‬</t>
  </si>
  <si>
    <t>DAWA BAZAR, BASEMENT</t>
  </si>
  <si>
    <t>ACINTA PHARMACEUTICAL</t>
  </si>
  <si>
    <t>LIFESAVER
PARAG MEDICALAGENCY</t>
  </si>
  <si>
    <t>CINTAGEST SYRUP</t>
  </si>
  <si>
    <t>ACINTA PHARMACEUTICALS PRIVATELIMITED</t>
  </si>
  <si>
    <t>PERILLA LIFE SCIENCE PVT LTD</t>
  </si>
  <si>
    <t>SANGITA ENT</t>
  </si>
  <si>
    <t>29-NOV-2022</t>
  </si>
  <si>
    <t>GYNOGEN CAPTAB</t>
  </si>
  <si>
    <t>KABIR LIFE SCIENCES</t>
  </si>
  <si>
    <t>KOTHARI BR.
CNF ANSH PHARMA - 9826600001</t>
  </si>
  <si>
    <t>DAWABAZAR INDORE M</t>
  </si>
  <si>
    <t>GLOBEX HEALTHCARE</t>
  </si>
  <si>
    <t>YUKORT SHAMPOO</t>
  </si>
  <si>
    <t>CUTIS DERMACARE</t>
  </si>
  <si>
    <t>BAFNA</t>
  </si>
  <si>
    <t>30-NOV-2022</t>
  </si>
  <si>
    <t>CONATUS HEALTHCARE PRIVATE LIMITED</t>
  </si>
  <si>
    <t>ANILA AGENCIES</t>
  </si>
  <si>
    <t>2-DEC-2022</t>
  </si>
  <si>
    <t>PROXYLIVE CAPSULES 10'S</t>
  </si>
  <si>
    <t>ONCOBIOTEK DRUGSPVTLTD</t>
  </si>
  <si>
    <t>P P ENT - 9893438386</t>
  </si>
  <si>
    <t>GR FLOOR CHETAK CHEMBUR INDORE MP</t>
  </si>
  <si>
    <t>3-DEC-2022</t>
  </si>
  <si>
    <t>FOOD IN SYP</t>
  </si>
  <si>
    <t>STANROCK LIFE SCIENCES</t>
  </si>
  <si>
    <t>4-DEC-2022</t>
  </si>
  <si>
    <t>GRANMED PHARMA PVT. LTD</t>
  </si>
  <si>
    <t>DURGA MEDICOSE</t>
  </si>
  <si>
    <t>291, MG ROADINDOREMP</t>
  </si>
  <si>
    <t>5-DEC-2022</t>
  </si>
  <si>
    <t>JM-TAZ 4.5</t>
  </si>
  <si>
    <t>JM LIFE SCIENCES</t>
  </si>
  <si>
    <t>SHREENEMIPHARMA
‪PRADYUMAN JAIN -9425479213‬</t>
  </si>
  <si>
    <t>6-DEC-2022</t>
  </si>
  <si>
    <t>VOSKETO ALPHA</t>
  </si>
  <si>
    <t>VOSTRO CRITICAL CARE</t>
  </si>
  <si>
    <t>ANSH PHARMA - ‪9826600001‬</t>
  </si>
  <si>
    <t>PAYALOKILL AYURVEDIC SYRUPS</t>
  </si>
  <si>
    <t>VARDAN HEALTH CARE</t>
  </si>
  <si>
    <t>MAXCARE PHARMA
NITINJI - 989320927</t>
  </si>
  <si>
    <t>8-DEC-2022</t>
  </si>
  <si>
    <t>ELEGANT COSMED PVT. LTD.</t>
  </si>
  <si>
    <t>10-DEC-2022</t>
  </si>
  <si>
    <t>COLINZ LABORATORIES</t>
  </si>
  <si>
    <t>SUJATA MEDICOSE</t>
  </si>
  <si>
    <t>LG-74, DAWA BAZAR, 13-14, R.N.T. MARG, INDOREINDORE</t>
  </si>
  <si>
    <t>AVONIC LIFE SCIENCE</t>
  </si>
  <si>
    <t>SARADIUS INCO - 9406600439</t>
  </si>
  <si>
    <t>ASHI MEDICOS
ASHI MEDICOSE ARPIT JAIN DERMECIA HEALTH CARE INDORE
‪9575746867‬</t>
  </si>
  <si>
    <t>12-DEC-2022</t>
  </si>
  <si>
    <t>SKYMAX LABORATORIES</t>
  </si>
  <si>
    <t>FALODI DAWABAZARINDOREMP</t>
  </si>
  <si>
    <t>DHANVANTARI PHARMA
AMIT NARIYA - 7771900007‬
AMIT.NANERIA18@GMAIL.COM</t>
  </si>
  <si>
    <t>MAHESWARI PHARMACEUTICAL</t>
  </si>
  <si>
    <t>PRATIK MEDICOSE</t>
  </si>
  <si>
    <t>13-DEC-2022</t>
  </si>
  <si>
    <t>LAC DERM
MAJIGLOW CREAM 30GM</t>
  </si>
  <si>
    <t>TRIKONA PHARMA</t>
  </si>
  <si>
    <t>NEELAY - 9425060260, 0731-4101737</t>
  </si>
  <si>
    <t>134, 3RD FLOOR DAWABAZAR INDOREMP</t>
  </si>
  <si>
    <t>HYDRONOMICS FORT PLUS</t>
  </si>
  <si>
    <t>VRH</t>
  </si>
  <si>
    <t>KARTIK ENT
SAJAN KARTIK ENT - 9165893494</t>
  </si>
  <si>
    <t>SANCHARNAGAR, INDORE MP</t>
  </si>
  <si>
    <t>NEOCAT POWDER</t>
  </si>
  <si>
    <t>NUTRICIA</t>
  </si>
  <si>
    <t>DAWA BAZAARINDOREMP</t>
  </si>
  <si>
    <t>CRYMCY TAB</t>
  </si>
  <si>
    <t>CYTOZ PHARMA</t>
  </si>
  <si>
    <t>PREM MEDICAL AGENCIES</t>
  </si>
  <si>
    <t>15-DEC-2022</t>
  </si>
  <si>
    <t>GLOWNIA</t>
  </si>
  <si>
    <t>TURMNOVA</t>
  </si>
  <si>
    <t>GELNOVA</t>
  </si>
  <si>
    <t>SANCHIT ENT</t>
  </si>
  <si>
    <t>1ST FLOOR GANESH MARKET, DAWABAZARINDOREMP</t>
  </si>
  <si>
    <t>DICEF O TAB</t>
  </si>
  <si>
    <t>ALLURE REMEDIES</t>
  </si>
  <si>
    <t>VIMAL MEDICAL AGENCIES</t>
  </si>
  <si>
    <t>RAGIMAN REMEDIES</t>
  </si>
  <si>
    <t>CHIRAG DISTBUTERS
AMIT MEDICAL AGENCIES
DEEPAK MEDICOSE
NEW VENUS MARKETING
KRISHNA MEDICAL AGENCIES</t>
  </si>
  <si>
    <t>DAWA BAZAR INDORE
SHIVAJI CHOCK KHANDWA
NEAR SHANI MANDIR BURHANPUR
KHARGONE
HARDA</t>
  </si>
  <si>
    <t>SAPIENS</t>
  </si>
  <si>
    <t>NITYA ENT
NITYA ENT PARMAR - 9425075794</t>
  </si>
  <si>
    <t>16-DEC-2022</t>
  </si>
  <si>
    <t>MEDCURE PHARMACEUTICALS</t>
  </si>
  <si>
    <t>SANJIVANI MEDICOSE</t>
  </si>
  <si>
    <t>MEDIQUEST PHARMA</t>
  </si>
  <si>
    <t>RISHI RAJ PHARMA - 9977367956</t>
  </si>
  <si>
    <t>MAHESHWARI PHARMACEUTICALSLTD</t>
  </si>
  <si>
    <t>SHREE JI MEDICOSE</t>
  </si>
  <si>
    <t>DAWA BAZARINDOREMP</t>
  </si>
  <si>
    <t>CEEPLUS</t>
  </si>
  <si>
    <t>BIOVITAMINS PRIVATE LIMITED</t>
  </si>
  <si>
    <t>DIMAND MEDICAL STORE</t>
  </si>
  <si>
    <t>13-14 RNT MARG, M-105 1ST FLOOR MEDICINE CHEMBER, INDOREMP</t>
  </si>
  <si>
    <t>CYTOZ PHARMACEUTICAL</t>
  </si>
  <si>
    <t>GANESH PHARMA , DAWABAZARINDOREMP</t>
  </si>
  <si>
    <t>SARA REMEDIES</t>
  </si>
  <si>
    <t>AGRWAL PHARMA</t>
  </si>
  <si>
    <t>LG DAWA BAZARINDOREMP</t>
  </si>
  <si>
    <t>17-DEC-2022</t>
  </si>
  <si>
    <t>LIVEON HEALTH CARE</t>
  </si>
  <si>
    <t>JAIN MEDICAL</t>
  </si>
  <si>
    <t>GAURAV KESHARWANI - 9712758477</t>
  </si>
  <si>
    <t>19-DEC-2022</t>
  </si>
  <si>
    <t>DEW DROPS LABS</t>
  </si>
  <si>
    <t>ARCHNA CHEM
MODI PHARMA</t>
  </si>
  <si>
    <t>21-DEC-2022</t>
  </si>
  <si>
    <t>MYTHON BIOSCIENCES PRIVATE LIMITED</t>
  </si>
  <si>
    <t>VENTUS PHARMACEUTICALS PRIVATE LIMITED - ‪9039864222‬</t>
  </si>
  <si>
    <t>13, 3TH FLOOR, 171, DAWA BAZAR, RNT MARG, INDORE</t>
  </si>
  <si>
    <t>DM GLOW CREAM</t>
  </si>
  <si>
    <t>ANCALIMA LIFE SCIENCE</t>
  </si>
  <si>
    <t>ALVION CAP</t>
  </si>
  <si>
    <t>ALVIO PHARMACEUTICALS PVT LTD</t>
  </si>
  <si>
    <t>VITAROM-C
SALIGO 70GM FACE WASH</t>
  </si>
  <si>
    <t>MAYANK MEDICAL AGENCY (RH)
MR. HEMANT PUROHIT-09893107518,098272-22344,0734-2557741,9575503322, 09926017747-KUSUM</t>
  </si>
  <si>
    <t>22-DEC-2022</t>
  </si>
  <si>
    <t>DGFAST AC CAPSULE</t>
  </si>
  <si>
    <t>ORAMA LIFE SCIENCES</t>
  </si>
  <si>
    <t>ATISHAY</t>
  </si>
  <si>
    <t>BIXORI 90MG TABLET</t>
  </si>
  <si>
    <t>SOLACE BIOTECH LTD</t>
  </si>
  <si>
    <t>MODI PHARMA
SHREE ANJANI AGENCIES
SURAJ MEDICALAGENCIES</t>
  </si>
  <si>
    <t>NEXGEN</t>
  </si>
  <si>
    <t>MODI
AGRWAL PHARMA</t>
  </si>
  <si>
    <t>ALBIA BIOCARE</t>
  </si>
  <si>
    <t>SAI KRUPA PHARMA</t>
  </si>
  <si>
    <t>154, 2ND FLOOR DAWABAZAR INDORE MP</t>
  </si>
  <si>
    <t>AURO LAB</t>
  </si>
  <si>
    <t>VISION CARE SOLUTIONS</t>
  </si>
  <si>
    <t>82 , 2ND FLOOR DAWABAZAR INDORE MP</t>
  </si>
  <si>
    <t>BIOSYS MEDISCINCE</t>
  </si>
  <si>
    <t>23-DEC-2022</t>
  </si>
  <si>
    <t>NUROBYTE D3</t>
  </si>
  <si>
    <t>ETHICS</t>
  </si>
  <si>
    <t>LG 72 DAWABAZARINDOREMP</t>
  </si>
  <si>
    <t>VIRBAC INDIA</t>
  </si>
  <si>
    <t>ALIDE DISTRIBUTOR
GEET MEDICAL
MAHAVEER</t>
  </si>
  <si>
    <t>YD3-60KCAP</t>
  </si>
  <si>
    <t>24-DEC-2022</t>
  </si>
  <si>
    <t>ZEE LABORATORY (BIOROME)</t>
  </si>
  <si>
    <t>CUREGA HEALTH CARE</t>
  </si>
  <si>
    <t>VIDHI PHARMA - 8319625729</t>
  </si>
  <si>
    <t>26-DEC-2022</t>
  </si>
  <si>
    <t>CELBONE PLUS</t>
  </si>
  <si>
    <t>CELIOM HEALTHCARE</t>
  </si>
  <si>
    <t>AVON COMBINE</t>
  </si>
  <si>
    <t>MATRIXX FORMULATION</t>
  </si>
  <si>
    <t>VAISHALI DISTRIBUTIOR - 9826479800</t>
  </si>
  <si>
    <t>27-DEC-2022</t>
  </si>
  <si>
    <t>SPECIALITY MEDITECH PVT. LTD</t>
  </si>
  <si>
    <t>S SENT - 9752519807</t>
  </si>
  <si>
    <t>DERMACIA HEALTHCARE</t>
  </si>
  <si>
    <t>ASHI MEDICAL AGENCY - 9893482238</t>
  </si>
  <si>
    <t>MICROCHEM 300 SR TABLET</t>
  </si>
  <si>
    <t>LEECHEM BIOTECH</t>
  </si>
  <si>
    <t>LIFE SAVER</t>
  </si>
  <si>
    <t>LG 43 DAWA BAZAAR INDORE MP</t>
  </si>
  <si>
    <t>28-DEC-2022</t>
  </si>
  <si>
    <t>BRAWNY MR, 60+4MG</t>
  </si>
  <si>
    <t>ECLIPTA PHARMACEUTICAL PRIVATE LIMITED</t>
  </si>
  <si>
    <t>ARPAN MEDICAL AGENCIES
SWAPNIL MEDICAL AGENCIES</t>
  </si>
  <si>
    <t>31-DEC-2022</t>
  </si>
  <si>
    <t>FEBATE</t>
  </si>
  <si>
    <t>ZUBIT</t>
  </si>
  <si>
    <t>MODI PHARMA
KASH PHARMA AGENCIES</t>
  </si>
  <si>
    <t>4-JAN-2023</t>
  </si>
  <si>
    <t>BIOSHINE HEALTH CARE</t>
  </si>
  <si>
    <t>SHREE GAJANAN - 9993303680</t>
  </si>
  <si>
    <t>5-JAN-2023</t>
  </si>
  <si>
    <t>AMAGENINDIA</t>
  </si>
  <si>
    <t>PLATINUM DRUGS - 9302306233</t>
  </si>
  <si>
    <t>115,ASHISH NAGAR, BANGALI SQUARE, INDORE</t>
  </si>
  <si>
    <t>CINTAGEST SYRUP 200 ML</t>
  </si>
  <si>
    <t>GOUTAM MEDICAL - DR RP SISODIYA SISODIYA - ‪9893002879‬</t>
  </si>
  <si>
    <t>6-JAN-2023</t>
  </si>
  <si>
    <t>PROTOSKIN LOTION</t>
  </si>
  <si>
    <t>INDLIFE</t>
  </si>
  <si>
    <t>MAYA MEDICAL AGENCIES
SHOP - 07314901826, RAJENDRA JI RATHORE - 7509444492</t>
  </si>
  <si>
    <t>203, LG, DAWA BAZAR, 13-14, R.N.T. MARG, INDORE</t>
  </si>
  <si>
    <t>TERBIS A SYP</t>
  </si>
  <si>
    <t>ALBRIS HEALTH CARE</t>
  </si>
  <si>
    <t>SHREE KRISHNAMARKETING
GOPAL PATIDAR UJN - 9752298606</t>
  </si>
  <si>
    <t>DEMO 50MG TABLET</t>
  </si>
  <si>
    <t>DD PHARMACEUTICALS</t>
  </si>
  <si>
    <t>HEPAEURO
MESAEURO 1.2GM TABLET PR
HEPAEURO GRANULES
LACTIEURO GRANULES
MEXOHAR50MGCAPSULE</t>
  </si>
  <si>
    <t>GURMAIL BROTHER</t>
  </si>
  <si>
    <t>TTDENT - RAHUL LADDHA - 8871669483</t>
  </si>
  <si>
    <t>PLENTEOUS</t>
  </si>
  <si>
    <t>SACRED MEDICARE - JITENDER JI MANDLOI - 9826097902</t>
  </si>
  <si>
    <t>HACKS &amp; SLACKS HEALTHCARE</t>
  </si>
  <si>
    <t>ARPAN</t>
  </si>
  <si>
    <t>MEDOPHARM ( JUBILANTDIV)</t>
  </si>
  <si>
    <t>SIDDHI ENTERPRISE
SANMATI ENTERPRISE</t>
  </si>
  <si>
    <t>YAMI PHARMA</t>
  </si>
  <si>
    <t>NAVEEN ENT</t>
  </si>
  <si>
    <t>DAWA BAZAR INDOREMPINDIA</t>
  </si>
  <si>
    <t>7-JAN-2023</t>
  </si>
  <si>
    <t>9-JAN-2023</t>
  </si>
  <si>
    <t>NEXIFLOW D</t>
  </si>
  <si>
    <t>NEXINA LIFE SCIENCES</t>
  </si>
  <si>
    <t>VEINFLUX FORTE</t>
  </si>
  <si>
    <t>AARUX PHARMA</t>
  </si>
  <si>
    <t>BAJAJPHARMA</t>
  </si>
  <si>
    <t>10-JAN-2023</t>
  </si>
  <si>
    <t>BAKLIWAL BROTHERS</t>
  </si>
  <si>
    <t>DAWABAZARINDORE MP</t>
  </si>
  <si>
    <t>11-JAN-2023</t>
  </si>
  <si>
    <t>STARTELL BIOCEUTICALS PVT LTD</t>
  </si>
  <si>
    <t>KESHARDEEP MARKET, SUBHASHCHOWK, INDORE</t>
  </si>
  <si>
    <t>12-JAN-2023</t>
  </si>
  <si>
    <t>INDU PHARMA</t>
  </si>
  <si>
    <t>TARUN RATHORE - 9993425251</t>
  </si>
  <si>
    <t>VOITHEA HEALTHCARE PVT. LTD.</t>
  </si>
  <si>
    <t>A ONE COMBINS</t>
  </si>
  <si>
    <t>13-JAN-2023</t>
  </si>
  <si>
    <t>MERISTA</t>
  </si>
  <si>
    <t>LINCOLN PHARMACEUTICALS LTD</t>
  </si>
  <si>
    <t>PRAGATI</t>
  </si>
  <si>
    <t>NORTIC HEALTH CARE</t>
  </si>
  <si>
    <t>ARPAN MEDICAL AGENCY</t>
  </si>
  <si>
    <t>14-JAN-2023</t>
  </si>
  <si>
    <t>FLIXZON PHARMA - 9589400955</t>
  </si>
  <si>
    <t>15-JAN-2023</t>
  </si>
  <si>
    <t>SARTOJ CT TAB</t>
  </si>
  <si>
    <t>OJAL PHARAMACUTICAL</t>
  </si>
  <si>
    <t>8 LG PRESIDENTTOWER, INDORE MP</t>
  </si>
  <si>
    <t>18-JAN-2023</t>
  </si>
  <si>
    <t>EVA DISTRIBUTOR - ANKUSHJI - 7489114748</t>
  </si>
  <si>
    <t>19-JAN-2023</t>
  </si>
  <si>
    <t>GMH PHARMACEUTICAL</t>
  </si>
  <si>
    <t>SWASTIK - 9406883379</t>
  </si>
  <si>
    <t>20-JAN-2023</t>
  </si>
  <si>
    <t>ARHAM MEDISALES</t>
  </si>
  <si>
    <t>AMPOULE HOUSE
SHRI SANWARIYA MEDICAL</t>
  </si>
  <si>
    <t>AGRAWAL PHARMA
TIRUPATI MEDICAL AGENCIES</t>
  </si>
  <si>
    <t>CELIZAREN TABLET</t>
  </si>
  <si>
    <t>STANFORD BIOTECH</t>
  </si>
  <si>
    <t>SIDDHI INTERPRISES
ANILA</t>
  </si>
  <si>
    <t>DOCTURE PHARMACEUTICAL</t>
  </si>
  <si>
    <t>CSR MEDICAL - RAJENDRA MOURYA - 7415178917</t>
  </si>
  <si>
    <t>21-JAN-2023</t>
  </si>
  <si>
    <t>NOVALAB</t>
  </si>
  <si>
    <t>VAISHALI DISTRIBUTOR</t>
  </si>
  <si>
    <t>23-JAN-2023</t>
  </si>
  <si>
    <t>LYCO 4G STRIP OF 10 VEG CAPSULES</t>
  </si>
  <si>
    <t>SWASTH BIOTECH PRIVATE LIMITED</t>
  </si>
  <si>
    <t>LIFE SAVER
MODI PHARMA
SHANTINATH MEDICAL AGENCIES</t>
  </si>
  <si>
    <t>24-JAN-2023</t>
  </si>
  <si>
    <t>CURE N CURE</t>
  </si>
  <si>
    <t>ABHISHEK
MHAVEER
JEET</t>
  </si>
  <si>
    <t>WINWAY</t>
  </si>
  <si>
    <t>HBC DERMIZA</t>
  </si>
  <si>
    <t>SHREESAI MEDICO &amp; SURGICAL INDORE SHANTI MEDICAL CEECEEAGENCIES</t>
  </si>
  <si>
    <t>POCKET HEALTHCARE PVT. LTD.</t>
  </si>
  <si>
    <t>DIMOND MEDICAL AGENCIES</t>
  </si>
  <si>
    <t>25-JAN-2023</t>
  </si>
  <si>
    <t>ACME PHARMA</t>
  </si>
  <si>
    <t>ALKON PHARMA - 9327058863</t>
  </si>
  <si>
    <t>327,FIRST FLOOR,DAWABAZAR, RNT MARG,INDORE</t>
  </si>
  <si>
    <t>LUXICA PHARMA</t>
  </si>
  <si>
    <t>OPAQUE BIOCEUTICALS LTD - 9425490563</t>
  </si>
  <si>
    <t>27-JAN-2023</t>
  </si>
  <si>
    <t>TRIVIGYA BIOSCIENCE</t>
  </si>
  <si>
    <t>PRABHA PHARMA - 9425058283</t>
  </si>
  <si>
    <t>ZEYCNOVO LIFE SCIENCES PVT LTD</t>
  </si>
  <si>
    <t>ABHISHEK
PANDIT SALES</t>
  </si>
  <si>
    <t>CALSPA K2</t>
  </si>
  <si>
    <t>SPICALAB</t>
  </si>
  <si>
    <t>MANNORASSOCIAT</t>
  </si>
  <si>
    <t>6 , 2END FLOOR DAWABAZAR INDORE MP</t>
  </si>
  <si>
    <t>28-JAN-2023</t>
  </si>
  <si>
    <t>AMPOULE HOUSE L/G
KAPADIA STORE 1ST FLOOR
VISHAL GENERICS L/G
SAPPHIRE DRUGS GROUND FLOOR
MACDONAGL/G</t>
  </si>
  <si>
    <t>30-JAN-2023</t>
  </si>
  <si>
    <t>31-JAN-2023</t>
  </si>
  <si>
    <t>ELEVIT OD</t>
  </si>
  <si>
    <t>238 1ST FLOOR DAWA BAZAARINDOREMP</t>
  </si>
  <si>
    <t>FERIDON SYP</t>
  </si>
  <si>
    <t>VARDHAN HEALTH CARE PVT LTD</t>
  </si>
  <si>
    <t>JEET ENT</t>
  </si>
  <si>
    <t>1-FEB-2023</t>
  </si>
  <si>
    <t>ACTICON LIFE SCIENCES</t>
  </si>
  <si>
    <t>KRISHNA ENTERPRISES - RAJESH JI - 8839507895</t>
  </si>
  <si>
    <t>NEON ONCOLOGY</t>
  </si>
  <si>
    <t>NOVA BROTHERS</t>
  </si>
  <si>
    <t>ACEXO AC</t>
  </si>
  <si>
    <t>OTHANTIC PHARMACEUTICAL</t>
  </si>
  <si>
    <t>2-FEB-2023</t>
  </si>
  <si>
    <t>MONARK
ULTRAZOR-DHA</t>
  </si>
  <si>
    <t>NORCHEM HEALTHCARE</t>
  </si>
  <si>
    <t>SHREENATH
SHREEJI</t>
  </si>
  <si>
    <t>AZPAR</t>
  </si>
  <si>
    <t>JV HEALTHCARE</t>
  </si>
  <si>
    <t>MAHALAXMI MEDICOSE - 8770116411, 9977833398</t>
  </si>
  <si>
    <t>3-FEB-2023</t>
  </si>
  <si>
    <t>METR 8MG TABLET 10S</t>
  </si>
  <si>
    <t>GITUS HEALTH CARE PRIVATE LIMITED</t>
  </si>
  <si>
    <t>INMED THERAPEUTICS</t>
  </si>
  <si>
    <t>RETRACAL D3
CONICAIN S 1000MG SYRUP
CONALIV 300MG TABLET</t>
  </si>
  <si>
    <t>CONIAK LIFE SCIENCES
DIVISION OF
NOVALAB</t>
  </si>
  <si>
    <t>4-FEB-2023</t>
  </si>
  <si>
    <t>EXCOBAL GB TAB</t>
  </si>
  <si>
    <t>ZOREX PHARMA PVTLTD</t>
  </si>
  <si>
    <t>KUMAR MEDICAL</t>
  </si>
  <si>
    <t>DAXIA HEALTHCARE PVT. LTD</t>
  </si>
  <si>
    <t>LEELA ENT</t>
  </si>
  <si>
    <t>6-FEB-2023</t>
  </si>
  <si>
    <t>JOLLY HEALTHCARE PVTLTD</t>
  </si>
  <si>
    <t>AABHAS PHARMA - MR GAURAV - 9981205679</t>
  </si>
  <si>
    <t>APPLE BIOTECH</t>
  </si>
  <si>
    <t>ARCHANA CHEM
AMIT MEDICOSE
SHREE ANJANI
ARIHANT ENTERPRISES</t>
  </si>
  <si>
    <t>BIOQEM PHARMA</t>
  </si>
  <si>
    <t>INDORE HEARBLE AG. - 8871850563, 6264236155</t>
  </si>
  <si>
    <t>DOULAT GANJ, ZANDA CHOWK, INDORE MP</t>
  </si>
  <si>
    <t>7-FEB-2023</t>
  </si>
  <si>
    <t>SEPIK LIFE SCIENCES</t>
  </si>
  <si>
    <t>R N BROTHERS - 9926838979</t>
  </si>
  <si>
    <t>ANNAPURNA ROAD, INDOREMP</t>
  </si>
  <si>
    <t>GLAND PHARMA</t>
  </si>
  <si>
    <t>8-FEB-2023</t>
  </si>
  <si>
    <t>PPILOC-LSR CAPSULE</t>
  </si>
  <si>
    <t>MEDLOCK HEALTHCARE PVT LTD</t>
  </si>
  <si>
    <t>PROGEMOM SR 200MG TABLET</t>
  </si>
  <si>
    <t>ADITSA HEALTHCARE
SHREE GANESH MEDICOSE</t>
  </si>
  <si>
    <t>9-FEB-2023</t>
  </si>
  <si>
    <t>VINASIA LIFESCIENCES</t>
  </si>
  <si>
    <t>ATISHAY PHARMA</t>
  </si>
  <si>
    <t>DURAGEN
QPLEX</t>
  </si>
  <si>
    <t>INTEGRA LIFESCIENCES</t>
  </si>
  <si>
    <t>MODI PHARMA</t>
  </si>
  <si>
    <t>CLARIWEL</t>
  </si>
  <si>
    <t>AGARWALPHARMA</t>
  </si>
  <si>
    <t>GROWMAX MEDICARE</t>
  </si>
  <si>
    <t>OPAQUE PHARMA</t>
  </si>
  <si>
    <t>271, 1ST FLOOR DAWA BAZAARINDOREMP</t>
  </si>
  <si>
    <t>PRECEPT PHARMA</t>
  </si>
  <si>
    <t>LAXIAN PHARMA - MANISH GUPTA - 9425479564, 9131237208</t>
  </si>
  <si>
    <t>10-FEB-2023</t>
  </si>
  <si>
    <t>MINT LIFE SCIENCE</t>
  </si>
  <si>
    <t>MEGACORP LIFE SCIENCES - 9826045001</t>
  </si>
  <si>
    <t>11-FEB-2023</t>
  </si>
  <si>
    <t>BIOPOLIS LIFE SCIENCES</t>
  </si>
  <si>
    <t>MILANSHU INDORE - 7014939863</t>
  </si>
  <si>
    <t>NEON LABORATORY</t>
  </si>
  <si>
    <t>RAJPAL, KIRAN, QUALITY</t>
  </si>
  <si>
    <t>12-FEB-2023</t>
  </si>
  <si>
    <t>MEMOPI HC CREAM
UT-CARE UTERINE TONIC, 200 ML
UT-CARE UTERINE TONIC, 200 ML</t>
  </si>
  <si>
    <t>ORISON PHARMA INTERNATIONAL</t>
  </si>
  <si>
    <t>SHAH PHARMA</t>
  </si>
  <si>
    <t>63, 2ND FLOOR DAWA BAZAARINDOREMP</t>
  </si>
  <si>
    <t>ACILUS PHARMA PVT. LTD.</t>
  </si>
  <si>
    <t>FALODI
ABHISHEK</t>
  </si>
  <si>
    <t>ANPECIA</t>
  </si>
  <si>
    <t>MEDCURE ORGANICS</t>
  </si>
  <si>
    <t>ANILA</t>
  </si>
  <si>
    <t>13-FEB-2023</t>
  </si>
  <si>
    <t>KETORG- Z SHAMPOO</t>
  </si>
  <si>
    <t>MEDCURE ORGANICSPVTLTD</t>
  </si>
  <si>
    <t>AMIT MEDICOZ
GANESH PHARMA</t>
  </si>
  <si>
    <t>TOPMOIST 100ML LOTION</t>
  </si>
  <si>
    <t>GR FLOOR CHETAK CHEMBUR INDOREMP</t>
  </si>
  <si>
    <t>14-FEB-2023</t>
  </si>
  <si>
    <t>LULINOX 30GM</t>
  </si>
  <si>
    <t>SURJAL PHARMA - 7999498486</t>
  </si>
  <si>
    <t>15-FEB-2023</t>
  </si>
  <si>
    <t>CURATIO</t>
  </si>
  <si>
    <t>AMIT
STANDARD</t>
  </si>
  <si>
    <t>PRELEVO-M 5MG/10MG TABLET</t>
  </si>
  <si>
    <t>ALOK SINGH - 9826212205</t>
  </si>
  <si>
    <t>LIFESEVER</t>
  </si>
  <si>
    <t>GR FLOOR, DAWABAZARINDOREMP</t>
  </si>
  <si>
    <t>16-FEB-2023</t>
  </si>
  <si>
    <t>NUTRAKEM PHARMA - 8037744503</t>
  </si>
  <si>
    <t>213, SAPPHIRE HEIGHTS, A.B.ROAD, OPP. C-21 MALL, INDORE</t>
  </si>
  <si>
    <t>BHARGAVA PHYTOLABS</t>
  </si>
  <si>
    <t>HARVIND KUMAR - 7049008137</t>
  </si>
  <si>
    <t>17-FEB-2023</t>
  </si>
  <si>
    <t>NEW ROSY MEDICAL - 8319814228</t>
  </si>
  <si>
    <t>LG 229, DAWA BAZARINDOREMP</t>
  </si>
  <si>
    <t>NITYA ENT - PARMAR - 9425075794</t>
  </si>
  <si>
    <t>59, CHANDRLOK COLONY, KHAJRANA ROADINDOREMP</t>
  </si>
  <si>
    <t>RHYTHM MEDICALSTORE</t>
  </si>
  <si>
    <t>ALTRAWELL BIOTECH PVT. LTD.</t>
  </si>
  <si>
    <t>SHREE GANJAN PHARMA - 9926464524</t>
  </si>
  <si>
    <t>2ND FLOOR DAWA BAZAAR INDORE</t>
  </si>
  <si>
    <t>18-FEB-2023</t>
  </si>
  <si>
    <t>SHEETAL SALES AGENCIES
LEELA MEDICAL AGENCY - 7987045382, 9827562029</t>
  </si>
  <si>
    <t>MANGALMURTI</t>
  </si>
  <si>
    <t>20-FEB-2023</t>
  </si>
  <si>
    <t>21-FEB-2023</t>
  </si>
  <si>
    <t>ARVINCARE</t>
  </si>
  <si>
    <t>AMAN MEDICOS
ISHITA PHARMA</t>
  </si>
  <si>
    <t>102 4TH FL. DAWA BZAR INDORE
127 3RD FL. DAWABZARINDOREMP</t>
  </si>
  <si>
    <t>22-FEB-2023</t>
  </si>
  <si>
    <t>SG PHARMA - YASIR - 7987841326</t>
  </si>
  <si>
    <t>23-FEB-2023</t>
  </si>
  <si>
    <t>DAWABAZAR
INDOREMP</t>
  </si>
  <si>
    <t>24-FEB-2023</t>
  </si>
  <si>
    <t>SATURN FORMULATION</t>
  </si>
  <si>
    <t>MANORAMA DRUG HOUSE</t>
  </si>
  <si>
    <t>GR FLOOR DAWABAZAR INDORE</t>
  </si>
  <si>
    <t>25-FEB-2023</t>
  </si>
  <si>
    <t>BAFNA - 9425900908</t>
  </si>
  <si>
    <t>SAIN MEDICAMENTS PRIVATE LIMITED</t>
  </si>
  <si>
    <t>LAXHMI DISTRIBUTOR</t>
  </si>
  <si>
    <t>ALWIN WILCURE</t>
  </si>
  <si>
    <t>FALODI
DSK</t>
  </si>
  <si>
    <t>27-FEB-2023</t>
  </si>
  <si>
    <t>ZENACTS PHARMA (VASOLIFE HEALTHCARE)</t>
  </si>
  <si>
    <t>WAHRHEITZ PHARMA - 9170005618</t>
  </si>
  <si>
    <t>102, BRIJ VIHAR COLONY, ANNPURNA ROAD, INDORE MP</t>
  </si>
  <si>
    <t>28-FEB-2023</t>
  </si>
  <si>
    <t>INDEX PHARMA</t>
  </si>
  <si>
    <t>ABL PHARMA - 9109018181</t>
  </si>
  <si>
    <t>1-MAR-2023</t>
  </si>
  <si>
    <t>NUTRAEDICA</t>
  </si>
  <si>
    <t>KOTHARI</t>
  </si>
  <si>
    <t>2-MAR-2023</t>
  </si>
  <si>
    <t>ARGID SACHET</t>
  </si>
  <si>
    <t>DD NUTRITIONS</t>
  </si>
  <si>
    <t>ASHOK TRADERS</t>
  </si>
  <si>
    <t>LG-54, DAWA BAZAR, 13-14 R.N.T. MARG,INDOREINDORE</t>
  </si>
  <si>
    <t>KETOPOZ TOTAL CREAM</t>
  </si>
  <si>
    <t>FARLEX PHARMA</t>
  </si>
  <si>
    <t>R.V. ENTERPRISES
SUJATA MEDICOSE</t>
  </si>
  <si>
    <t>4-MAR-2023</t>
  </si>
  <si>
    <t>MERIDIAN MEDICARE LTD</t>
  </si>
  <si>
    <t>NILANSHEE PHARMA - MR. RANJEET SINGH PANWAR - 9826929264, 9425928765</t>
  </si>
  <si>
    <t>7-MAR-2023</t>
  </si>
  <si>
    <t>PIGMOCARE CREAM 15 GM</t>
  </si>
  <si>
    <t>GENEES PHARMACEUTICALSPVTLTD</t>
  </si>
  <si>
    <t>RAKESH</t>
  </si>
  <si>
    <t>MEGACARE 369</t>
  </si>
  <si>
    <t>SMART LABORATORIES PVT LTD</t>
  </si>
  <si>
    <t>KRISHNA ENTERPRISES
SHANTINATH MEDICAL AGENCIES
SHRI RAM PHARMA</t>
  </si>
  <si>
    <t>8-MAR-2023</t>
  </si>
  <si>
    <t>INOWELL PHARMA PVT LTD</t>
  </si>
  <si>
    <t>DAWARAGENCIES</t>
  </si>
  <si>
    <t>9-MAR-2023</t>
  </si>
  <si>
    <t>LONGIWEL 500MG/150MGTABLET</t>
  </si>
  <si>
    <t>ARADHIA PHARMACEUTICALS INDIA PVT LTD</t>
  </si>
  <si>
    <t>LG DAWA BAZAR INDOREMPINDIA</t>
  </si>
  <si>
    <t>10-MAR-2023</t>
  </si>
  <si>
    <t>TORIONLABS</t>
  </si>
  <si>
    <t>NOVACARE</t>
  </si>
  <si>
    <t>13-MAR-2023</t>
  </si>
  <si>
    <t>AVON COMBINE
SPS MEDICARE</t>
  </si>
  <si>
    <t>14-MAR-2023</t>
  </si>
  <si>
    <t>NEOVITA BIOPHARMACEUTICAL(P)LTD.</t>
  </si>
  <si>
    <t>JSK ENTERPRISES
CONTACT - 9303891115, 0731-4999121</t>
  </si>
  <si>
    <t>OFFICE ADD - 28 PATRAKAR COLONY INDORE
GODOWN ADD - 10.LOKHANWALA BUILDING INDORE, NEAR BANGALI SQUARE INDORE</t>
  </si>
  <si>
    <t>MR. ANKIT GARG SAFFRON - 9926053250</t>
  </si>
  <si>
    <t>16-MAR-2023</t>
  </si>
  <si>
    <t>MANGAL MURTI - HEMANT PATIDAR</t>
  </si>
  <si>
    <t>17-MAR-2023</t>
  </si>
  <si>
    <t>SAMNOVA</t>
  </si>
  <si>
    <t>SANTOSH YADAV - 9893915720</t>
  </si>
  <si>
    <t>ARCHICARE</t>
  </si>
  <si>
    <t>A S ENTERPRISES
MODI PHARMA
SOHAN DISTRIBUTORS</t>
  </si>
  <si>
    <t>DERMATEK PHARMA</t>
  </si>
  <si>
    <t>MEDIEMPEX</t>
  </si>
  <si>
    <t>18-MAR-2023</t>
  </si>
  <si>
    <t>NAMCOLD Z FORTE SYP</t>
  </si>
  <si>
    <t>DUGGAD MEDICAL AGENCIE
MAHAKAL PHARMA</t>
  </si>
  <si>
    <t>20-MAR-2023</t>
  </si>
  <si>
    <t>KETOSIL SOAP</t>
  </si>
  <si>
    <t>ALCURE DERMACEUTICALS</t>
  </si>
  <si>
    <t>AYUSH MEDICAL</t>
  </si>
  <si>
    <t>BARPLEX L 200ML SYP</t>
  </si>
  <si>
    <t>PROGRESSIVE LIFECARE</t>
  </si>
  <si>
    <t>BIONOVA LIFESCIENCES</t>
  </si>
  <si>
    <t>SHREE ANJANI AGENCIES
SUPREME BIOTECH
SUPREME MEDICOSE</t>
  </si>
  <si>
    <t>22-MAR-2023</t>
  </si>
  <si>
    <t>IMMUSET</t>
  </si>
  <si>
    <t>JANTEC PHARMA</t>
  </si>
  <si>
    <t>KUMAR MEDICAL
SIDDHI ENT</t>
  </si>
  <si>
    <t>MEDIVISION</t>
  </si>
  <si>
    <t>AYUSH MEDICAL AGENCIES</t>
  </si>
  <si>
    <t>ROSEFE-XT</t>
  </si>
  <si>
    <t>SWASTIK LIFESCIENCES</t>
  </si>
  <si>
    <t>PRANAV PHARMA - 9009511131</t>
  </si>
  <si>
    <t>ROSICHAMP 4G TABLET 30'S</t>
  </si>
  <si>
    <t>KAPLIN HEALTHCARE PRIVATELIMITED</t>
  </si>
  <si>
    <t>PUREVET PHARMA</t>
  </si>
  <si>
    <t>330, 1ST FLOOR, DAWA BAZAAR, INDORE</t>
  </si>
  <si>
    <t>23-MAR-2023</t>
  </si>
  <si>
    <t>HAEMOVAC SYRUP</t>
  </si>
  <si>
    <t>S V BIOVAC PHARMACEUTICALSPVTLTD</t>
  </si>
  <si>
    <t>MEDICASH - MR. VISHAL GULATI - 9977099770</t>
  </si>
  <si>
    <t>24-MAR-2023</t>
  </si>
  <si>
    <t>DAWABAZAR INDORE MP</t>
  </si>
  <si>
    <t>ALLCID 170ML SYP</t>
  </si>
  <si>
    <t>AZILIV 250MG TAB</t>
  </si>
  <si>
    <t>BOUNCE 105GM POWDER</t>
  </si>
  <si>
    <t>CARIPRA 200ML SYP</t>
  </si>
  <si>
    <t>CEFTMAX 1GM INJ</t>
  </si>
  <si>
    <t>CEFTMAX 250MG INJ</t>
  </si>
  <si>
    <t>CEFTMAX 375MG INJ</t>
  </si>
  <si>
    <t>CEFTMAX 500MG INJ</t>
  </si>
  <si>
    <t>CEFTMAX S 1.5GM INJ</t>
  </si>
  <si>
    <t>CEFTWIN 1.5GM INJ</t>
  </si>
  <si>
    <t>CEFTWIN 1GM INJ</t>
  </si>
  <si>
    <t>DIONAC FAST RELIEF 30GM GEL</t>
  </si>
  <si>
    <t>DIOQURE BR TAB</t>
  </si>
  <si>
    <t>DIOQURE FAST RELIF GEL 30GM GEL</t>
  </si>
  <si>
    <t>DMINE TAB</t>
  </si>
  <si>
    <t>ESSOBEST 40MG INJ</t>
  </si>
  <si>
    <t>EVOMIN 200ML SYP</t>
  </si>
  <si>
    <t>EWO MAX CAP</t>
  </si>
  <si>
    <t>F ZOLE AS KIT TAB</t>
  </si>
  <si>
    <t>FERIFUL XT 200ML SYP</t>
  </si>
  <si>
    <t>FLUTIMAX 10ML NASAL SPRAY</t>
  </si>
  <si>
    <t>FURAQURA TAB</t>
  </si>
  <si>
    <t>FUXIMAX 250MG TAB</t>
  </si>
  <si>
    <t>FUXIMAX 500MG TAB</t>
  </si>
  <si>
    <t>ITRAQURE L 10GM CREAM</t>
  </si>
  <si>
    <t>K HEAL 200ML SYP</t>
  </si>
  <si>
    <t>KOJI QURE 75GM SOAP</t>
  </si>
  <si>
    <t>LYQURE 200ML SYP</t>
  </si>
  <si>
    <t>MAX HB 200ML SYP</t>
  </si>
  <si>
    <t>MAXBEND IV TAB</t>
  </si>
  <si>
    <t>MAXMOIST 100ML LOTION</t>
  </si>
  <si>
    <t>MAXCIN 250MG INJ</t>
  </si>
  <si>
    <t>MAXMOIST PLUS 75GM SOAP</t>
  </si>
  <si>
    <t>MAXCET DC TAB</t>
  </si>
  <si>
    <t>MAXCIN 500MG INJ</t>
  </si>
  <si>
    <t>MAXPANT 40MG TAB</t>
  </si>
  <si>
    <t>MAXMOL 1GM TAB</t>
  </si>
  <si>
    <t>MAXNIM TAB</t>
  </si>
  <si>
    <t>MAXNIM TOTAL TAB</t>
  </si>
  <si>
    <t>MAXNERV PG PLUS TAB</t>
  </si>
  <si>
    <t>MAXLIV DS 200ML SYP</t>
  </si>
  <si>
    <t>MAXNERV CZS TAB</t>
  </si>
  <si>
    <t>MAXGLOW 50GM FACE WASH</t>
  </si>
  <si>
    <t>MAXIFER HB 200ML SYP</t>
  </si>
  <si>
    <t>MAXITEL 40MG TAB</t>
  </si>
  <si>
    <t>MAXISPAS DS 60ML SYP</t>
  </si>
  <si>
    <t>MAXITEL AM 40MG TAB</t>
  </si>
  <si>
    <t>MAXITEL H 40MG TAB</t>
  </si>
  <si>
    <t>MAXICURE HB 30S TAB</t>
  </si>
  <si>
    <t>MAXTAN AM TAB</t>
  </si>
  <si>
    <t>MAXDEF 6MG TAB</t>
  </si>
  <si>
    <t>MAXTAN 50MG TAB</t>
  </si>
  <si>
    <t>MAXMOIST 75GM SOAP</t>
  </si>
  <si>
    <t>MAXICAL 200ML SYP</t>
  </si>
  <si>
    <t>MAXICOLD DS 60ML SYP</t>
  </si>
  <si>
    <t>MAXPANT 40MG INJ</t>
  </si>
  <si>
    <t>MAXPRED 4MG TAB</t>
  </si>
  <si>
    <t>MAXPRED 8MG TAB</t>
  </si>
  <si>
    <t>MAXPANT DSR CAP</t>
  </si>
  <si>
    <t>MULTIMAX INJ</t>
  </si>
  <si>
    <t>PHYTOPRO DF 200GM POWDER</t>
  </si>
  <si>
    <t>PKOF AM 100ML SYP</t>
  </si>
  <si>
    <t>MULTIVIT 100ML SYP</t>
  </si>
  <si>
    <t>P P QURE 1GM SACHET</t>
  </si>
  <si>
    <t>MULTIQURE 12G CAP</t>
  </si>
  <si>
    <t>MULTIVIT 4G CAP</t>
  </si>
  <si>
    <t>NERVICARE 200ML SYP</t>
  </si>
  <si>
    <t>OSTOCURE M TAB</t>
  </si>
  <si>
    <t>OSTOMAX M CAP</t>
  </si>
  <si>
    <t>OSTOPHYTE 200ML SYP</t>
  </si>
  <si>
    <t>OSTOPHYTE D3 60K CAP</t>
  </si>
  <si>
    <t>MAXZYME L 200ML SYP</t>
  </si>
  <si>
    <t>OVAQURE TAB</t>
  </si>
  <si>
    <t>OFFMAX OZ TAB</t>
  </si>
  <si>
    <t>OSTOCURE 30S TAB</t>
  </si>
  <si>
    <t>PDOX CV DRY 30ML SYP</t>
  </si>
  <si>
    <t>PDOX CV 325MG TAB</t>
  </si>
  <si>
    <t>MAXTAN H TAB</t>
  </si>
  <si>
    <t>PHYTOCEF 200MG TAB</t>
  </si>
  <si>
    <t>PDOX AZ TAB</t>
  </si>
  <si>
    <t>PHYTOPRO SF 200GM POWDER</t>
  </si>
  <si>
    <t>PHYTO PLUS 200GM POWDER</t>
  </si>
  <si>
    <t>PHYTO LAC DF 200GM POWDER</t>
  </si>
  <si>
    <t>P CEF AZ TAB</t>
  </si>
  <si>
    <t>P CEF O DRY 30ML SYP</t>
  </si>
  <si>
    <t>OSTOPHYTE CHEW TAB</t>
  </si>
  <si>
    <t>P CEF O TAB</t>
  </si>
  <si>
    <t>P CEF 200MG TAB</t>
  </si>
  <si>
    <t>PHYTOVIT DF POWDER</t>
  </si>
  <si>
    <t>PRECLAV 625MG TAB</t>
  </si>
  <si>
    <t>SUGTEN 20/500MG TAB</t>
  </si>
  <si>
    <t>PRECLAV NEO 30ML SYP</t>
  </si>
  <si>
    <t>PRELEVO M TAB</t>
  </si>
  <si>
    <t>ROSY QURE CAP</t>
  </si>
  <si>
    <t>PROQURE 40MG TAB</t>
  </si>
  <si>
    <t>SUCRABEST 200ML SYP</t>
  </si>
  <si>
    <t>PROQURE DSR CAP</t>
  </si>
  <si>
    <t>PREACE P 60ML SYP</t>
  </si>
  <si>
    <t>REBCID DSR CAP</t>
  </si>
  <si>
    <t>SUGWIN TG1 TAB</t>
  </si>
  <si>
    <t>PREACE TH TAB</t>
  </si>
  <si>
    <t>REBCID LSR CAP</t>
  </si>
  <si>
    <t>SUGWIN TG FORTE TAB</t>
  </si>
  <si>
    <t>PREACE MR TAB</t>
  </si>
  <si>
    <t>PREACE SP TAB</t>
  </si>
  <si>
    <t>PREACE P TAB</t>
  </si>
  <si>
    <t>PQ 10 TAB</t>
  </si>
  <si>
    <t>PYTOKOF AM 100ML SYP</t>
  </si>
  <si>
    <t>PRELEVO 5MG TAB</t>
  </si>
  <si>
    <t>PYTOKOF TAB</t>
  </si>
  <si>
    <t>PRELEVO COLD TAB</t>
  </si>
  <si>
    <t>PYTOVIT DF 200GM POWDER</t>
  </si>
  <si>
    <t>PRELEVO M 60ML SYP</t>
  </si>
  <si>
    <t>SUGWIN GP1 TAB</t>
  </si>
  <si>
    <t>SUGWIN G2 TAB</t>
  </si>
  <si>
    <t>SUGWIN G1 TAB</t>
  </si>
  <si>
    <t>PREACE SPAS TAB</t>
  </si>
  <si>
    <t>PREACE ASR TAB</t>
  </si>
  <si>
    <t>PRECLAV DS 30ML SYP</t>
  </si>
  <si>
    <t>WINSAFE LS 100ML SYP</t>
  </si>
  <si>
    <t>SUGWIN VG1 TAB</t>
  </si>
  <si>
    <t>WINSAFE VC 30S TAB</t>
  </si>
  <si>
    <t>WINKOF 100ML SYP</t>
  </si>
  <si>
    <t>WINKOF LS 15ML DROPS</t>
  </si>
  <si>
    <t>WINSAFE DX CAP</t>
  </si>
  <si>
    <t>SUGWIN VG2 TAB</t>
  </si>
  <si>
    <t>ACTOSCAB 1 75GM SOAP</t>
  </si>
  <si>
    <t>H&amp;B</t>
  </si>
  <si>
    <t>AKIRA 20GM CREAM</t>
  </si>
  <si>
    <t>AKIRA 250MG TAB</t>
  </si>
  <si>
    <t>AKIRA 60ML FACE WASH</t>
  </si>
  <si>
    <t>ANCIA PLUS CAP</t>
  </si>
  <si>
    <t>APPLEZIN 50MG TAB</t>
  </si>
  <si>
    <t>CERAMYST 100GM CREAM</t>
  </si>
  <si>
    <t>CETLAN L 5MG TAB</t>
  </si>
  <si>
    <t>DOEL 15GM GEL</t>
  </si>
  <si>
    <t>DOEL 75GM SOAP</t>
  </si>
  <si>
    <t>DOEL SB 15GM CREAM</t>
  </si>
  <si>
    <t>FIRMZIN TAB</t>
  </si>
  <si>
    <t>KOZKETO 30GM CREAM</t>
  </si>
  <si>
    <t>KOZTAFIT IT 100MG CAP</t>
  </si>
  <si>
    <t>KOZTAFIT IT 200MG CAP</t>
  </si>
  <si>
    <t>KOZTASOL G 10GM CREAM</t>
  </si>
  <si>
    <t>L AND B NATURAL 15GM CREAM</t>
  </si>
  <si>
    <t>MICOFIT 250MG TAB</t>
  </si>
  <si>
    <t>POMACTIVE 200ML SYP</t>
  </si>
  <si>
    <t>POMACTIVE CAP</t>
  </si>
  <si>
    <t>SKYNOPEA DSR CAP</t>
  </si>
  <si>
    <t>SUPER HAIR CAP</t>
  </si>
  <si>
    <t>ZEROBARE 10% 60ML SOLUTION</t>
  </si>
  <si>
    <t>ZEROBARE 5% 60ML SOLUTION</t>
  </si>
  <si>
    <t>ZEROBARE F 60ML SPRAY</t>
  </si>
  <si>
    <t>ZEROBARE TAB</t>
  </si>
  <si>
    <t>ZONVIN SUNSCREEN 30ML LOTION</t>
  </si>
  <si>
    <t>ALBEEZ TABLET</t>
  </si>
  <si>
    <t>S V BIOVAC PHARMACEUTICALS</t>
  </si>
  <si>
    <t>APPETIN SYRUP</t>
  </si>
  <si>
    <t>BIOSPORE</t>
  </si>
  <si>
    <t>ESONIL TABLET</t>
  </si>
  <si>
    <t>FLOXITAGE TABLET</t>
  </si>
  <si>
    <t>HEMOCLOT 250 MG/250 MG TABLET</t>
  </si>
  <si>
    <t>ALMOL 650MG TABLET</t>
  </si>
  <si>
    <t>DICFEN C TABLET</t>
  </si>
  <si>
    <t>FLOXITAGE O 200 MG/500 MG TABLET</t>
  </si>
  <si>
    <t>LACTOMIDE TABLET</t>
  </si>
  <si>
    <t>BIODASE D 50 MG/10 MG TABLET</t>
  </si>
  <si>
    <t>BRENZ SACHET</t>
  </si>
  <si>
    <t>BIOSPORE POWDER</t>
  </si>
  <si>
    <t>BIOSPORE TABLET DT</t>
  </si>
  <si>
    <t>CIPROTAGE 250MG TABLET</t>
  </si>
  <si>
    <t>CIPROTAGE 500MG TABLET</t>
  </si>
  <si>
    <t>DICFEN 50 MG/500 MG TABLET</t>
  </si>
  <si>
    <t>FLUCOTAGE CAPSULE</t>
  </si>
  <si>
    <t>ROSICHAMP 4G TAB</t>
  </si>
  <si>
    <t>KAPLIN HEALTHCARE PVT LTD</t>
  </si>
  <si>
    <t>ACICLOCHEM 500MG INJECTION</t>
  </si>
  <si>
    <t>SWASTIK FORMULATION PVT LTD</t>
  </si>
  <si>
    <t>ATORCHEM F 10MG/160MG TABLET</t>
  </si>
  <si>
    <t>CEREBROCHEM 60MG INJECTION</t>
  </si>
  <si>
    <t>CLARICHEM 500MG INJECTION</t>
  </si>
  <si>
    <t>DAPACHEM 10MG TABLET</t>
  </si>
  <si>
    <t>EMCILLIN CV 1000MG/200MG INJECTION</t>
  </si>
  <si>
    <t>IMICHEM CL 500MG/500MG INJECTION</t>
  </si>
  <si>
    <t>MEBALMIN 1500MCG INJECTION</t>
  </si>
  <si>
    <t>MEBALMIN C INJECTION</t>
  </si>
  <si>
    <t>METCHEM 500MG TABLET SR</t>
  </si>
  <si>
    <t>METOME 25MG TABLET PR</t>
  </si>
  <si>
    <t>NAVIFLU 0.1% EYE DROP</t>
  </si>
  <si>
    <t>OLMECORT 20MG TABLET</t>
  </si>
  <si>
    <t>POLMICHEM C EYE DROP</t>
  </si>
  <si>
    <t>PREDICHEM 1000MG INJECTION</t>
  </si>
  <si>
    <t>ROSVACHEM F 160MG/10MG TABLET</t>
  </si>
  <si>
    <t>SEXIUM 1.5GM INJECTION</t>
  </si>
  <si>
    <t>SVANZOLE 40MG INJECTION</t>
  </si>
  <si>
    <t>SVANZOLE D 30MG/40MG CAPSULE SR</t>
  </si>
  <si>
    <t>TEICOCHEM 400MG INJECTION</t>
  </si>
  <si>
    <t>TENGICHEM M 500MG/20MG TABLET SR</t>
  </si>
  <si>
    <t>TRAJONE 250MG INJECTION</t>
  </si>
  <si>
    <t>TRAJONE SB 1000MG/500MG INJECTION</t>
  </si>
  <si>
    <t>TRIAMNIDE 40MG INJECTION</t>
  </si>
  <si>
    <t>TROJEX SB 1000MG/500MG INJECTION</t>
  </si>
  <si>
    <t>TROJEX SB 500MG/500MG INJECTION</t>
  </si>
  <si>
    <t>VANCOCHEM 500MG INJECTION</t>
  </si>
  <si>
    <t>VILDACHEM M 500MG/50MG TABLET SR</t>
  </si>
  <si>
    <t>VOGICHEM M 500MG/0.2MG TABLET SR</t>
  </si>
  <si>
    <t>AZYNEX 500MG INJECTION</t>
  </si>
  <si>
    <t>CLOPCORT AS 75MG/75MG TABLET</t>
  </si>
  <si>
    <t>COLISTMICHEM INJECTION</t>
  </si>
  <si>
    <t>DOFYCHEM 10MG INJECTION</t>
  </si>
  <si>
    <t>DROTACHEM 40MG INJECTION</t>
  </si>
  <si>
    <t>HEPARCHEM 25000IU INJECTION</t>
  </si>
  <si>
    <t>MEBALMIN 2500MCG INJECTION</t>
  </si>
  <si>
    <t>METCHEM G 1MG/500MG TABLET SR</t>
  </si>
  <si>
    <t>METOME 50MG TABLET PR</t>
  </si>
  <si>
    <t>NAVIMOX D EYE DROP</t>
  </si>
  <si>
    <t>NAVIMOX KT EYE DROP</t>
  </si>
  <si>
    <t>NAVIMOX P EYE DROP</t>
  </si>
  <si>
    <t>NETLAVISION 5% EYE DROP</t>
  </si>
  <si>
    <t>OLMECORT H 12.5MG/20MG TABLET</t>
  </si>
  <si>
    <t>ORNIDACHEM 500MG INFUSION</t>
  </si>
  <si>
    <t>PERACHEM 200MG INJECTION</t>
  </si>
  <si>
    <t>PIPCHEM TAZ 2000MG/250MG INJECTION</t>
  </si>
  <si>
    <t>PREDICHEM 125MG INJECTION</t>
  </si>
  <si>
    <t>ROSVACHEM 5MG TABLET</t>
  </si>
  <si>
    <t>SEROXE 40MG INJECTION</t>
  </si>
  <si>
    <t>SPASSE TR 100MG INJECTION</t>
  </si>
  <si>
    <t>FLB EYE DROP</t>
  </si>
  <si>
    <t>MEDIVISON PHARM</t>
  </si>
  <si>
    <t>IMIX D 10 EYE DROP</t>
  </si>
  <si>
    <t>IMIX D EYE DROP</t>
  </si>
  <si>
    <t>M OCIN EYE DROP</t>
  </si>
  <si>
    <t>MEDIZONE SB 1000MG/500MG INJECTION</t>
  </si>
  <si>
    <t>QC 8 EYE DROP</t>
  </si>
  <si>
    <t>QC 8 EYE OINTMENT</t>
  </si>
  <si>
    <t>CYLATE EYE DROP</t>
  </si>
  <si>
    <t>M VION CAPSULE</t>
  </si>
  <si>
    <t>MEDIKUL EYE DROP</t>
  </si>
  <si>
    <t>MVIT FORTE CAPSULE</t>
  </si>
  <si>
    <t>TOB EYE DROP</t>
  </si>
  <si>
    <t>ILIN EYE DROP</t>
  </si>
  <si>
    <t>K OCIN EYE DROP</t>
  </si>
  <si>
    <t>MCM EYE DROP</t>
  </si>
  <si>
    <t>MCM GEL EYE DROP</t>
  </si>
  <si>
    <t>MCM LV EYE DROP</t>
  </si>
  <si>
    <t>MEDIKUL C EYE DROP</t>
  </si>
  <si>
    <t>MVIT CAPSULE</t>
  </si>
  <si>
    <t>PANTAKOOL 40MG INJECTION</t>
  </si>
  <si>
    <t>TRAC EYE DROP</t>
  </si>
  <si>
    <t>WAXMELT EAR DROP</t>
  </si>
  <si>
    <t>AT ZOL 250MG TABLET</t>
  </si>
  <si>
    <t>ATCO EYE DROP</t>
  </si>
  <si>
    <t>ILIN MC EYE DROP</t>
  </si>
  <si>
    <t>IMIX EYE OINTMENT</t>
  </si>
  <si>
    <t>IMIX 10 EYE DROP</t>
  </si>
  <si>
    <t>IMIX D 5 EYE DROP</t>
  </si>
  <si>
    <t>IMIX D EYE OINTMENT</t>
  </si>
  <si>
    <t>KOLAC EYE DROP</t>
  </si>
  <si>
    <t>MQC 8 EYE DROP</t>
  </si>
  <si>
    <t>MEDITEAR EYE DROP</t>
  </si>
  <si>
    <t>MOP EYE DROP</t>
  </si>
  <si>
    <t>OCIN EYE DROP</t>
  </si>
  <si>
    <t>ALOPAR 650MG TABLET</t>
  </si>
  <si>
    <t>ANERONE 200MG SOFT GELATIN CAPSULE</t>
  </si>
  <si>
    <t>ANERONE 300MG TABLET SR</t>
  </si>
  <si>
    <t>ARMIC LF 80MG/480MG TABLET</t>
  </si>
  <si>
    <t>CEFJONE 100MG TABLET DT</t>
  </si>
  <si>
    <t>CEFJONE LB 50MG DRY SYRUP</t>
  </si>
  <si>
    <t>CEFJONE O DRY SYRUP</t>
  </si>
  <si>
    <t>CEFJONE O 200MG/200MG TABLET</t>
  </si>
  <si>
    <t>CEFOTEC 200MG TABLET</t>
  </si>
  <si>
    <t>CEFOTEC O 200MG/200MG TABLET</t>
  </si>
  <si>
    <t>CEFU 250MG TABLET</t>
  </si>
  <si>
    <t>CLAROM 500MG TABLET</t>
  </si>
  <si>
    <t>CUFTEC D SYRUP</t>
  </si>
  <si>
    <t>CUFTEC LS JUNIOR SYRUP</t>
  </si>
  <si>
    <t>CUFTEC SYRUP</t>
  </si>
  <si>
    <t>DECORT 6MG ORAL SUSPENSION</t>
  </si>
  <si>
    <t>DECORT 6MG TABLET</t>
  </si>
  <si>
    <t>DUROCAD GM 50MG/750MG/250MG TABLET</t>
  </si>
  <si>
    <t>ELTON 20MG CAPSULE</t>
  </si>
  <si>
    <t>FACE ON OINTMENT</t>
  </si>
  <si>
    <t>FUCIWAY 2% CREAM</t>
  </si>
  <si>
    <t>HATCH 500MG TABLET</t>
  </si>
  <si>
    <t>ITROTEC 100MG CAPSULE</t>
  </si>
  <si>
    <t>J TEC 500MG INJECTION</t>
  </si>
  <si>
    <t>JAB 150MG INJECTION</t>
  </si>
  <si>
    <t>JACEF 250MG INJECTION</t>
  </si>
  <si>
    <t>JACEF SB 1GM/0.5GM INJECTION</t>
  </si>
  <si>
    <t>JANOGEST 5MG TABLET</t>
  </si>
  <si>
    <t>JANPROX 250MG TABLET</t>
  </si>
  <si>
    <t>JANPROX 40MG TABLET SR</t>
  </si>
  <si>
    <t>JENBRO 200MG TABLET SR</t>
  </si>
  <si>
    <t>MOXYTEC DRY SYRUP</t>
  </si>
  <si>
    <t>NEPHROTEC AT 500MG/150MG TABLET</t>
  </si>
  <si>
    <t>OLMILIP 20MG TABLET</t>
  </si>
  <si>
    <t>ONWAY 2MG SYRUP</t>
  </si>
  <si>
    <t>OPET 40MG INJECTION</t>
  </si>
  <si>
    <t>OPF 250MG CAPSULE</t>
  </si>
  <si>
    <t>PANTOTEC LS 75MG/40MG CAPSULE SR</t>
  </si>
  <si>
    <t>PESAK TH 100MG/8MG TABLET</t>
  </si>
  <si>
    <t>PIRATEM 500MG SYRUP</t>
  </si>
  <si>
    <t>PIROF 20MG TABLET DT</t>
  </si>
  <si>
    <t>PRAB NT 75MG/10MG TABLET</t>
  </si>
  <si>
    <t>PRAB NTM 75MG/10MG/1500MCG TABLET</t>
  </si>
  <si>
    <t>RODEO A 200MG/20MG CAPSULE SR</t>
  </si>
  <si>
    <t>RODEO D 10MG/20MG TABLET</t>
  </si>
  <si>
    <t>TENESYS M 500MG/20MG TABLET</t>
  </si>
  <si>
    <t>TROLEAN TABLET</t>
  </si>
  <si>
    <t>TROSIN 100000UNITS TABLET</t>
  </si>
  <si>
    <t>URSOTEC 300MG TABLET</t>
  </si>
  <si>
    <t>CEFJONE CV 200MG/125MG TABLET</t>
  </si>
  <si>
    <t>ALEROUT 10MG TABLET</t>
  </si>
  <si>
    <t>BIONOVA PHARMACEUTICALS</t>
  </si>
  <si>
    <t>AZODIS 500MG TABLET</t>
  </si>
  <si>
    <t>BIONOVA ALOTOL ADVANCE VITAMIN E CREAM</t>
  </si>
  <si>
    <t>BIONOVA ALOTOL EXTRA CARE EMOLLIENT LOTION</t>
  </si>
  <si>
    <t>BIONOVA CARVI 1000MG TABLET</t>
  </si>
  <si>
    <t>BIONOVA NOVAWHITE GLUTATHIONE TABLET</t>
  </si>
  <si>
    <t>BIONOVA NOVAWHITE LOTION</t>
  </si>
  <si>
    <t>BIONOVA POP PILLS</t>
  </si>
  <si>
    <t>BIONOVA ULTRA D3 400IU CAPSULE</t>
  </si>
  <si>
    <t>COLDOVER ORAL DROPS</t>
  </si>
  <si>
    <t>DOMZEL O 10MG/20MG CAPSULE</t>
  </si>
  <si>
    <t>HYRASE CAPSULE</t>
  </si>
  <si>
    <t>IVERDIS 6MG TABLET</t>
  </si>
  <si>
    <t>NECTAR VALLEY BLACK SEED OIL</t>
  </si>
  <si>
    <t>NECTAR VALLEY COCONUT SUGAR NATURAL SWEETENER</t>
  </si>
  <si>
    <t>NECTAR VALLEY EUCALYPTUS 100% NATURAL ESSENTIAL OIL</t>
  </si>
  <si>
    <t>NECTAR VALLEY HING POWDER</t>
  </si>
  <si>
    <t>NECTAR VALLEY KESAR BADAM MILK POWDER</t>
  </si>
  <si>
    <t>NECTAR VALLEY MANGO INSTANT DRINK</t>
  </si>
  <si>
    <t>NECTAR VALLEY PALM SUGAR NATURAL SWEETENER</t>
  </si>
  <si>
    <t>NECTAR VALLEY PEPPERMINT 100% NATURAL ESSENTIAL OIL</t>
  </si>
  <si>
    <t>NECTAR VALLEY PURE &amp; ORGANIC JAGGERY POWDER</t>
  </si>
  <si>
    <t>NECTAR VALLEY STRAWBERRY MILK SHAKE POWDER</t>
  </si>
  <si>
    <t>NECTAR VALLEY TOMATO POWDER</t>
  </si>
  <si>
    <t>NECTAR VALLEY WATERMELON INSTANT DRINK</t>
  </si>
  <si>
    <t>SCADIS 5% CREAM</t>
  </si>
  <si>
    <t>TRENDIS MH CREAM</t>
  </si>
  <si>
    <t>AZODIS 250MG TABLET</t>
  </si>
  <si>
    <t>BINADIS 250MG TABLET</t>
  </si>
  <si>
    <t>BIONOVA VANILLA DIAGUD SR POWDER</t>
  </si>
  <si>
    <t>BIONOVA VITAPHY CAPSULE</t>
  </si>
  <si>
    <t>CEFDIS 100MG TABLET</t>
  </si>
  <si>
    <t>CEFDIS 200MG TABLET</t>
  </si>
  <si>
    <t>DISCORT 6MG TABLET</t>
  </si>
  <si>
    <t>FENPILL S 100MG/325MG/10MG TABLET</t>
  </si>
  <si>
    <t>IROLET TABLET</t>
  </si>
  <si>
    <t>KETOSH 1% SOAP</t>
  </si>
  <si>
    <t>KETOSH SHAMPOO</t>
  </si>
  <si>
    <t>KLOTIM B CREAM</t>
  </si>
  <si>
    <t>NECTAR VALLEY 100% NATURAL ESSENTIAL OIL</t>
  </si>
  <si>
    <t>NECTAR VALLEY 100% PURE &amp; NATURAL BRAHMI POWDER</t>
  </si>
  <si>
    <t>NECTAR VALLEY 100% PURE &amp; NATURAL KALMEGH POWDER</t>
  </si>
  <si>
    <t>ALPRAZIT 0.25MG TABLET</t>
  </si>
  <si>
    <t>AMOTIVE SYRUP</t>
  </si>
  <si>
    <t>ANDOMAX 25MG INJECTION</t>
  </si>
  <si>
    <t>ANTOF OR DRY SYRUP</t>
  </si>
  <si>
    <t>ARONY LS SYRUP</t>
  </si>
  <si>
    <t>ARONY SYRUP</t>
  </si>
  <si>
    <t>BITO PLUS CREAM</t>
  </si>
  <si>
    <t>CANDICAL EAR DROP</t>
  </si>
  <si>
    <t>CEFLO CS 1000MG/500MG INJECTION</t>
  </si>
  <si>
    <t>CEFOCAL CV 200MG/125MG TABLET</t>
  </si>
  <si>
    <t>CLOSOL SL OINTMENT</t>
  </si>
  <si>
    <t>CUFOMAX SYRUP</t>
  </si>
  <si>
    <t>DEXTROL SYRUP</t>
  </si>
  <si>
    <t>DICLOSIN MR 250MG/50MG/325MG TABLET</t>
  </si>
  <si>
    <t>DOMY PLUS 10MG/325MG TABLET</t>
  </si>
  <si>
    <t>DOXNUM 100MG TABLET</t>
  </si>
  <si>
    <t>DOXYPRO 10MG/10MG/2.5MG TABLET</t>
  </si>
  <si>
    <t>ETRAX 60MG TABLET</t>
  </si>
  <si>
    <t>ETRAX 90MG TABLET</t>
  </si>
  <si>
    <t>LENIC 250MG/125MG TABLET</t>
  </si>
  <si>
    <t>LEVOM PLUS 75MG/5MG/10MG TABLET</t>
  </si>
  <si>
    <t>LONAZIT 0.5MG TABLET MD</t>
  </si>
  <si>
    <t>LONEY 50MG INJECTION</t>
  </si>
  <si>
    <t>LOPOXIME 100MG DRY SYRUP</t>
  </si>
  <si>
    <t>LOPOXIME 100MG TABLET DT</t>
  </si>
  <si>
    <t>LOPOXIME O 100MG/200MG TABLET</t>
  </si>
  <si>
    <t>LOVIN 250MG TABLET</t>
  </si>
  <si>
    <t>MEFIC PLUS ORAL SUSPENSION</t>
  </si>
  <si>
    <t>MIKATOP 500MG INJECTION</t>
  </si>
  <si>
    <t>MOXIPRO 0.5% EYE DROP</t>
  </si>
  <si>
    <t>ONFLO 2MG ORAL SUSPENSION</t>
  </si>
  <si>
    <t>POLOBIT 100MG TABLET</t>
  </si>
  <si>
    <t>POLOBIT P TABLET</t>
  </si>
  <si>
    <t>PROMEX 100 DT TABLET</t>
  </si>
  <si>
    <t>PROMEX 200MG TABLET</t>
  </si>
  <si>
    <t>PROMEX CV 200MG/125MG TABLET</t>
  </si>
  <si>
    <t>PROMEX L 200MG TABLET</t>
  </si>
  <si>
    <t>RIZIBIT 100MG ORAL SUSPENSION</t>
  </si>
  <si>
    <t>RIZIBIT 500MG TABLET</t>
  </si>
  <si>
    <t>RIZIBIT LB 250MG TABLET</t>
  </si>
  <si>
    <t>SUCROBIT ORAL SUSPENSION</t>
  </si>
  <si>
    <t>TERA COLD TABLET</t>
  </si>
  <si>
    <t>TERACOT ORAL SUSPENSION</t>
  </si>
  <si>
    <t>TESPEN P 50MG/325MG TABLET</t>
  </si>
  <si>
    <t>TRINACAL P 37.5MG/325MG TABLET</t>
  </si>
  <si>
    <t>TROZOLE 40MG INJECTION</t>
  </si>
  <si>
    <t>TRYDUS 90MG/48MG/100MG TABLET</t>
  </si>
  <si>
    <t>TRYDUS D TABLET</t>
  </si>
  <si>
    <t>ZAINET P TABLET</t>
  </si>
  <si>
    <t>CLOMOXY CAPSULE</t>
  </si>
  <si>
    <t>ALCURE PHARMACEUTICAL LABORATORIES INDIA PVT LTD</t>
  </si>
  <si>
    <t>NIMCETA P 100MG/500MG TABLET</t>
  </si>
  <si>
    <t>RELOF OZ SUSPENSION</t>
  </si>
  <si>
    <t>SIXER 50MG/10MG TABLET</t>
  </si>
  <si>
    <t>ULCECURE 20MG CAPSULE</t>
  </si>
  <si>
    <t>KAPAXIN 250MG TABLET</t>
  </si>
  <si>
    <t>KEFLOX TZ 200MG/600MG TABLET</t>
  </si>
  <si>
    <t>ALCIVO M 5MG/10MG TABLET</t>
  </si>
  <si>
    <t>CADIKOF AX SYRUP</t>
  </si>
  <si>
    <t>CADIKOF BR SYRUP</t>
  </si>
  <si>
    <t>CADIKOF SYRUP</t>
  </si>
  <si>
    <t>DICIMOL 50MG/500MG TABLET</t>
  </si>
  <si>
    <t>AL LIVE SYRUP</t>
  </si>
  <si>
    <t>ULCICARE D 10MG/40MG TABLET</t>
  </si>
  <si>
    <t>ABITOL SYRUP</t>
  </si>
  <si>
    <t>Lincoln Pharmaceuticals Ltd</t>
  </si>
  <si>
    <t>ABITOL TABLET</t>
  </si>
  <si>
    <t>ADILIN 10 TABLET</t>
  </si>
  <si>
    <t>ADILIN 40MG TABLET SR</t>
  </si>
  <si>
    <t>AFOL PLUS CAPSULE</t>
  </si>
  <si>
    <t>AFOL TABLET</t>
  </si>
  <si>
    <t>ALLELIN 10MG TABLET</t>
  </si>
  <si>
    <t>ANTHEL UP ORAL SUSPENSION</t>
  </si>
  <si>
    <t>ANTHEL UP TABLET</t>
  </si>
  <si>
    <t>ARGILINK SACHET ORANGE SUGAR FREE</t>
  </si>
  <si>
    <t>ARH 120MG INJECTION</t>
  </si>
  <si>
    <t>ARH 150MG INJECTION</t>
  </si>
  <si>
    <t>ARH L DRY SYRUP</t>
  </si>
  <si>
    <t>ARH PLUS KIT</t>
  </si>
  <si>
    <t>AZILIN 250MG TABLET</t>
  </si>
  <si>
    <t>AZILIN DS 200MG SYRUP</t>
  </si>
  <si>
    <t>AZILIN L 250 MG/250 MG TABLET</t>
  </si>
  <si>
    <t>BTC + KIT</t>
  </si>
  <si>
    <t>CALALIN LOTION</t>
  </si>
  <si>
    <t>CALBONE D3 60K SACHET</t>
  </si>
  <si>
    <t>CALBONE D3 TABLET</t>
  </si>
  <si>
    <t>CEEPRO TZ 500MG/600MG TABLET</t>
  </si>
  <si>
    <t>CEFLIN 125MG INJECTION</t>
  </si>
  <si>
    <t>CEFPARA S 1500 INJECTION</t>
  </si>
  <si>
    <t>CEFTALIN 250MG TABLET</t>
  </si>
  <si>
    <t>CEFTALIN CV 500MG/125MG TABLET</t>
  </si>
  <si>
    <t>CEPY O CV TABLET</t>
  </si>
  <si>
    <t>CHARGE UP CAPSULE</t>
  </si>
  <si>
    <t>CIMLIN 10MG TABLET</t>
  </si>
  <si>
    <t>DICLOSEP 10MG TABLET</t>
  </si>
  <si>
    <t>DOLASAFE INJECTION</t>
  </si>
  <si>
    <t>DOMI 10MG TABLET</t>
  </si>
  <si>
    <t>DOMI UP 2MG INJECTION</t>
  </si>
  <si>
    <t>DOMI UP 4MG TABLET</t>
  </si>
  <si>
    <t>DOMI UP MOUTH MELTING 4MG TABLET</t>
  </si>
  <si>
    <t>DOMI UP ORAL SPRAY</t>
  </si>
  <si>
    <t>DOMI UP SYRUP</t>
  </si>
  <si>
    <t>DOMI UP TABLET MD</t>
  </si>
  <si>
    <t>EAK CAPSULE</t>
  </si>
  <si>
    <t>ERGOLIN 0.2MG INJECTION</t>
  </si>
  <si>
    <t>ESCRAB CREAM</t>
  </si>
  <si>
    <t>ESLEVO D 0.03MG/3MG TABLET</t>
  </si>
  <si>
    <t>ETOCOL MR 90MG/4MG TABLET</t>
  </si>
  <si>
    <t>ETRI O 50MG TABLET</t>
  </si>
  <si>
    <t>FEMOLINK CREAM</t>
  </si>
  <si>
    <t>FENEM 300MG TABLET ER</t>
  </si>
  <si>
    <t>FIVID TABLET</t>
  </si>
  <si>
    <t>ITRALIN 200MG CAPSULE</t>
  </si>
  <si>
    <t>KODEX 4MG/10MG SYRUP</t>
  </si>
  <si>
    <t>L PILL 200MCG TABLET</t>
  </si>
  <si>
    <t>EUTHERIA 20GM OINT</t>
  </si>
  <si>
    <t>SALIVATE MF 20GM CREAM</t>
  </si>
  <si>
    <t>ULTRAKET Z 60ML LOTION</t>
  </si>
  <si>
    <t>ACTPAR S 100MG/325MG/15MG TABLET</t>
  </si>
  <si>
    <t>ARCHI CARE</t>
  </si>
  <si>
    <t>ARCEF XP 250MG/31.25MG INJECTION</t>
  </si>
  <si>
    <t>CLOHART A 75MG/75MG TABLET</t>
  </si>
  <si>
    <t>DESOLATE 10MG TABLET</t>
  </si>
  <si>
    <t>EPITIN 100 TABLET</t>
  </si>
  <si>
    <t>ESIZOL PLUS 0.5MG/10MG TABLET</t>
  </si>
  <si>
    <t>ESIZOL PLUS LS 0.25MG/10MG TABLET</t>
  </si>
  <si>
    <t>FLUTIGO PLUS 40MG/10MG TABLET</t>
  </si>
  <si>
    <t>GLYCOCARE M 80MG/500MG TABLET</t>
  </si>
  <si>
    <t>INXITY 0.5MG TABLET</t>
  </si>
  <si>
    <t>LEXXA O 250MG/500MG TABLET</t>
  </si>
  <si>
    <t>MEPROTET 10MG TABLET</t>
  </si>
  <si>
    <t>METME PG TABLET</t>
  </si>
  <si>
    <t>NEBIBLOC 5MG TABLET</t>
  </si>
  <si>
    <t>NITROGLACE 2.6 CR TABLET</t>
  </si>
  <si>
    <t>PIOGLUCON 15MG TABLET</t>
  </si>
  <si>
    <t>TORALIP A 10MG/75MG TABLET</t>
  </si>
  <si>
    <t>VILUS MET 500MG/50MG TABLET</t>
  </si>
  <si>
    <t>XIFIX OF 200MG/200MG TABLET</t>
  </si>
  <si>
    <t>ANGILOL 20MG TABLET</t>
  </si>
  <si>
    <t>ARCLOX 250MG/250MG CAPSULE</t>
  </si>
  <si>
    <t>BIFINE 250MG TABLET</t>
  </si>
  <si>
    <t>BITWEL INJECTION</t>
  </si>
  <si>
    <t>CLOHART 75MG TABLET</t>
  </si>
  <si>
    <t>DESOLATE M 5MG/10MG TABLET</t>
  </si>
  <si>
    <t>DOXYSTAT LB 100MG CAPSULE</t>
  </si>
  <si>
    <t>DUBNOR 5MG TABLET</t>
  </si>
  <si>
    <t>GRANIMAX 1MG INJECTION</t>
  </si>
  <si>
    <t>GRANIMAX TABLET DT</t>
  </si>
  <si>
    <t>ILPA D 30MG/10MG CAPSULE SR</t>
  </si>
  <si>
    <t>LOCAP RD 15MG/10MG TABLET</t>
  </si>
  <si>
    <t>NITROGLACE 6.4 CR TABLET</t>
  </si>
  <si>
    <t>ROLESTROL F 160MG/10MG TABLET</t>
  </si>
  <si>
    <t>SPORADIC 80MG/50MG TABLET</t>
  </si>
  <si>
    <t>TORALIP AC 75MG/10MG/75MG TABLET</t>
  </si>
  <si>
    <t>XITIMIN 25MG TABLET</t>
  </si>
  <si>
    <t>ACTPAR 100MG/500MG TABLET</t>
  </si>
  <si>
    <t>APPIN INJECTION</t>
  </si>
  <si>
    <t>ARCEF XP 1000MG/125MG INJECTION</t>
  </si>
  <si>
    <t>ARLOX 200MG TABLET</t>
  </si>
  <si>
    <t>DESOLATE 5MG TABLET</t>
  </si>
  <si>
    <t>DILAN 40MG TABLET SR</t>
  </si>
  <si>
    <t>EPITIN 50MG INJECTION</t>
  </si>
  <si>
    <t>GLIBLY MF 5MG/500MG TABLET</t>
  </si>
  <si>
    <t>LEXXA 500MG TABLET</t>
  </si>
  <si>
    <t>LNCIL T 10MG/40MG TABLET</t>
  </si>
  <si>
    <t>MANAGRA 100MG TABLET</t>
  </si>
  <si>
    <t>METME 500MG TABLET SR</t>
  </si>
  <si>
    <t>METME GV 2MG/500MG/0.2MG TABLET</t>
  </si>
  <si>
    <t>NICTORIS 10 TABLET</t>
  </si>
  <si>
    <t>BILSVON</t>
  </si>
  <si>
    <t>SAMNOVA PHARMACEUTICALS PVT LTD</t>
  </si>
  <si>
    <t>BILSVON M</t>
  </si>
  <si>
    <t>CETRIVON COLD</t>
  </si>
  <si>
    <t>CETRIVON</t>
  </si>
  <si>
    <t>COLDVIDA</t>
  </si>
  <si>
    <t>ENSULIDE COLD</t>
  </si>
  <si>
    <t>HISTASAM 10</t>
  </si>
  <si>
    <t>HISTASAM 25</t>
  </si>
  <si>
    <t>LEVOKET 10</t>
  </si>
  <si>
    <t>LEVOKET 5</t>
  </si>
  <si>
    <t>LEVOKET LC</t>
  </si>
  <si>
    <t>LEVOKET COLD</t>
  </si>
  <si>
    <t>MONTEVON FX</t>
  </si>
  <si>
    <t>AZICLUB 100MG DRY SYRUP</t>
  </si>
  <si>
    <t>AZICLUB 200MG DRY SYRUP</t>
  </si>
  <si>
    <t>CEFOSIGN 1000MG INJECTION</t>
  </si>
  <si>
    <t>CEFOSIGN 500MG INJECTION</t>
  </si>
  <si>
    <t>CEFOSIGN 50MG TABLET DT</t>
  </si>
  <si>
    <t>CEFOSIGN CV 200MG/125MG TABLET</t>
  </si>
  <si>
    <t>CEFOSIGN LB 200MG TABLET</t>
  </si>
  <si>
    <t>CEFUWISH 250MG TABLET</t>
  </si>
  <si>
    <t>DENTOSMITH MOUTH WASH</t>
  </si>
  <si>
    <t>FEBUTUF 40MG TABLET</t>
  </si>
  <si>
    <t>FEBUTUF 80MG TABLET</t>
  </si>
  <si>
    <t>LEVOVOK M 5MG/10MG TABLET</t>
  </si>
  <si>
    <t>LORWAVE P 8MG/325MG TABLET</t>
  </si>
  <si>
    <t>MEFTISH P DS SYRUP</t>
  </si>
  <si>
    <t>MEGATISH O SYRUP CARDAMOM SUGAR FREE</t>
  </si>
  <si>
    <t>METHYWISH 500MG INJECTION</t>
  </si>
  <si>
    <t>METHYWISH 8MG TABLET</t>
  </si>
  <si>
    <t>NDWISH 25MG INJECTION</t>
  </si>
  <si>
    <t>NERVOWISH 1500MCG INJECTION</t>
  </si>
  <si>
    <t>NERVOWISH P PLUS CAPSULE</t>
  </si>
  <si>
    <t>NERVOWISH PLUS INJECTION</t>
  </si>
  <si>
    <t>NUMICIN 500MG INJECTION</t>
  </si>
  <si>
    <t>NUMIFER 20MG INJECTION</t>
  </si>
  <si>
    <t>NUMILIV SYRUP</t>
  </si>
  <si>
    <t>NUMIMOL 250MG SYRUP</t>
  </si>
  <si>
    <t>NUMINAC TH 100MG/4MG TABLET</t>
  </si>
  <si>
    <t>NUMINAC MR TABLET</t>
  </si>
  <si>
    <t>NUMINAC SP TABLET</t>
  </si>
  <si>
    <t>NUMIPAN IV 40MG INJECTION</t>
  </si>
  <si>
    <t>OFSCAB SOAP</t>
  </si>
  <si>
    <t>OFSMITH OZ 200MG/500MG TABLET</t>
  </si>
  <si>
    <t>OUTCLAV 1000MG/200MG INJECTION</t>
  </si>
  <si>
    <t>OUTCLAV DRY SYRUP</t>
  </si>
  <si>
    <t>OUTZONE S 1000MG/500MG INJECTION</t>
  </si>
  <si>
    <t>RAPOWISH LS 75MG/20MG CAPSULE SR</t>
  </si>
  <si>
    <t>ROSUWISH 10MG TABLET</t>
  </si>
  <si>
    <t>RUTOWAVE 90MG/48MG/100MG TABLET</t>
  </si>
  <si>
    <t>RUTOWAVE D TABLET</t>
  </si>
  <si>
    <t>RUTOWAVE FORTE 180MG/96MG/200MG TABLET</t>
  </si>
  <si>
    <t>SAMPOD CV DRY SYRUP</t>
  </si>
  <si>
    <t>SAMPOD O 200MG/200MG TABLET</t>
  </si>
  <si>
    <t>TERBIWISH 250MG TABLET</t>
  </si>
  <si>
    <t>VEGASHINE CREAM</t>
  </si>
  <si>
    <t>VOMISIGN 2MG INJECTION</t>
  </si>
  <si>
    <t>VOVITUF P 50MG/325MG TABLET</t>
  </si>
  <si>
    <t>CEFOSIGN 100MG TABLET DT</t>
  </si>
  <si>
    <t>CEFOSIGN 50MG DRY SYRUP</t>
  </si>
  <si>
    <t>CEFOSIGN CV DRY SYRUP</t>
  </si>
  <si>
    <t>CEFOSIGN S 1000MG/500MG INJECTION</t>
  </si>
  <si>
    <t>DENTOSMITH TOOTHPASTE</t>
  </si>
  <si>
    <t>AC CLOXA 500 CAPSULE</t>
  </si>
  <si>
    <t>ALBEWORM PLUS ORAL SUSPENSION</t>
  </si>
  <si>
    <t>AMBROLIN G SYRUP</t>
  </si>
  <si>
    <t>AZINIL 250 TABLET</t>
  </si>
  <si>
    <t>BELOFEN P ORAL SUSPENSION</t>
  </si>
  <si>
    <t>BELOFEN P TABLET</t>
  </si>
  <si>
    <t>BIOCORT 40 INJECTION</t>
  </si>
  <si>
    <t>CLINDREX 600 INJECTION</t>
  </si>
  <si>
    <t>CTQ 500MG TABLET</t>
  </si>
  <si>
    <t>DIAFLEX TABLET</t>
  </si>
  <si>
    <t>DOXIFAST M 400MG/10MG TABLET</t>
  </si>
  <si>
    <t>EMRON ORAL SOLUTION</t>
  </si>
  <si>
    <t>EMRON MD TABLET</t>
  </si>
  <si>
    <t>FLAXYN 1000MG INJECTION</t>
  </si>
  <si>
    <t>FLAXYN T INJECTION</t>
  </si>
  <si>
    <t>FLUZIL 150 TABLET</t>
  </si>
  <si>
    <t>LECIT TABLET</t>
  </si>
  <si>
    <t>LECIT AM SYRUP</t>
  </si>
  <si>
    <t>MQ MOX EYE/EAR DROP</t>
  </si>
  <si>
    <t>MQ THER INJECTION</t>
  </si>
  <si>
    <t>MAXSPAS MF TABLET</t>
  </si>
  <si>
    <t>NUROCOB P CAPSULE</t>
  </si>
  <si>
    <t>OFLIC M ORAL SUSPENSION MANGO</t>
  </si>
  <si>
    <t>OFLIC OZ TABLET</t>
  </si>
  <si>
    <t>PODEF CV TABLET</t>
  </si>
  <si>
    <t>Q MOL 650MG TABLET</t>
  </si>
  <si>
    <t>Q MOL ORAL SUSPENSION</t>
  </si>
  <si>
    <t>QUIFER 100 INJECTION</t>
  </si>
  <si>
    <t>REXOCEF 1000 INJECTION</t>
  </si>
  <si>
    <t>REXOCEF TZ 1000MG/125MG INJECTION</t>
  </si>
  <si>
    <t>TELYES H 40MG/12.5MG TABLET</t>
  </si>
  <si>
    <t>TONOBET PLUS CREAM</t>
  </si>
  <si>
    <t>TREXO 500MG INJECTION</t>
  </si>
  <si>
    <t>TREXO MF TABLET</t>
  </si>
  <si>
    <t>UDIDOL 300 TABLET</t>
  </si>
  <si>
    <t>VOVON AQ INJECTION</t>
  </si>
  <si>
    <t>VOXLATE 200MG TABLET</t>
  </si>
  <si>
    <t>ZIDEX TZ 281.25MG INJECTION</t>
  </si>
  <si>
    <t>AC CLAV DUO DRY SYRUP</t>
  </si>
  <si>
    <t>ALBEWORM PLUS 6MG/400MG TABLET</t>
  </si>
  <si>
    <t>AMIFLEX SOFT GELATIN CAPSULE</t>
  </si>
  <si>
    <t>ANGIDOC TABLET</t>
  </si>
  <si>
    <t>APIRON ORAL DROPS</t>
  </si>
  <si>
    <t>AZINIL 500 TABLET</t>
  </si>
  <si>
    <t>BELOFEN R CAPSULE SR</t>
  </si>
  <si>
    <t>BIOXIB 90 TABLET</t>
  </si>
  <si>
    <t>CHICOGESIC TH 100MG/4MG TABLET</t>
  </si>
  <si>
    <t>COZYSET PLUS ORAL SUSPENSION</t>
  </si>
  <si>
    <t>COZYSET TABLET</t>
  </si>
  <si>
    <t>COZYSET NS TABLET</t>
  </si>
  <si>
    <t>ALF P 100MG/500MG TABLET</t>
  </si>
  <si>
    <t>BRD MEDILABS</t>
  </si>
  <si>
    <t>ANBURN O SUSPENSION</t>
  </si>
  <si>
    <t>CANSIS 150MG TABLET</t>
  </si>
  <si>
    <t>CIVIDO 15MG/20MG TABLET</t>
  </si>
  <si>
    <t>DENZY 100MG TABLET</t>
  </si>
  <si>
    <t>FENACTIVE SP TABLET</t>
  </si>
  <si>
    <t>LAZART 40MG TABLET</t>
  </si>
  <si>
    <t>LAZART A 40MG/5MG TABLET</t>
  </si>
  <si>
    <t>MONFEX L SYRUP</t>
  </si>
  <si>
    <t>OBIOTIC 400MG TABLET</t>
  </si>
  <si>
    <t>OCCOR 6MG TABLET</t>
  </si>
  <si>
    <t>OPRA DSR 30MG/20MG CAPSULE</t>
  </si>
  <si>
    <t>OPRA L 75MG/20MG CAPSULE</t>
  </si>
  <si>
    <t>RESPIMOL COUGH N COLD TABLET</t>
  </si>
  <si>
    <t>RESPIMOL PLUS SYRUP</t>
  </si>
  <si>
    <t>RESTAM 1MG TABLET</t>
  </si>
  <si>
    <t>ROSUREST F 160MG/10MG TABLET</t>
  </si>
  <si>
    <t>SUGLOW G 2MG/500MG TABLET</t>
  </si>
  <si>
    <t>SUGLOW G 3MG/500MG TABLET</t>
  </si>
  <si>
    <t>ANBURN DSR 30MG/40MG CAPSULE</t>
  </si>
  <si>
    <t>ANTO D 10MG/40MG TABLET</t>
  </si>
  <si>
    <t>CYSPAS C TABLET</t>
  </si>
  <si>
    <t>DAVEM 80MG/250MG TABLET</t>
  </si>
  <si>
    <t>E ROXY 150MG TABLET</t>
  </si>
  <si>
    <t>OBIOTIC OZ 200MG/500MG TABLET</t>
  </si>
  <si>
    <t>OBIOTIC PLUS CREAM</t>
  </si>
  <si>
    <t>PARAREST M SUSPENSION</t>
  </si>
  <si>
    <t>SUGLOW G 4MG/500MG TABLET</t>
  </si>
  <si>
    <t>ULCURE D 30MG/20MG CAPSULE SR</t>
  </si>
  <si>
    <t>ACTIZITH 500MG TABLET</t>
  </si>
  <si>
    <t>ALF SP TABLET</t>
  </si>
  <si>
    <t>AZROMI 500MG TABLET</t>
  </si>
  <si>
    <t>BREMDYL AM NEO SYRUP</t>
  </si>
  <si>
    <t>CERAZUL 500MG/500MG INJECTION</t>
  </si>
  <si>
    <t>CYAFE 1GM INJECTION</t>
  </si>
  <si>
    <t>DENZY A 0.5MG/50MG TABLET</t>
  </si>
  <si>
    <t>DIFLAM AQ 75MG INJECTION</t>
  </si>
  <si>
    <t>LAZART CC 40MG/10MG/6.25MG TABLET</t>
  </si>
  <si>
    <t>LERA 5MG TABLET</t>
  </si>
  <si>
    <t>MONFEX 10MG/120MG TABLET</t>
  </si>
  <si>
    <t>OBIOTIC 200MG TABLET</t>
  </si>
  <si>
    <t>SUGESIC 100MG TABLET</t>
  </si>
  <si>
    <t>SUGLOW G 1MG/500MG TABLET</t>
  </si>
  <si>
    <t>XIMEF 200MG TABLET</t>
  </si>
  <si>
    <t>ALMEP 4MG TABLET</t>
  </si>
  <si>
    <t>AZROMI 250MG TABLET</t>
  </si>
  <si>
    <t>DENZY 50MG TABLET</t>
  </si>
  <si>
    <t>DIFLAM A 50MG/500MG TABLET</t>
  </si>
  <si>
    <t>LAZART AH 40MG/5MG/12.5MG TABLET</t>
  </si>
  <si>
    <t>M DROXIL 250MG TABLET</t>
  </si>
  <si>
    <t>NIROPANUM INJECTION</t>
  </si>
  <si>
    <t>NEOVITA BIOPHARMACEUTICAL PVT LTD</t>
  </si>
  <si>
    <t>AZITHROMYCIN INJECTION</t>
  </si>
  <si>
    <t>BORTENAT INJECTION</t>
  </si>
  <si>
    <t>NITROTHEA CR 2.6 CR TAB</t>
  </si>
  <si>
    <t>VOITHEA HEALTHCARE PVT LTD</t>
  </si>
  <si>
    <t>VOITEL – 40</t>
  </si>
  <si>
    <t>VOITEL AM</t>
  </si>
  <si>
    <t>ROSTHEA – 40MG</t>
  </si>
  <si>
    <t>ROSTHEA  10MG</t>
  </si>
  <si>
    <t>ROSTHEA CV 10</t>
  </si>
  <si>
    <t>ROSTHEA GOLD 10MG</t>
  </si>
  <si>
    <t>ROSTHEA GOLD 20</t>
  </si>
  <si>
    <t>ROZDOM</t>
  </si>
  <si>
    <t>VOD 60K</t>
  </si>
  <si>
    <t>VOHANCE CAP</t>
  </si>
  <si>
    <t>CAPHTOR TABLET</t>
  </si>
  <si>
    <t>TORION LABS</t>
  </si>
  <si>
    <t>SALIVARY SPRAY</t>
  </si>
  <si>
    <t>TORINIB TABLET</t>
  </si>
  <si>
    <t>MEGATRUST 160MG TABLET</t>
  </si>
  <si>
    <t>TRYPTOR PLUS TABLET</t>
  </si>
  <si>
    <t>ENVIOR SANITIZER SPRAY</t>
  </si>
  <si>
    <t>ABITRA TABLET</t>
  </si>
  <si>
    <t>LONGIWEL 500MG/150MG TABLET</t>
  </si>
  <si>
    <t>RABENEW DSR CAPSULE</t>
  </si>
  <si>
    <t>INNOVWELL PHARMACEUTICALS PVT LTD</t>
  </si>
  <si>
    <t>MOXYLLIN LB 500MG/125MG TABLET</t>
  </si>
  <si>
    <t>FUNGISOFT CAPSULE</t>
  </si>
  <si>
    <t>BISFLOW TABLET</t>
  </si>
  <si>
    <t>C FRESH L 5MG TABLET</t>
  </si>
  <si>
    <t>CEFISMART 200MG TABLET</t>
  </si>
  <si>
    <t>CLOFRESH PLUS CREAM</t>
  </si>
  <si>
    <t>COLDFRESH P ORAL SUSPENSION</t>
  </si>
  <si>
    <t>COLDFRESH PRO TABLET</t>
  </si>
  <si>
    <t>COOLFRESH 20MG CAPSULE</t>
  </si>
  <si>
    <t>D FRESH MR 250MG/50MG/325MG TABLET</t>
  </si>
  <si>
    <t>DERMIFRESH CREAM</t>
  </si>
  <si>
    <t>DOLOFRESH MR 100MG/325MG/250MG TABLET</t>
  </si>
  <si>
    <t>FLUFRESH 150 TABLET</t>
  </si>
  <si>
    <t>KETOFRESH CT SOAP</t>
  </si>
  <si>
    <t>LULIFRESH 1% CREAM</t>
  </si>
  <si>
    <t>ORACOOL GEL</t>
  </si>
  <si>
    <t>PEDIFRESH SYRUP</t>
  </si>
  <si>
    <t>PRIMINOR N 5MG TABLET</t>
  </si>
  <si>
    <t>SIOGRA 100MG TABLET</t>
  </si>
  <si>
    <t>ALKAFRESH SYRUP</t>
  </si>
  <si>
    <t>C FRESH 10MG TABLET</t>
  </si>
  <si>
    <t>CLINFRESH GEL</t>
  </si>
  <si>
    <t>CLOFRESH DUSTING POWDER</t>
  </si>
  <si>
    <t>CLOFRESH GM CREAM</t>
  </si>
  <si>
    <t>CLOFRESH RAPID CREAM</t>
  </si>
  <si>
    <t>CLOFRESH S CREAM</t>
  </si>
  <si>
    <t>D FRESH M 50MG/500MG TABLET</t>
  </si>
  <si>
    <t>EBERCARE M CREAM</t>
  </si>
  <si>
    <t>EVERCLAV 500MG/125MG TABLET</t>
  </si>
  <si>
    <t>GLUCOSMART GLUCOSE D POWDER</t>
  </si>
  <si>
    <t>IBUJOY P ORAL SUSPENSION</t>
  </si>
  <si>
    <t>JOYMOL DS ORAL SUSPENSION MANGO</t>
  </si>
  <si>
    <t>LOPLOCK 2MG TABLET</t>
  </si>
  <si>
    <t>MOXIFRESH EYE DROP</t>
  </si>
  <si>
    <t>MULTIFLOW DROP</t>
  </si>
  <si>
    <t>MUPIMARK OINTMENT</t>
  </si>
  <si>
    <t>ONDAFRESH 4MG TABLET</t>
  </si>
  <si>
    <t>ONDAFRESH SYRUP PINEAPPLE</t>
  </si>
  <si>
    <t>RABEFRESH D 30MG/20MG CAPSULE SR</t>
  </si>
  <si>
    <t>RABEFRESH LS 75MG/20MG CAPSULE</t>
  </si>
  <si>
    <t>RESPIFRESH D SYRUP</t>
  </si>
  <si>
    <t>RESPIFRESH TR SYRUP</t>
  </si>
  <si>
    <t>RESPIFRESH D SOFT GELATIN CAPSULE</t>
  </si>
  <si>
    <t>VITAFLOW Z POWDER ORANGE</t>
  </si>
  <si>
    <t>AZITREAT 500MG TABLET</t>
  </si>
  <si>
    <t>BECLOFRESH CREAM</t>
  </si>
  <si>
    <t>C FRESH 5MG SYRUP</t>
  </si>
  <si>
    <t>CEFISMART 50MG DRY SYRUP</t>
  </si>
  <si>
    <t>CLOFRESH ADVANCE CREAM</t>
  </si>
  <si>
    <t>CLOFRESH GM NEO CREAM</t>
  </si>
  <si>
    <t>CLOFRESH OT CREAM</t>
  </si>
  <si>
    <t>CODIFRESH DX SYRUP</t>
  </si>
  <si>
    <t>CLOBRICH 0.05% CREAM</t>
  </si>
  <si>
    <t>GENEES PHARMACEUTICAL PVT LTD</t>
  </si>
  <si>
    <t>PIGMOTRAN TABLET</t>
  </si>
  <si>
    <t>GENEETIN AF 0.25% CREAM</t>
  </si>
  <si>
    <t>ISOPURE 10MG SOFT GELATIN CAPSULE</t>
  </si>
  <si>
    <t>ELNEES 5 TABLET</t>
  </si>
  <si>
    <t>ALBACTIN 500MG TABLET</t>
  </si>
  <si>
    <t>Meridian Medicare Ltd</t>
  </si>
  <si>
    <t>ALFADIN INJECTION</t>
  </si>
  <si>
    <t>ALLERGESIC 5MG TABLET</t>
  </si>
  <si>
    <t>APETIZ SYRUP</t>
  </si>
  <si>
    <t>ARTHETRIP 90MG/48MG/100MG TABLET</t>
  </si>
  <si>
    <t>BESTITRA 200MG CAPSULE</t>
  </si>
  <si>
    <t>CEFAMED 250MG INJECTION</t>
  </si>
  <si>
    <t>CEFAMED T 500MG/62.5MG INJECTION</t>
  </si>
  <si>
    <t>CEFIMED 100MG TABLET</t>
  </si>
  <si>
    <t>CEFIMED CL 200 MG/125 MG TABLET</t>
  </si>
  <si>
    <t>CEMERI 200MG TABLET</t>
  </si>
  <si>
    <t>CEMERI 50MG TABLET</t>
  </si>
  <si>
    <t>CIPROZET 500MG TABLET</t>
  </si>
  <si>
    <t>DIVERT 24MG TABLET</t>
  </si>
  <si>
    <t>FLAMESE AP 100 MG/500 MG TABLET</t>
  </si>
  <si>
    <t>HB STAT TABLET</t>
  </si>
  <si>
    <t>HT GUARD 20MG TABLET</t>
  </si>
  <si>
    <t>HT NORM 25MG TABLET</t>
  </si>
  <si>
    <t>HT NORM 50MG TABLET</t>
  </si>
  <si>
    <t>KOFRID D SYRUP</t>
  </si>
  <si>
    <t>LEDECON TABLET</t>
  </si>
  <si>
    <t>M MOX PLUS 500MG CAPSULE</t>
  </si>
  <si>
    <t>MAXONE 1000MG INJECTION</t>
  </si>
  <si>
    <t>MECTIN 6MG TABLET</t>
  </si>
  <si>
    <t>MERICORT 40MG INJECTION</t>
  </si>
  <si>
    <t>MERICORT 4MG TABLET</t>
  </si>
  <si>
    <t>MERIPRED 16MG TABLET</t>
  </si>
  <si>
    <t>METAFOR GP 2MG/500MG/15MG TABLET</t>
  </si>
  <si>
    <t>NIMD 100MG TABLET</t>
  </si>
  <si>
    <t>OBACTIN TZ 200MG/600MG TABLET</t>
  </si>
  <si>
    <t>PANDRIVE 40MG TABLET</t>
  </si>
  <si>
    <t>PIOMERI 15MG TABLET</t>
  </si>
  <si>
    <t>REJUVIT P POWDER</t>
  </si>
  <si>
    <t>REJUVIT PLUS SYRUP</t>
  </si>
  <si>
    <t>ROXON 150MG TABLET</t>
  </si>
  <si>
    <t>TROMA 50MG INJECTION</t>
  </si>
  <si>
    <t>ULCIGARD FORTE 10 MG/20 MG TABLET</t>
  </si>
  <si>
    <t>ULCIGARD FORTE 10 MG/40 MG TABLET SR</t>
  </si>
  <si>
    <t>VERTIDEX 16MG TABLET</t>
  </si>
  <si>
    <t>ZINVER 16MG TABLET</t>
  </si>
  <si>
    <t>ZOHRI 200MG/5ML DROP</t>
  </si>
  <si>
    <t>ZOHRI 250MG TABLET</t>
  </si>
  <si>
    <t>ALBACTIN 250MG TABLET</t>
  </si>
  <si>
    <t>ANAMIKA 500MG INJECTION</t>
  </si>
  <si>
    <t>APETIZ 4MG TABLET</t>
  </si>
  <si>
    <t>APETIZ PLUS SYRUP</t>
  </si>
  <si>
    <t>ATORDIN 10MG TABLET</t>
  </si>
  <si>
    <t>AUGER 250MG/125MG TABLET</t>
  </si>
  <si>
    <t>AUGER DUO DRY SYRUP</t>
  </si>
  <si>
    <t>CEFAMED 1GM INJECTION</t>
  </si>
  <si>
    <t>ACRONAC P ORAL SUSPENSION</t>
  </si>
  <si>
    <t>FARLEX PHARMACEUTICAL</t>
  </si>
  <si>
    <t>ACRONAC P TABLET</t>
  </si>
  <si>
    <t>AZIROP LB TABLET</t>
  </si>
  <si>
    <t>BERTIN 1% CREAM</t>
  </si>
  <si>
    <t>CEFICOD 50 TABLET DT</t>
  </si>
  <si>
    <t>CEFICOD CV DRY SYRUP</t>
  </si>
  <si>
    <t>CEFICOD DX 200MG/500MG TABLET</t>
  </si>
  <si>
    <t>CEFICOD LB 200MG TABLET DT</t>
  </si>
  <si>
    <t>CEFICOD CV TABLET</t>
  </si>
  <si>
    <t>CEFTOLEX S 1000MG/500MG INJECTION</t>
  </si>
  <si>
    <t>CETCOD 5 TABLET</t>
  </si>
  <si>
    <t>CETCOD M KID TABLET</t>
  </si>
  <si>
    <t>DECOMET 25MG INJECTION</t>
  </si>
  <si>
    <t>DICOL 60K SOFTGEL CAPSULE</t>
  </si>
  <si>
    <t>DIFARNAC 75MG INJECTION</t>
  </si>
  <si>
    <t>DIFARNAC MR TABLET</t>
  </si>
  <si>
    <t>DIFARNAC SP TABLET</t>
  </si>
  <si>
    <t>FARCOX 90MG TABLET</t>
  </si>
  <si>
    <t>FARZOLE 40MG INJECTION</t>
  </si>
  <si>
    <t>FARZOLE D 30MG/40MG CAPSULE SR</t>
  </si>
  <si>
    <t>FARZOLE LS 75MG/40MG CAPSULE SR</t>
  </si>
  <si>
    <t>FUROMIN 500 TABLET</t>
  </si>
  <si>
    <t>FUSILEX 2% CREAM</t>
  </si>
  <si>
    <t>GASTOLEX ORAL SUSPENSION MANGO SUGAR FREE</t>
  </si>
  <si>
    <t>GLIMZEN M 1MG/500MG TABLET SR</t>
  </si>
  <si>
    <t>KETOPOZ SOAP</t>
  </si>
  <si>
    <t>LEXOGEST 100MG SOFT GELATIN CAPSULE</t>
  </si>
  <si>
    <t>MECONOL 1500MCG INJECTION</t>
  </si>
  <si>
    <t>MECONOL PLUS INJECTION</t>
  </si>
  <si>
    <t>MOL M ORAL SUSPENSION</t>
  </si>
  <si>
    <t>MONTCAD FX 10MG/120MG TABLET</t>
  </si>
  <si>
    <t>MOXIKIP 250MG TABLET</t>
  </si>
  <si>
    <t>MOXIKIP CV DRY SYRUP</t>
  </si>
  <si>
    <t>MOXIKIP CV KID 200MG/28.5MG TABLET</t>
  </si>
  <si>
    <t>MOXILEX 0.5% EYE DROP</t>
  </si>
  <si>
    <t>NIMOZIP 100MG TABLET MD</t>
  </si>
  <si>
    <t>PIRALIN 500MG/800MG TABLET</t>
  </si>
  <si>
    <t>PODLEX 100 TABLET DT</t>
  </si>
  <si>
    <t>PODLEX 200 TABLET DT</t>
  </si>
  <si>
    <t>RABEPOZ 20 TABLET</t>
  </si>
  <si>
    <t>RABEPOZ D 10MG/20MG TABLET</t>
  </si>
  <si>
    <t>RABEPOZ D 30MG/20MG CAPSULE SR</t>
  </si>
  <si>
    <t>ROCELL 10MG TABLET</t>
  </si>
  <si>
    <t>ROCELL F 160MG/10MG TABLET</t>
  </si>
  <si>
    <t>TALOLEX AM 40MG/5MG TABLET</t>
  </si>
  <si>
    <t>TRYTOR TABLET</t>
  </si>
  <si>
    <t>ACRONAC 200 TABLET SR</t>
  </si>
  <si>
    <t>ACRONAC PT 4MG/100MG/325MG TABLET</t>
  </si>
  <si>
    <t>DD Nutritions</t>
  </si>
  <si>
    <t>LEVODEF 500 TABLET</t>
  </si>
  <si>
    <t>NUTRAMEDICA INC.</t>
  </si>
  <si>
    <t>NEFTUM AXT 250MG TABLET</t>
  </si>
  <si>
    <t>NUPROX 100 TABLET DT</t>
  </si>
  <si>
    <t>NUTRACIP 1000MG INJECTION</t>
  </si>
  <si>
    <t>NUTRACIP TZ 1000MG/125MG INJECTION</t>
  </si>
  <si>
    <t>NUTRACOF AT EXPECTORANT</t>
  </si>
  <si>
    <t>X HOURS 100MG TABLET</t>
  </si>
  <si>
    <t>ARTEE 150MG INJECTION</t>
  </si>
  <si>
    <t>NEFTUM SB 1000MG/500MG INJECTION</t>
  </si>
  <si>
    <t>NEFTUM SB 500MG/500MG INJECTION</t>
  </si>
  <si>
    <t>NUPROX CV 200MG/125MG TABLET</t>
  </si>
  <si>
    <t>NUTRACEF 200MG TABLET</t>
  </si>
  <si>
    <t>NUTRACEF 50MG DRY SYRUP</t>
  </si>
  <si>
    <t>NUTRACEF O 200MG/200MG TABLET</t>
  </si>
  <si>
    <t>NUTRACEF CV 200MG/125MG TABLET</t>
  </si>
  <si>
    <t>NUTRACIP 500MG INJECTION</t>
  </si>
  <si>
    <t>NUTRACIP SB 1000MG/500MG INJECTION</t>
  </si>
  <si>
    <t>NUTRACIP SB 375 INJECTION</t>
  </si>
  <si>
    <t>NUTRAFLAM 200MG TABLET SR</t>
  </si>
  <si>
    <t>NUTRAFLAM 75MG INJECTION</t>
  </si>
  <si>
    <t>NUTRAFLAM P 100MG/500MG TABLET</t>
  </si>
  <si>
    <t>NUTRAFLOX 200 TABLET</t>
  </si>
  <si>
    <t>NUTRAGEST 200MG SOFT GELATIN CAPSULE</t>
  </si>
  <si>
    <t>PANTRA 40MG INJECTION</t>
  </si>
  <si>
    <t>PANTRA 40MG TABLET</t>
  </si>
  <si>
    <t>PANTRA D 10MG/40MG TABLET</t>
  </si>
  <si>
    <t>PROMEX DSR CAPSULE</t>
  </si>
  <si>
    <t>NEFTUM AXT 500MG TABLET</t>
  </si>
  <si>
    <t>NUTRACOF DMR SYRUP</t>
  </si>
  <si>
    <t>NUTRACOLD TABLET</t>
  </si>
  <si>
    <t>NUTRAFLAM SYRUP</t>
  </si>
  <si>
    <t>NUTRAFLAM ZX 100MG/325MG/250MG TABLET</t>
  </si>
  <si>
    <t>NUTRAFLOX 50MG ORAL SUSPENSION</t>
  </si>
  <si>
    <t>NUTRAFLOX OZ ORAL SUSPENSION</t>
  </si>
  <si>
    <t>NUTRAMIC INJECTION</t>
  </si>
  <si>
    <t>NUTRAPENUM 1000MG INJECTION</t>
  </si>
  <si>
    <t>NUTRARED INJECTION</t>
  </si>
  <si>
    <t>TEZOPE 4.5 INJECTION</t>
  </si>
  <si>
    <t>AZINUT 500MG TABLET</t>
  </si>
  <si>
    <t>NUPROX 200MG TABLET</t>
  </si>
  <si>
    <t>NUPROX 50MG DRY SYRUP</t>
  </si>
  <si>
    <t>NUTRACEF 100MG TABLET</t>
  </si>
  <si>
    <t>NUTRACIP 250MG INJECTION</t>
  </si>
  <si>
    <t>NUTRACOLD SYRUP</t>
  </si>
  <si>
    <t>NUTRAFLAM 100MG/10MG TABLET</t>
  </si>
  <si>
    <t>NUTRAFLAM SP TABLET</t>
  </si>
  <si>
    <t>NUTRAFLOX OZ 200MG/500MG TABLET</t>
  </si>
  <si>
    <t>PANTODOM DSR CAPSULE</t>
  </si>
  <si>
    <t>ZIOPRIN 50MG TABLET</t>
  </si>
  <si>
    <t>CROMUS FORTE OINTMENT</t>
  </si>
  <si>
    <t>RETREAT 5% GEL</t>
  </si>
  <si>
    <t>CONASPORE 100MG CAPSULE</t>
  </si>
  <si>
    <t>COUNTA of Company Name</t>
  </si>
  <si>
    <t>Archicare Limited</t>
  </si>
  <si>
    <t>BRD MediLabs</t>
  </si>
  <si>
    <t>Jantec Pharma</t>
  </si>
  <si>
    <t>Mediquest Pharma</t>
  </si>
  <si>
    <t>Nusmith Pharma Pvt. Ltd</t>
  </si>
  <si>
    <t>Smart Laboratories Pvt Ltd</t>
  </si>
  <si>
    <t>Swastik Life Sciences</t>
  </si>
  <si>
    <t>Werke Healthcare</t>
  </si>
  <si>
    <t>Bionova Lifesciences</t>
  </si>
  <si>
    <t>Farlex Pharmaceuticals Pvt Ltd</t>
  </si>
  <si>
    <t>Progressive Life Care</t>
  </si>
  <si>
    <t>Nutramedica Inc.</t>
  </si>
  <si>
    <t>Medivision Pharma</t>
  </si>
  <si>
    <t>H AND B WELLNESS</t>
  </si>
  <si>
    <t>S V Biovac Pharmaceuticals Pvt Ltd</t>
  </si>
  <si>
    <t>Alcure Pharmaceutical Laboratories India Pvt Ltd</t>
  </si>
  <si>
    <t>Samnova Pharmaceuticals Pvt Ltd</t>
  </si>
  <si>
    <t>Torion Labs</t>
  </si>
  <si>
    <t>Genees Pharmaceutical Pvt. Ltd.</t>
  </si>
  <si>
    <t>Segment Care</t>
  </si>
  <si>
    <t>Innovwell Pharmaceuticals Pvt Ltd</t>
  </si>
  <si>
    <t>Aradhia Pharmaceuticals India Pvt Ltd</t>
  </si>
  <si>
    <t>DD NUTRITIONS PVT LTD</t>
  </si>
  <si>
    <t>SATURN FORMULATIONS PVT LTD</t>
  </si>
  <si>
    <t>ROSSWELT BIOSCIENCES</t>
  </si>
  <si>
    <t>HEALTHKIND LABS PVT LTD</t>
  </si>
  <si>
    <t>ZENACTS PHARMA</t>
  </si>
  <si>
    <t>ITRACHEM-T cream</t>
  </si>
  <si>
    <t>DOIN-20 SOFT GEL CAP</t>
  </si>
  <si>
    <t>ULTRA-SHINE SOAP</t>
  </si>
  <si>
    <t>CLOBSOL-S LOTION</t>
  </si>
  <si>
    <t>SWISSGLOW-UV LOTION</t>
  </si>
  <si>
    <t>ALENE-DUO GEL CREAM</t>
  </si>
  <si>
    <t>BECOLITE-CN CREAM</t>
  </si>
  <si>
    <t>CIPROCHEM-TC</t>
  </si>
  <si>
    <t>CLOBSOL-MN CREAM</t>
  </si>
  <si>
    <t>CLOBSOL-S CREAM</t>
  </si>
  <si>
    <t>FIT-UP-FOOT CREAM</t>
  </si>
  <si>
    <t>ITRACHEM-F</t>
  </si>
  <si>
    <t>Eve-Wash</t>
  </si>
  <si>
    <t>TERBICHEM-M</t>
  </si>
  <si>
    <t>FUSICHEM-M</t>
  </si>
  <si>
    <t>TERBICHEM-250</t>
  </si>
  <si>
    <t>KETOLE-ZPTO SHAMPOO</t>
  </si>
  <si>
    <t>CLOBSOL-F CREAM</t>
  </si>
  <si>
    <t>MARINADERM-F CREAM</t>
  </si>
  <si>
    <t>SWISSDINE-TS</t>
  </si>
  <si>
    <t>AZITHROMYCIN-500</t>
  </si>
  <si>
    <t>SWISSDINE-MS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</si>
</sst>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202124"/>
      <name val="Roboto"/>
    </font>
    <font>
      <color rgb="FF212121"/>
      <name val="&quot;Clear Sans&quot;"/>
    </font>
    <font>
      <u/>
      <color rgb="FF0000FF"/>
    </font>
    <font>
      <sz val="11.0"/>
      <color rgb="FFFF6F61"/>
      <name val="&quot;Clear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2" fontId="2" numFmtId="0" xfId="0" applyFill="1" applyFont="1"/>
    <xf borderId="0" fillId="2" fontId="3" numFmtId="0" xfId="0" applyFont="1"/>
    <xf borderId="1" fillId="0" fontId="1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164" xfId="0" applyAlignment="1" applyBorder="1" applyFont="1" applyNumberFormat="1">
      <alignment horizontal="left" shrinkToFit="0" wrapText="0"/>
    </xf>
    <xf borderId="1" fillId="0" fontId="4" numFmtId="0" xfId="0" applyAlignment="1" applyBorder="1" applyFont="1">
      <alignment horizontal="left" shrinkToFit="0" wrapText="0"/>
    </xf>
    <xf borderId="1" fillId="0" fontId="1" numFmtId="164" xfId="0" applyAlignment="1" applyBorder="1" applyFont="1" applyNumberFormat="1">
      <alignment horizontal="left"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vinedewbiotech.in/" TargetMode="External"/><Relationship Id="rId2" Type="http://schemas.openxmlformats.org/officeDocument/2006/relationships/hyperlink" Target="https://www.gomcopharma.in/" TargetMode="External"/><Relationship Id="rId3" Type="http://schemas.openxmlformats.org/officeDocument/2006/relationships/hyperlink" Target="https://www.indiamart.com/SIXTHSENSEPHARMACEUTICALS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0"/>
    <col customWidth="1" min="2" max="2" width="3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1" t="s">
        <v>10</v>
      </c>
      <c r="C2" s="3"/>
    </row>
    <row r="3">
      <c r="A3" s="2" t="s">
        <v>11</v>
      </c>
      <c r="B3" s="1" t="s">
        <v>10</v>
      </c>
      <c r="C3" s="3"/>
    </row>
    <row r="4">
      <c r="A4" s="2" t="s">
        <v>12</v>
      </c>
      <c r="B4" s="1" t="s">
        <v>10</v>
      </c>
      <c r="C4" s="3"/>
    </row>
    <row r="5">
      <c r="A5" s="2" t="s">
        <v>13</v>
      </c>
      <c r="B5" s="1" t="s">
        <v>10</v>
      </c>
      <c r="C5" s="3"/>
    </row>
    <row r="6">
      <c r="A6" s="2" t="s">
        <v>14</v>
      </c>
      <c r="B6" s="1" t="s">
        <v>10</v>
      </c>
      <c r="C6" s="3"/>
    </row>
    <row r="7">
      <c r="A7" s="2" t="s">
        <v>15</v>
      </c>
      <c r="B7" s="1" t="s">
        <v>10</v>
      </c>
      <c r="C7" s="3"/>
    </row>
    <row r="8">
      <c r="A8" s="2" t="s">
        <v>16</v>
      </c>
      <c r="B8" s="1" t="s">
        <v>10</v>
      </c>
      <c r="C8" s="3"/>
    </row>
    <row r="9">
      <c r="A9" s="2" t="s">
        <v>17</v>
      </c>
      <c r="B9" s="1" t="s">
        <v>10</v>
      </c>
      <c r="C9" s="3"/>
    </row>
    <row r="10">
      <c r="A10" s="2" t="s">
        <v>18</v>
      </c>
      <c r="B10" s="1" t="s">
        <v>10</v>
      </c>
      <c r="C10" s="3"/>
    </row>
    <row r="11">
      <c r="A11" s="2" t="s">
        <v>19</v>
      </c>
      <c r="B11" s="1" t="s">
        <v>10</v>
      </c>
      <c r="C11" s="3"/>
    </row>
    <row r="12">
      <c r="A12" s="2" t="s">
        <v>20</v>
      </c>
      <c r="B12" s="1" t="s">
        <v>10</v>
      </c>
      <c r="C12" s="3"/>
    </row>
    <row r="13">
      <c r="A13" s="2" t="s">
        <v>21</v>
      </c>
      <c r="B13" s="1" t="s">
        <v>10</v>
      </c>
      <c r="C13" s="3"/>
    </row>
    <row r="14">
      <c r="A14" s="2" t="s">
        <v>22</v>
      </c>
      <c r="B14" s="1" t="s">
        <v>10</v>
      </c>
      <c r="C14" s="3"/>
    </row>
    <row r="15">
      <c r="A15" s="2" t="s">
        <v>23</v>
      </c>
      <c r="B15" s="1" t="s">
        <v>10</v>
      </c>
      <c r="C15" s="3"/>
    </row>
    <row r="16">
      <c r="A16" s="2" t="s">
        <v>24</v>
      </c>
      <c r="B16" s="1" t="s">
        <v>10</v>
      </c>
      <c r="C16" s="3"/>
    </row>
    <row r="17">
      <c r="A17" s="2" t="s">
        <v>25</v>
      </c>
      <c r="B17" s="1" t="s">
        <v>10</v>
      </c>
      <c r="C17" s="3"/>
    </row>
    <row r="18">
      <c r="A18" s="2" t="s">
        <v>26</v>
      </c>
      <c r="B18" s="1" t="s">
        <v>10</v>
      </c>
      <c r="C18" s="3"/>
    </row>
    <row r="19">
      <c r="A19" s="2" t="s">
        <v>27</v>
      </c>
      <c r="B19" s="1" t="s">
        <v>10</v>
      </c>
      <c r="C19" s="3"/>
    </row>
    <row r="20">
      <c r="A20" s="2" t="s">
        <v>28</v>
      </c>
      <c r="B20" s="1" t="s">
        <v>10</v>
      </c>
      <c r="C20" s="3"/>
    </row>
    <row r="21">
      <c r="A21" s="2" t="s">
        <v>29</v>
      </c>
      <c r="B21" s="1" t="s">
        <v>10</v>
      </c>
      <c r="C21" s="3"/>
    </row>
    <row r="22">
      <c r="A22" s="2" t="s">
        <v>30</v>
      </c>
      <c r="B22" s="1" t="s">
        <v>10</v>
      </c>
      <c r="C22" s="3"/>
    </row>
    <row r="23">
      <c r="A23" s="1" t="s">
        <v>31</v>
      </c>
      <c r="B23" s="2" t="s">
        <v>32</v>
      </c>
      <c r="C23" s="3"/>
    </row>
    <row r="24">
      <c r="A24" s="1" t="s">
        <v>33</v>
      </c>
      <c r="B24" s="2" t="s">
        <v>32</v>
      </c>
      <c r="C24" s="3"/>
    </row>
    <row r="25">
      <c r="A25" s="1" t="s">
        <v>34</v>
      </c>
      <c r="B25" s="2" t="s">
        <v>32</v>
      </c>
      <c r="C25" s="3"/>
    </row>
    <row r="26">
      <c r="A26" s="2" t="s">
        <v>35</v>
      </c>
      <c r="B26" s="2" t="s">
        <v>32</v>
      </c>
      <c r="C26" s="3"/>
    </row>
    <row r="27">
      <c r="A27" s="1" t="s">
        <v>36</v>
      </c>
      <c r="B27" s="2" t="s">
        <v>32</v>
      </c>
      <c r="C27" s="3"/>
    </row>
    <row r="28">
      <c r="A28" s="1" t="s">
        <v>37</v>
      </c>
      <c r="B28" s="2" t="s">
        <v>32</v>
      </c>
      <c r="C28" s="3"/>
    </row>
    <row r="29">
      <c r="A29" s="2" t="s">
        <v>38</v>
      </c>
      <c r="B29" s="2" t="s">
        <v>32</v>
      </c>
      <c r="C29" s="3"/>
    </row>
    <row r="30">
      <c r="A30" s="1" t="s">
        <v>39</v>
      </c>
      <c r="B30" s="2" t="s">
        <v>32</v>
      </c>
      <c r="C30" s="3"/>
    </row>
    <row r="31">
      <c r="A31" s="2" t="s">
        <v>40</v>
      </c>
      <c r="B31" s="2" t="s">
        <v>32</v>
      </c>
      <c r="C31" s="3"/>
    </row>
    <row r="32">
      <c r="A32" s="1" t="s">
        <v>41</v>
      </c>
      <c r="B32" s="2" t="s">
        <v>32</v>
      </c>
      <c r="C32" s="3"/>
    </row>
    <row r="33">
      <c r="A33" s="1" t="s">
        <v>42</v>
      </c>
      <c r="B33" s="2" t="s">
        <v>32</v>
      </c>
      <c r="C33" s="3"/>
    </row>
    <row r="34">
      <c r="A34" s="2" t="s">
        <v>43</v>
      </c>
      <c r="B34" s="2" t="s">
        <v>32</v>
      </c>
      <c r="C34" s="3"/>
    </row>
    <row r="35">
      <c r="A35" s="1" t="s">
        <v>44</v>
      </c>
      <c r="B35" s="2" t="s">
        <v>32</v>
      </c>
      <c r="C35" s="3"/>
    </row>
    <row r="36">
      <c r="A36" s="1" t="s">
        <v>45</v>
      </c>
      <c r="B36" s="2" t="s">
        <v>32</v>
      </c>
      <c r="C36" s="3"/>
    </row>
    <row r="37">
      <c r="A37" s="1" t="s">
        <v>46</v>
      </c>
      <c r="B37" s="2" t="s">
        <v>32</v>
      </c>
      <c r="C37" s="3"/>
    </row>
    <row r="38">
      <c r="A38" s="1" t="s">
        <v>47</v>
      </c>
      <c r="B38" s="2" t="s">
        <v>32</v>
      </c>
      <c r="C38" s="3"/>
    </row>
    <row r="39">
      <c r="A39" s="1" t="s">
        <v>48</v>
      </c>
      <c r="B39" s="2" t="s">
        <v>32</v>
      </c>
      <c r="C39" s="3"/>
    </row>
    <row r="40">
      <c r="A40" s="1" t="s">
        <v>49</v>
      </c>
      <c r="B40" s="2" t="s">
        <v>32</v>
      </c>
      <c r="C40" s="3"/>
    </row>
    <row r="41">
      <c r="A41" s="2" t="s">
        <v>50</v>
      </c>
      <c r="B41" s="2" t="s">
        <v>32</v>
      </c>
      <c r="C41" s="3"/>
    </row>
    <row r="42">
      <c r="A42" s="2" t="s">
        <v>51</v>
      </c>
      <c r="B42" s="2" t="s">
        <v>32</v>
      </c>
      <c r="C42" s="3"/>
    </row>
    <row r="43">
      <c r="A43" s="1" t="s">
        <v>52</v>
      </c>
      <c r="B43" s="2" t="s">
        <v>32</v>
      </c>
      <c r="C43" s="3"/>
    </row>
    <row r="44">
      <c r="A44" s="1" t="s">
        <v>53</v>
      </c>
      <c r="B44" s="2" t="s">
        <v>32</v>
      </c>
      <c r="C44" s="3"/>
    </row>
    <row r="45">
      <c r="A45" s="1" t="s">
        <v>54</v>
      </c>
      <c r="B45" s="2" t="s">
        <v>32</v>
      </c>
      <c r="C45" s="3"/>
    </row>
    <row r="46">
      <c r="A46" s="1" t="s">
        <v>55</v>
      </c>
      <c r="B46" s="2" t="s">
        <v>32</v>
      </c>
      <c r="C46" s="3"/>
    </row>
    <row r="47">
      <c r="A47" s="1" t="s">
        <v>56</v>
      </c>
      <c r="B47" s="2" t="s">
        <v>32</v>
      </c>
      <c r="C47" s="3"/>
    </row>
    <row r="48">
      <c r="A48" s="1" t="s">
        <v>57</v>
      </c>
      <c r="B48" s="2" t="s">
        <v>32</v>
      </c>
      <c r="C48" s="3"/>
    </row>
    <row r="49">
      <c r="A49" s="2" t="s">
        <v>58</v>
      </c>
      <c r="B49" s="2" t="s">
        <v>32</v>
      </c>
      <c r="C49" s="3"/>
    </row>
    <row r="50">
      <c r="A50" s="2" t="s">
        <v>59</v>
      </c>
      <c r="B50" s="2" t="s">
        <v>32</v>
      </c>
      <c r="C50" s="3"/>
    </row>
    <row r="51">
      <c r="A51" s="1" t="s">
        <v>60</v>
      </c>
      <c r="B51" s="2" t="s">
        <v>32</v>
      </c>
      <c r="C51" s="3"/>
    </row>
    <row r="52">
      <c r="A52" s="1" t="s">
        <v>61</v>
      </c>
      <c r="B52" s="2" t="s">
        <v>32</v>
      </c>
      <c r="C52" s="3"/>
    </row>
    <row r="53">
      <c r="A53" s="1" t="s">
        <v>62</v>
      </c>
      <c r="B53" s="2" t="s">
        <v>32</v>
      </c>
      <c r="C53" s="3"/>
    </row>
    <row r="54">
      <c r="A54" s="1" t="s">
        <v>63</v>
      </c>
      <c r="B54" s="2" t="s">
        <v>32</v>
      </c>
      <c r="C54" s="3"/>
    </row>
    <row r="55">
      <c r="A55" s="2" t="s">
        <v>64</v>
      </c>
      <c r="B55" s="2" t="s">
        <v>32</v>
      </c>
      <c r="C55" s="3"/>
    </row>
    <row r="56">
      <c r="A56" s="1" t="s">
        <v>65</v>
      </c>
      <c r="B56" s="2" t="s">
        <v>66</v>
      </c>
      <c r="C56" s="3"/>
    </row>
    <row r="57">
      <c r="A57" s="1" t="s">
        <v>67</v>
      </c>
      <c r="B57" s="2" t="s">
        <v>66</v>
      </c>
      <c r="C57" s="3"/>
    </row>
    <row r="58">
      <c r="A58" s="1" t="s">
        <v>68</v>
      </c>
      <c r="B58" s="2" t="s">
        <v>66</v>
      </c>
      <c r="C58" s="3"/>
    </row>
    <row r="59">
      <c r="A59" s="2" t="s">
        <v>69</v>
      </c>
      <c r="B59" s="2" t="s">
        <v>66</v>
      </c>
      <c r="C59" s="3"/>
    </row>
    <row r="60">
      <c r="A60" s="1" t="s">
        <v>70</v>
      </c>
      <c r="B60" s="2" t="s">
        <v>66</v>
      </c>
      <c r="C60" s="3"/>
    </row>
    <row r="61">
      <c r="A61" s="1" t="s">
        <v>71</v>
      </c>
      <c r="B61" s="2" t="s">
        <v>66</v>
      </c>
      <c r="C61" s="3"/>
    </row>
    <row r="62">
      <c r="A62" s="1" t="s">
        <v>72</v>
      </c>
      <c r="B62" s="2" t="s">
        <v>66</v>
      </c>
      <c r="C62" s="3"/>
    </row>
    <row r="63">
      <c r="A63" s="1" t="s">
        <v>73</v>
      </c>
      <c r="B63" s="2" t="s">
        <v>66</v>
      </c>
      <c r="C63" s="3"/>
    </row>
    <row r="64">
      <c r="A64" s="2" t="s">
        <v>74</v>
      </c>
      <c r="B64" s="2" t="s">
        <v>66</v>
      </c>
      <c r="C64" s="3"/>
    </row>
    <row r="65">
      <c r="A65" s="1" t="s">
        <v>75</v>
      </c>
      <c r="B65" s="2" t="s">
        <v>66</v>
      </c>
      <c r="C65" s="3"/>
    </row>
    <row r="66">
      <c r="A66" s="1" t="s">
        <v>76</v>
      </c>
      <c r="B66" s="2" t="s">
        <v>66</v>
      </c>
      <c r="C66" s="3"/>
    </row>
    <row r="67">
      <c r="A67" s="1" t="s">
        <v>77</v>
      </c>
      <c r="B67" s="2" t="s">
        <v>66</v>
      </c>
      <c r="C67" s="3"/>
    </row>
    <row r="68">
      <c r="A68" s="1" t="s">
        <v>78</v>
      </c>
      <c r="B68" s="2" t="s">
        <v>66</v>
      </c>
      <c r="C68" s="3"/>
    </row>
    <row r="69">
      <c r="A69" s="1" t="s">
        <v>79</v>
      </c>
      <c r="B69" s="2" t="s">
        <v>66</v>
      </c>
      <c r="C69" s="3"/>
    </row>
    <row r="70">
      <c r="A70" s="1" t="s">
        <v>80</v>
      </c>
      <c r="B70" s="2" t="s">
        <v>66</v>
      </c>
      <c r="C70" s="3"/>
    </row>
    <row r="71">
      <c r="A71" s="1" t="s">
        <v>81</v>
      </c>
      <c r="B71" s="2" t="s">
        <v>66</v>
      </c>
      <c r="C71" s="3"/>
    </row>
    <row r="72">
      <c r="A72" s="2" t="s">
        <v>82</v>
      </c>
      <c r="B72" s="2" t="s">
        <v>66</v>
      </c>
      <c r="C72" s="3"/>
    </row>
    <row r="73">
      <c r="A73" s="1" t="s">
        <v>83</v>
      </c>
      <c r="B73" s="2" t="s">
        <v>66</v>
      </c>
      <c r="C73" s="3"/>
    </row>
    <row r="74">
      <c r="A74" s="2" t="s">
        <v>84</v>
      </c>
      <c r="B74" s="2" t="s">
        <v>66</v>
      </c>
      <c r="C74" s="3"/>
    </row>
    <row r="75">
      <c r="A75" s="2" t="s">
        <v>85</v>
      </c>
      <c r="B75" s="2" t="s">
        <v>66</v>
      </c>
      <c r="C75" s="3"/>
    </row>
    <row r="76">
      <c r="A76" s="1" t="s">
        <v>86</v>
      </c>
      <c r="B76" s="2" t="s">
        <v>66</v>
      </c>
      <c r="C76" s="3"/>
    </row>
    <row r="77">
      <c r="A77" s="1" t="s">
        <v>87</v>
      </c>
      <c r="B77" s="2" t="s">
        <v>66</v>
      </c>
      <c r="C77" s="3"/>
    </row>
    <row r="78">
      <c r="A78" s="1" t="s">
        <v>88</v>
      </c>
      <c r="B78" s="2" t="s">
        <v>66</v>
      </c>
      <c r="C78" s="3"/>
    </row>
    <row r="79">
      <c r="A79" s="2" t="s">
        <v>89</v>
      </c>
      <c r="B79" s="2" t="s">
        <v>66</v>
      </c>
      <c r="C79" s="3"/>
    </row>
    <row r="80">
      <c r="A80" s="1" t="s">
        <v>90</v>
      </c>
      <c r="B80" s="2" t="s">
        <v>66</v>
      </c>
      <c r="C80" s="3"/>
    </row>
    <row r="81">
      <c r="A81" s="1" t="s">
        <v>91</v>
      </c>
      <c r="B81" s="2" t="s">
        <v>66</v>
      </c>
      <c r="C81" s="3"/>
    </row>
    <row r="82">
      <c r="A82" s="1" t="s">
        <v>92</v>
      </c>
      <c r="B82" s="2" t="s">
        <v>66</v>
      </c>
      <c r="C82" s="3"/>
    </row>
    <row r="83">
      <c r="A83" s="1" t="s">
        <v>93</v>
      </c>
      <c r="B83" s="2" t="s">
        <v>66</v>
      </c>
      <c r="C83" s="3"/>
    </row>
    <row r="84">
      <c r="A84" s="1" t="s">
        <v>94</v>
      </c>
      <c r="B84" s="2" t="s">
        <v>66</v>
      </c>
      <c r="C84" s="3"/>
    </row>
    <row r="85">
      <c r="A85" s="1" t="s">
        <v>95</v>
      </c>
      <c r="B85" s="2" t="s">
        <v>66</v>
      </c>
      <c r="C85" s="3"/>
    </row>
    <row r="86">
      <c r="A86" s="1" t="s">
        <v>96</v>
      </c>
      <c r="B86" s="2" t="s">
        <v>66</v>
      </c>
      <c r="C86" s="3"/>
    </row>
    <row r="87">
      <c r="A87" s="1" t="s">
        <v>97</v>
      </c>
      <c r="B87" s="2" t="s">
        <v>66</v>
      </c>
      <c r="C87" s="3"/>
    </row>
    <row r="88">
      <c r="A88" s="2" t="s">
        <v>98</v>
      </c>
      <c r="B88" s="2" t="s">
        <v>66</v>
      </c>
      <c r="C88" s="3"/>
    </row>
    <row r="89">
      <c r="A89" s="2" t="s">
        <v>99</v>
      </c>
      <c r="B89" s="2" t="s">
        <v>66</v>
      </c>
      <c r="C89" s="3"/>
    </row>
    <row r="90">
      <c r="A90" s="2" t="s">
        <v>100</v>
      </c>
      <c r="B90" s="2" t="s">
        <v>66</v>
      </c>
      <c r="C90" s="3"/>
    </row>
    <row r="91">
      <c r="A91" s="2" t="s">
        <v>101</v>
      </c>
      <c r="B91" s="2" t="s">
        <v>66</v>
      </c>
      <c r="C91" s="3"/>
    </row>
    <row r="92">
      <c r="A92" s="1" t="s">
        <v>102</v>
      </c>
      <c r="B92" s="2" t="s">
        <v>66</v>
      </c>
      <c r="C92" s="3"/>
    </row>
    <row r="93">
      <c r="A93" s="1" t="s">
        <v>103</v>
      </c>
      <c r="B93" s="2" t="s">
        <v>66</v>
      </c>
      <c r="C93" s="3"/>
    </row>
    <row r="94">
      <c r="A94" s="2" t="s">
        <v>104</v>
      </c>
      <c r="B94" s="2" t="s">
        <v>66</v>
      </c>
      <c r="C94" s="3"/>
    </row>
    <row r="95">
      <c r="A95" s="1" t="s">
        <v>105</v>
      </c>
      <c r="B95" s="2" t="s">
        <v>66</v>
      </c>
      <c r="C95" s="3"/>
    </row>
    <row r="96">
      <c r="A96" s="1" t="s">
        <v>106</v>
      </c>
      <c r="B96" s="2" t="s">
        <v>66</v>
      </c>
      <c r="C96" s="3"/>
    </row>
    <row r="97">
      <c r="A97" s="1" t="s">
        <v>107</v>
      </c>
      <c r="B97" s="2" t="s">
        <v>66</v>
      </c>
      <c r="C97" s="3"/>
    </row>
    <row r="98">
      <c r="A98" s="1" t="s">
        <v>108</v>
      </c>
      <c r="B98" s="2" t="s">
        <v>66</v>
      </c>
      <c r="C98" s="3"/>
    </row>
    <row r="99">
      <c r="A99" s="2" t="s">
        <v>109</v>
      </c>
      <c r="B99" s="2" t="s">
        <v>66</v>
      </c>
      <c r="C99" s="3"/>
    </row>
    <row r="100">
      <c r="A100" s="1" t="s">
        <v>110</v>
      </c>
      <c r="B100" s="2" t="s">
        <v>66</v>
      </c>
      <c r="C100" s="3"/>
    </row>
    <row r="101">
      <c r="A101" s="1" t="s">
        <v>111</v>
      </c>
      <c r="B101" s="2" t="s">
        <v>66</v>
      </c>
      <c r="C101" s="3"/>
    </row>
    <row r="102">
      <c r="A102" s="1" t="s">
        <v>112</v>
      </c>
      <c r="B102" s="2" t="s">
        <v>66</v>
      </c>
      <c r="C102" s="3"/>
    </row>
    <row r="103">
      <c r="A103" s="1" t="s">
        <v>113</v>
      </c>
      <c r="B103" s="2" t="s">
        <v>66</v>
      </c>
      <c r="C103" s="3"/>
    </row>
    <row r="104">
      <c r="A104" s="1" t="s">
        <v>114</v>
      </c>
      <c r="B104" s="2" t="s">
        <v>66</v>
      </c>
      <c r="C104" s="3"/>
    </row>
    <row r="105">
      <c r="A105" s="1" t="s">
        <v>115</v>
      </c>
      <c r="B105" s="2" t="s">
        <v>66</v>
      </c>
      <c r="C105" s="3"/>
    </row>
    <row r="106">
      <c r="A106" s="2" t="s">
        <v>98</v>
      </c>
      <c r="B106" s="2" t="s">
        <v>66</v>
      </c>
      <c r="C106" s="3"/>
    </row>
    <row r="107">
      <c r="A107" s="2" t="s">
        <v>99</v>
      </c>
      <c r="B107" s="2" t="s">
        <v>66</v>
      </c>
      <c r="C107" s="3"/>
    </row>
    <row r="108">
      <c r="A108" s="2" t="s">
        <v>100</v>
      </c>
      <c r="B108" s="2" t="s">
        <v>66</v>
      </c>
      <c r="C108" s="3"/>
    </row>
    <row r="109">
      <c r="A109" s="2" t="s">
        <v>101</v>
      </c>
      <c r="B109" s="2" t="s">
        <v>66</v>
      </c>
      <c r="C109" s="3"/>
    </row>
    <row r="110">
      <c r="A110" s="1" t="s">
        <v>102</v>
      </c>
      <c r="B110" s="2" t="s">
        <v>66</v>
      </c>
      <c r="C110" s="3"/>
    </row>
    <row r="111">
      <c r="A111" s="1" t="s">
        <v>103</v>
      </c>
      <c r="B111" s="2" t="s">
        <v>66</v>
      </c>
      <c r="C111" s="3"/>
    </row>
    <row r="112">
      <c r="A112" s="2" t="s">
        <v>104</v>
      </c>
      <c r="B112" s="2" t="s">
        <v>66</v>
      </c>
      <c r="C112" s="3"/>
    </row>
    <row r="113">
      <c r="A113" s="1" t="s">
        <v>105</v>
      </c>
      <c r="B113" s="2" t="s">
        <v>66</v>
      </c>
      <c r="C113" s="3"/>
    </row>
    <row r="114">
      <c r="A114" s="1" t="s">
        <v>106</v>
      </c>
      <c r="B114" s="2" t="s">
        <v>66</v>
      </c>
      <c r="C114" s="3"/>
    </row>
    <row r="115">
      <c r="A115" s="1" t="s">
        <v>107</v>
      </c>
      <c r="B115" s="2" t="s">
        <v>66</v>
      </c>
      <c r="C115" s="3"/>
    </row>
    <row r="116">
      <c r="A116" s="1" t="s">
        <v>108</v>
      </c>
      <c r="B116" s="2" t="s">
        <v>66</v>
      </c>
      <c r="C116" s="3"/>
    </row>
    <row r="117">
      <c r="A117" s="2" t="s">
        <v>109</v>
      </c>
      <c r="B117" s="2" t="s">
        <v>66</v>
      </c>
      <c r="C117" s="3"/>
    </row>
    <row r="118">
      <c r="A118" s="1" t="s">
        <v>110</v>
      </c>
      <c r="B118" s="2" t="s">
        <v>66</v>
      </c>
      <c r="C118" s="3"/>
    </row>
    <row r="119">
      <c r="A119" s="1" t="s">
        <v>111</v>
      </c>
      <c r="B119" s="2" t="s">
        <v>66</v>
      </c>
      <c r="C119" s="3"/>
    </row>
    <row r="120">
      <c r="A120" s="1" t="s">
        <v>112</v>
      </c>
      <c r="B120" s="2" t="s">
        <v>66</v>
      </c>
      <c r="C120" s="3"/>
    </row>
    <row r="121">
      <c r="A121" s="1" t="s">
        <v>113</v>
      </c>
      <c r="B121" s="2" t="s">
        <v>66</v>
      </c>
      <c r="C121" s="3"/>
    </row>
    <row r="122">
      <c r="A122" s="1" t="s">
        <v>114</v>
      </c>
      <c r="B122" s="2" t="s">
        <v>66</v>
      </c>
      <c r="C122" s="3"/>
    </row>
    <row r="123">
      <c r="A123" s="1" t="s">
        <v>115</v>
      </c>
      <c r="B123" s="2" t="s">
        <v>66</v>
      </c>
      <c r="C123" s="3"/>
    </row>
    <row r="124">
      <c r="A124" s="2" t="s">
        <v>116</v>
      </c>
      <c r="B124" s="2" t="s">
        <v>66</v>
      </c>
      <c r="C124" s="3"/>
    </row>
    <row r="125">
      <c r="A125" s="1" t="s">
        <v>117</v>
      </c>
      <c r="B125" s="2" t="s">
        <v>66</v>
      </c>
      <c r="C125" s="3"/>
    </row>
    <row r="126">
      <c r="A126" s="1" t="s">
        <v>118</v>
      </c>
      <c r="B126" s="2" t="s">
        <v>66</v>
      </c>
      <c r="C126" s="3"/>
    </row>
    <row r="127">
      <c r="A127" s="2" t="s">
        <v>119</v>
      </c>
      <c r="B127" s="2" t="s">
        <v>66</v>
      </c>
      <c r="C127" s="3"/>
    </row>
    <row r="128">
      <c r="A128" s="1" t="s">
        <v>120</v>
      </c>
      <c r="B128" s="2" t="s">
        <v>66</v>
      </c>
      <c r="C128" s="3"/>
    </row>
    <row r="129">
      <c r="A129" s="1" t="s">
        <v>121</v>
      </c>
      <c r="B129" s="2" t="s">
        <v>66</v>
      </c>
      <c r="C129" s="3"/>
    </row>
    <row r="130">
      <c r="A130" s="2" t="s">
        <v>122</v>
      </c>
      <c r="B130" s="2" t="s">
        <v>66</v>
      </c>
      <c r="C130" s="3"/>
    </row>
    <row r="131">
      <c r="A131" s="2" t="s">
        <v>123</v>
      </c>
      <c r="B131" s="2" t="s">
        <v>66</v>
      </c>
      <c r="C131" s="3"/>
    </row>
    <row r="132">
      <c r="A132" s="1" t="s">
        <v>124</v>
      </c>
      <c r="B132" s="2" t="s">
        <v>66</v>
      </c>
      <c r="C132" s="3"/>
    </row>
    <row r="133">
      <c r="A133" s="1" t="s">
        <v>125</v>
      </c>
      <c r="B133" s="2" t="s">
        <v>66</v>
      </c>
      <c r="C133" s="3"/>
    </row>
    <row r="134">
      <c r="A134" s="1" t="s">
        <v>126</v>
      </c>
      <c r="B134" s="2" t="s">
        <v>66</v>
      </c>
      <c r="C134" s="3"/>
    </row>
    <row r="135">
      <c r="A135" s="1" t="s">
        <v>127</v>
      </c>
      <c r="B135" s="2" t="s">
        <v>66</v>
      </c>
      <c r="C135" s="3"/>
    </row>
    <row r="136">
      <c r="A136" s="2" t="s">
        <v>128</v>
      </c>
      <c r="B136" s="2" t="s">
        <v>66</v>
      </c>
      <c r="C136" s="3"/>
    </row>
    <row r="137">
      <c r="A137" s="1" t="s">
        <v>129</v>
      </c>
      <c r="B137" s="2" t="s">
        <v>130</v>
      </c>
      <c r="C137" s="3"/>
    </row>
    <row r="138">
      <c r="A138" s="1" t="s">
        <v>131</v>
      </c>
      <c r="B138" s="2" t="s">
        <v>130</v>
      </c>
      <c r="C138" s="3"/>
    </row>
    <row r="139">
      <c r="A139" s="1" t="s">
        <v>132</v>
      </c>
      <c r="B139" s="2" t="s">
        <v>130</v>
      </c>
      <c r="C139" s="3"/>
    </row>
    <row r="140">
      <c r="A140" s="1" t="s">
        <v>133</v>
      </c>
      <c r="B140" s="2" t="s">
        <v>130</v>
      </c>
      <c r="C140" s="3"/>
    </row>
    <row r="141">
      <c r="A141" s="1" t="s">
        <v>134</v>
      </c>
      <c r="B141" s="2" t="s">
        <v>130</v>
      </c>
      <c r="C141" s="3"/>
    </row>
    <row r="142">
      <c r="A142" s="1" t="s">
        <v>135</v>
      </c>
      <c r="B142" s="2" t="s">
        <v>130</v>
      </c>
      <c r="C142" s="3"/>
    </row>
    <row r="143">
      <c r="A143" s="1" t="s">
        <v>136</v>
      </c>
      <c r="B143" s="2" t="s">
        <v>130</v>
      </c>
      <c r="C143" s="3"/>
    </row>
    <row r="144">
      <c r="A144" s="1" t="s">
        <v>137</v>
      </c>
      <c r="B144" s="2" t="s">
        <v>130</v>
      </c>
      <c r="C144" s="3"/>
    </row>
    <row r="145">
      <c r="A145" s="1" t="s">
        <v>138</v>
      </c>
      <c r="B145" s="2" t="s">
        <v>130</v>
      </c>
      <c r="C145" s="3"/>
    </row>
    <row r="146">
      <c r="A146" s="1" t="s">
        <v>139</v>
      </c>
      <c r="B146" s="2" t="s">
        <v>130</v>
      </c>
      <c r="C146" s="3"/>
    </row>
    <row r="147">
      <c r="A147" s="1" t="s">
        <v>140</v>
      </c>
      <c r="B147" s="2" t="s">
        <v>130</v>
      </c>
      <c r="C147" s="3"/>
    </row>
    <row r="148">
      <c r="A148" s="1" t="s">
        <v>141</v>
      </c>
      <c r="B148" s="2" t="s">
        <v>130</v>
      </c>
      <c r="C148" s="3"/>
    </row>
    <row r="149">
      <c r="A149" s="1" t="s">
        <v>142</v>
      </c>
      <c r="B149" s="2" t="s">
        <v>130</v>
      </c>
      <c r="C149" s="3"/>
    </row>
    <row r="150">
      <c r="A150" s="1" t="s">
        <v>143</v>
      </c>
      <c r="B150" s="2" t="s">
        <v>130</v>
      </c>
      <c r="C150" s="3"/>
    </row>
    <row r="151">
      <c r="A151" s="1" t="s">
        <v>144</v>
      </c>
      <c r="B151" s="2" t="s">
        <v>130</v>
      </c>
      <c r="C151" s="3"/>
    </row>
    <row r="152">
      <c r="A152" s="1" t="s">
        <v>145</v>
      </c>
      <c r="B152" s="2" t="s">
        <v>130</v>
      </c>
      <c r="C152" s="3"/>
    </row>
    <row r="153">
      <c r="A153" s="1" t="s">
        <v>146</v>
      </c>
      <c r="B153" s="2" t="s">
        <v>130</v>
      </c>
      <c r="C153" s="3"/>
    </row>
    <row r="154">
      <c r="A154" s="1" t="s">
        <v>147</v>
      </c>
      <c r="B154" s="2" t="s">
        <v>130</v>
      </c>
      <c r="C154" s="3"/>
    </row>
    <row r="155">
      <c r="A155" s="1" t="s">
        <v>148</v>
      </c>
      <c r="B155" s="2" t="s">
        <v>130</v>
      </c>
      <c r="C155" s="3"/>
    </row>
    <row r="156">
      <c r="A156" s="1" t="s">
        <v>149</v>
      </c>
      <c r="B156" s="2" t="s">
        <v>130</v>
      </c>
      <c r="C156" s="3"/>
    </row>
    <row r="157">
      <c r="A157" s="1" t="s">
        <v>150</v>
      </c>
      <c r="B157" s="2" t="s">
        <v>130</v>
      </c>
      <c r="C157" s="3"/>
    </row>
    <row r="158">
      <c r="A158" s="1" t="s">
        <v>151</v>
      </c>
      <c r="B158" s="2" t="s">
        <v>130</v>
      </c>
      <c r="C158" s="3"/>
    </row>
    <row r="159">
      <c r="A159" s="1" t="s">
        <v>152</v>
      </c>
      <c r="B159" s="2" t="s">
        <v>130</v>
      </c>
      <c r="C159" s="3"/>
    </row>
    <row r="160">
      <c r="A160" s="1" t="s">
        <v>153</v>
      </c>
      <c r="B160" s="2" t="s">
        <v>130</v>
      </c>
      <c r="C160" s="3"/>
    </row>
    <row r="161">
      <c r="A161" s="1" t="s">
        <v>154</v>
      </c>
      <c r="B161" s="2" t="s">
        <v>130</v>
      </c>
      <c r="C161" s="3"/>
    </row>
    <row r="162">
      <c r="A162" s="1" t="s">
        <v>155</v>
      </c>
      <c r="B162" s="2" t="s">
        <v>130</v>
      </c>
      <c r="C162" s="3"/>
    </row>
    <row r="163">
      <c r="A163" s="1" t="s">
        <v>156</v>
      </c>
      <c r="B163" s="2" t="s">
        <v>130</v>
      </c>
      <c r="C163" s="3"/>
    </row>
    <row r="164">
      <c r="A164" s="1" t="s">
        <v>157</v>
      </c>
      <c r="B164" s="2" t="s">
        <v>158</v>
      </c>
      <c r="C164" s="3"/>
    </row>
    <row r="165">
      <c r="A165" s="1" t="s">
        <v>159</v>
      </c>
      <c r="B165" s="2" t="s">
        <v>158</v>
      </c>
      <c r="C165" s="3"/>
    </row>
    <row r="166">
      <c r="A166" s="1" t="s">
        <v>160</v>
      </c>
      <c r="B166" s="2" t="s">
        <v>158</v>
      </c>
      <c r="C166" s="3"/>
    </row>
    <row r="167">
      <c r="A167" s="1" t="s">
        <v>161</v>
      </c>
      <c r="B167" s="2" t="s">
        <v>158</v>
      </c>
      <c r="C167" s="3"/>
    </row>
    <row r="168">
      <c r="A168" s="1" t="s">
        <v>162</v>
      </c>
      <c r="B168" s="2" t="s">
        <v>158</v>
      </c>
      <c r="C168" s="3"/>
    </row>
    <row r="169">
      <c r="A169" s="1" t="s">
        <v>163</v>
      </c>
      <c r="B169" s="2" t="s">
        <v>158</v>
      </c>
      <c r="C169" s="3"/>
    </row>
    <row r="170">
      <c r="A170" s="1" t="s">
        <v>164</v>
      </c>
      <c r="B170" s="2" t="s">
        <v>158</v>
      </c>
      <c r="C170" s="3"/>
    </row>
    <row r="171">
      <c r="A171" s="1" t="s">
        <v>165</v>
      </c>
      <c r="B171" s="2" t="s">
        <v>158</v>
      </c>
      <c r="C171" s="3"/>
    </row>
    <row r="172">
      <c r="A172" s="1" t="s">
        <v>166</v>
      </c>
      <c r="B172" s="2" t="s">
        <v>158</v>
      </c>
      <c r="C172" s="3"/>
    </row>
    <row r="173">
      <c r="A173" s="2" t="s">
        <v>167</v>
      </c>
      <c r="B173" s="2" t="s">
        <v>158</v>
      </c>
      <c r="C173" s="3"/>
    </row>
    <row r="174">
      <c r="A174" s="1" t="s">
        <v>168</v>
      </c>
      <c r="B174" s="2" t="s">
        <v>158</v>
      </c>
      <c r="C174" s="3"/>
    </row>
    <row r="175">
      <c r="A175" s="1" t="s">
        <v>169</v>
      </c>
      <c r="B175" s="2" t="s">
        <v>158</v>
      </c>
      <c r="C175" s="3"/>
    </row>
    <row r="176">
      <c r="A176" s="1" t="s">
        <v>170</v>
      </c>
      <c r="B176" s="2" t="s">
        <v>158</v>
      </c>
      <c r="C176" s="3"/>
    </row>
    <row r="177">
      <c r="A177" s="1" t="s">
        <v>171</v>
      </c>
      <c r="B177" s="2" t="s">
        <v>158</v>
      </c>
      <c r="C177" s="3"/>
    </row>
    <row r="178">
      <c r="A178" s="2" t="s">
        <v>172</v>
      </c>
      <c r="B178" s="2" t="s">
        <v>158</v>
      </c>
      <c r="C178" s="3"/>
    </row>
    <row r="179">
      <c r="A179" s="2" t="s">
        <v>173</v>
      </c>
      <c r="B179" s="2" t="s">
        <v>158</v>
      </c>
      <c r="C179" s="3"/>
    </row>
    <row r="180">
      <c r="A180" s="1" t="s">
        <v>174</v>
      </c>
      <c r="B180" s="2" t="s">
        <v>158</v>
      </c>
      <c r="C180" s="3"/>
    </row>
    <row r="181">
      <c r="A181" s="1" t="s">
        <v>175</v>
      </c>
      <c r="B181" s="2" t="s">
        <v>158</v>
      </c>
      <c r="C181" s="3"/>
    </row>
    <row r="182">
      <c r="A182" s="1" t="s">
        <v>176</v>
      </c>
      <c r="B182" s="2" t="s">
        <v>158</v>
      </c>
      <c r="C182" s="3"/>
    </row>
    <row r="183">
      <c r="A183" s="1" t="s">
        <v>177</v>
      </c>
      <c r="B183" s="2" t="s">
        <v>158</v>
      </c>
      <c r="C183" s="3"/>
    </row>
    <row r="184">
      <c r="A184" s="1" t="s">
        <v>178</v>
      </c>
      <c r="B184" s="2" t="s">
        <v>158</v>
      </c>
      <c r="C184" s="3"/>
    </row>
    <row r="185">
      <c r="A185" s="1" t="s">
        <v>179</v>
      </c>
      <c r="B185" s="2" t="s">
        <v>158</v>
      </c>
      <c r="C185" s="3"/>
    </row>
    <row r="186">
      <c r="A186" s="1" t="s">
        <v>180</v>
      </c>
      <c r="B186" s="2" t="s">
        <v>158</v>
      </c>
      <c r="C186" s="3"/>
    </row>
    <row r="187">
      <c r="A187" s="1" t="s">
        <v>181</v>
      </c>
      <c r="B187" s="2" t="s">
        <v>158</v>
      </c>
      <c r="C187" s="3"/>
    </row>
    <row r="188">
      <c r="A188" s="1" t="s">
        <v>182</v>
      </c>
      <c r="B188" s="2" t="s">
        <v>158</v>
      </c>
      <c r="C188" s="3"/>
    </row>
    <row r="189">
      <c r="A189" s="1" t="s">
        <v>183</v>
      </c>
      <c r="B189" s="2" t="s">
        <v>158</v>
      </c>
      <c r="C189" s="3"/>
    </row>
    <row r="190">
      <c r="A190" s="1" t="s">
        <v>184</v>
      </c>
      <c r="B190" s="2" t="s">
        <v>158</v>
      </c>
      <c r="C190" s="3"/>
    </row>
    <row r="191">
      <c r="A191" s="2" t="s">
        <v>185</v>
      </c>
      <c r="B191" s="2" t="s">
        <v>158</v>
      </c>
      <c r="C191" s="3"/>
    </row>
    <row r="192">
      <c r="A192" s="2" t="s">
        <v>186</v>
      </c>
      <c r="B192" s="2" t="s">
        <v>158</v>
      </c>
      <c r="C192" s="3"/>
    </row>
    <row r="193">
      <c r="A193" s="1" t="s">
        <v>187</v>
      </c>
      <c r="B193" s="2" t="s">
        <v>158</v>
      </c>
      <c r="C193" s="3"/>
    </row>
    <row r="194">
      <c r="A194" s="2" t="s">
        <v>188</v>
      </c>
      <c r="B194" s="2" t="s">
        <v>158</v>
      </c>
      <c r="C194" s="3"/>
    </row>
    <row r="195">
      <c r="A195" s="1" t="s">
        <v>189</v>
      </c>
      <c r="B195" s="2" t="s">
        <v>158</v>
      </c>
      <c r="C195" s="3"/>
    </row>
    <row r="196">
      <c r="A196" s="1" t="s">
        <v>190</v>
      </c>
      <c r="B196" s="2" t="s">
        <v>158</v>
      </c>
      <c r="C196" s="3"/>
    </row>
    <row r="197">
      <c r="A197" s="1" t="s">
        <v>191</v>
      </c>
      <c r="B197" s="2" t="s">
        <v>158</v>
      </c>
      <c r="C197" s="3"/>
    </row>
    <row r="198">
      <c r="A198" s="1" t="s">
        <v>192</v>
      </c>
      <c r="B198" s="2" t="s">
        <v>158</v>
      </c>
      <c r="C198" s="3"/>
    </row>
    <row r="199">
      <c r="A199" s="2" t="s">
        <v>193</v>
      </c>
      <c r="B199" s="2" t="s">
        <v>158</v>
      </c>
      <c r="C199" s="3"/>
    </row>
    <row r="200">
      <c r="A200" s="1" t="s">
        <v>194</v>
      </c>
      <c r="B200" s="2" t="s">
        <v>158</v>
      </c>
      <c r="C200" s="3"/>
    </row>
    <row r="201">
      <c r="A201" s="1" t="s">
        <v>195</v>
      </c>
      <c r="B201" s="2" t="s">
        <v>158</v>
      </c>
      <c r="C201" s="3"/>
    </row>
    <row r="202">
      <c r="A202" s="1" t="s">
        <v>196</v>
      </c>
      <c r="B202" s="2" t="s">
        <v>158</v>
      </c>
      <c r="C202" s="3"/>
    </row>
    <row r="203">
      <c r="A203" s="1" t="s">
        <v>197</v>
      </c>
      <c r="B203" s="2" t="s">
        <v>158</v>
      </c>
      <c r="C203" s="3"/>
    </row>
    <row r="204">
      <c r="A204" s="1" t="s">
        <v>198</v>
      </c>
      <c r="B204" s="2" t="s">
        <v>158</v>
      </c>
      <c r="C204" s="3"/>
    </row>
    <row r="205">
      <c r="A205" s="1" t="s">
        <v>199</v>
      </c>
      <c r="B205" s="2" t="s">
        <v>158</v>
      </c>
      <c r="C205" s="3"/>
    </row>
    <row r="206">
      <c r="A206" s="1" t="s">
        <v>200</v>
      </c>
      <c r="B206" s="2" t="s">
        <v>158</v>
      </c>
      <c r="C206" s="3"/>
    </row>
    <row r="207">
      <c r="A207" s="2" t="s">
        <v>201</v>
      </c>
      <c r="B207" s="2" t="s">
        <v>158</v>
      </c>
      <c r="C207" s="3"/>
    </row>
    <row r="208">
      <c r="A208" s="1" t="s">
        <v>202</v>
      </c>
      <c r="B208" s="2" t="s">
        <v>158</v>
      </c>
      <c r="C208" s="3"/>
    </row>
    <row r="209">
      <c r="A209" s="1" t="s">
        <v>203</v>
      </c>
      <c r="B209" s="2" t="s">
        <v>158</v>
      </c>
      <c r="C209" s="3"/>
    </row>
    <row r="210">
      <c r="A210" s="1" t="s">
        <v>204</v>
      </c>
      <c r="B210" s="2" t="s">
        <v>158</v>
      </c>
      <c r="C210" s="3"/>
    </row>
    <row r="211">
      <c r="A211" s="1" t="s">
        <v>205</v>
      </c>
      <c r="B211" s="2" t="s">
        <v>158</v>
      </c>
      <c r="C211" s="3"/>
    </row>
    <row r="212">
      <c r="A212" s="1" t="s">
        <v>206</v>
      </c>
      <c r="B212" s="2" t="s">
        <v>158</v>
      </c>
      <c r="C212" s="3"/>
    </row>
    <row r="213">
      <c r="A213" s="1" t="s">
        <v>207</v>
      </c>
      <c r="B213" s="2" t="s">
        <v>158</v>
      </c>
      <c r="C213" s="3"/>
    </row>
    <row r="214">
      <c r="A214" s="1" t="s">
        <v>208</v>
      </c>
      <c r="B214" s="2" t="s">
        <v>158</v>
      </c>
      <c r="C214" s="3"/>
    </row>
    <row r="215">
      <c r="A215" s="1" t="s">
        <v>209</v>
      </c>
      <c r="B215" s="2" t="s">
        <v>158</v>
      </c>
      <c r="C215" s="3"/>
    </row>
    <row r="216">
      <c r="A216" s="1" t="s">
        <v>210</v>
      </c>
      <c r="B216" s="2" t="s">
        <v>158</v>
      </c>
      <c r="C216" s="3"/>
    </row>
    <row r="217">
      <c r="A217" s="1" t="s">
        <v>211</v>
      </c>
      <c r="B217" s="2" t="s">
        <v>158</v>
      </c>
      <c r="C217" s="3"/>
    </row>
    <row r="218">
      <c r="A218" s="1" t="s">
        <v>212</v>
      </c>
      <c r="B218" s="2" t="s">
        <v>158</v>
      </c>
      <c r="C218" s="3"/>
    </row>
    <row r="219">
      <c r="A219" s="1" t="s">
        <v>213</v>
      </c>
      <c r="B219" s="2" t="s">
        <v>158</v>
      </c>
      <c r="C219" s="3"/>
    </row>
    <row r="220">
      <c r="A220" s="1" t="s">
        <v>214</v>
      </c>
      <c r="B220" s="2" t="s">
        <v>158</v>
      </c>
      <c r="C220" s="3"/>
    </row>
    <row r="221">
      <c r="A221" s="2" t="s">
        <v>215</v>
      </c>
      <c r="B221" s="2" t="s">
        <v>158</v>
      </c>
      <c r="C221" s="3"/>
    </row>
    <row r="222">
      <c r="A222" s="1" t="s">
        <v>216</v>
      </c>
      <c r="B222" s="2" t="s">
        <v>158</v>
      </c>
      <c r="C222" s="3"/>
    </row>
    <row r="223">
      <c r="A223" s="1" t="s">
        <v>217</v>
      </c>
      <c r="B223" s="2" t="s">
        <v>158</v>
      </c>
      <c r="C223" s="3"/>
    </row>
    <row r="224">
      <c r="A224" s="1" t="s">
        <v>218</v>
      </c>
      <c r="B224" s="2" t="s">
        <v>158</v>
      </c>
      <c r="C224" s="3"/>
    </row>
    <row r="225">
      <c r="A225" s="1" t="s">
        <v>219</v>
      </c>
      <c r="B225" s="2" t="s">
        <v>158</v>
      </c>
      <c r="C225" s="3"/>
    </row>
    <row r="226">
      <c r="A226" s="1" t="s">
        <v>220</v>
      </c>
      <c r="B226" s="2" t="s">
        <v>158</v>
      </c>
      <c r="C226" s="3"/>
    </row>
    <row r="227">
      <c r="A227" s="1" t="s">
        <v>221</v>
      </c>
      <c r="B227" s="2" t="s">
        <v>158</v>
      </c>
      <c r="C227" s="3"/>
    </row>
    <row r="228">
      <c r="A228" s="2" t="s">
        <v>222</v>
      </c>
      <c r="B228" s="2" t="s">
        <v>158</v>
      </c>
      <c r="C228" s="3"/>
    </row>
    <row r="229">
      <c r="A229" s="1" t="s">
        <v>223</v>
      </c>
      <c r="B229" s="2" t="s">
        <v>158</v>
      </c>
      <c r="C229" s="3"/>
    </row>
    <row r="230">
      <c r="A230" s="1" t="s">
        <v>224</v>
      </c>
      <c r="B230" s="2" t="s">
        <v>158</v>
      </c>
      <c r="C230" s="3"/>
    </row>
    <row r="231">
      <c r="A231" s="1" t="s">
        <v>225</v>
      </c>
      <c r="B231" s="2" t="s">
        <v>158</v>
      </c>
      <c r="C231" s="3"/>
    </row>
    <row r="232">
      <c r="A232" s="1" t="s">
        <v>226</v>
      </c>
      <c r="B232" s="2" t="s">
        <v>158</v>
      </c>
      <c r="C232" s="3"/>
    </row>
    <row r="233">
      <c r="A233" s="1" t="s">
        <v>227</v>
      </c>
      <c r="B233" s="2" t="s">
        <v>158</v>
      </c>
      <c r="C233" s="3"/>
    </row>
    <row r="234">
      <c r="A234" s="1" t="s">
        <v>228</v>
      </c>
      <c r="B234" s="2" t="s">
        <v>158</v>
      </c>
      <c r="C234" s="3"/>
    </row>
    <row r="235">
      <c r="A235" s="1" t="s">
        <v>229</v>
      </c>
      <c r="B235" s="2" t="s">
        <v>158</v>
      </c>
      <c r="C235" s="3"/>
    </row>
    <row r="236">
      <c r="A236" s="1" t="s">
        <v>230</v>
      </c>
      <c r="B236" s="2" t="s">
        <v>158</v>
      </c>
      <c r="C236" s="3"/>
    </row>
    <row r="237">
      <c r="A237" s="1" t="s">
        <v>231</v>
      </c>
      <c r="B237" s="2" t="s">
        <v>158</v>
      </c>
      <c r="C237" s="3"/>
    </row>
    <row r="238">
      <c r="A238" s="1" t="s">
        <v>232</v>
      </c>
      <c r="B238" s="2" t="s">
        <v>158</v>
      </c>
      <c r="C238" s="3"/>
    </row>
    <row r="239">
      <c r="A239" s="1" t="s">
        <v>233</v>
      </c>
      <c r="B239" s="2" t="s">
        <v>158</v>
      </c>
      <c r="C239" s="3"/>
    </row>
    <row r="240">
      <c r="A240" s="1" t="s">
        <v>234</v>
      </c>
      <c r="B240" s="2" t="s">
        <v>158</v>
      </c>
      <c r="C240" s="3"/>
    </row>
    <row r="241">
      <c r="A241" s="1" t="s">
        <v>235</v>
      </c>
      <c r="B241" s="2" t="s">
        <v>158</v>
      </c>
      <c r="C241" s="3"/>
    </row>
    <row r="242">
      <c r="A242" s="1" t="s">
        <v>236</v>
      </c>
      <c r="B242" s="2" t="s">
        <v>158</v>
      </c>
      <c r="C242" s="3"/>
    </row>
    <row r="243">
      <c r="A243" s="1" t="s">
        <v>237</v>
      </c>
      <c r="B243" s="2" t="s">
        <v>158</v>
      </c>
      <c r="C243" s="3"/>
    </row>
    <row r="244">
      <c r="A244" s="2" t="s">
        <v>238</v>
      </c>
      <c r="B244" s="2" t="s">
        <v>158</v>
      </c>
      <c r="C244" s="3"/>
    </row>
    <row r="245">
      <c r="A245" s="2" t="s">
        <v>239</v>
      </c>
      <c r="B245" s="2" t="s">
        <v>158</v>
      </c>
      <c r="C245" s="3"/>
    </row>
    <row r="246">
      <c r="A246" s="1" t="s">
        <v>240</v>
      </c>
      <c r="B246" s="2" t="s">
        <v>158</v>
      </c>
      <c r="C246" s="3"/>
    </row>
    <row r="247">
      <c r="A247" s="1" t="s">
        <v>241</v>
      </c>
      <c r="B247" s="2" t="s">
        <v>158</v>
      </c>
      <c r="C247" s="3"/>
    </row>
    <row r="248">
      <c r="A248" s="1" t="s">
        <v>242</v>
      </c>
      <c r="B248" s="2" t="s">
        <v>158</v>
      </c>
      <c r="C248" s="3"/>
    </row>
    <row r="249">
      <c r="A249" s="1" t="s">
        <v>243</v>
      </c>
      <c r="B249" s="2" t="s">
        <v>158</v>
      </c>
      <c r="C249" s="3"/>
    </row>
    <row r="250">
      <c r="A250" s="1" t="s">
        <v>244</v>
      </c>
      <c r="B250" s="2" t="s">
        <v>158</v>
      </c>
      <c r="C250" s="3"/>
    </row>
    <row r="251">
      <c r="A251" s="1" t="s">
        <v>245</v>
      </c>
      <c r="B251" s="2" t="s">
        <v>158</v>
      </c>
      <c r="C251" s="3"/>
    </row>
    <row r="252">
      <c r="A252" s="1" t="s">
        <v>246</v>
      </c>
      <c r="B252" s="2" t="s">
        <v>158</v>
      </c>
      <c r="C252" s="3"/>
    </row>
    <row r="253">
      <c r="A253" s="1" t="s">
        <v>247</v>
      </c>
      <c r="B253" s="2" t="s">
        <v>158</v>
      </c>
      <c r="C253" s="3"/>
    </row>
    <row r="254">
      <c r="A254" s="1" t="s">
        <v>248</v>
      </c>
      <c r="B254" s="2" t="s">
        <v>158</v>
      </c>
      <c r="C254" s="3"/>
    </row>
    <row r="255">
      <c r="A255" s="1" t="s">
        <v>249</v>
      </c>
      <c r="B255" s="2" t="s">
        <v>158</v>
      </c>
      <c r="C255" s="3"/>
    </row>
    <row r="256">
      <c r="A256" s="1" t="s">
        <v>250</v>
      </c>
      <c r="B256" s="2" t="s">
        <v>158</v>
      </c>
      <c r="C256" s="3"/>
    </row>
    <row r="257">
      <c r="A257" s="1" t="s">
        <v>251</v>
      </c>
      <c r="B257" s="2" t="s">
        <v>158</v>
      </c>
      <c r="C257" s="3"/>
    </row>
    <row r="258">
      <c r="A258" s="1" t="s">
        <v>252</v>
      </c>
      <c r="B258" s="2" t="s">
        <v>158</v>
      </c>
      <c r="C258" s="3"/>
    </row>
    <row r="259">
      <c r="A259" s="2" t="s">
        <v>253</v>
      </c>
      <c r="B259" s="2" t="s">
        <v>158</v>
      </c>
      <c r="C259" s="3"/>
    </row>
    <row r="260">
      <c r="A260" s="1" t="s">
        <v>254</v>
      </c>
      <c r="B260" s="2" t="s">
        <v>158</v>
      </c>
      <c r="C260" s="3"/>
    </row>
    <row r="261">
      <c r="A261" s="1" t="s">
        <v>255</v>
      </c>
      <c r="B261" s="2" t="s">
        <v>158</v>
      </c>
      <c r="C261" s="3"/>
    </row>
    <row r="262">
      <c r="A262" s="1" t="s">
        <v>256</v>
      </c>
      <c r="B262" s="2" t="s">
        <v>158</v>
      </c>
      <c r="C262" s="3"/>
    </row>
    <row r="263">
      <c r="A263" s="1" t="s">
        <v>257</v>
      </c>
      <c r="B263" s="2" t="s">
        <v>158</v>
      </c>
      <c r="C263" s="3"/>
    </row>
    <row r="264">
      <c r="A264" s="1" t="s">
        <v>197</v>
      </c>
      <c r="B264" s="2" t="s">
        <v>158</v>
      </c>
      <c r="C264" s="3"/>
    </row>
    <row r="265">
      <c r="A265" s="1" t="s">
        <v>198</v>
      </c>
      <c r="B265" s="2" t="s">
        <v>158</v>
      </c>
      <c r="C265" s="3"/>
    </row>
    <row r="266">
      <c r="A266" s="1" t="s">
        <v>199</v>
      </c>
      <c r="B266" s="2" t="s">
        <v>158</v>
      </c>
      <c r="C266" s="3"/>
    </row>
    <row r="267">
      <c r="A267" s="1" t="s">
        <v>200</v>
      </c>
      <c r="B267" s="2" t="s">
        <v>158</v>
      </c>
      <c r="C267" s="3"/>
    </row>
    <row r="268">
      <c r="A268" s="2" t="s">
        <v>201</v>
      </c>
      <c r="B268" s="2" t="s">
        <v>158</v>
      </c>
      <c r="C268" s="3"/>
    </row>
    <row r="269">
      <c r="A269" s="1" t="s">
        <v>202</v>
      </c>
      <c r="B269" s="2" t="s">
        <v>158</v>
      </c>
      <c r="C269" s="3"/>
    </row>
    <row r="270">
      <c r="A270" s="1" t="s">
        <v>203</v>
      </c>
      <c r="B270" s="2" t="s">
        <v>158</v>
      </c>
      <c r="C270" s="3"/>
    </row>
    <row r="271">
      <c r="A271" s="1" t="s">
        <v>204</v>
      </c>
      <c r="B271" s="2" t="s">
        <v>158</v>
      </c>
      <c r="C271" s="3"/>
    </row>
    <row r="272">
      <c r="A272" s="1" t="s">
        <v>205</v>
      </c>
      <c r="B272" s="2" t="s">
        <v>158</v>
      </c>
      <c r="C272" s="3"/>
    </row>
    <row r="273">
      <c r="A273" s="1" t="s">
        <v>206</v>
      </c>
      <c r="B273" s="2" t="s">
        <v>158</v>
      </c>
      <c r="C273" s="3"/>
    </row>
    <row r="274">
      <c r="A274" s="1" t="s">
        <v>207</v>
      </c>
      <c r="B274" s="2" t="s">
        <v>158</v>
      </c>
      <c r="C274" s="3"/>
    </row>
    <row r="275">
      <c r="A275" s="1" t="s">
        <v>208</v>
      </c>
      <c r="B275" s="2" t="s">
        <v>158</v>
      </c>
      <c r="C275" s="3"/>
    </row>
    <row r="276">
      <c r="A276" s="1" t="s">
        <v>209</v>
      </c>
      <c r="B276" s="2" t="s">
        <v>158</v>
      </c>
      <c r="C276" s="3"/>
    </row>
    <row r="277">
      <c r="A277" s="1" t="s">
        <v>210</v>
      </c>
      <c r="B277" s="2" t="s">
        <v>158</v>
      </c>
      <c r="C277" s="3"/>
    </row>
    <row r="278">
      <c r="A278" s="1" t="s">
        <v>211</v>
      </c>
      <c r="B278" s="2" t="s">
        <v>158</v>
      </c>
      <c r="C278" s="3"/>
    </row>
    <row r="279">
      <c r="A279" s="1" t="s">
        <v>212</v>
      </c>
      <c r="B279" s="2" t="s">
        <v>158</v>
      </c>
      <c r="C279" s="3"/>
    </row>
    <row r="280">
      <c r="A280" s="1" t="s">
        <v>213</v>
      </c>
      <c r="B280" s="2" t="s">
        <v>158</v>
      </c>
      <c r="C280" s="3"/>
    </row>
    <row r="281">
      <c r="A281" s="1" t="s">
        <v>214</v>
      </c>
      <c r="B281" s="2" t="s">
        <v>158</v>
      </c>
      <c r="C281" s="3"/>
    </row>
    <row r="282">
      <c r="A282" s="2" t="s">
        <v>215</v>
      </c>
      <c r="B282" s="2" t="s">
        <v>158</v>
      </c>
      <c r="C282" s="3"/>
    </row>
    <row r="283">
      <c r="A283" s="1" t="s">
        <v>216</v>
      </c>
      <c r="B283" s="2" t="s">
        <v>158</v>
      </c>
      <c r="C283" s="3"/>
    </row>
    <row r="284">
      <c r="A284" s="1" t="s">
        <v>217</v>
      </c>
      <c r="B284" s="2" t="s">
        <v>158</v>
      </c>
      <c r="C284" s="3"/>
    </row>
    <row r="285">
      <c r="A285" s="1" t="s">
        <v>218</v>
      </c>
      <c r="B285" s="2" t="s">
        <v>158</v>
      </c>
      <c r="C285" s="3"/>
    </row>
    <row r="286">
      <c r="A286" s="1" t="s">
        <v>219</v>
      </c>
      <c r="B286" s="2" t="s">
        <v>158</v>
      </c>
      <c r="C286" s="3"/>
    </row>
    <row r="287">
      <c r="A287" s="1" t="s">
        <v>220</v>
      </c>
      <c r="B287" s="2" t="s">
        <v>158</v>
      </c>
      <c r="C287" s="3"/>
    </row>
    <row r="288">
      <c r="A288" s="1" t="s">
        <v>221</v>
      </c>
      <c r="B288" s="2" t="s">
        <v>158</v>
      </c>
      <c r="C288" s="3"/>
    </row>
    <row r="289">
      <c r="A289" s="2" t="s">
        <v>222</v>
      </c>
      <c r="B289" s="2" t="s">
        <v>158</v>
      </c>
      <c r="C289" s="3"/>
    </row>
    <row r="290">
      <c r="A290" s="1" t="s">
        <v>223</v>
      </c>
      <c r="B290" s="2" t="s">
        <v>158</v>
      </c>
      <c r="C290" s="3"/>
    </row>
    <row r="291">
      <c r="A291" s="1" t="s">
        <v>224</v>
      </c>
      <c r="B291" s="2" t="s">
        <v>158</v>
      </c>
      <c r="C291" s="3"/>
    </row>
    <row r="292">
      <c r="A292" s="1" t="s">
        <v>225</v>
      </c>
      <c r="B292" s="2" t="s">
        <v>158</v>
      </c>
      <c r="C292" s="3"/>
    </row>
    <row r="293">
      <c r="A293" s="1" t="s">
        <v>226</v>
      </c>
      <c r="B293" s="2" t="s">
        <v>158</v>
      </c>
      <c r="C293" s="3"/>
    </row>
    <row r="294">
      <c r="A294" s="1" t="s">
        <v>227</v>
      </c>
      <c r="B294" s="2" t="s">
        <v>158</v>
      </c>
      <c r="C294" s="3"/>
    </row>
    <row r="295">
      <c r="A295" s="1" t="s">
        <v>228</v>
      </c>
      <c r="B295" s="2" t="s">
        <v>158</v>
      </c>
      <c r="C295" s="3"/>
    </row>
    <row r="296">
      <c r="A296" s="1" t="s">
        <v>229</v>
      </c>
      <c r="B296" s="2" t="s">
        <v>158</v>
      </c>
      <c r="C296" s="3"/>
    </row>
    <row r="297">
      <c r="A297" s="1" t="s">
        <v>230</v>
      </c>
      <c r="B297" s="2" t="s">
        <v>158</v>
      </c>
      <c r="C297" s="3"/>
    </row>
    <row r="298">
      <c r="A298" s="1" t="s">
        <v>258</v>
      </c>
      <c r="B298" s="2" t="s">
        <v>259</v>
      </c>
      <c r="C298" s="3"/>
    </row>
    <row r="299">
      <c r="A299" s="1" t="s">
        <v>260</v>
      </c>
      <c r="B299" s="2" t="s">
        <v>259</v>
      </c>
      <c r="C299" s="3"/>
    </row>
    <row r="300">
      <c r="A300" s="1" t="s">
        <v>261</v>
      </c>
      <c r="B300" s="2" t="s">
        <v>259</v>
      </c>
      <c r="C300" s="3"/>
    </row>
    <row r="301">
      <c r="A301" s="1" t="s">
        <v>262</v>
      </c>
      <c r="B301" s="2" t="s">
        <v>263</v>
      </c>
      <c r="C301" s="3"/>
    </row>
    <row r="302">
      <c r="A302" s="1" t="s">
        <v>264</v>
      </c>
      <c r="B302" s="2" t="s">
        <v>263</v>
      </c>
      <c r="C302" s="3"/>
    </row>
    <row r="303">
      <c r="A303" s="1" t="s">
        <v>265</v>
      </c>
      <c r="B303" s="2" t="s">
        <v>263</v>
      </c>
      <c r="C303" s="3"/>
    </row>
    <row r="304">
      <c r="A304" s="1" t="s">
        <v>266</v>
      </c>
      <c r="B304" s="2" t="s">
        <v>263</v>
      </c>
      <c r="C304" s="3"/>
    </row>
    <row r="305">
      <c r="A305" s="1" t="s">
        <v>267</v>
      </c>
      <c r="B305" s="2" t="s">
        <v>263</v>
      </c>
      <c r="C305" s="3"/>
    </row>
    <row r="306">
      <c r="A306" s="1" t="s">
        <v>268</v>
      </c>
      <c r="B306" s="2" t="s">
        <v>263</v>
      </c>
      <c r="C306" s="3"/>
    </row>
    <row r="307">
      <c r="A307" s="1" t="s">
        <v>269</v>
      </c>
      <c r="B307" s="2" t="s">
        <v>263</v>
      </c>
      <c r="C307" s="3"/>
    </row>
    <row r="308">
      <c r="A308" s="1" t="s">
        <v>270</v>
      </c>
      <c r="B308" s="2" t="s">
        <v>263</v>
      </c>
      <c r="C308" s="3"/>
    </row>
    <row r="309">
      <c r="A309" s="1" t="s">
        <v>271</v>
      </c>
      <c r="B309" s="2" t="s">
        <v>263</v>
      </c>
      <c r="C309" s="3"/>
    </row>
    <row r="310">
      <c r="A310" s="1" t="s">
        <v>272</v>
      </c>
      <c r="B310" s="2" t="s">
        <v>263</v>
      </c>
      <c r="C310" s="3"/>
    </row>
    <row r="311">
      <c r="A311" s="1" t="s">
        <v>273</v>
      </c>
      <c r="B311" s="2" t="s">
        <v>263</v>
      </c>
      <c r="C311" s="3"/>
    </row>
    <row r="312">
      <c r="A312" s="1" t="s">
        <v>274</v>
      </c>
      <c r="B312" s="2" t="s">
        <v>263</v>
      </c>
      <c r="C312" s="3"/>
    </row>
    <row r="313">
      <c r="A313" s="1" t="s">
        <v>275</v>
      </c>
      <c r="B313" s="2" t="s">
        <v>263</v>
      </c>
      <c r="C313" s="3"/>
    </row>
    <row r="314">
      <c r="A314" s="1" t="s">
        <v>276</v>
      </c>
      <c r="B314" s="2" t="s">
        <v>263</v>
      </c>
      <c r="C314" s="3"/>
    </row>
    <row r="315">
      <c r="A315" s="1" t="s">
        <v>277</v>
      </c>
      <c r="B315" s="2" t="s">
        <v>263</v>
      </c>
      <c r="C315" s="3"/>
    </row>
    <row r="316">
      <c r="A316" s="2" t="s">
        <v>278</v>
      </c>
      <c r="B316" s="2" t="s">
        <v>263</v>
      </c>
      <c r="C316" s="3"/>
    </row>
    <row r="317">
      <c r="A317" s="1" t="s">
        <v>279</v>
      </c>
      <c r="B317" s="2" t="s">
        <v>263</v>
      </c>
      <c r="C317" s="3"/>
    </row>
    <row r="318">
      <c r="A318" s="2" t="s">
        <v>280</v>
      </c>
      <c r="B318" s="2" t="s">
        <v>263</v>
      </c>
      <c r="C318" s="3"/>
    </row>
    <row r="319">
      <c r="A319" s="1" t="s">
        <v>281</v>
      </c>
      <c r="B319" s="2" t="s">
        <v>263</v>
      </c>
      <c r="C319" s="3"/>
    </row>
    <row r="320">
      <c r="A320" s="1" t="s">
        <v>282</v>
      </c>
      <c r="B320" s="2" t="s">
        <v>263</v>
      </c>
      <c r="C320" s="3"/>
    </row>
    <row r="321">
      <c r="A321" s="1" t="s">
        <v>283</v>
      </c>
      <c r="B321" s="2" t="s">
        <v>263</v>
      </c>
      <c r="C321" s="3"/>
    </row>
    <row r="322">
      <c r="A322" s="1" t="s">
        <v>284</v>
      </c>
      <c r="B322" s="2" t="s">
        <v>263</v>
      </c>
      <c r="C322" s="3"/>
    </row>
    <row r="323">
      <c r="A323" s="1" t="s">
        <v>285</v>
      </c>
      <c r="B323" s="2" t="s">
        <v>263</v>
      </c>
      <c r="C323" s="3"/>
    </row>
    <row r="324">
      <c r="A324" s="1" t="s">
        <v>286</v>
      </c>
      <c r="B324" s="2" t="s">
        <v>263</v>
      </c>
      <c r="C324" s="3"/>
    </row>
    <row r="325">
      <c r="A325" s="1" t="s">
        <v>287</v>
      </c>
      <c r="B325" s="2" t="s">
        <v>263</v>
      </c>
      <c r="C325" s="3"/>
    </row>
    <row r="326">
      <c r="A326" s="1" t="s">
        <v>288</v>
      </c>
      <c r="B326" s="2" t="s">
        <v>263</v>
      </c>
      <c r="C326" s="3"/>
    </row>
    <row r="327">
      <c r="A327" s="1" t="s">
        <v>289</v>
      </c>
      <c r="B327" s="2" t="s">
        <v>263</v>
      </c>
      <c r="C327" s="3"/>
    </row>
    <row r="328">
      <c r="A328" s="1" t="s">
        <v>290</v>
      </c>
      <c r="B328" s="2" t="s">
        <v>263</v>
      </c>
      <c r="C328" s="3"/>
    </row>
    <row r="329">
      <c r="A329" s="1" t="s">
        <v>291</v>
      </c>
      <c r="B329" s="2" t="s">
        <v>263</v>
      </c>
      <c r="C329" s="3"/>
    </row>
    <row r="330">
      <c r="A330" s="1" t="s">
        <v>292</v>
      </c>
      <c r="B330" s="2" t="s">
        <v>263</v>
      </c>
      <c r="C330" s="3"/>
    </row>
    <row r="331">
      <c r="A331" s="2" t="s">
        <v>293</v>
      </c>
      <c r="B331" s="2" t="s">
        <v>263</v>
      </c>
      <c r="C331" s="3"/>
    </row>
    <row r="332">
      <c r="A332" s="1" t="s">
        <v>294</v>
      </c>
      <c r="B332" s="2" t="s">
        <v>263</v>
      </c>
      <c r="C332" s="3"/>
    </row>
    <row r="333">
      <c r="A333" s="1" t="s">
        <v>295</v>
      </c>
      <c r="B333" s="2" t="s">
        <v>263</v>
      </c>
      <c r="C333" s="3"/>
    </row>
    <row r="334">
      <c r="A334" s="2" t="s">
        <v>296</v>
      </c>
      <c r="B334" s="2" t="s">
        <v>263</v>
      </c>
      <c r="C334" s="3"/>
    </row>
    <row r="335">
      <c r="A335" s="1" t="s">
        <v>297</v>
      </c>
      <c r="B335" s="2" t="s">
        <v>263</v>
      </c>
      <c r="C335" s="3"/>
    </row>
    <row r="336">
      <c r="A336" s="1" t="s">
        <v>298</v>
      </c>
      <c r="B336" s="2" t="s">
        <v>263</v>
      </c>
      <c r="C336" s="3"/>
    </row>
    <row r="337">
      <c r="A337" s="1" t="s">
        <v>299</v>
      </c>
      <c r="B337" s="2" t="s">
        <v>263</v>
      </c>
      <c r="C337" s="3"/>
    </row>
    <row r="338">
      <c r="A338" s="1" t="s">
        <v>300</v>
      </c>
      <c r="B338" s="2" t="s">
        <v>263</v>
      </c>
      <c r="C338" s="3"/>
    </row>
    <row r="339">
      <c r="A339" s="2" t="s">
        <v>301</v>
      </c>
      <c r="B339" s="2" t="s">
        <v>263</v>
      </c>
      <c r="C339" s="3"/>
    </row>
    <row r="340">
      <c r="A340" s="1" t="s">
        <v>302</v>
      </c>
      <c r="B340" s="2" t="s">
        <v>263</v>
      </c>
      <c r="C340" s="3"/>
    </row>
    <row r="341">
      <c r="A341" s="1" t="s">
        <v>303</v>
      </c>
      <c r="B341" s="2" t="s">
        <v>263</v>
      </c>
      <c r="C341" s="3"/>
    </row>
    <row r="342">
      <c r="A342" s="1" t="s">
        <v>304</v>
      </c>
      <c r="B342" s="2" t="s">
        <v>263</v>
      </c>
      <c r="C342" s="3"/>
    </row>
    <row r="343">
      <c r="A343" s="1" t="s">
        <v>305</v>
      </c>
      <c r="B343" s="2" t="s">
        <v>263</v>
      </c>
      <c r="C343" s="3"/>
    </row>
    <row r="344">
      <c r="A344" s="2" t="s">
        <v>306</v>
      </c>
      <c r="B344" s="2" t="s">
        <v>263</v>
      </c>
      <c r="C344" s="3"/>
    </row>
    <row r="345">
      <c r="A345" s="1" t="s">
        <v>307</v>
      </c>
      <c r="B345" s="2" t="s">
        <v>263</v>
      </c>
      <c r="C345" s="3"/>
    </row>
    <row r="346">
      <c r="A346" s="1" t="s">
        <v>308</v>
      </c>
      <c r="B346" s="2" t="s">
        <v>263</v>
      </c>
      <c r="C346" s="3"/>
    </row>
    <row r="347">
      <c r="A347" s="1" t="s">
        <v>309</v>
      </c>
      <c r="B347" s="2" t="s">
        <v>263</v>
      </c>
      <c r="C347" s="3"/>
    </row>
    <row r="348">
      <c r="A348" s="1" t="s">
        <v>310</v>
      </c>
      <c r="B348" s="2" t="s">
        <v>263</v>
      </c>
      <c r="C348" s="3"/>
    </row>
    <row r="349">
      <c r="A349" s="1" t="s">
        <v>311</v>
      </c>
      <c r="B349" s="2" t="s">
        <v>263</v>
      </c>
      <c r="C349" s="3"/>
    </row>
    <row r="350">
      <c r="A350" s="1" t="s">
        <v>312</v>
      </c>
      <c r="B350" s="2" t="s">
        <v>263</v>
      </c>
      <c r="C350" s="3"/>
    </row>
    <row r="351">
      <c r="A351" s="1" t="s">
        <v>313</v>
      </c>
      <c r="B351" s="2" t="s">
        <v>263</v>
      </c>
      <c r="C351" s="3"/>
    </row>
    <row r="352">
      <c r="A352" s="1" t="s">
        <v>314</v>
      </c>
      <c r="B352" s="2" t="s">
        <v>263</v>
      </c>
      <c r="C352" s="3"/>
    </row>
    <row r="353">
      <c r="A353" s="2" t="s">
        <v>315</v>
      </c>
      <c r="B353" s="2" t="s">
        <v>263</v>
      </c>
      <c r="C353" s="3"/>
    </row>
    <row r="354">
      <c r="A354" s="1" t="s">
        <v>316</v>
      </c>
      <c r="B354" s="2" t="s">
        <v>263</v>
      </c>
      <c r="C354" s="3"/>
    </row>
    <row r="355">
      <c r="A355" s="1" t="s">
        <v>317</v>
      </c>
      <c r="B355" s="2" t="s">
        <v>263</v>
      </c>
      <c r="C355" s="3"/>
    </row>
    <row r="356">
      <c r="A356" s="1" t="s">
        <v>318</v>
      </c>
      <c r="B356" s="2" t="s">
        <v>263</v>
      </c>
      <c r="C356" s="3"/>
    </row>
    <row r="357">
      <c r="A357" s="1" t="s">
        <v>319</v>
      </c>
      <c r="B357" s="2" t="s">
        <v>263</v>
      </c>
      <c r="C357" s="3"/>
    </row>
    <row r="358">
      <c r="A358" s="1" t="s">
        <v>320</v>
      </c>
      <c r="B358" s="2" t="s">
        <v>263</v>
      </c>
      <c r="C358" s="3"/>
    </row>
    <row r="359">
      <c r="A359" s="1" t="s">
        <v>321</v>
      </c>
      <c r="B359" s="2" t="s">
        <v>263</v>
      </c>
      <c r="C359" s="3"/>
    </row>
    <row r="360">
      <c r="A360" s="1" t="s">
        <v>322</v>
      </c>
      <c r="B360" s="2" t="s">
        <v>263</v>
      </c>
      <c r="C360" s="3"/>
    </row>
    <row r="361">
      <c r="A361" s="1" t="s">
        <v>323</v>
      </c>
      <c r="B361" s="2" t="s">
        <v>263</v>
      </c>
      <c r="C361" s="3"/>
    </row>
    <row r="362">
      <c r="A362" s="1" t="s">
        <v>324</v>
      </c>
      <c r="B362" s="2" t="s">
        <v>263</v>
      </c>
      <c r="C362" s="3"/>
    </row>
    <row r="363">
      <c r="A363" s="1" t="s">
        <v>325</v>
      </c>
      <c r="B363" s="2" t="s">
        <v>263</v>
      </c>
      <c r="C363" s="3"/>
    </row>
    <row r="364">
      <c r="A364" s="2" t="s">
        <v>326</v>
      </c>
      <c r="B364" s="2" t="s">
        <v>263</v>
      </c>
      <c r="C364" s="3"/>
    </row>
    <row r="365">
      <c r="A365" s="2" t="s">
        <v>327</v>
      </c>
      <c r="B365" s="2" t="s">
        <v>263</v>
      </c>
      <c r="C365" s="3"/>
    </row>
    <row r="366">
      <c r="A366" s="1" t="s">
        <v>328</v>
      </c>
      <c r="B366" s="2" t="s">
        <v>263</v>
      </c>
      <c r="C366" s="3"/>
    </row>
    <row r="367">
      <c r="A367" s="1" t="s">
        <v>329</v>
      </c>
      <c r="B367" s="2" t="s">
        <v>263</v>
      </c>
      <c r="C367" s="3"/>
    </row>
    <row r="368">
      <c r="A368" s="2" t="s">
        <v>330</v>
      </c>
      <c r="B368" s="2" t="s">
        <v>263</v>
      </c>
      <c r="C368" s="3"/>
    </row>
    <row r="369">
      <c r="A369" s="1" t="s">
        <v>331</v>
      </c>
      <c r="B369" s="2" t="s">
        <v>263</v>
      </c>
      <c r="C369" s="3"/>
    </row>
    <row r="370">
      <c r="A370" s="1" t="s">
        <v>332</v>
      </c>
      <c r="B370" s="2" t="s">
        <v>263</v>
      </c>
      <c r="C370" s="3"/>
    </row>
    <row r="371">
      <c r="A371" s="2" t="s">
        <v>333</v>
      </c>
      <c r="B371" s="2" t="s">
        <v>263</v>
      </c>
      <c r="C371" s="3"/>
    </row>
    <row r="372">
      <c r="A372" s="2" t="s">
        <v>334</v>
      </c>
      <c r="B372" s="2" t="s">
        <v>263</v>
      </c>
      <c r="C372" s="3"/>
    </row>
    <row r="373">
      <c r="A373" s="2" t="s">
        <v>335</v>
      </c>
      <c r="B373" s="2" t="s">
        <v>263</v>
      </c>
      <c r="C373" s="3"/>
    </row>
    <row r="374">
      <c r="A374" s="1" t="s">
        <v>336</v>
      </c>
      <c r="B374" s="2" t="s">
        <v>263</v>
      </c>
      <c r="C374" s="3"/>
    </row>
    <row r="375">
      <c r="A375" s="1" t="s">
        <v>337</v>
      </c>
      <c r="B375" s="2" t="s">
        <v>263</v>
      </c>
      <c r="C375" s="3"/>
    </row>
    <row r="376">
      <c r="A376" s="2" t="s">
        <v>338</v>
      </c>
      <c r="B376" s="2" t="s">
        <v>263</v>
      </c>
      <c r="C376" s="3"/>
    </row>
    <row r="377">
      <c r="A377" s="1" t="s">
        <v>339</v>
      </c>
      <c r="B377" s="2" t="s">
        <v>263</v>
      </c>
      <c r="C377" s="3"/>
    </row>
    <row r="378">
      <c r="A378" s="1" t="s">
        <v>340</v>
      </c>
      <c r="B378" s="2" t="s">
        <v>263</v>
      </c>
      <c r="C378" s="3"/>
    </row>
    <row r="379">
      <c r="A379" s="1" t="s">
        <v>341</v>
      </c>
      <c r="B379" s="2" t="s">
        <v>263</v>
      </c>
      <c r="C379" s="3"/>
    </row>
    <row r="380">
      <c r="A380" s="1" t="s">
        <v>342</v>
      </c>
      <c r="B380" s="2" t="s">
        <v>263</v>
      </c>
      <c r="C380" s="3"/>
    </row>
    <row r="381">
      <c r="A381" s="1" t="s">
        <v>343</v>
      </c>
      <c r="B381" s="2" t="s">
        <v>263</v>
      </c>
      <c r="C381" s="3"/>
    </row>
    <row r="382">
      <c r="A382" s="1" t="s">
        <v>344</v>
      </c>
      <c r="B382" s="2" t="s">
        <v>263</v>
      </c>
      <c r="C382" s="3"/>
    </row>
    <row r="383">
      <c r="A383" s="1" t="s">
        <v>345</v>
      </c>
      <c r="B383" s="2" t="s">
        <v>263</v>
      </c>
      <c r="C383" s="3"/>
    </row>
    <row r="384">
      <c r="A384" s="1" t="s">
        <v>346</v>
      </c>
      <c r="B384" s="2" t="s">
        <v>263</v>
      </c>
      <c r="C384" s="3"/>
    </row>
    <row r="385">
      <c r="A385" s="1" t="s">
        <v>347</v>
      </c>
      <c r="B385" s="2" t="s">
        <v>263</v>
      </c>
      <c r="C385" s="3"/>
    </row>
    <row r="386">
      <c r="A386" s="1" t="s">
        <v>348</v>
      </c>
      <c r="B386" s="2" t="s">
        <v>263</v>
      </c>
      <c r="C386" s="3"/>
    </row>
    <row r="387">
      <c r="A387" s="1" t="s">
        <v>349</v>
      </c>
      <c r="B387" s="2" t="s">
        <v>263</v>
      </c>
      <c r="C387" s="3"/>
    </row>
    <row r="388">
      <c r="A388" s="1" t="s">
        <v>350</v>
      </c>
      <c r="B388" s="2" t="s">
        <v>263</v>
      </c>
      <c r="C388" s="3"/>
    </row>
    <row r="389">
      <c r="A389" s="1" t="s">
        <v>351</v>
      </c>
      <c r="B389" s="2" t="s">
        <v>263</v>
      </c>
      <c r="C389" s="3"/>
    </row>
    <row r="390">
      <c r="A390" s="1" t="s">
        <v>352</v>
      </c>
      <c r="B390" s="2" t="s">
        <v>263</v>
      </c>
      <c r="C390" s="3"/>
    </row>
    <row r="391">
      <c r="A391" s="1" t="s">
        <v>353</v>
      </c>
      <c r="B391" s="2" t="s">
        <v>263</v>
      </c>
      <c r="C391" s="3"/>
    </row>
    <row r="392">
      <c r="A392" s="1" t="s">
        <v>354</v>
      </c>
      <c r="B392" s="2" t="s">
        <v>263</v>
      </c>
      <c r="C392" s="3"/>
    </row>
    <row r="393">
      <c r="A393" s="1" t="s">
        <v>355</v>
      </c>
      <c r="B393" s="2" t="s">
        <v>263</v>
      </c>
      <c r="C393" s="3"/>
    </row>
    <row r="394">
      <c r="A394" s="1" t="s">
        <v>356</v>
      </c>
      <c r="B394" s="2" t="s">
        <v>263</v>
      </c>
      <c r="C394" s="3"/>
    </row>
    <row r="395">
      <c r="A395" s="2" t="s">
        <v>357</v>
      </c>
      <c r="B395" s="2" t="s">
        <v>263</v>
      </c>
      <c r="C395" s="3"/>
    </row>
    <row r="396">
      <c r="A396" s="1" t="s">
        <v>358</v>
      </c>
      <c r="B396" s="2" t="s">
        <v>263</v>
      </c>
      <c r="C396" s="3"/>
    </row>
    <row r="397">
      <c r="A397" s="2" t="s">
        <v>359</v>
      </c>
      <c r="B397" s="2" t="s">
        <v>263</v>
      </c>
      <c r="C397" s="3"/>
    </row>
    <row r="398">
      <c r="A398" s="1" t="s">
        <v>360</v>
      </c>
      <c r="B398" s="2" t="s">
        <v>263</v>
      </c>
      <c r="C398" s="3"/>
    </row>
    <row r="399">
      <c r="A399" s="2" t="s">
        <v>361</v>
      </c>
      <c r="B399" s="2" t="s">
        <v>263</v>
      </c>
      <c r="C399" s="3"/>
    </row>
    <row r="400">
      <c r="A400" s="2" t="s">
        <v>362</v>
      </c>
      <c r="B400" s="2" t="s">
        <v>263</v>
      </c>
      <c r="C400" s="3"/>
    </row>
    <row r="401">
      <c r="A401" s="1" t="s">
        <v>363</v>
      </c>
      <c r="B401" s="2" t="s">
        <v>263</v>
      </c>
      <c r="C401" s="3"/>
    </row>
    <row r="402">
      <c r="A402" s="2" t="s">
        <v>364</v>
      </c>
      <c r="B402" s="2" t="s">
        <v>263</v>
      </c>
      <c r="C402" s="3"/>
    </row>
    <row r="403">
      <c r="A403" s="1" t="s">
        <v>365</v>
      </c>
      <c r="B403" s="2" t="s">
        <v>263</v>
      </c>
      <c r="C403" s="3"/>
    </row>
    <row r="404">
      <c r="A404" s="1" t="s">
        <v>366</v>
      </c>
      <c r="B404" s="2" t="s">
        <v>263</v>
      </c>
      <c r="C404" s="3"/>
    </row>
    <row r="405">
      <c r="A405" s="2" t="s">
        <v>367</v>
      </c>
      <c r="B405" s="2" t="s">
        <v>263</v>
      </c>
      <c r="C405" s="3"/>
    </row>
    <row r="406">
      <c r="A406" s="1" t="s">
        <v>368</v>
      </c>
      <c r="B406" s="2" t="s">
        <v>263</v>
      </c>
      <c r="C406" s="3"/>
    </row>
    <row r="407">
      <c r="A407" s="1" t="s">
        <v>369</v>
      </c>
      <c r="B407" s="2" t="s">
        <v>263</v>
      </c>
      <c r="C407" s="3"/>
    </row>
    <row r="408">
      <c r="A408" s="1" t="s">
        <v>370</v>
      </c>
      <c r="B408" s="2" t="s">
        <v>263</v>
      </c>
      <c r="C408" s="3"/>
    </row>
    <row r="409">
      <c r="A409" s="2" t="s">
        <v>371</v>
      </c>
      <c r="B409" s="2" t="s">
        <v>263</v>
      </c>
      <c r="C409" s="3"/>
    </row>
    <row r="410">
      <c r="A410" s="2" t="s">
        <v>372</v>
      </c>
      <c r="B410" s="2" t="s">
        <v>263</v>
      </c>
      <c r="C410" s="3"/>
    </row>
    <row r="411">
      <c r="A411" s="1" t="s">
        <v>373</v>
      </c>
      <c r="B411" s="2" t="s">
        <v>263</v>
      </c>
      <c r="C411" s="3"/>
    </row>
    <row r="412">
      <c r="A412" s="2" t="s">
        <v>374</v>
      </c>
      <c r="B412" s="2" t="s">
        <v>263</v>
      </c>
      <c r="C412" s="3"/>
    </row>
    <row r="413">
      <c r="A413" s="1" t="s">
        <v>375</v>
      </c>
      <c r="B413" s="2" t="s">
        <v>263</v>
      </c>
      <c r="C413" s="3"/>
    </row>
    <row r="414">
      <c r="A414" s="1" t="s">
        <v>376</v>
      </c>
      <c r="B414" s="2" t="s">
        <v>263</v>
      </c>
      <c r="C414" s="3"/>
    </row>
    <row r="415">
      <c r="A415" s="1" t="s">
        <v>377</v>
      </c>
      <c r="B415" s="2" t="s">
        <v>263</v>
      </c>
      <c r="C415" s="3"/>
    </row>
    <row r="416">
      <c r="A416" s="1" t="s">
        <v>378</v>
      </c>
      <c r="B416" s="2" t="s">
        <v>263</v>
      </c>
      <c r="C416" s="3"/>
    </row>
    <row r="417">
      <c r="A417" s="1" t="s">
        <v>379</v>
      </c>
      <c r="B417" s="2" t="s">
        <v>263</v>
      </c>
      <c r="C417" s="3"/>
    </row>
    <row r="418">
      <c r="A418" s="1" t="s">
        <v>380</v>
      </c>
      <c r="B418" s="2" t="s">
        <v>263</v>
      </c>
      <c r="C418" s="3"/>
    </row>
    <row r="419">
      <c r="A419" s="1" t="s">
        <v>381</v>
      </c>
      <c r="B419" s="2" t="s">
        <v>263</v>
      </c>
      <c r="C419" s="3"/>
    </row>
    <row r="420">
      <c r="A420" s="1" t="s">
        <v>382</v>
      </c>
      <c r="B420" s="2" t="s">
        <v>263</v>
      </c>
      <c r="C420" s="3"/>
    </row>
    <row r="421">
      <c r="A421" s="1" t="s">
        <v>383</v>
      </c>
      <c r="B421" s="2" t="s">
        <v>263</v>
      </c>
      <c r="C421" s="3"/>
    </row>
    <row r="422">
      <c r="A422" s="1" t="s">
        <v>384</v>
      </c>
      <c r="B422" s="2" t="s">
        <v>263</v>
      </c>
      <c r="C422" s="3"/>
    </row>
    <row r="423">
      <c r="A423" s="2" t="s">
        <v>385</v>
      </c>
      <c r="B423" s="2" t="s">
        <v>263</v>
      </c>
      <c r="C423" s="3"/>
    </row>
    <row r="424">
      <c r="A424" s="1" t="s">
        <v>386</v>
      </c>
      <c r="B424" s="2" t="s">
        <v>263</v>
      </c>
      <c r="C424" s="3"/>
    </row>
    <row r="425">
      <c r="A425" s="1" t="s">
        <v>387</v>
      </c>
      <c r="B425" s="2" t="s">
        <v>263</v>
      </c>
      <c r="C425" s="3"/>
    </row>
    <row r="426">
      <c r="A426" s="2" t="s">
        <v>388</v>
      </c>
      <c r="B426" s="2" t="s">
        <v>263</v>
      </c>
      <c r="C426" s="3"/>
    </row>
    <row r="427">
      <c r="A427" s="1" t="s">
        <v>389</v>
      </c>
      <c r="B427" s="2" t="s">
        <v>263</v>
      </c>
      <c r="C427" s="3"/>
    </row>
    <row r="428">
      <c r="A428" s="1" t="s">
        <v>390</v>
      </c>
      <c r="B428" s="2" t="s">
        <v>263</v>
      </c>
      <c r="C428" s="3"/>
    </row>
    <row r="429">
      <c r="A429" s="1" t="s">
        <v>391</v>
      </c>
      <c r="B429" s="2" t="s">
        <v>392</v>
      </c>
      <c r="C429" s="3"/>
    </row>
    <row r="430">
      <c r="A430" s="1" t="s">
        <v>393</v>
      </c>
      <c r="B430" s="2" t="s">
        <v>392</v>
      </c>
      <c r="C430" s="3"/>
    </row>
    <row r="431">
      <c r="A431" s="1" t="s">
        <v>394</v>
      </c>
      <c r="B431" s="2" t="s">
        <v>392</v>
      </c>
      <c r="C431" s="3"/>
    </row>
    <row r="432">
      <c r="A432" s="1" t="s">
        <v>395</v>
      </c>
      <c r="B432" s="2" t="s">
        <v>392</v>
      </c>
      <c r="C432" s="3"/>
    </row>
    <row r="433">
      <c r="A433" s="1" t="s">
        <v>396</v>
      </c>
      <c r="B433" s="2" t="s">
        <v>392</v>
      </c>
      <c r="C433" s="3"/>
    </row>
    <row r="434">
      <c r="A434" s="1" t="s">
        <v>397</v>
      </c>
      <c r="B434" s="2" t="s">
        <v>392</v>
      </c>
      <c r="C434" s="3"/>
    </row>
    <row r="435">
      <c r="A435" s="1" t="s">
        <v>398</v>
      </c>
      <c r="B435" s="2" t="s">
        <v>392</v>
      </c>
      <c r="C435" s="3"/>
    </row>
    <row r="436">
      <c r="A436" s="1" t="s">
        <v>399</v>
      </c>
      <c r="B436" s="2" t="s">
        <v>392</v>
      </c>
      <c r="C436" s="3"/>
    </row>
    <row r="437">
      <c r="A437" s="1" t="s">
        <v>400</v>
      </c>
      <c r="B437" s="2" t="s">
        <v>392</v>
      </c>
      <c r="C437" s="3"/>
    </row>
    <row r="438">
      <c r="A438" s="1" t="s">
        <v>401</v>
      </c>
      <c r="B438" s="2" t="s">
        <v>392</v>
      </c>
      <c r="C438" s="3"/>
    </row>
    <row r="439">
      <c r="A439" s="1" t="s">
        <v>402</v>
      </c>
      <c r="B439" s="2" t="s">
        <v>392</v>
      </c>
      <c r="C439" s="3"/>
    </row>
    <row r="440">
      <c r="A440" s="1" t="s">
        <v>403</v>
      </c>
      <c r="B440" s="2" t="s">
        <v>392</v>
      </c>
      <c r="C440" s="3"/>
    </row>
    <row r="441">
      <c r="A441" s="1" t="s">
        <v>404</v>
      </c>
      <c r="B441" s="2" t="s">
        <v>392</v>
      </c>
      <c r="C441" s="3"/>
    </row>
    <row r="442">
      <c r="A442" s="1" t="s">
        <v>405</v>
      </c>
      <c r="B442" s="2" t="s">
        <v>392</v>
      </c>
      <c r="C442" s="3"/>
    </row>
    <row r="443">
      <c r="A443" s="1" t="s">
        <v>406</v>
      </c>
      <c r="B443" s="2" t="s">
        <v>392</v>
      </c>
      <c r="C443" s="3"/>
    </row>
    <row r="444">
      <c r="A444" s="1" t="s">
        <v>407</v>
      </c>
      <c r="B444" s="2" t="s">
        <v>392</v>
      </c>
      <c r="C444" s="3"/>
    </row>
    <row r="445">
      <c r="A445" s="2" t="s">
        <v>408</v>
      </c>
      <c r="B445" s="2" t="s">
        <v>392</v>
      </c>
      <c r="C445" s="3"/>
    </row>
    <row r="446">
      <c r="A446" s="1" t="s">
        <v>409</v>
      </c>
      <c r="B446" s="2" t="s">
        <v>392</v>
      </c>
      <c r="C446" s="3"/>
    </row>
    <row r="447">
      <c r="A447" s="2" t="s">
        <v>410</v>
      </c>
      <c r="B447" s="2" t="s">
        <v>392</v>
      </c>
      <c r="C447" s="3"/>
    </row>
    <row r="448">
      <c r="A448" s="1" t="s">
        <v>411</v>
      </c>
      <c r="B448" s="2" t="s">
        <v>392</v>
      </c>
      <c r="C448" s="3"/>
    </row>
    <row r="449">
      <c r="A449" s="2" t="s">
        <v>412</v>
      </c>
      <c r="B449" s="2" t="s">
        <v>392</v>
      </c>
      <c r="C449" s="3"/>
    </row>
    <row r="450">
      <c r="A450" s="1" t="s">
        <v>413</v>
      </c>
      <c r="B450" s="2" t="s">
        <v>392</v>
      </c>
      <c r="C450" s="3"/>
    </row>
    <row r="451">
      <c r="A451" s="2" t="s">
        <v>414</v>
      </c>
      <c r="B451" s="2" t="s">
        <v>392</v>
      </c>
      <c r="C451" s="3"/>
    </row>
    <row r="452">
      <c r="A452" s="2" t="s">
        <v>415</v>
      </c>
      <c r="B452" s="2" t="s">
        <v>392</v>
      </c>
      <c r="C452" s="3"/>
    </row>
    <row r="453">
      <c r="A453" s="1" t="s">
        <v>416</v>
      </c>
      <c r="B453" s="2" t="s">
        <v>392</v>
      </c>
      <c r="C453" s="3"/>
    </row>
    <row r="454">
      <c r="A454" s="1" t="s">
        <v>417</v>
      </c>
      <c r="B454" s="2" t="s">
        <v>392</v>
      </c>
      <c r="C454" s="3"/>
    </row>
    <row r="455">
      <c r="A455" s="1" t="s">
        <v>418</v>
      </c>
      <c r="B455" s="2" t="s">
        <v>392</v>
      </c>
      <c r="C455" s="3"/>
    </row>
    <row r="456">
      <c r="A456" s="1" t="s">
        <v>419</v>
      </c>
      <c r="B456" s="2" t="s">
        <v>392</v>
      </c>
      <c r="C456" s="3"/>
    </row>
    <row r="457">
      <c r="A457" s="1" t="s">
        <v>420</v>
      </c>
      <c r="B457" s="2" t="s">
        <v>392</v>
      </c>
      <c r="C457" s="3"/>
    </row>
    <row r="458">
      <c r="A458" s="1" t="s">
        <v>421</v>
      </c>
      <c r="B458" s="2" t="s">
        <v>392</v>
      </c>
      <c r="C458" s="3"/>
    </row>
    <row r="459">
      <c r="A459" s="1" t="s">
        <v>422</v>
      </c>
      <c r="B459" s="2" t="s">
        <v>392</v>
      </c>
      <c r="C459" s="3"/>
    </row>
    <row r="460">
      <c r="A460" s="1" t="s">
        <v>423</v>
      </c>
      <c r="B460" s="2" t="s">
        <v>392</v>
      </c>
      <c r="C460" s="3"/>
    </row>
    <row r="461">
      <c r="A461" s="1" t="s">
        <v>424</v>
      </c>
      <c r="B461" s="2" t="s">
        <v>392</v>
      </c>
      <c r="C461" s="3"/>
    </row>
    <row r="462">
      <c r="A462" s="1" t="s">
        <v>425</v>
      </c>
      <c r="B462" s="2" t="s">
        <v>392</v>
      </c>
      <c r="C462" s="3"/>
    </row>
    <row r="463">
      <c r="A463" s="1" t="s">
        <v>426</v>
      </c>
      <c r="B463" s="2" t="s">
        <v>392</v>
      </c>
      <c r="C463" s="3"/>
    </row>
    <row r="464">
      <c r="A464" s="1" t="s">
        <v>427</v>
      </c>
      <c r="B464" s="2" t="s">
        <v>392</v>
      </c>
      <c r="C464" s="3"/>
    </row>
    <row r="465">
      <c r="A465" s="1" t="s">
        <v>428</v>
      </c>
      <c r="B465" s="2" t="s">
        <v>392</v>
      </c>
      <c r="C465" s="3"/>
    </row>
    <row r="466">
      <c r="A466" s="2" t="s">
        <v>429</v>
      </c>
      <c r="B466" s="2" t="s">
        <v>392</v>
      </c>
      <c r="C466" s="3"/>
    </row>
    <row r="467">
      <c r="A467" s="1" t="s">
        <v>430</v>
      </c>
      <c r="B467" s="2" t="s">
        <v>392</v>
      </c>
      <c r="C467" s="3"/>
    </row>
    <row r="468">
      <c r="A468" s="2" t="s">
        <v>431</v>
      </c>
      <c r="B468" s="2" t="s">
        <v>392</v>
      </c>
      <c r="C468" s="3"/>
    </row>
    <row r="469">
      <c r="A469" s="1" t="s">
        <v>432</v>
      </c>
      <c r="B469" s="2" t="s">
        <v>392</v>
      </c>
      <c r="C469" s="3"/>
    </row>
    <row r="470">
      <c r="A470" s="1" t="s">
        <v>433</v>
      </c>
      <c r="B470" s="2" t="s">
        <v>392</v>
      </c>
      <c r="C470" s="3"/>
    </row>
    <row r="471">
      <c r="A471" s="1" t="s">
        <v>434</v>
      </c>
      <c r="B471" s="2" t="s">
        <v>392</v>
      </c>
      <c r="C471" s="3"/>
    </row>
    <row r="472">
      <c r="A472" s="1" t="s">
        <v>435</v>
      </c>
      <c r="B472" s="2" t="s">
        <v>392</v>
      </c>
      <c r="C472" s="3"/>
    </row>
    <row r="473">
      <c r="A473" s="2" t="s">
        <v>436</v>
      </c>
      <c r="B473" s="2" t="s">
        <v>392</v>
      </c>
      <c r="C473" s="3"/>
    </row>
    <row r="474">
      <c r="A474" s="1" t="s">
        <v>437</v>
      </c>
      <c r="B474" s="2" t="s">
        <v>392</v>
      </c>
      <c r="C474" s="3"/>
    </row>
    <row r="475">
      <c r="A475" s="1" t="s">
        <v>438</v>
      </c>
      <c r="B475" s="2" t="s">
        <v>392</v>
      </c>
      <c r="C475" s="3"/>
    </row>
    <row r="476">
      <c r="A476" s="1" t="s">
        <v>439</v>
      </c>
      <c r="B476" s="2" t="s">
        <v>392</v>
      </c>
      <c r="C476" s="3"/>
    </row>
    <row r="477">
      <c r="A477" s="1" t="s">
        <v>440</v>
      </c>
      <c r="B477" s="2" t="s">
        <v>392</v>
      </c>
      <c r="C477" s="3"/>
    </row>
    <row r="478">
      <c r="A478" s="1" t="s">
        <v>441</v>
      </c>
      <c r="B478" s="2" t="s">
        <v>392</v>
      </c>
      <c r="C478" s="3"/>
    </row>
    <row r="479">
      <c r="A479" s="1" t="s">
        <v>442</v>
      </c>
      <c r="B479" s="2" t="s">
        <v>392</v>
      </c>
      <c r="C479" s="3"/>
    </row>
    <row r="480">
      <c r="A480" s="1" t="s">
        <v>443</v>
      </c>
      <c r="B480" s="2" t="s">
        <v>392</v>
      </c>
      <c r="C480" s="3"/>
    </row>
    <row r="481">
      <c r="A481" s="1" t="s">
        <v>444</v>
      </c>
      <c r="B481" s="2" t="s">
        <v>392</v>
      </c>
      <c r="C481" s="3"/>
    </row>
    <row r="482">
      <c r="A482" s="1" t="s">
        <v>445</v>
      </c>
      <c r="B482" s="2" t="s">
        <v>392</v>
      </c>
      <c r="C482" s="3"/>
    </row>
    <row r="483">
      <c r="A483" s="1" t="s">
        <v>446</v>
      </c>
      <c r="B483" s="2" t="s">
        <v>392</v>
      </c>
      <c r="C483" s="3"/>
    </row>
    <row r="484">
      <c r="A484" s="1" t="s">
        <v>447</v>
      </c>
      <c r="B484" s="2" t="s">
        <v>392</v>
      </c>
      <c r="C484" s="3"/>
    </row>
    <row r="485">
      <c r="A485" s="1" t="s">
        <v>448</v>
      </c>
      <c r="B485" s="2" t="s">
        <v>392</v>
      </c>
      <c r="C485" s="3"/>
    </row>
    <row r="486">
      <c r="A486" s="1" t="s">
        <v>422</v>
      </c>
      <c r="B486" s="2" t="s">
        <v>392</v>
      </c>
      <c r="C486" s="3"/>
    </row>
    <row r="487">
      <c r="A487" s="1" t="s">
        <v>449</v>
      </c>
      <c r="B487" s="2" t="s">
        <v>392</v>
      </c>
      <c r="C487" s="3"/>
    </row>
    <row r="488">
      <c r="A488" s="1" t="s">
        <v>400</v>
      </c>
      <c r="B488" s="2" t="s">
        <v>392</v>
      </c>
      <c r="C488" s="3"/>
    </row>
    <row r="489">
      <c r="A489" s="1" t="s">
        <v>450</v>
      </c>
      <c r="B489" s="2" t="s">
        <v>451</v>
      </c>
      <c r="C489" s="3"/>
    </row>
    <row r="490">
      <c r="A490" s="1" t="s">
        <v>452</v>
      </c>
      <c r="B490" s="2" t="s">
        <v>451</v>
      </c>
      <c r="C490" s="3"/>
    </row>
    <row r="491">
      <c r="A491" s="1" t="s">
        <v>453</v>
      </c>
      <c r="B491" s="2" t="s">
        <v>451</v>
      </c>
      <c r="C491" s="3"/>
    </row>
    <row r="492">
      <c r="A492" s="1" t="s">
        <v>454</v>
      </c>
      <c r="B492" s="2" t="s">
        <v>451</v>
      </c>
      <c r="C492" s="3"/>
    </row>
    <row r="493">
      <c r="A493" s="1" t="s">
        <v>455</v>
      </c>
      <c r="B493" s="2" t="s">
        <v>451</v>
      </c>
      <c r="C493" s="3"/>
    </row>
    <row r="494">
      <c r="A494" s="1" t="s">
        <v>456</v>
      </c>
      <c r="B494" s="2" t="s">
        <v>451</v>
      </c>
      <c r="C494" s="3"/>
    </row>
    <row r="495">
      <c r="A495" s="2" t="s">
        <v>457</v>
      </c>
      <c r="B495" s="2" t="s">
        <v>451</v>
      </c>
      <c r="C495" s="3"/>
    </row>
    <row r="496">
      <c r="A496" s="2" t="s">
        <v>458</v>
      </c>
      <c r="B496" s="2" t="s">
        <v>451</v>
      </c>
      <c r="C496" s="3"/>
    </row>
    <row r="497">
      <c r="A497" s="2" t="s">
        <v>459</v>
      </c>
      <c r="B497" s="2" t="s">
        <v>451</v>
      </c>
      <c r="C497" s="3"/>
    </row>
    <row r="498">
      <c r="A498" s="1" t="s">
        <v>460</v>
      </c>
      <c r="B498" s="2" t="s">
        <v>451</v>
      </c>
      <c r="C498" s="3"/>
    </row>
    <row r="499">
      <c r="A499" s="2" t="s">
        <v>461</v>
      </c>
      <c r="B499" s="2" t="s">
        <v>451</v>
      </c>
      <c r="C499" s="3"/>
    </row>
    <row r="500">
      <c r="A500" s="1" t="s">
        <v>462</v>
      </c>
      <c r="B500" s="2" t="s">
        <v>451</v>
      </c>
      <c r="C500" s="3"/>
    </row>
    <row r="501">
      <c r="A501" s="1" t="s">
        <v>463</v>
      </c>
      <c r="B501" s="2" t="s">
        <v>451</v>
      </c>
      <c r="C501" s="3"/>
    </row>
    <row r="502">
      <c r="A502" s="1" t="s">
        <v>464</v>
      </c>
      <c r="B502" s="2" t="s">
        <v>451</v>
      </c>
      <c r="C502" s="3"/>
    </row>
    <row r="503">
      <c r="A503" s="1" t="s">
        <v>465</v>
      </c>
      <c r="B503" s="2" t="s">
        <v>451</v>
      </c>
      <c r="C503" s="3"/>
    </row>
    <row r="504">
      <c r="A504" s="2" t="s">
        <v>466</v>
      </c>
      <c r="B504" s="2" t="s">
        <v>451</v>
      </c>
      <c r="C504" s="3"/>
    </row>
    <row r="505">
      <c r="A505" s="1" t="s">
        <v>467</v>
      </c>
      <c r="B505" s="2" t="s">
        <v>451</v>
      </c>
      <c r="C505" s="3"/>
    </row>
    <row r="506">
      <c r="A506" s="1" t="s">
        <v>468</v>
      </c>
      <c r="B506" s="2" t="s">
        <v>451</v>
      </c>
      <c r="C506" s="3"/>
    </row>
    <row r="507">
      <c r="A507" s="2" t="s">
        <v>469</v>
      </c>
      <c r="B507" s="2" t="s">
        <v>451</v>
      </c>
      <c r="C507" s="3"/>
    </row>
    <row r="508">
      <c r="A508" s="1" t="s">
        <v>470</v>
      </c>
      <c r="B508" s="2" t="s">
        <v>451</v>
      </c>
      <c r="C508" s="3"/>
    </row>
    <row r="509">
      <c r="A509" s="2" t="s">
        <v>471</v>
      </c>
      <c r="B509" s="2" t="s">
        <v>451</v>
      </c>
      <c r="C509" s="3"/>
    </row>
    <row r="510">
      <c r="A510" s="1" t="s">
        <v>472</v>
      </c>
      <c r="B510" s="2" t="s">
        <v>451</v>
      </c>
      <c r="C510" s="3"/>
    </row>
    <row r="511">
      <c r="A511" s="1" t="s">
        <v>473</v>
      </c>
      <c r="B511" s="2" t="s">
        <v>451</v>
      </c>
      <c r="C511" s="3"/>
    </row>
    <row r="512">
      <c r="A512" s="1" t="s">
        <v>474</v>
      </c>
      <c r="B512" s="2" t="s">
        <v>451</v>
      </c>
      <c r="C512" s="3"/>
    </row>
    <row r="513">
      <c r="A513" s="1" t="s">
        <v>475</v>
      </c>
      <c r="B513" s="2" t="s">
        <v>451</v>
      </c>
      <c r="C513" s="3"/>
    </row>
    <row r="514">
      <c r="A514" s="2" t="s">
        <v>476</v>
      </c>
      <c r="B514" s="2" t="s">
        <v>451</v>
      </c>
      <c r="C514" s="3"/>
    </row>
    <row r="515">
      <c r="A515" s="1" t="s">
        <v>477</v>
      </c>
      <c r="B515" s="2" t="s">
        <v>451</v>
      </c>
      <c r="C515" s="3"/>
    </row>
    <row r="516">
      <c r="A516" s="1" t="s">
        <v>478</v>
      </c>
      <c r="B516" s="2" t="s">
        <v>451</v>
      </c>
      <c r="C516" s="3"/>
    </row>
    <row r="517">
      <c r="A517" s="1" t="s">
        <v>479</v>
      </c>
      <c r="B517" s="2" t="s">
        <v>451</v>
      </c>
      <c r="C517" s="3"/>
    </row>
    <row r="518">
      <c r="A518" s="1" t="s">
        <v>480</v>
      </c>
      <c r="B518" s="2" t="s">
        <v>451</v>
      </c>
      <c r="C518" s="3"/>
    </row>
    <row r="519">
      <c r="A519" s="2" t="s">
        <v>481</v>
      </c>
      <c r="B519" s="2" t="s">
        <v>451</v>
      </c>
      <c r="C519" s="3"/>
    </row>
    <row r="520">
      <c r="A520" s="2" t="s">
        <v>482</v>
      </c>
      <c r="B520" s="2" t="s">
        <v>451</v>
      </c>
      <c r="C520" s="3"/>
    </row>
    <row r="521">
      <c r="A521" s="1" t="s">
        <v>483</v>
      </c>
      <c r="B521" s="2" t="s">
        <v>451</v>
      </c>
      <c r="C521" s="3"/>
    </row>
    <row r="522">
      <c r="A522" s="1" t="s">
        <v>484</v>
      </c>
      <c r="B522" s="2" t="s">
        <v>451</v>
      </c>
      <c r="C522" s="3"/>
    </row>
    <row r="523">
      <c r="A523" s="2" t="s">
        <v>485</v>
      </c>
      <c r="B523" s="2" t="s">
        <v>451</v>
      </c>
      <c r="C523" s="3"/>
    </row>
    <row r="524">
      <c r="A524" s="1" t="s">
        <v>486</v>
      </c>
      <c r="B524" s="2" t="s">
        <v>451</v>
      </c>
      <c r="C524" s="3"/>
    </row>
    <row r="525">
      <c r="A525" s="1" t="s">
        <v>487</v>
      </c>
      <c r="B525" s="2" t="s">
        <v>451</v>
      </c>
      <c r="C525" s="3"/>
    </row>
    <row r="526">
      <c r="A526" s="1" t="s">
        <v>488</v>
      </c>
      <c r="B526" s="2" t="s">
        <v>451</v>
      </c>
      <c r="C526" s="3"/>
    </row>
    <row r="527">
      <c r="A527" s="1" t="s">
        <v>489</v>
      </c>
      <c r="B527" s="2" t="s">
        <v>451</v>
      </c>
      <c r="C527" s="3"/>
    </row>
    <row r="528">
      <c r="A528" s="1" t="s">
        <v>490</v>
      </c>
      <c r="B528" s="2" t="s">
        <v>451</v>
      </c>
      <c r="C528" s="3"/>
    </row>
    <row r="529">
      <c r="A529" s="1" t="s">
        <v>491</v>
      </c>
      <c r="B529" s="2" t="s">
        <v>451</v>
      </c>
      <c r="C529" s="3"/>
    </row>
    <row r="530">
      <c r="A530" s="1" t="s">
        <v>492</v>
      </c>
      <c r="B530" s="2" t="s">
        <v>451</v>
      </c>
      <c r="C530" s="3"/>
    </row>
    <row r="531">
      <c r="A531" s="2" t="s">
        <v>493</v>
      </c>
      <c r="B531" s="2" t="s">
        <v>451</v>
      </c>
      <c r="C531" s="3"/>
    </row>
    <row r="532">
      <c r="A532" s="2" t="s">
        <v>494</v>
      </c>
      <c r="B532" s="2" t="s">
        <v>451</v>
      </c>
      <c r="C532" s="3"/>
    </row>
    <row r="533">
      <c r="A533" s="2" t="s">
        <v>495</v>
      </c>
      <c r="B533" s="2" t="s">
        <v>451</v>
      </c>
      <c r="C533" s="3"/>
    </row>
    <row r="534">
      <c r="A534" s="1" t="s">
        <v>496</v>
      </c>
      <c r="B534" s="2" t="s">
        <v>451</v>
      </c>
      <c r="C534" s="3"/>
    </row>
    <row r="535">
      <c r="A535" s="1" t="s">
        <v>497</v>
      </c>
      <c r="B535" s="2" t="s">
        <v>451</v>
      </c>
      <c r="C535" s="3"/>
    </row>
    <row r="536">
      <c r="A536" s="1" t="s">
        <v>498</v>
      </c>
      <c r="B536" s="2" t="s">
        <v>451</v>
      </c>
      <c r="C536" s="3"/>
    </row>
    <row r="537">
      <c r="A537" s="1" t="s">
        <v>499</v>
      </c>
      <c r="B537" s="2" t="s">
        <v>451</v>
      </c>
      <c r="C537" s="3"/>
    </row>
    <row r="538">
      <c r="A538" s="1" t="s">
        <v>500</v>
      </c>
      <c r="B538" s="2" t="s">
        <v>451</v>
      </c>
      <c r="C538" s="3"/>
    </row>
    <row r="539">
      <c r="A539" s="2" t="s">
        <v>501</v>
      </c>
      <c r="B539" s="2" t="s">
        <v>451</v>
      </c>
      <c r="C539" s="3"/>
    </row>
    <row r="540">
      <c r="A540" s="2" t="s">
        <v>502</v>
      </c>
      <c r="B540" s="2" t="s">
        <v>451</v>
      </c>
      <c r="C540" s="3"/>
    </row>
    <row r="541">
      <c r="A541" s="1" t="s">
        <v>503</v>
      </c>
      <c r="B541" s="2" t="s">
        <v>451</v>
      </c>
      <c r="C541" s="3"/>
    </row>
    <row r="542">
      <c r="A542" s="2" t="s">
        <v>504</v>
      </c>
      <c r="B542" s="2" t="s">
        <v>451</v>
      </c>
      <c r="C542" s="3"/>
    </row>
    <row r="543">
      <c r="A543" s="2" t="s">
        <v>505</v>
      </c>
      <c r="B543" s="2" t="s">
        <v>451</v>
      </c>
      <c r="C543" s="3"/>
    </row>
    <row r="544">
      <c r="A544" s="1" t="s">
        <v>506</v>
      </c>
      <c r="B544" s="2" t="s">
        <v>451</v>
      </c>
      <c r="C544" s="3"/>
    </row>
    <row r="545">
      <c r="A545" s="1" t="s">
        <v>507</v>
      </c>
      <c r="B545" s="2" t="s">
        <v>451</v>
      </c>
      <c r="C545" s="3"/>
    </row>
    <row r="546">
      <c r="A546" s="1" t="s">
        <v>508</v>
      </c>
      <c r="B546" s="2" t="s">
        <v>451</v>
      </c>
      <c r="C546" s="3"/>
    </row>
    <row r="547">
      <c r="A547" s="1" t="s">
        <v>509</v>
      </c>
      <c r="B547" s="2" t="s">
        <v>451</v>
      </c>
      <c r="C547" s="3"/>
    </row>
    <row r="548">
      <c r="A548" s="1" t="s">
        <v>510</v>
      </c>
      <c r="B548" s="2" t="s">
        <v>451</v>
      </c>
      <c r="C548" s="3"/>
    </row>
    <row r="549">
      <c r="A549" s="1" t="s">
        <v>511</v>
      </c>
      <c r="B549" s="2" t="s">
        <v>451</v>
      </c>
      <c r="C549" s="3"/>
    </row>
    <row r="550">
      <c r="A550" s="1" t="s">
        <v>512</v>
      </c>
      <c r="B550" s="2" t="s">
        <v>451</v>
      </c>
      <c r="C550" s="3"/>
    </row>
    <row r="551">
      <c r="A551" s="1" t="s">
        <v>513</v>
      </c>
      <c r="B551" s="2" t="s">
        <v>451</v>
      </c>
      <c r="C551" s="3"/>
    </row>
    <row r="552">
      <c r="A552" s="1" t="s">
        <v>514</v>
      </c>
      <c r="B552" s="2" t="s">
        <v>451</v>
      </c>
      <c r="C552" s="3"/>
    </row>
    <row r="553">
      <c r="A553" s="1" t="s">
        <v>515</v>
      </c>
      <c r="B553" s="2" t="s">
        <v>451</v>
      </c>
      <c r="C553" s="3"/>
    </row>
    <row r="554">
      <c r="A554" s="2" t="s">
        <v>516</v>
      </c>
      <c r="B554" s="2" t="s">
        <v>451</v>
      </c>
      <c r="C554" s="3"/>
    </row>
    <row r="555">
      <c r="A555" s="1" t="s">
        <v>517</v>
      </c>
      <c r="B555" s="2" t="s">
        <v>451</v>
      </c>
      <c r="C555" s="3"/>
    </row>
    <row r="556">
      <c r="A556" s="1" t="s">
        <v>518</v>
      </c>
      <c r="B556" s="2" t="s">
        <v>451</v>
      </c>
      <c r="C556" s="3"/>
    </row>
    <row r="557">
      <c r="A557" s="1" t="s">
        <v>518</v>
      </c>
      <c r="B557" s="2" t="s">
        <v>451</v>
      </c>
      <c r="C557" s="3"/>
    </row>
    <row r="558">
      <c r="A558" s="2" t="s">
        <v>519</v>
      </c>
      <c r="B558" s="2" t="s">
        <v>451</v>
      </c>
      <c r="C558" s="3"/>
    </row>
    <row r="559">
      <c r="A559" s="1" t="s">
        <v>520</v>
      </c>
      <c r="B559" s="2" t="s">
        <v>451</v>
      </c>
      <c r="C559" s="3"/>
    </row>
    <row r="560">
      <c r="A560" s="2" t="s">
        <v>521</v>
      </c>
      <c r="B560" s="2" t="s">
        <v>451</v>
      </c>
      <c r="C560" s="3"/>
    </row>
    <row r="561">
      <c r="A561" s="1" t="s">
        <v>522</v>
      </c>
      <c r="B561" s="2" t="s">
        <v>451</v>
      </c>
      <c r="C561" s="3"/>
    </row>
    <row r="562">
      <c r="A562" s="1" t="s">
        <v>523</v>
      </c>
      <c r="B562" s="2" t="s">
        <v>451</v>
      </c>
      <c r="C562" s="3"/>
    </row>
    <row r="563">
      <c r="A563" s="1" t="s">
        <v>524</v>
      </c>
      <c r="B563" s="2" t="s">
        <v>451</v>
      </c>
      <c r="C563" s="3"/>
    </row>
    <row r="564">
      <c r="A564" s="1" t="s">
        <v>525</v>
      </c>
      <c r="B564" s="2" t="s">
        <v>451</v>
      </c>
      <c r="C564" s="3"/>
    </row>
    <row r="565">
      <c r="A565" s="1" t="s">
        <v>526</v>
      </c>
      <c r="B565" s="2" t="s">
        <v>451</v>
      </c>
      <c r="C565" s="3"/>
    </row>
    <row r="566">
      <c r="A566" s="1" t="s">
        <v>527</v>
      </c>
      <c r="B566" s="2" t="s">
        <v>451</v>
      </c>
      <c r="C566" s="3"/>
    </row>
    <row r="567">
      <c r="A567" s="1" t="s">
        <v>528</v>
      </c>
      <c r="B567" s="2" t="s">
        <v>451</v>
      </c>
      <c r="C567" s="3"/>
    </row>
    <row r="568">
      <c r="A568" s="1" t="s">
        <v>529</v>
      </c>
      <c r="B568" s="2" t="s">
        <v>451</v>
      </c>
      <c r="C568" s="3"/>
    </row>
    <row r="569">
      <c r="A569" s="1" t="s">
        <v>530</v>
      </c>
      <c r="B569" s="2" t="s">
        <v>451</v>
      </c>
      <c r="C569" s="3"/>
    </row>
    <row r="570">
      <c r="A570" s="1" t="s">
        <v>531</v>
      </c>
      <c r="B570" s="2" t="s">
        <v>451</v>
      </c>
      <c r="C570" s="3"/>
    </row>
    <row r="571">
      <c r="A571" s="1" t="s">
        <v>532</v>
      </c>
      <c r="B571" s="2" t="s">
        <v>451</v>
      </c>
      <c r="C571" s="3"/>
    </row>
    <row r="572">
      <c r="A572" s="1" t="s">
        <v>533</v>
      </c>
      <c r="B572" s="2" t="s">
        <v>451</v>
      </c>
      <c r="C572" s="3"/>
    </row>
    <row r="573">
      <c r="A573" s="2" t="s">
        <v>534</v>
      </c>
      <c r="B573" s="2" t="s">
        <v>451</v>
      </c>
      <c r="C573" s="3"/>
    </row>
    <row r="574">
      <c r="A574" s="1" t="s">
        <v>535</v>
      </c>
      <c r="B574" s="2" t="s">
        <v>451</v>
      </c>
      <c r="C574" s="3"/>
    </row>
    <row r="575">
      <c r="A575" s="1" t="s">
        <v>536</v>
      </c>
      <c r="B575" s="2" t="s">
        <v>451</v>
      </c>
      <c r="C575" s="3"/>
    </row>
    <row r="576">
      <c r="A576" s="2" t="s">
        <v>537</v>
      </c>
      <c r="B576" s="2" t="s">
        <v>451</v>
      </c>
      <c r="C576" s="3"/>
    </row>
    <row r="577">
      <c r="A577" s="2" t="s">
        <v>538</v>
      </c>
      <c r="B577" s="2" t="s">
        <v>451</v>
      </c>
      <c r="C577" s="3"/>
    </row>
    <row r="578">
      <c r="A578" s="1" t="s">
        <v>539</v>
      </c>
      <c r="B578" s="2" t="s">
        <v>451</v>
      </c>
      <c r="C578" s="3"/>
    </row>
    <row r="579">
      <c r="A579" s="1" t="s">
        <v>540</v>
      </c>
      <c r="B579" s="2" t="s">
        <v>451</v>
      </c>
      <c r="C579" s="3"/>
    </row>
    <row r="580">
      <c r="A580" s="1" t="s">
        <v>541</v>
      </c>
      <c r="B580" s="2" t="s">
        <v>451</v>
      </c>
      <c r="C580" s="3"/>
    </row>
    <row r="581">
      <c r="A581" s="1" t="s">
        <v>542</v>
      </c>
      <c r="B581" s="2" t="s">
        <v>451</v>
      </c>
      <c r="C581" s="3"/>
    </row>
    <row r="582">
      <c r="A582" s="1" t="s">
        <v>543</v>
      </c>
      <c r="B582" s="2" t="s">
        <v>451</v>
      </c>
      <c r="C582" s="3"/>
    </row>
    <row r="583">
      <c r="A583" s="1" t="s">
        <v>544</v>
      </c>
      <c r="B583" s="2" t="s">
        <v>451</v>
      </c>
      <c r="C583" s="3"/>
    </row>
    <row r="584">
      <c r="A584" s="1" t="s">
        <v>545</v>
      </c>
      <c r="B584" s="2" t="s">
        <v>451</v>
      </c>
      <c r="C584" s="3"/>
    </row>
    <row r="585">
      <c r="A585" s="1" t="s">
        <v>546</v>
      </c>
      <c r="B585" s="2" t="s">
        <v>451</v>
      </c>
      <c r="C585" s="3"/>
    </row>
    <row r="586">
      <c r="A586" s="1" t="s">
        <v>547</v>
      </c>
      <c r="B586" s="2" t="s">
        <v>451</v>
      </c>
      <c r="C586" s="3"/>
    </row>
    <row r="587">
      <c r="A587" s="1" t="s">
        <v>548</v>
      </c>
      <c r="B587" s="2" t="s">
        <v>451</v>
      </c>
      <c r="C587" s="3"/>
    </row>
    <row r="588">
      <c r="A588" s="1" t="s">
        <v>549</v>
      </c>
      <c r="B588" s="2" t="s">
        <v>451</v>
      </c>
      <c r="C588" s="3"/>
    </row>
    <row r="589">
      <c r="A589" s="1" t="s">
        <v>550</v>
      </c>
      <c r="B589" s="2" t="s">
        <v>451</v>
      </c>
      <c r="C589" s="3"/>
    </row>
    <row r="590">
      <c r="A590" s="1" t="s">
        <v>551</v>
      </c>
      <c r="B590" s="2" t="s">
        <v>451</v>
      </c>
      <c r="C590" s="3"/>
    </row>
    <row r="591">
      <c r="A591" s="2" t="s">
        <v>552</v>
      </c>
      <c r="B591" s="2" t="s">
        <v>451</v>
      </c>
      <c r="C591" s="3"/>
    </row>
    <row r="592">
      <c r="A592" s="1" t="s">
        <v>553</v>
      </c>
      <c r="B592" s="2" t="s">
        <v>451</v>
      </c>
      <c r="C592" s="3"/>
    </row>
    <row r="593">
      <c r="A593" s="2" t="s">
        <v>554</v>
      </c>
      <c r="B593" s="2" t="s">
        <v>451</v>
      </c>
      <c r="C593" s="3"/>
    </row>
    <row r="594">
      <c r="A594" s="2" t="s">
        <v>555</v>
      </c>
      <c r="B594" s="2" t="s">
        <v>451</v>
      </c>
      <c r="C594" s="3"/>
    </row>
    <row r="595">
      <c r="A595" s="1" t="s">
        <v>556</v>
      </c>
      <c r="B595" s="2" t="s">
        <v>451</v>
      </c>
      <c r="C595" s="3"/>
    </row>
    <row r="596">
      <c r="A596" s="2" t="s">
        <v>557</v>
      </c>
      <c r="B596" s="2" t="s">
        <v>451</v>
      </c>
      <c r="C596" s="3"/>
    </row>
    <row r="597">
      <c r="A597" s="1" t="s">
        <v>558</v>
      </c>
      <c r="B597" s="2" t="s">
        <v>451</v>
      </c>
      <c r="C597" s="3"/>
    </row>
    <row r="598">
      <c r="A598" s="1" t="s">
        <v>559</v>
      </c>
      <c r="B598" s="2" t="s">
        <v>451</v>
      </c>
      <c r="C598" s="3"/>
    </row>
    <row r="599">
      <c r="A599" s="1" t="s">
        <v>560</v>
      </c>
      <c r="B599" s="2" t="s">
        <v>451</v>
      </c>
      <c r="C599" s="3"/>
    </row>
    <row r="600">
      <c r="A600" s="1" t="s">
        <v>561</v>
      </c>
      <c r="B600" s="2" t="s">
        <v>451</v>
      </c>
      <c r="C600" s="3"/>
    </row>
    <row r="601">
      <c r="A601" s="1" t="s">
        <v>562</v>
      </c>
      <c r="B601" s="2" t="s">
        <v>451</v>
      </c>
      <c r="C601" s="3"/>
    </row>
    <row r="602">
      <c r="A602" s="1" t="s">
        <v>563</v>
      </c>
      <c r="B602" s="2" t="s">
        <v>451</v>
      </c>
      <c r="C602" s="3"/>
    </row>
    <row r="603">
      <c r="A603" s="1" t="s">
        <v>564</v>
      </c>
      <c r="B603" s="2" t="s">
        <v>451</v>
      </c>
      <c r="C603" s="3"/>
    </row>
    <row r="604">
      <c r="A604" s="1" t="s">
        <v>565</v>
      </c>
      <c r="B604" s="2" t="s">
        <v>451</v>
      </c>
      <c r="C604" s="3"/>
    </row>
    <row r="605">
      <c r="A605" s="1" t="s">
        <v>566</v>
      </c>
      <c r="B605" s="2" t="s">
        <v>451</v>
      </c>
      <c r="C605" s="3"/>
    </row>
    <row r="606">
      <c r="A606" s="1" t="s">
        <v>567</v>
      </c>
      <c r="B606" s="2" t="s">
        <v>451</v>
      </c>
      <c r="C606" s="3"/>
    </row>
    <row r="607">
      <c r="A607" s="1" t="s">
        <v>568</v>
      </c>
      <c r="B607" s="2" t="s">
        <v>451</v>
      </c>
      <c r="C607" s="3"/>
    </row>
    <row r="608">
      <c r="A608" s="2" t="s">
        <v>569</v>
      </c>
      <c r="B608" s="2" t="s">
        <v>451</v>
      </c>
      <c r="C608" s="3"/>
    </row>
    <row r="609">
      <c r="A609" s="1" t="s">
        <v>570</v>
      </c>
      <c r="B609" s="2" t="s">
        <v>451</v>
      </c>
      <c r="C609" s="3"/>
    </row>
    <row r="610">
      <c r="A610" s="1" t="s">
        <v>571</v>
      </c>
      <c r="B610" s="2" t="s">
        <v>451</v>
      </c>
      <c r="C610" s="3"/>
    </row>
    <row r="611">
      <c r="A611" s="1" t="s">
        <v>572</v>
      </c>
      <c r="B611" s="2" t="s">
        <v>451</v>
      </c>
      <c r="C611" s="3"/>
    </row>
    <row r="612">
      <c r="A612" s="2" t="s">
        <v>573</v>
      </c>
      <c r="B612" s="2" t="s">
        <v>451</v>
      </c>
      <c r="C612" s="3"/>
    </row>
    <row r="613">
      <c r="A613" s="1" t="s">
        <v>574</v>
      </c>
      <c r="B613" s="2" t="s">
        <v>451</v>
      </c>
      <c r="C613" s="3"/>
    </row>
    <row r="614">
      <c r="A614" s="1" t="s">
        <v>575</v>
      </c>
      <c r="B614" s="2" t="s">
        <v>451</v>
      </c>
      <c r="C614" s="3"/>
    </row>
    <row r="615">
      <c r="A615" s="1" t="s">
        <v>576</v>
      </c>
      <c r="B615" s="2" t="s">
        <v>451</v>
      </c>
      <c r="C615" s="3"/>
    </row>
    <row r="616">
      <c r="A616" s="1" t="s">
        <v>577</v>
      </c>
      <c r="B616" s="2" t="s">
        <v>451</v>
      </c>
      <c r="C616" s="3"/>
    </row>
    <row r="617">
      <c r="A617" s="1" t="s">
        <v>578</v>
      </c>
      <c r="B617" s="2" t="s">
        <v>451</v>
      </c>
      <c r="C617" s="3"/>
    </row>
    <row r="618">
      <c r="A618" s="1" t="s">
        <v>579</v>
      </c>
      <c r="B618" s="2" t="s">
        <v>451</v>
      </c>
      <c r="C618" s="3"/>
    </row>
    <row r="619">
      <c r="A619" s="2" t="s">
        <v>493</v>
      </c>
      <c r="B619" s="2" t="s">
        <v>451</v>
      </c>
      <c r="C619" s="3"/>
    </row>
    <row r="620">
      <c r="A620" s="1" t="s">
        <v>580</v>
      </c>
      <c r="B620" s="2" t="s">
        <v>451</v>
      </c>
      <c r="C620" s="3"/>
    </row>
    <row r="621">
      <c r="A621" s="1" t="s">
        <v>581</v>
      </c>
      <c r="B621" s="2" t="s">
        <v>451</v>
      </c>
      <c r="C621" s="3"/>
    </row>
    <row r="622">
      <c r="A622" s="1" t="s">
        <v>582</v>
      </c>
      <c r="B622" s="2" t="s">
        <v>451</v>
      </c>
      <c r="C622" s="3"/>
    </row>
    <row r="623">
      <c r="A623" s="2" t="s">
        <v>583</v>
      </c>
      <c r="B623" s="2" t="s">
        <v>451</v>
      </c>
      <c r="C623" s="3"/>
    </row>
    <row r="624">
      <c r="A624" s="1" t="s">
        <v>584</v>
      </c>
      <c r="B624" s="2" t="s">
        <v>451</v>
      </c>
      <c r="C624" s="3"/>
    </row>
    <row r="625">
      <c r="A625" s="1" t="s">
        <v>585</v>
      </c>
      <c r="B625" s="2" t="s">
        <v>451</v>
      </c>
      <c r="C625" s="3"/>
    </row>
    <row r="626">
      <c r="A626" s="2" t="s">
        <v>586</v>
      </c>
      <c r="B626" s="2" t="s">
        <v>451</v>
      </c>
      <c r="C626" s="3"/>
    </row>
    <row r="627">
      <c r="A627" s="1" t="s">
        <v>587</v>
      </c>
      <c r="B627" s="2" t="s">
        <v>451</v>
      </c>
      <c r="C627" s="3"/>
    </row>
    <row r="628">
      <c r="A628" s="1" t="s">
        <v>588</v>
      </c>
      <c r="B628" s="2" t="s">
        <v>451</v>
      </c>
      <c r="C628" s="3"/>
    </row>
    <row r="629">
      <c r="A629" s="1" t="s">
        <v>589</v>
      </c>
      <c r="B629" s="2" t="s">
        <v>451</v>
      </c>
      <c r="C629" s="3"/>
    </row>
    <row r="630">
      <c r="A630" s="1" t="s">
        <v>590</v>
      </c>
      <c r="B630" s="2" t="s">
        <v>451</v>
      </c>
      <c r="C630" s="3"/>
    </row>
    <row r="631">
      <c r="A631" s="1" t="s">
        <v>591</v>
      </c>
      <c r="B631" s="2" t="s">
        <v>451</v>
      </c>
      <c r="C631" s="3"/>
    </row>
    <row r="632">
      <c r="A632" s="1" t="s">
        <v>592</v>
      </c>
      <c r="B632" s="2" t="s">
        <v>451</v>
      </c>
      <c r="C632" s="3"/>
    </row>
    <row r="633">
      <c r="A633" s="1" t="s">
        <v>593</v>
      </c>
      <c r="B633" s="2" t="s">
        <v>451</v>
      </c>
      <c r="C633" s="3"/>
    </row>
    <row r="634">
      <c r="A634" s="1" t="s">
        <v>594</v>
      </c>
      <c r="B634" s="2" t="s">
        <v>451</v>
      </c>
      <c r="C634" s="3"/>
    </row>
    <row r="635">
      <c r="A635" s="1" t="s">
        <v>595</v>
      </c>
      <c r="B635" s="2" t="s">
        <v>451</v>
      </c>
      <c r="C635" s="3"/>
    </row>
    <row r="636">
      <c r="A636" s="1" t="s">
        <v>596</v>
      </c>
      <c r="B636" s="2" t="s">
        <v>451</v>
      </c>
      <c r="C636" s="3"/>
    </row>
    <row r="637">
      <c r="A637" s="1" t="s">
        <v>597</v>
      </c>
      <c r="B637" s="2" t="s">
        <v>451</v>
      </c>
      <c r="C637" s="3"/>
    </row>
    <row r="638">
      <c r="A638" s="1" t="s">
        <v>598</v>
      </c>
      <c r="B638" s="2" t="s">
        <v>451</v>
      </c>
      <c r="C638" s="3"/>
    </row>
    <row r="639">
      <c r="A639" s="1" t="s">
        <v>599</v>
      </c>
      <c r="B639" s="2" t="s">
        <v>451</v>
      </c>
      <c r="C639" s="3"/>
    </row>
    <row r="640">
      <c r="A640" s="1" t="s">
        <v>600</v>
      </c>
      <c r="B640" s="2" t="s">
        <v>451</v>
      </c>
      <c r="C640" s="3"/>
    </row>
    <row r="641">
      <c r="A641" s="1" t="s">
        <v>601</v>
      </c>
      <c r="B641" s="2" t="s">
        <v>451</v>
      </c>
      <c r="C641" s="3"/>
    </row>
    <row r="642">
      <c r="A642" s="1" t="s">
        <v>602</v>
      </c>
      <c r="B642" s="2" t="s">
        <v>451</v>
      </c>
      <c r="C642" s="3"/>
    </row>
    <row r="643">
      <c r="A643" s="1" t="s">
        <v>603</v>
      </c>
      <c r="B643" s="2" t="s">
        <v>451</v>
      </c>
      <c r="C643" s="3"/>
    </row>
    <row r="644">
      <c r="A644" s="1" t="s">
        <v>604</v>
      </c>
      <c r="B644" s="2" t="s">
        <v>451</v>
      </c>
      <c r="C644" s="3"/>
    </row>
    <row r="645">
      <c r="A645" s="1" t="s">
        <v>605</v>
      </c>
      <c r="B645" s="2" t="s">
        <v>451</v>
      </c>
      <c r="C645" s="3"/>
    </row>
    <row r="646">
      <c r="A646" s="2" t="s">
        <v>606</v>
      </c>
      <c r="B646" s="2" t="s">
        <v>451</v>
      </c>
      <c r="C646" s="3"/>
    </row>
    <row r="647">
      <c r="A647" s="1" t="s">
        <v>607</v>
      </c>
      <c r="B647" s="2" t="s">
        <v>451</v>
      </c>
      <c r="C647" s="3"/>
    </row>
    <row r="648">
      <c r="A648" s="1" t="s">
        <v>608</v>
      </c>
      <c r="B648" s="2" t="s">
        <v>451</v>
      </c>
      <c r="C648" s="3"/>
    </row>
    <row r="649">
      <c r="A649" s="2" t="s">
        <v>609</v>
      </c>
      <c r="B649" s="2" t="s">
        <v>451</v>
      </c>
      <c r="C649" s="3"/>
    </row>
    <row r="650">
      <c r="A650" s="1" t="s">
        <v>610</v>
      </c>
      <c r="B650" s="2" t="s">
        <v>451</v>
      </c>
      <c r="C650" s="3"/>
    </row>
    <row r="651">
      <c r="A651" s="1" t="s">
        <v>611</v>
      </c>
      <c r="B651" s="2" t="s">
        <v>451</v>
      </c>
      <c r="C651" s="3"/>
    </row>
    <row r="652">
      <c r="A652" s="1" t="s">
        <v>612</v>
      </c>
      <c r="B652" s="2" t="s">
        <v>451</v>
      </c>
      <c r="C652" s="3"/>
    </row>
    <row r="653">
      <c r="A653" s="1" t="s">
        <v>613</v>
      </c>
      <c r="B653" s="2" t="s">
        <v>451</v>
      </c>
      <c r="C653" s="3"/>
    </row>
    <row r="654">
      <c r="A654" s="1" t="s">
        <v>614</v>
      </c>
      <c r="B654" s="2" t="s">
        <v>451</v>
      </c>
      <c r="C654" s="3"/>
    </row>
    <row r="655">
      <c r="A655" s="1" t="s">
        <v>615</v>
      </c>
      <c r="B655" s="2" t="s">
        <v>451</v>
      </c>
      <c r="C655" s="3"/>
    </row>
    <row r="656">
      <c r="A656" s="1" t="s">
        <v>616</v>
      </c>
      <c r="B656" s="2" t="s">
        <v>451</v>
      </c>
      <c r="C656" s="3"/>
    </row>
    <row r="657">
      <c r="A657" s="1" t="s">
        <v>617</v>
      </c>
      <c r="B657" s="2" t="s">
        <v>451</v>
      </c>
      <c r="C657" s="3"/>
    </row>
    <row r="658">
      <c r="A658" s="2" t="s">
        <v>617</v>
      </c>
      <c r="B658" s="2" t="s">
        <v>451</v>
      </c>
      <c r="C658" s="3"/>
    </row>
    <row r="659">
      <c r="A659" s="1" t="s">
        <v>618</v>
      </c>
      <c r="B659" s="2" t="s">
        <v>451</v>
      </c>
      <c r="C659" s="3"/>
    </row>
    <row r="660">
      <c r="A660" s="1" t="s">
        <v>619</v>
      </c>
      <c r="B660" s="2" t="s">
        <v>451</v>
      </c>
      <c r="C660" s="3"/>
    </row>
    <row r="661">
      <c r="A661" s="1" t="s">
        <v>545</v>
      </c>
      <c r="B661" s="2" t="s">
        <v>451</v>
      </c>
      <c r="C661" s="3"/>
    </row>
    <row r="662">
      <c r="A662" s="1" t="s">
        <v>546</v>
      </c>
      <c r="B662" s="2" t="s">
        <v>451</v>
      </c>
      <c r="C662" s="3"/>
    </row>
    <row r="663">
      <c r="A663" s="1" t="s">
        <v>547</v>
      </c>
      <c r="B663" s="2" t="s">
        <v>451</v>
      </c>
      <c r="C663" s="3"/>
    </row>
    <row r="664">
      <c r="A664" s="1" t="s">
        <v>548</v>
      </c>
      <c r="B664" s="2" t="s">
        <v>451</v>
      </c>
      <c r="C664" s="3"/>
    </row>
    <row r="665">
      <c r="A665" s="1" t="s">
        <v>549</v>
      </c>
      <c r="B665" s="2" t="s">
        <v>451</v>
      </c>
      <c r="C665" s="3"/>
    </row>
    <row r="666">
      <c r="A666" s="1" t="s">
        <v>550</v>
      </c>
      <c r="B666" s="2" t="s">
        <v>451</v>
      </c>
      <c r="C666" s="3"/>
    </row>
    <row r="667">
      <c r="A667" s="1" t="s">
        <v>551</v>
      </c>
      <c r="B667" s="2" t="s">
        <v>451</v>
      </c>
      <c r="C667" s="3"/>
    </row>
    <row r="668">
      <c r="A668" s="2" t="s">
        <v>552</v>
      </c>
      <c r="B668" s="2" t="s">
        <v>451</v>
      </c>
      <c r="C668" s="3"/>
    </row>
    <row r="669">
      <c r="A669" s="1" t="s">
        <v>553</v>
      </c>
      <c r="B669" s="2" t="s">
        <v>451</v>
      </c>
      <c r="C669" s="3"/>
    </row>
    <row r="670">
      <c r="A670" s="2" t="s">
        <v>554</v>
      </c>
      <c r="B670" s="2" t="s">
        <v>451</v>
      </c>
      <c r="C670" s="3"/>
    </row>
    <row r="671">
      <c r="A671" s="2" t="s">
        <v>555</v>
      </c>
      <c r="B671" s="2" t="s">
        <v>451</v>
      </c>
      <c r="C671" s="3"/>
    </row>
    <row r="672">
      <c r="A672" s="1" t="s">
        <v>556</v>
      </c>
      <c r="B672" s="2" t="s">
        <v>451</v>
      </c>
      <c r="C672" s="3"/>
    </row>
    <row r="673">
      <c r="A673" s="2" t="s">
        <v>557</v>
      </c>
      <c r="B673" s="2" t="s">
        <v>451</v>
      </c>
      <c r="C673" s="3"/>
    </row>
    <row r="674">
      <c r="A674" s="1" t="s">
        <v>558</v>
      </c>
      <c r="B674" s="2" t="s">
        <v>451</v>
      </c>
      <c r="C674" s="3"/>
    </row>
    <row r="675">
      <c r="A675" s="1" t="s">
        <v>559</v>
      </c>
      <c r="B675" s="2" t="s">
        <v>451</v>
      </c>
      <c r="C675" s="3"/>
    </row>
    <row r="676">
      <c r="A676" s="1" t="s">
        <v>560</v>
      </c>
      <c r="B676" s="2" t="s">
        <v>451</v>
      </c>
      <c r="C676" s="3"/>
    </row>
    <row r="677">
      <c r="A677" s="1" t="s">
        <v>561</v>
      </c>
      <c r="B677" s="2" t="s">
        <v>451</v>
      </c>
      <c r="C677" s="3"/>
    </row>
    <row r="678">
      <c r="A678" s="1" t="s">
        <v>562</v>
      </c>
      <c r="B678" s="2" t="s">
        <v>451</v>
      </c>
      <c r="C678" s="3"/>
    </row>
    <row r="679">
      <c r="A679" s="1" t="s">
        <v>563</v>
      </c>
      <c r="B679" s="2" t="s">
        <v>451</v>
      </c>
      <c r="C679" s="3"/>
    </row>
    <row r="680">
      <c r="A680" s="1" t="s">
        <v>564</v>
      </c>
      <c r="B680" s="2" t="s">
        <v>451</v>
      </c>
      <c r="C680" s="3"/>
    </row>
    <row r="681">
      <c r="A681" s="1" t="s">
        <v>565</v>
      </c>
      <c r="B681" s="2" t="s">
        <v>451</v>
      </c>
      <c r="C681" s="3"/>
    </row>
    <row r="682">
      <c r="A682" s="1" t="s">
        <v>566</v>
      </c>
      <c r="B682" s="2" t="s">
        <v>451</v>
      </c>
      <c r="C682" s="3"/>
    </row>
    <row r="683">
      <c r="A683" s="1" t="s">
        <v>567</v>
      </c>
      <c r="B683" s="2" t="s">
        <v>451</v>
      </c>
      <c r="C683" s="3"/>
    </row>
    <row r="684">
      <c r="A684" s="1" t="s">
        <v>568</v>
      </c>
      <c r="B684" s="2" t="s">
        <v>451</v>
      </c>
      <c r="C684" s="3"/>
    </row>
    <row r="685">
      <c r="A685" s="2" t="s">
        <v>569</v>
      </c>
      <c r="B685" s="2" t="s">
        <v>451</v>
      </c>
      <c r="C685" s="3"/>
    </row>
    <row r="686">
      <c r="A686" s="1" t="s">
        <v>570</v>
      </c>
      <c r="B686" s="2" t="s">
        <v>451</v>
      </c>
      <c r="C686" s="3"/>
    </row>
    <row r="687">
      <c r="A687" s="1" t="s">
        <v>571</v>
      </c>
      <c r="B687" s="2" t="s">
        <v>451</v>
      </c>
      <c r="C687" s="3"/>
    </row>
    <row r="688">
      <c r="A688" s="1" t="s">
        <v>572</v>
      </c>
      <c r="B688" s="2" t="s">
        <v>451</v>
      </c>
      <c r="C688" s="3"/>
    </row>
    <row r="689">
      <c r="A689" s="1" t="s">
        <v>620</v>
      </c>
      <c r="B689" s="2" t="s">
        <v>451</v>
      </c>
      <c r="C689" s="3"/>
    </row>
    <row r="690">
      <c r="A690" s="2" t="s">
        <v>621</v>
      </c>
      <c r="B690" s="2" t="s">
        <v>451</v>
      </c>
      <c r="C690" s="3"/>
    </row>
    <row r="691">
      <c r="A691" s="1" t="s">
        <v>622</v>
      </c>
      <c r="B691" s="2" t="s">
        <v>451</v>
      </c>
      <c r="C691" s="3"/>
    </row>
    <row r="692">
      <c r="A692" s="2" t="s">
        <v>623</v>
      </c>
      <c r="B692" s="2" t="s">
        <v>451</v>
      </c>
      <c r="C692" s="3"/>
    </row>
    <row r="693">
      <c r="A693" s="1" t="s">
        <v>624</v>
      </c>
      <c r="B693" s="2" t="s">
        <v>451</v>
      </c>
      <c r="C693" s="3"/>
    </row>
    <row r="694">
      <c r="A694" s="2" t="s">
        <v>625</v>
      </c>
      <c r="B694" s="2" t="s">
        <v>451</v>
      </c>
      <c r="C694" s="3"/>
    </row>
    <row r="695">
      <c r="A695" s="2" t="s">
        <v>626</v>
      </c>
      <c r="B695" s="2" t="s">
        <v>451</v>
      </c>
      <c r="C695" s="3"/>
    </row>
    <row r="696">
      <c r="A696" s="2" t="s">
        <v>627</v>
      </c>
      <c r="B696" s="2" t="s">
        <v>451</v>
      </c>
      <c r="C696" s="3"/>
    </row>
    <row r="697">
      <c r="A697" s="2" t="s">
        <v>628</v>
      </c>
      <c r="B697" s="2" t="s">
        <v>451</v>
      </c>
      <c r="C697" s="3"/>
    </row>
    <row r="698">
      <c r="A698" s="1" t="s">
        <v>629</v>
      </c>
      <c r="B698" s="2" t="s">
        <v>451</v>
      </c>
      <c r="C698" s="3"/>
    </row>
    <row r="699">
      <c r="A699" s="1" t="s">
        <v>630</v>
      </c>
      <c r="B699" s="2" t="s">
        <v>451</v>
      </c>
      <c r="C699" s="3"/>
    </row>
    <row r="700">
      <c r="A700" s="1" t="s">
        <v>631</v>
      </c>
      <c r="B700" s="2" t="s">
        <v>451</v>
      </c>
      <c r="C700" s="3"/>
    </row>
    <row r="701">
      <c r="A701" s="1" t="s">
        <v>632</v>
      </c>
      <c r="B701" s="2" t="s">
        <v>451</v>
      </c>
      <c r="C701" s="3"/>
    </row>
    <row r="702">
      <c r="A702" s="2" t="s">
        <v>633</v>
      </c>
      <c r="B702" s="2" t="s">
        <v>451</v>
      </c>
      <c r="C702" s="3"/>
    </row>
    <row r="703">
      <c r="A703" s="1" t="s">
        <v>634</v>
      </c>
      <c r="B703" s="2" t="s">
        <v>451</v>
      </c>
      <c r="C703" s="3"/>
    </row>
    <row r="704">
      <c r="A704" s="1" t="s">
        <v>635</v>
      </c>
      <c r="B704" s="2" t="s">
        <v>451</v>
      </c>
      <c r="C704" s="3"/>
    </row>
    <row r="705">
      <c r="A705" s="1" t="s">
        <v>636</v>
      </c>
      <c r="B705" s="2" t="s">
        <v>451</v>
      </c>
      <c r="C705" s="3"/>
    </row>
    <row r="706">
      <c r="A706" s="1" t="s">
        <v>637</v>
      </c>
      <c r="B706" s="2" t="s">
        <v>451</v>
      </c>
      <c r="C706" s="3"/>
    </row>
    <row r="707">
      <c r="A707" s="2" t="s">
        <v>638</v>
      </c>
      <c r="B707" s="2" t="s">
        <v>451</v>
      </c>
      <c r="C707" s="3"/>
    </row>
    <row r="708">
      <c r="A708" s="1" t="s">
        <v>639</v>
      </c>
      <c r="B708" s="2" t="s">
        <v>451</v>
      </c>
      <c r="C708" s="3"/>
    </row>
    <row r="709">
      <c r="A709" s="1" t="s">
        <v>640</v>
      </c>
      <c r="B709" s="2" t="s">
        <v>451</v>
      </c>
      <c r="C709" s="3"/>
    </row>
    <row r="710">
      <c r="A710" s="2" t="s">
        <v>641</v>
      </c>
      <c r="B710" s="2" t="s">
        <v>451</v>
      </c>
      <c r="C710" s="3"/>
    </row>
    <row r="711">
      <c r="A711" s="1" t="s">
        <v>642</v>
      </c>
      <c r="B711" s="2" t="s">
        <v>451</v>
      </c>
      <c r="C711" s="3"/>
    </row>
    <row r="712">
      <c r="A712" s="1" t="s">
        <v>643</v>
      </c>
      <c r="B712" s="2" t="s">
        <v>451</v>
      </c>
      <c r="C712" s="3"/>
    </row>
    <row r="713">
      <c r="A713" s="1" t="s">
        <v>644</v>
      </c>
      <c r="B713" s="2" t="s">
        <v>451</v>
      </c>
      <c r="C713" s="3"/>
    </row>
    <row r="714">
      <c r="A714" s="1" t="s">
        <v>645</v>
      </c>
      <c r="B714" s="2" t="s">
        <v>451</v>
      </c>
      <c r="C714" s="3"/>
    </row>
    <row r="715">
      <c r="A715" s="1" t="s">
        <v>646</v>
      </c>
      <c r="B715" s="2" t="s">
        <v>451</v>
      </c>
      <c r="C715" s="3"/>
    </row>
    <row r="716">
      <c r="A716" s="1" t="s">
        <v>647</v>
      </c>
      <c r="B716" s="2" t="s">
        <v>451</v>
      </c>
      <c r="C716" s="3"/>
    </row>
    <row r="717">
      <c r="A717" s="1" t="s">
        <v>648</v>
      </c>
      <c r="B717" s="2" t="s">
        <v>451</v>
      </c>
      <c r="C717" s="3"/>
    </row>
    <row r="718">
      <c r="A718" s="1" t="s">
        <v>649</v>
      </c>
      <c r="B718" s="2" t="s">
        <v>451</v>
      </c>
      <c r="C718" s="3"/>
    </row>
    <row r="719">
      <c r="A719" s="1" t="s">
        <v>650</v>
      </c>
      <c r="B719" s="2" t="s">
        <v>451</v>
      </c>
      <c r="C719" s="3"/>
    </row>
    <row r="720">
      <c r="A720" s="2" t="s">
        <v>651</v>
      </c>
      <c r="B720" s="2" t="s">
        <v>451</v>
      </c>
      <c r="C720" s="3"/>
    </row>
    <row r="721">
      <c r="A721" s="1" t="s">
        <v>599</v>
      </c>
      <c r="B721" s="2" t="s">
        <v>451</v>
      </c>
      <c r="C721" s="3"/>
    </row>
    <row r="722">
      <c r="A722" s="1" t="s">
        <v>600</v>
      </c>
      <c r="B722" s="2" t="s">
        <v>451</v>
      </c>
      <c r="C722" s="3"/>
    </row>
    <row r="723">
      <c r="A723" s="1" t="s">
        <v>601</v>
      </c>
      <c r="B723" s="2" t="s">
        <v>451</v>
      </c>
      <c r="C723" s="3"/>
    </row>
    <row r="724">
      <c r="A724" s="1" t="s">
        <v>602</v>
      </c>
      <c r="B724" s="2" t="s">
        <v>451</v>
      </c>
      <c r="C724" s="3"/>
    </row>
    <row r="725">
      <c r="A725" s="1" t="s">
        <v>603</v>
      </c>
      <c r="B725" s="2" t="s">
        <v>451</v>
      </c>
      <c r="C725" s="3"/>
    </row>
    <row r="726">
      <c r="A726" s="1" t="s">
        <v>604</v>
      </c>
      <c r="B726" s="2" t="s">
        <v>451</v>
      </c>
      <c r="C726" s="3"/>
    </row>
    <row r="727">
      <c r="A727" s="1" t="s">
        <v>605</v>
      </c>
      <c r="B727" s="2" t="s">
        <v>451</v>
      </c>
      <c r="C727" s="3"/>
    </row>
    <row r="728">
      <c r="A728" s="2" t="s">
        <v>606</v>
      </c>
      <c r="B728" s="2" t="s">
        <v>451</v>
      </c>
      <c r="C728" s="3"/>
    </row>
    <row r="729">
      <c r="A729" s="1" t="s">
        <v>607</v>
      </c>
      <c r="B729" s="2" t="s">
        <v>451</v>
      </c>
      <c r="C729" s="3"/>
    </row>
    <row r="730">
      <c r="A730" s="1" t="s">
        <v>608</v>
      </c>
      <c r="B730" s="2" t="s">
        <v>451</v>
      </c>
      <c r="C730" s="3"/>
    </row>
    <row r="731">
      <c r="A731" s="2" t="s">
        <v>609</v>
      </c>
      <c r="B731" s="2" t="s">
        <v>451</v>
      </c>
      <c r="C731" s="3"/>
    </row>
    <row r="732">
      <c r="A732" s="1" t="s">
        <v>610</v>
      </c>
      <c r="B732" s="2" t="s">
        <v>451</v>
      </c>
      <c r="C732" s="3"/>
    </row>
    <row r="733">
      <c r="A733" s="1" t="s">
        <v>611</v>
      </c>
      <c r="B733" s="2" t="s">
        <v>451</v>
      </c>
      <c r="C733" s="3"/>
    </row>
    <row r="734">
      <c r="A734" s="1" t="s">
        <v>612</v>
      </c>
      <c r="B734" s="2" t="s">
        <v>451</v>
      </c>
      <c r="C734" s="3"/>
    </row>
    <row r="735">
      <c r="A735" s="1" t="s">
        <v>613</v>
      </c>
      <c r="B735" s="2" t="s">
        <v>451</v>
      </c>
      <c r="C735" s="3"/>
    </row>
    <row r="736">
      <c r="A736" s="1" t="s">
        <v>652</v>
      </c>
      <c r="B736" s="2" t="s">
        <v>451</v>
      </c>
      <c r="C736" s="3"/>
    </row>
    <row r="737">
      <c r="A737" s="2" t="s">
        <v>653</v>
      </c>
      <c r="B737" s="2" t="s">
        <v>451</v>
      </c>
      <c r="C737" s="3"/>
    </row>
    <row r="738">
      <c r="A738" s="1" t="s">
        <v>654</v>
      </c>
      <c r="B738" s="2" t="s">
        <v>451</v>
      </c>
      <c r="C738" s="3"/>
    </row>
    <row r="739">
      <c r="A739" s="2" t="s">
        <v>655</v>
      </c>
      <c r="B739" s="2" t="s">
        <v>451</v>
      </c>
      <c r="C739" s="3"/>
    </row>
    <row r="740">
      <c r="A740" s="1" t="s">
        <v>656</v>
      </c>
      <c r="B740" s="2" t="s">
        <v>451</v>
      </c>
      <c r="C740" s="3"/>
    </row>
    <row r="741">
      <c r="A741" s="1" t="s">
        <v>657</v>
      </c>
      <c r="B741" s="2" t="s">
        <v>451</v>
      </c>
      <c r="C741" s="3"/>
    </row>
    <row r="742">
      <c r="A742" s="1" t="s">
        <v>658</v>
      </c>
      <c r="B742" s="2" t="s">
        <v>451</v>
      </c>
      <c r="C742" s="3"/>
    </row>
    <row r="743">
      <c r="A743" s="1" t="s">
        <v>659</v>
      </c>
      <c r="B743" s="2" t="s">
        <v>451</v>
      </c>
      <c r="C743" s="3"/>
    </row>
    <row r="744">
      <c r="A744" s="1" t="s">
        <v>660</v>
      </c>
      <c r="B744" s="2" t="s">
        <v>451</v>
      </c>
      <c r="C744" s="3"/>
    </row>
    <row r="745">
      <c r="A745" s="1" t="s">
        <v>661</v>
      </c>
      <c r="B745" s="2" t="s">
        <v>451</v>
      </c>
      <c r="C745" s="3"/>
    </row>
    <row r="746">
      <c r="A746" s="1" t="s">
        <v>662</v>
      </c>
      <c r="B746" s="2" t="s">
        <v>451</v>
      </c>
      <c r="C746" s="3"/>
    </row>
    <row r="747">
      <c r="A747" s="2" t="s">
        <v>663</v>
      </c>
      <c r="B747" s="2" t="s">
        <v>451</v>
      </c>
      <c r="C747" s="3"/>
    </row>
    <row r="748">
      <c r="A748" s="1" t="s">
        <v>664</v>
      </c>
      <c r="B748" s="2" t="s">
        <v>451</v>
      </c>
      <c r="C748" s="3"/>
    </row>
    <row r="749">
      <c r="A749" s="1" t="s">
        <v>665</v>
      </c>
      <c r="B749" s="2" t="s">
        <v>451</v>
      </c>
      <c r="C749" s="3"/>
    </row>
    <row r="750">
      <c r="A750" s="1" t="s">
        <v>666</v>
      </c>
      <c r="B750" s="2" t="s">
        <v>451</v>
      </c>
      <c r="C750" s="3"/>
    </row>
    <row r="751">
      <c r="A751" s="1" t="s">
        <v>667</v>
      </c>
      <c r="B751" s="2" t="s">
        <v>451</v>
      </c>
      <c r="C751" s="3"/>
    </row>
    <row r="752">
      <c r="A752" s="1" t="s">
        <v>668</v>
      </c>
      <c r="B752" s="2" t="s">
        <v>451</v>
      </c>
      <c r="C752" s="3"/>
    </row>
    <row r="753">
      <c r="A753" s="1" t="s">
        <v>669</v>
      </c>
      <c r="B753" s="2" t="s">
        <v>451</v>
      </c>
      <c r="C753" s="3"/>
    </row>
    <row r="754">
      <c r="A754" s="1" t="s">
        <v>670</v>
      </c>
      <c r="B754" s="2" t="s">
        <v>451</v>
      </c>
      <c r="C754" s="3"/>
    </row>
    <row r="755">
      <c r="A755" s="1" t="s">
        <v>671</v>
      </c>
      <c r="B755" s="2" t="s">
        <v>451</v>
      </c>
      <c r="C755" s="3"/>
    </row>
    <row r="756">
      <c r="A756" s="1" t="s">
        <v>672</v>
      </c>
      <c r="B756" s="2" t="s">
        <v>451</v>
      </c>
      <c r="C756" s="3"/>
    </row>
    <row r="757">
      <c r="A757" s="1" t="s">
        <v>673</v>
      </c>
      <c r="B757" s="2" t="s">
        <v>451</v>
      </c>
      <c r="C757" s="3"/>
    </row>
    <row r="758">
      <c r="A758" s="1" t="s">
        <v>674</v>
      </c>
      <c r="B758" s="2" t="s">
        <v>451</v>
      </c>
      <c r="C758" s="3"/>
    </row>
    <row r="759">
      <c r="A759" s="1" t="s">
        <v>675</v>
      </c>
      <c r="B759" s="2" t="s">
        <v>451</v>
      </c>
      <c r="C759" s="3"/>
    </row>
    <row r="760">
      <c r="A760" s="1" t="s">
        <v>464</v>
      </c>
      <c r="B760" s="2" t="s">
        <v>451</v>
      </c>
      <c r="C760" s="3"/>
    </row>
    <row r="761">
      <c r="A761" s="1" t="s">
        <v>676</v>
      </c>
      <c r="B761" s="2" t="s">
        <v>451</v>
      </c>
      <c r="C761" s="3"/>
    </row>
    <row r="762">
      <c r="A762" s="1" t="s">
        <v>677</v>
      </c>
      <c r="B762" s="2" t="s">
        <v>451</v>
      </c>
      <c r="C762" s="3"/>
    </row>
    <row r="763">
      <c r="A763" s="2" t="s">
        <v>678</v>
      </c>
      <c r="B763" s="2" t="s">
        <v>451</v>
      </c>
      <c r="C763" s="3"/>
    </row>
    <row r="764">
      <c r="A764" s="1" t="s">
        <v>679</v>
      </c>
      <c r="B764" s="2" t="s">
        <v>451</v>
      </c>
      <c r="C764" s="3"/>
    </row>
    <row r="765">
      <c r="A765" s="1" t="s">
        <v>680</v>
      </c>
      <c r="B765" s="2" t="s">
        <v>451</v>
      </c>
      <c r="C765" s="3"/>
    </row>
    <row r="766">
      <c r="A766" s="1" t="s">
        <v>681</v>
      </c>
      <c r="B766" s="2" t="s">
        <v>451</v>
      </c>
      <c r="C766" s="3"/>
    </row>
    <row r="767">
      <c r="A767" s="2" t="s">
        <v>682</v>
      </c>
      <c r="B767" s="2" t="s">
        <v>451</v>
      </c>
      <c r="C767" s="3"/>
    </row>
    <row r="768">
      <c r="A768" s="2" t="s">
        <v>683</v>
      </c>
      <c r="B768" s="2" t="s">
        <v>451</v>
      </c>
      <c r="C768" s="3"/>
    </row>
    <row r="769">
      <c r="A769" s="1" t="s">
        <v>684</v>
      </c>
      <c r="B769" s="2" t="s">
        <v>451</v>
      </c>
      <c r="C769" s="3"/>
    </row>
    <row r="770">
      <c r="A770" s="1" t="s">
        <v>685</v>
      </c>
      <c r="B770" s="2" t="s">
        <v>451</v>
      </c>
      <c r="C770" s="3"/>
    </row>
    <row r="771">
      <c r="A771" s="1" t="s">
        <v>686</v>
      </c>
      <c r="B771" s="2" t="s">
        <v>451</v>
      </c>
      <c r="C771" s="3"/>
    </row>
    <row r="772">
      <c r="A772" s="1" t="s">
        <v>687</v>
      </c>
      <c r="B772" s="2" t="s">
        <v>451</v>
      </c>
      <c r="C772" s="3"/>
    </row>
    <row r="773">
      <c r="A773" s="1" t="s">
        <v>688</v>
      </c>
      <c r="B773" s="2" t="s">
        <v>451</v>
      </c>
      <c r="C773" s="3"/>
    </row>
    <row r="774">
      <c r="A774" s="1" t="s">
        <v>689</v>
      </c>
      <c r="B774" s="2" t="s">
        <v>451</v>
      </c>
      <c r="C774" s="3"/>
    </row>
    <row r="775">
      <c r="A775" s="1" t="s">
        <v>690</v>
      </c>
      <c r="B775" s="2" t="s">
        <v>451</v>
      </c>
      <c r="C775" s="3"/>
    </row>
    <row r="776">
      <c r="A776" s="1" t="s">
        <v>691</v>
      </c>
      <c r="B776" s="2" t="s">
        <v>451</v>
      </c>
      <c r="C776" s="3"/>
    </row>
    <row r="777">
      <c r="A777" s="1" t="s">
        <v>692</v>
      </c>
      <c r="B777" s="2" t="s">
        <v>451</v>
      </c>
      <c r="C777" s="3"/>
    </row>
    <row r="778">
      <c r="A778" s="1" t="s">
        <v>693</v>
      </c>
      <c r="B778" s="2" t="s">
        <v>451</v>
      </c>
      <c r="C778" s="3"/>
    </row>
    <row r="779">
      <c r="A779" s="1" t="s">
        <v>694</v>
      </c>
      <c r="B779" s="2" t="s">
        <v>451</v>
      </c>
      <c r="C779" s="3"/>
    </row>
    <row r="780">
      <c r="A780" s="1" t="s">
        <v>695</v>
      </c>
      <c r="B780" s="2" t="s">
        <v>451</v>
      </c>
      <c r="C780" s="3"/>
    </row>
    <row r="781">
      <c r="A781" s="1" t="s">
        <v>696</v>
      </c>
      <c r="B781" s="2" t="s">
        <v>451</v>
      </c>
      <c r="C781" s="3"/>
    </row>
    <row r="782">
      <c r="A782" s="2" t="s">
        <v>697</v>
      </c>
      <c r="B782" s="2" t="s">
        <v>451</v>
      </c>
      <c r="C782" s="3"/>
    </row>
    <row r="783">
      <c r="A783" s="2" t="s">
        <v>493</v>
      </c>
      <c r="B783" s="2" t="s">
        <v>451</v>
      </c>
      <c r="C783" s="3"/>
    </row>
    <row r="784">
      <c r="A784" s="2" t="s">
        <v>698</v>
      </c>
      <c r="B784" s="2" t="s">
        <v>451</v>
      </c>
      <c r="C784" s="3"/>
    </row>
    <row r="785">
      <c r="A785" s="1" t="s">
        <v>640</v>
      </c>
      <c r="B785" s="2" t="s">
        <v>451</v>
      </c>
      <c r="C785" s="3"/>
    </row>
    <row r="786">
      <c r="A786" s="2" t="s">
        <v>641</v>
      </c>
      <c r="B786" s="2" t="s">
        <v>451</v>
      </c>
      <c r="C786" s="3"/>
    </row>
    <row r="787">
      <c r="A787" s="1" t="s">
        <v>642</v>
      </c>
      <c r="B787" s="2" t="s">
        <v>451</v>
      </c>
      <c r="C787" s="3"/>
    </row>
    <row r="788">
      <c r="A788" s="1" t="s">
        <v>643</v>
      </c>
      <c r="B788" s="2" t="s">
        <v>451</v>
      </c>
      <c r="C788" s="3"/>
    </row>
    <row r="789">
      <c r="A789" s="1" t="s">
        <v>644</v>
      </c>
      <c r="B789" s="2" t="s">
        <v>451</v>
      </c>
      <c r="C789" s="3"/>
    </row>
    <row r="790">
      <c r="A790" s="1" t="s">
        <v>645</v>
      </c>
      <c r="B790" s="2" t="s">
        <v>451</v>
      </c>
      <c r="C790" s="3"/>
    </row>
    <row r="791">
      <c r="A791" s="1" t="s">
        <v>646</v>
      </c>
      <c r="B791" s="2" t="s">
        <v>451</v>
      </c>
      <c r="C791" s="3"/>
    </row>
    <row r="792">
      <c r="A792" s="1" t="s">
        <v>647</v>
      </c>
      <c r="B792" s="2" t="s">
        <v>451</v>
      </c>
      <c r="C792" s="3"/>
    </row>
    <row r="793">
      <c r="A793" s="1" t="s">
        <v>648</v>
      </c>
      <c r="B793" s="2" t="s">
        <v>451</v>
      </c>
      <c r="C793" s="3"/>
    </row>
    <row r="794">
      <c r="A794" s="1" t="s">
        <v>649</v>
      </c>
      <c r="B794" s="2" t="s">
        <v>451</v>
      </c>
      <c r="C794" s="3"/>
    </row>
    <row r="795">
      <c r="A795" s="1" t="s">
        <v>650</v>
      </c>
      <c r="B795" s="2" t="s">
        <v>451</v>
      </c>
      <c r="C795" s="3"/>
    </row>
    <row r="796">
      <c r="A796" s="2" t="s">
        <v>651</v>
      </c>
      <c r="B796" s="2" t="s">
        <v>451</v>
      </c>
      <c r="C796" s="3"/>
    </row>
    <row r="797">
      <c r="A797" s="1" t="s">
        <v>599</v>
      </c>
      <c r="B797" s="2" t="s">
        <v>451</v>
      </c>
      <c r="C797" s="3"/>
    </row>
    <row r="798">
      <c r="A798" s="1" t="s">
        <v>600</v>
      </c>
      <c r="B798" s="2" t="s">
        <v>451</v>
      </c>
      <c r="C798" s="3"/>
    </row>
    <row r="799">
      <c r="A799" s="1" t="s">
        <v>601</v>
      </c>
      <c r="B799" s="2" t="s">
        <v>451</v>
      </c>
      <c r="C799" s="3"/>
    </row>
    <row r="800">
      <c r="A800" s="1" t="s">
        <v>602</v>
      </c>
      <c r="B800" s="2" t="s">
        <v>451</v>
      </c>
      <c r="C800" s="3"/>
    </row>
    <row r="801">
      <c r="A801" s="1" t="s">
        <v>603</v>
      </c>
      <c r="B801" s="2" t="s">
        <v>451</v>
      </c>
      <c r="C801" s="3"/>
    </row>
    <row r="802">
      <c r="A802" s="1" t="s">
        <v>604</v>
      </c>
      <c r="B802" s="2" t="s">
        <v>451</v>
      </c>
      <c r="C802" s="3"/>
    </row>
    <row r="803">
      <c r="A803" s="1" t="s">
        <v>605</v>
      </c>
      <c r="B803" s="2" t="s">
        <v>451</v>
      </c>
      <c r="C803" s="3"/>
    </row>
    <row r="804">
      <c r="A804" s="2" t="s">
        <v>606</v>
      </c>
      <c r="B804" s="2" t="s">
        <v>451</v>
      </c>
      <c r="C804" s="3"/>
    </row>
    <row r="805">
      <c r="A805" s="1" t="s">
        <v>607</v>
      </c>
      <c r="B805" s="2" t="s">
        <v>451</v>
      </c>
      <c r="C805" s="3"/>
    </row>
    <row r="806">
      <c r="A806" s="1" t="s">
        <v>608</v>
      </c>
      <c r="B806" s="2" t="s">
        <v>451</v>
      </c>
      <c r="C806" s="3"/>
    </row>
    <row r="807">
      <c r="A807" s="2" t="s">
        <v>609</v>
      </c>
      <c r="B807" s="2" t="s">
        <v>451</v>
      </c>
      <c r="C807" s="3"/>
    </row>
    <row r="808">
      <c r="A808" s="1" t="s">
        <v>610</v>
      </c>
      <c r="B808" s="2" t="s">
        <v>451</v>
      </c>
      <c r="C808" s="3"/>
    </row>
    <row r="809">
      <c r="A809" s="1" t="s">
        <v>611</v>
      </c>
      <c r="B809" s="2" t="s">
        <v>451</v>
      </c>
      <c r="C809" s="3"/>
    </row>
    <row r="810">
      <c r="A810" s="1" t="s">
        <v>612</v>
      </c>
      <c r="B810" s="2" t="s">
        <v>451</v>
      </c>
      <c r="C810" s="3"/>
    </row>
    <row r="811">
      <c r="A811" s="1" t="s">
        <v>613</v>
      </c>
      <c r="B811" s="2" t="s">
        <v>451</v>
      </c>
      <c r="C811" s="3"/>
    </row>
    <row r="812">
      <c r="A812" s="1" t="s">
        <v>614</v>
      </c>
      <c r="B812" s="2" t="s">
        <v>451</v>
      </c>
      <c r="C812" s="3"/>
    </row>
    <row r="813">
      <c r="A813" s="1" t="s">
        <v>615</v>
      </c>
      <c r="B813" s="2" t="s">
        <v>451</v>
      </c>
      <c r="C813" s="3"/>
    </row>
    <row r="814">
      <c r="A814" s="1" t="s">
        <v>616</v>
      </c>
      <c r="B814" s="2" t="s">
        <v>451</v>
      </c>
      <c r="C814" s="3"/>
    </row>
    <row r="815">
      <c r="A815" s="1" t="s">
        <v>617</v>
      </c>
      <c r="B815" s="2" t="s">
        <v>451</v>
      </c>
      <c r="C815" s="3"/>
    </row>
    <row r="816">
      <c r="A816" s="2" t="s">
        <v>617</v>
      </c>
      <c r="B816" s="2" t="s">
        <v>451</v>
      </c>
      <c r="C816" s="3"/>
    </row>
    <row r="817">
      <c r="A817" s="1" t="s">
        <v>618</v>
      </c>
      <c r="B817" s="2" t="s">
        <v>451</v>
      </c>
      <c r="C817" s="3"/>
    </row>
    <row r="818">
      <c r="A818" s="1" t="s">
        <v>619</v>
      </c>
      <c r="B818" s="2" t="s">
        <v>451</v>
      </c>
      <c r="C818" s="3"/>
    </row>
    <row r="819">
      <c r="A819" s="1" t="s">
        <v>699</v>
      </c>
      <c r="B819" s="2" t="s">
        <v>700</v>
      </c>
      <c r="C819" s="3"/>
    </row>
    <row r="820">
      <c r="A820" s="1" t="s">
        <v>701</v>
      </c>
      <c r="B820" s="2" t="s">
        <v>700</v>
      </c>
      <c r="C820" s="3"/>
    </row>
    <row r="821">
      <c r="A821" s="1" t="s">
        <v>702</v>
      </c>
      <c r="B821" s="2" t="s">
        <v>700</v>
      </c>
      <c r="C821" s="3"/>
    </row>
    <row r="822">
      <c r="A822" s="1" t="s">
        <v>703</v>
      </c>
      <c r="B822" s="2" t="s">
        <v>700</v>
      </c>
      <c r="C822" s="3"/>
    </row>
    <row r="823">
      <c r="A823" s="1" t="s">
        <v>704</v>
      </c>
      <c r="B823" s="2" t="s">
        <v>700</v>
      </c>
      <c r="C823" s="3"/>
    </row>
    <row r="824">
      <c r="A824" s="1" t="s">
        <v>705</v>
      </c>
      <c r="B824" s="2" t="s">
        <v>700</v>
      </c>
      <c r="C824" s="3"/>
    </row>
    <row r="825">
      <c r="A825" s="1" t="s">
        <v>706</v>
      </c>
      <c r="B825" s="2" t="s">
        <v>700</v>
      </c>
      <c r="C825" s="3"/>
    </row>
    <row r="826">
      <c r="A826" s="1" t="s">
        <v>707</v>
      </c>
      <c r="B826" s="2" t="s">
        <v>700</v>
      </c>
      <c r="C826" s="3"/>
    </row>
    <row r="827">
      <c r="A827" s="1" t="s">
        <v>708</v>
      </c>
      <c r="B827" s="2" t="s">
        <v>700</v>
      </c>
      <c r="C827" s="3"/>
    </row>
    <row r="828">
      <c r="A828" s="1" t="s">
        <v>709</v>
      </c>
      <c r="B828" s="2" t="s">
        <v>700</v>
      </c>
      <c r="C828" s="3"/>
    </row>
    <row r="829">
      <c r="A829" s="1" t="s">
        <v>710</v>
      </c>
      <c r="B829" s="2" t="s">
        <v>700</v>
      </c>
      <c r="C829" s="3"/>
    </row>
    <row r="830">
      <c r="A830" s="1" t="s">
        <v>711</v>
      </c>
      <c r="B830" s="2" t="s">
        <v>700</v>
      </c>
      <c r="C830" s="3"/>
    </row>
    <row r="831">
      <c r="A831" s="1" t="s">
        <v>712</v>
      </c>
      <c r="B831" s="2" t="s">
        <v>700</v>
      </c>
      <c r="C831" s="3"/>
    </row>
    <row r="832">
      <c r="A832" s="1" t="s">
        <v>713</v>
      </c>
      <c r="B832" s="2" t="s">
        <v>700</v>
      </c>
      <c r="C832" s="3"/>
    </row>
    <row r="833">
      <c r="A833" s="1" t="s">
        <v>714</v>
      </c>
      <c r="B833" s="2" t="s">
        <v>700</v>
      </c>
      <c r="C833" s="3"/>
    </row>
    <row r="834">
      <c r="A834" s="1" t="s">
        <v>715</v>
      </c>
      <c r="B834" s="2" t="s">
        <v>700</v>
      </c>
      <c r="C834" s="3"/>
    </row>
    <row r="835">
      <c r="A835" s="1" t="s">
        <v>716</v>
      </c>
      <c r="B835" s="2" t="s">
        <v>700</v>
      </c>
      <c r="C835" s="3"/>
    </row>
    <row r="836">
      <c r="A836" s="1" t="s">
        <v>717</v>
      </c>
      <c r="B836" s="2" t="s">
        <v>700</v>
      </c>
      <c r="C836" s="3"/>
    </row>
    <row r="837">
      <c r="A837" s="1" t="s">
        <v>718</v>
      </c>
      <c r="B837" s="2" t="s">
        <v>700</v>
      </c>
      <c r="C837" s="3"/>
    </row>
    <row r="838">
      <c r="A838" s="1" t="s">
        <v>719</v>
      </c>
      <c r="B838" s="2" t="s">
        <v>700</v>
      </c>
      <c r="C838" s="3"/>
    </row>
    <row r="839">
      <c r="A839" s="1" t="s">
        <v>720</v>
      </c>
      <c r="B839" s="2" t="s">
        <v>700</v>
      </c>
      <c r="C839" s="3"/>
    </row>
    <row r="840">
      <c r="A840" s="1" t="s">
        <v>721</v>
      </c>
      <c r="B840" s="2" t="s">
        <v>700</v>
      </c>
      <c r="C840" s="3"/>
    </row>
    <row r="841">
      <c r="A841" s="1" t="s">
        <v>722</v>
      </c>
      <c r="B841" s="2" t="s">
        <v>700</v>
      </c>
      <c r="C841" s="3"/>
    </row>
    <row r="842">
      <c r="A842" s="1" t="s">
        <v>723</v>
      </c>
      <c r="B842" s="2" t="s">
        <v>700</v>
      </c>
      <c r="C842" s="3"/>
    </row>
    <row r="843">
      <c r="A843" s="1" t="s">
        <v>724</v>
      </c>
      <c r="B843" s="2" t="s">
        <v>700</v>
      </c>
      <c r="C843" s="3"/>
    </row>
    <row r="844">
      <c r="A844" s="1" t="s">
        <v>725</v>
      </c>
      <c r="B844" s="2" t="s">
        <v>700</v>
      </c>
      <c r="C844" s="3"/>
    </row>
    <row r="845">
      <c r="A845" s="1" t="s">
        <v>726</v>
      </c>
      <c r="B845" s="2" t="s">
        <v>700</v>
      </c>
      <c r="C845" s="3"/>
    </row>
    <row r="846">
      <c r="A846" s="1" t="s">
        <v>727</v>
      </c>
      <c r="B846" s="2" t="s">
        <v>700</v>
      </c>
      <c r="C846" s="3"/>
    </row>
    <row r="847">
      <c r="A847" s="1" t="s">
        <v>728</v>
      </c>
      <c r="B847" s="2" t="s">
        <v>700</v>
      </c>
      <c r="C847" s="3"/>
    </row>
    <row r="848">
      <c r="A848" s="1" t="s">
        <v>729</v>
      </c>
      <c r="B848" s="2" t="s">
        <v>700</v>
      </c>
      <c r="C848" s="3"/>
    </row>
    <row r="849">
      <c r="A849" s="1" t="s">
        <v>730</v>
      </c>
      <c r="B849" s="2" t="s">
        <v>700</v>
      </c>
      <c r="C849" s="3"/>
    </row>
    <row r="850">
      <c r="A850" s="1" t="s">
        <v>731</v>
      </c>
      <c r="B850" s="2" t="s">
        <v>700</v>
      </c>
      <c r="C850" s="3"/>
    </row>
    <row r="851">
      <c r="A851" s="1" t="s">
        <v>732</v>
      </c>
      <c r="B851" s="2" t="s">
        <v>700</v>
      </c>
      <c r="C851" s="3"/>
    </row>
    <row r="852">
      <c r="A852" s="1" t="s">
        <v>733</v>
      </c>
      <c r="B852" s="2" t="s">
        <v>700</v>
      </c>
      <c r="C852" s="3"/>
    </row>
    <row r="853">
      <c r="A853" s="1" t="s">
        <v>734</v>
      </c>
      <c r="B853" s="2" t="s">
        <v>700</v>
      </c>
      <c r="C853" s="3"/>
    </row>
    <row r="854">
      <c r="A854" s="1" t="s">
        <v>735</v>
      </c>
      <c r="B854" s="2" t="s">
        <v>700</v>
      </c>
      <c r="C854" s="3"/>
    </row>
    <row r="855">
      <c r="A855" s="1" t="s">
        <v>736</v>
      </c>
      <c r="B855" s="2" t="s">
        <v>700</v>
      </c>
      <c r="C855" s="3"/>
    </row>
    <row r="856">
      <c r="A856" s="1" t="s">
        <v>737</v>
      </c>
      <c r="B856" s="2" t="s">
        <v>700</v>
      </c>
      <c r="C856" s="3"/>
    </row>
    <row r="857">
      <c r="A857" s="1" t="s">
        <v>738</v>
      </c>
      <c r="B857" s="2" t="s">
        <v>700</v>
      </c>
      <c r="C857" s="3"/>
    </row>
    <row r="858">
      <c r="A858" s="1" t="s">
        <v>739</v>
      </c>
      <c r="B858" s="2" t="s">
        <v>700</v>
      </c>
      <c r="C858" s="3"/>
    </row>
    <row r="859">
      <c r="A859" s="1" t="s">
        <v>740</v>
      </c>
      <c r="B859" s="2" t="s">
        <v>700</v>
      </c>
      <c r="C859" s="3"/>
    </row>
    <row r="860">
      <c r="A860" s="1" t="s">
        <v>741</v>
      </c>
      <c r="B860" s="2" t="s">
        <v>700</v>
      </c>
      <c r="C860" s="3"/>
    </row>
    <row r="861">
      <c r="A861" s="1" t="s">
        <v>742</v>
      </c>
      <c r="B861" s="2" t="s">
        <v>700</v>
      </c>
      <c r="C861" s="3"/>
    </row>
    <row r="862">
      <c r="A862" s="1" t="s">
        <v>743</v>
      </c>
      <c r="B862" s="2" t="s">
        <v>700</v>
      </c>
      <c r="C862" s="3"/>
    </row>
    <row r="863">
      <c r="A863" s="1" t="s">
        <v>744</v>
      </c>
      <c r="B863" s="2" t="s">
        <v>700</v>
      </c>
      <c r="C863" s="3"/>
    </row>
    <row r="864">
      <c r="A864" s="1" t="s">
        <v>745</v>
      </c>
      <c r="B864" s="2" t="s">
        <v>700</v>
      </c>
      <c r="C864" s="3"/>
    </row>
    <row r="865">
      <c r="A865" s="1" t="s">
        <v>746</v>
      </c>
      <c r="B865" s="2" t="s">
        <v>700</v>
      </c>
      <c r="C865" s="3"/>
    </row>
    <row r="866">
      <c r="A866" s="1" t="s">
        <v>747</v>
      </c>
      <c r="B866" s="2" t="s">
        <v>700</v>
      </c>
      <c r="C866" s="3"/>
    </row>
    <row r="867">
      <c r="A867" s="1" t="s">
        <v>748</v>
      </c>
      <c r="B867" s="2" t="s">
        <v>700</v>
      </c>
      <c r="C867" s="3"/>
    </row>
    <row r="868">
      <c r="A868" s="1" t="s">
        <v>749</v>
      </c>
      <c r="B868" s="2" t="s">
        <v>700</v>
      </c>
      <c r="C868" s="3"/>
    </row>
    <row r="869">
      <c r="A869" s="1" t="s">
        <v>750</v>
      </c>
      <c r="B869" s="2" t="s">
        <v>700</v>
      </c>
      <c r="C869" s="3"/>
    </row>
    <row r="870">
      <c r="A870" s="1" t="s">
        <v>751</v>
      </c>
      <c r="B870" s="2" t="s">
        <v>700</v>
      </c>
      <c r="C870" s="3"/>
    </row>
    <row r="871">
      <c r="A871" s="1" t="s">
        <v>752</v>
      </c>
      <c r="B871" s="2" t="s">
        <v>700</v>
      </c>
      <c r="C871" s="3"/>
    </row>
    <row r="872">
      <c r="A872" s="1" t="s">
        <v>753</v>
      </c>
      <c r="B872" s="2" t="s">
        <v>700</v>
      </c>
      <c r="C872" s="3"/>
    </row>
    <row r="873">
      <c r="A873" s="1" t="s">
        <v>754</v>
      </c>
      <c r="B873" s="2" t="s">
        <v>700</v>
      </c>
      <c r="C873" s="3"/>
    </row>
    <row r="874">
      <c r="A874" s="1" t="s">
        <v>755</v>
      </c>
      <c r="B874" s="2" t="s">
        <v>700</v>
      </c>
      <c r="C874" s="3"/>
    </row>
    <row r="875">
      <c r="A875" s="1" t="s">
        <v>756</v>
      </c>
      <c r="B875" s="2" t="s">
        <v>700</v>
      </c>
      <c r="C875" s="3"/>
    </row>
    <row r="876">
      <c r="A876" s="1" t="s">
        <v>757</v>
      </c>
      <c r="B876" s="2" t="s">
        <v>700</v>
      </c>
      <c r="C876" s="3"/>
    </row>
    <row r="877">
      <c r="A877" s="1" t="s">
        <v>758</v>
      </c>
      <c r="B877" s="2" t="s">
        <v>700</v>
      </c>
      <c r="C877" s="3"/>
    </row>
    <row r="878">
      <c r="A878" s="1" t="s">
        <v>759</v>
      </c>
      <c r="B878" s="2" t="s">
        <v>700</v>
      </c>
      <c r="C878" s="3"/>
    </row>
    <row r="879">
      <c r="A879" s="1" t="s">
        <v>760</v>
      </c>
      <c r="B879" s="2" t="s">
        <v>700</v>
      </c>
      <c r="C879" s="3"/>
    </row>
    <row r="880">
      <c r="A880" s="1" t="s">
        <v>761</v>
      </c>
      <c r="B880" s="2" t="s">
        <v>700</v>
      </c>
      <c r="C880" s="3"/>
    </row>
    <row r="881">
      <c r="A881" s="1" t="s">
        <v>762</v>
      </c>
      <c r="B881" s="2" t="s">
        <v>700</v>
      </c>
      <c r="C881" s="3"/>
    </row>
    <row r="882">
      <c r="A882" s="1" t="s">
        <v>763</v>
      </c>
      <c r="B882" s="2" t="s">
        <v>700</v>
      </c>
      <c r="C882" s="3"/>
    </row>
    <row r="883">
      <c r="A883" s="1" t="s">
        <v>764</v>
      </c>
      <c r="B883" s="2" t="s">
        <v>700</v>
      </c>
      <c r="C883" s="3"/>
    </row>
    <row r="884">
      <c r="A884" s="1" t="s">
        <v>765</v>
      </c>
      <c r="B884" s="2" t="s">
        <v>700</v>
      </c>
      <c r="C884" s="3"/>
    </row>
    <row r="885">
      <c r="A885" s="1" t="s">
        <v>766</v>
      </c>
      <c r="B885" s="2" t="s">
        <v>700</v>
      </c>
      <c r="C885" s="3"/>
    </row>
    <row r="886">
      <c r="A886" s="1" t="s">
        <v>767</v>
      </c>
      <c r="B886" s="2" t="s">
        <v>700</v>
      </c>
      <c r="C886" s="3"/>
    </row>
    <row r="887">
      <c r="A887" s="1" t="s">
        <v>768</v>
      </c>
      <c r="B887" s="2" t="s">
        <v>700</v>
      </c>
      <c r="C887" s="3"/>
    </row>
    <row r="888">
      <c r="A888" s="1" t="s">
        <v>769</v>
      </c>
      <c r="B888" s="2" t="s">
        <v>700</v>
      </c>
      <c r="C888" s="3"/>
    </row>
    <row r="889">
      <c r="A889" s="1" t="s">
        <v>770</v>
      </c>
      <c r="B889" s="2" t="s">
        <v>700</v>
      </c>
      <c r="C889" s="3"/>
    </row>
    <row r="890">
      <c r="A890" s="1" t="s">
        <v>771</v>
      </c>
      <c r="B890" s="2" t="s">
        <v>700</v>
      </c>
      <c r="C890" s="3"/>
    </row>
    <row r="891">
      <c r="A891" s="1" t="s">
        <v>772</v>
      </c>
      <c r="B891" s="2" t="s">
        <v>700</v>
      </c>
      <c r="C891" s="3"/>
    </row>
    <row r="892">
      <c r="A892" s="1" t="s">
        <v>773</v>
      </c>
      <c r="B892" s="2" t="s">
        <v>700</v>
      </c>
      <c r="C892" s="3"/>
    </row>
    <row r="893">
      <c r="A893" s="1" t="s">
        <v>774</v>
      </c>
      <c r="B893" s="2" t="s">
        <v>700</v>
      </c>
      <c r="C893" s="3"/>
    </row>
    <row r="894">
      <c r="A894" s="1" t="s">
        <v>775</v>
      </c>
      <c r="B894" s="2" t="s">
        <v>700</v>
      </c>
      <c r="C894" s="3"/>
    </row>
    <row r="895">
      <c r="A895" s="1" t="s">
        <v>776</v>
      </c>
      <c r="B895" s="2" t="s">
        <v>700</v>
      </c>
      <c r="C895" s="3"/>
    </row>
    <row r="896">
      <c r="A896" s="1" t="s">
        <v>777</v>
      </c>
      <c r="B896" s="2" t="s">
        <v>700</v>
      </c>
      <c r="C896" s="3"/>
    </row>
    <row r="897">
      <c r="A897" s="1" t="s">
        <v>778</v>
      </c>
      <c r="B897" s="2" t="s">
        <v>700</v>
      </c>
      <c r="C897" s="3"/>
    </row>
    <row r="898">
      <c r="A898" s="1" t="s">
        <v>779</v>
      </c>
      <c r="B898" s="2" t="s">
        <v>700</v>
      </c>
      <c r="C898" s="3"/>
    </row>
    <row r="899">
      <c r="A899" s="1" t="s">
        <v>780</v>
      </c>
      <c r="B899" s="2" t="s">
        <v>700</v>
      </c>
      <c r="C899" s="3"/>
    </row>
    <row r="900">
      <c r="A900" s="1" t="s">
        <v>781</v>
      </c>
      <c r="B900" s="2" t="s">
        <v>700</v>
      </c>
      <c r="C900" s="3"/>
    </row>
    <row r="901">
      <c r="A901" s="1" t="s">
        <v>782</v>
      </c>
      <c r="B901" s="2" t="s">
        <v>700</v>
      </c>
      <c r="C901" s="3"/>
    </row>
    <row r="902">
      <c r="A902" s="1" t="s">
        <v>783</v>
      </c>
      <c r="B902" s="2" t="s">
        <v>700</v>
      </c>
      <c r="C902" s="3"/>
    </row>
    <row r="903">
      <c r="A903" s="1" t="s">
        <v>784</v>
      </c>
      <c r="B903" s="2" t="s">
        <v>700</v>
      </c>
      <c r="C903" s="3"/>
    </row>
    <row r="904">
      <c r="A904" s="1" t="s">
        <v>785</v>
      </c>
      <c r="B904" s="2" t="s">
        <v>700</v>
      </c>
      <c r="C904" s="3"/>
    </row>
    <row r="905">
      <c r="A905" s="1" t="s">
        <v>786</v>
      </c>
      <c r="B905" s="2" t="s">
        <v>700</v>
      </c>
      <c r="C905" s="3"/>
    </row>
    <row r="906">
      <c r="A906" s="1" t="s">
        <v>787</v>
      </c>
      <c r="B906" s="2" t="s">
        <v>700</v>
      </c>
      <c r="C906" s="3"/>
    </row>
    <row r="907">
      <c r="A907" s="1" t="s">
        <v>788</v>
      </c>
      <c r="B907" s="2" t="s">
        <v>700</v>
      </c>
      <c r="C907" s="3"/>
    </row>
    <row r="908">
      <c r="A908" s="1" t="s">
        <v>789</v>
      </c>
      <c r="B908" s="2" t="s">
        <v>700</v>
      </c>
      <c r="C908" s="3"/>
    </row>
    <row r="909">
      <c r="A909" s="1" t="s">
        <v>790</v>
      </c>
      <c r="B909" s="2" t="s">
        <v>700</v>
      </c>
      <c r="C909" s="3"/>
    </row>
    <row r="910">
      <c r="A910" s="1" t="s">
        <v>791</v>
      </c>
      <c r="B910" s="2" t="s">
        <v>700</v>
      </c>
      <c r="C910" s="3"/>
    </row>
    <row r="911">
      <c r="A911" s="1" t="s">
        <v>792</v>
      </c>
      <c r="B911" s="2" t="s">
        <v>700</v>
      </c>
      <c r="C911" s="3"/>
    </row>
    <row r="912">
      <c r="A912" s="1" t="s">
        <v>793</v>
      </c>
      <c r="B912" s="2" t="s">
        <v>700</v>
      </c>
      <c r="C912" s="3"/>
    </row>
    <row r="913">
      <c r="A913" s="1" t="s">
        <v>794</v>
      </c>
      <c r="B913" s="2" t="s">
        <v>700</v>
      </c>
      <c r="C913" s="3"/>
    </row>
    <row r="914">
      <c r="A914" s="1" t="s">
        <v>795</v>
      </c>
      <c r="B914" s="2" t="s">
        <v>700</v>
      </c>
      <c r="C914" s="3"/>
    </row>
    <row r="915">
      <c r="A915" s="1" t="s">
        <v>796</v>
      </c>
      <c r="B915" s="2" t="s">
        <v>700</v>
      </c>
      <c r="C915" s="3"/>
    </row>
    <row r="916">
      <c r="A916" s="1" t="s">
        <v>797</v>
      </c>
      <c r="B916" s="2" t="s">
        <v>700</v>
      </c>
      <c r="C916" s="3"/>
    </row>
    <row r="917">
      <c r="A917" s="1" t="s">
        <v>798</v>
      </c>
      <c r="B917" s="2" t="s">
        <v>700</v>
      </c>
      <c r="C917" s="3"/>
    </row>
    <row r="918">
      <c r="A918" s="1" t="s">
        <v>799</v>
      </c>
      <c r="B918" s="2" t="s">
        <v>700</v>
      </c>
      <c r="C918" s="3"/>
    </row>
    <row r="919">
      <c r="A919" s="1" t="s">
        <v>800</v>
      </c>
      <c r="B919" s="2" t="s">
        <v>700</v>
      </c>
      <c r="C919" s="3"/>
    </row>
    <row r="920">
      <c r="A920" s="1" t="s">
        <v>801</v>
      </c>
      <c r="B920" s="2" t="s">
        <v>700</v>
      </c>
      <c r="C920" s="3"/>
    </row>
    <row r="921">
      <c r="A921" s="1" t="s">
        <v>802</v>
      </c>
      <c r="B921" s="2" t="s">
        <v>700</v>
      </c>
      <c r="C921" s="3"/>
    </row>
    <row r="922">
      <c r="A922" s="1" t="s">
        <v>803</v>
      </c>
      <c r="B922" s="2" t="s">
        <v>700</v>
      </c>
      <c r="C922" s="3"/>
    </row>
    <row r="923">
      <c r="A923" s="1" t="s">
        <v>804</v>
      </c>
      <c r="B923" s="2" t="s">
        <v>700</v>
      </c>
      <c r="C923" s="3"/>
    </row>
    <row r="924">
      <c r="A924" s="1" t="s">
        <v>805</v>
      </c>
      <c r="B924" s="2" t="s">
        <v>700</v>
      </c>
      <c r="C924" s="3"/>
    </row>
    <row r="925">
      <c r="A925" s="1" t="s">
        <v>806</v>
      </c>
      <c r="B925" s="2" t="s">
        <v>700</v>
      </c>
      <c r="C925" s="3"/>
    </row>
    <row r="926">
      <c r="A926" s="1" t="s">
        <v>807</v>
      </c>
      <c r="B926" s="2" t="s">
        <v>700</v>
      </c>
      <c r="C926" s="3"/>
    </row>
    <row r="927">
      <c r="A927" s="1" t="s">
        <v>808</v>
      </c>
      <c r="B927" s="2" t="s">
        <v>700</v>
      </c>
      <c r="C927" s="3"/>
    </row>
    <row r="928">
      <c r="A928" s="1" t="s">
        <v>809</v>
      </c>
      <c r="B928" s="2" t="s">
        <v>700</v>
      </c>
      <c r="C928" s="3"/>
    </row>
    <row r="929">
      <c r="A929" s="1" t="s">
        <v>810</v>
      </c>
      <c r="B929" s="2" t="s">
        <v>700</v>
      </c>
      <c r="C929" s="3"/>
    </row>
    <row r="930">
      <c r="A930" s="1" t="s">
        <v>811</v>
      </c>
      <c r="B930" s="2" t="s">
        <v>700</v>
      </c>
      <c r="C930" s="3"/>
    </row>
    <row r="931">
      <c r="A931" s="1" t="s">
        <v>812</v>
      </c>
      <c r="B931" s="2" t="s">
        <v>700</v>
      </c>
      <c r="C931" s="3"/>
    </row>
    <row r="932">
      <c r="A932" s="1" t="s">
        <v>813</v>
      </c>
      <c r="B932" s="2" t="s">
        <v>700</v>
      </c>
      <c r="C932" s="3"/>
    </row>
    <row r="933">
      <c r="A933" s="1" t="s">
        <v>814</v>
      </c>
      <c r="B933" s="2" t="s">
        <v>700</v>
      </c>
      <c r="C933" s="3"/>
    </row>
    <row r="934">
      <c r="A934" s="1" t="s">
        <v>815</v>
      </c>
      <c r="B934" s="2" t="s">
        <v>700</v>
      </c>
      <c r="C934" s="3"/>
    </row>
    <row r="935">
      <c r="A935" s="1" t="s">
        <v>816</v>
      </c>
      <c r="B935" s="2" t="s">
        <v>700</v>
      </c>
      <c r="C935" s="3"/>
    </row>
    <row r="936">
      <c r="A936" s="1" t="s">
        <v>817</v>
      </c>
      <c r="B936" s="2" t="s">
        <v>700</v>
      </c>
      <c r="C936" s="3"/>
    </row>
    <row r="937">
      <c r="A937" s="1" t="s">
        <v>818</v>
      </c>
      <c r="B937" s="2" t="s">
        <v>700</v>
      </c>
      <c r="C937" s="3"/>
    </row>
    <row r="938">
      <c r="A938" s="1" t="s">
        <v>819</v>
      </c>
      <c r="B938" s="2" t="s">
        <v>700</v>
      </c>
      <c r="C938" s="3"/>
    </row>
    <row r="939">
      <c r="A939" s="1" t="s">
        <v>820</v>
      </c>
      <c r="B939" s="2" t="s">
        <v>700</v>
      </c>
      <c r="C939" s="3"/>
    </row>
    <row r="940">
      <c r="A940" s="1" t="s">
        <v>821</v>
      </c>
      <c r="B940" s="2" t="s">
        <v>700</v>
      </c>
      <c r="C940" s="3"/>
    </row>
    <row r="941">
      <c r="A941" s="1" t="s">
        <v>822</v>
      </c>
      <c r="B941" s="2" t="s">
        <v>700</v>
      </c>
      <c r="C941" s="3"/>
    </row>
    <row r="942">
      <c r="A942" s="1" t="s">
        <v>823</v>
      </c>
      <c r="B942" s="2" t="s">
        <v>700</v>
      </c>
      <c r="C942" s="3"/>
    </row>
    <row r="943">
      <c r="A943" s="1" t="s">
        <v>824</v>
      </c>
      <c r="B943" s="2" t="s">
        <v>700</v>
      </c>
      <c r="C943" s="3"/>
    </row>
    <row r="944">
      <c r="A944" s="1" t="s">
        <v>825</v>
      </c>
      <c r="B944" s="2" t="s">
        <v>700</v>
      </c>
      <c r="C944" s="3"/>
    </row>
    <row r="945">
      <c r="A945" s="1" t="s">
        <v>826</v>
      </c>
      <c r="B945" s="2" t="s">
        <v>700</v>
      </c>
      <c r="C945" s="3"/>
    </row>
    <row r="946">
      <c r="A946" s="1" t="s">
        <v>827</v>
      </c>
      <c r="B946" s="2" t="s">
        <v>700</v>
      </c>
      <c r="C946" s="3"/>
    </row>
    <row r="947">
      <c r="A947" s="1" t="s">
        <v>828</v>
      </c>
      <c r="B947" s="2" t="s">
        <v>700</v>
      </c>
      <c r="C947" s="3"/>
    </row>
    <row r="948">
      <c r="A948" s="1" t="s">
        <v>829</v>
      </c>
      <c r="B948" s="2" t="s">
        <v>700</v>
      </c>
      <c r="C948" s="3"/>
    </row>
    <row r="949">
      <c r="A949" s="1" t="s">
        <v>830</v>
      </c>
      <c r="B949" s="2" t="s">
        <v>700</v>
      </c>
      <c r="C949" s="3"/>
    </row>
    <row r="950">
      <c r="A950" s="1" t="s">
        <v>831</v>
      </c>
      <c r="B950" s="2" t="s">
        <v>700</v>
      </c>
      <c r="C950" s="3"/>
    </row>
    <row r="951">
      <c r="A951" s="1" t="s">
        <v>832</v>
      </c>
      <c r="B951" s="2" t="s">
        <v>700</v>
      </c>
      <c r="C951" s="3"/>
    </row>
    <row r="952">
      <c r="A952" s="1" t="s">
        <v>833</v>
      </c>
      <c r="B952" s="2" t="s">
        <v>700</v>
      </c>
      <c r="C952" s="3"/>
    </row>
    <row r="953">
      <c r="A953" s="1" t="s">
        <v>834</v>
      </c>
      <c r="B953" s="2" t="s">
        <v>700</v>
      </c>
      <c r="C953" s="3"/>
    </row>
    <row r="954">
      <c r="A954" s="1" t="s">
        <v>835</v>
      </c>
      <c r="B954" s="2" t="s">
        <v>700</v>
      </c>
      <c r="C954" s="3"/>
    </row>
    <row r="955">
      <c r="A955" s="1" t="s">
        <v>836</v>
      </c>
      <c r="B955" s="2" t="s">
        <v>700</v>
      </c>
      <c r="C955" s="3"/>
    </row>
    <row r="956">
      <c r="A956" s="1" t="s">
        <v>837</v>
      </c>
      <c r="B956" s="2" t="s">
        <v>700</v>
      </c>
      <c r="C956" s="3"/>
    </row>
    <row r="957">
      <c r="A957" s="1" t="s">
        <v>838</v>
      </c>
      <c r="B957" s="2" t="s">
        <v>700</v>
      </c>
      <c r="C957" s="3"/>
    </row>
    <row r="958">
      <c r="A958" s="1" t="s">
        <v>839</v>
      </c>
      <c r="B958" s="2" t="s">
        <v>700</v>
      </c>
      <c r="C958" s="3"/>
    </row>
    <row r="959">
      <c r="A959" s="1" t="s">
        <v>840</v>
      </c>
      <c r="B959" s="2" t="s">
        <v>700</v>
      </c>
      <c r="C959" s="3"/>
    </row>
    <row r="960">
      <c r="A960" s="1" t="s">
        <v>841</v>
      </c>
      <c r="B960" s="2" t="s">
        <v>700</v>
      </c>
      <c r="C960" s="3"/>
    </row>
    <row r="961">
      <c r="A961" s="1" t="s">
        <v>842</v>
      </c>
      <c r="B961" s="2" t="s">
        <v>700</v>
      </c>
      <c r="C961" s="3"/>
    </row>
    <row r="962">
      <c r="A962" s="1" t="s">
        <v>843</v>
      </c>
      <c r="B962" s="2" t="s">
        <v>700</v>
      </c>
      <c r="C962" s="3"/>
    </row>
    <row r="963">
      <c r="A963" s="1" t="s">
        <v>844</v>
      </c>
      <c r="B963" s="2" t="s">
        <v>700</v>
      </c>
      <c r="C963" s="3"/>
    </row>
    <row r="964">
      <c r="A964" s="1" t="s">
        <v>845</v>
      </c>
      <c r="B964" s="2" t="s">
        <v>700</v>
      </c>
      <c r="C964" s="3"/>
    </row>
    <row r="965">
      <c r="A965" s="1" t="s">
        <v>846</v>
      </c>
      <c r="B965" s="2" t="s">
        <v>700</v>
      </c>
      <c r="C965" s="3"/>
    </row>
    <row r="966">
      <c r="A966" s="1" t="s">
        <v>847</v>
      </c>
      <c r="B966" s="2" t="s">
        <v>700</v>
      </c>
      <c r="C966" s="3"/>
    </row>
    <row r="967">
      <c r="A967" s="1" t="s">
        <v>848</v>
      </c>
      <c r="B967" s="2" t="s">
        <v>700</v>
      </c>
      <c r="C967" s="3"/>
    </row>
    <row r="968">
      <c r="A968" s="1" t="s">
        <v>849</v>
      </c>
      <c r="B968" s="2" t="s">
        <v>700</v>
      </c>
      <c r="C968" s="3"/>
    </row>
    <row r="969">
      <c r="A969" s="1" t="s">
        <v>850</v>
      </c>
      <c r="B969" s="2" t="s">
        <v>700</v>
      </c>
      <c r="C969" s="3"/>
    </row>
    <row r="970">
      <c r="A970" s="1" t="s">
        <v>851</v>
      </c>
      <c r="B970" s="2" t="s">
        <v>700</v>
      </c>
      <c r="C970" s="3"/>
    </row>
    <row r="971">
      <c r="A971" s="1" t="s">
        <v>852</v>
      </c>
      <c r="B971" s="2" t="s">
        <v>700</v>
      </c>
      <c r="C971" s="3"/>
    </row>
    <row r="972">
      <c r="A972" s="1" t="s">
        <v>853</v>
      </c>
      <c r="B972" s="2" t="s">
        <v>700</v>
      </c>
      <c r="C972" s="3"/>
    </row>
    <row r="973">
      <c r="A973" s="1" t="s">
        <v>854</v>
      </c>
      <c r="B973" s="2" t="s">
        <v>700</v>
      </c>
      <c r="C973" s="3"/>
    </row>
    <row r="974">
      <c r="A974" s="1" t="s">
        <v>855</v>
      </c>
      <c r="B974" s="2" t="s">
        <v>700</v>
      </c>
      <c r="C974" s="3"/>
    </row>
    <row r="975">
      <c r="A975" s="1" t="s">
        <v>856</v>
      </c>
      <c r="B975" s="2" t="s">
        <v>700</v>
      </c>
      <c r="C975" s="3"/>
    </row>
    <row r="976">
      <c r="A976" s="1" t="s">
        <v>857</v>
      </c>
      <c r="B976" s="2" t="s">
        <v>700</v>
      </c>
      <c r="C976" s="3"/>
    </row>
    <row r="977">
      <c r="A977" s="1" t="s">
        <v>858</v>
      </c>
      <c r="B977" s="2" t="s">
        <v>700</v>
      </c>
      <c r="C977" s="3"/>
    </row>
    <row r="978">
      <c r="A978" s="1" t="s">
        <v>859</v>
      </c>
      <c r="B978" s="2" t="s">
        <v>700</v>
      </c>
      <c r="C978" s="3"/>
    </row>
    <row r="979">
      <c r="A979" s="1" t="s">
        <v>860</v>
      </c>
      <c r="B979" s="2" t="s">
        <v>700</v>
      </c>
      <c r="C979" s="3"/>
    </row>
    <row r="980">
      <c r="A980" s="1" t="s">
        <v>861</v>
      </c>
      <c r="B980" s="2" t="s">
        <v>700</v>
      </c>
      <c r="C980" s="3"/>
    </row>
    <row r="981">
      <c r="A981" s="1" t="s">
        <v>862</v>
      </c>
      <c r="B981" s="2" t="s">
        <v>700</v>
      </c>
      <c r="C981" s="3"/>
    </row>
    <row r="982">
      <c r="A982" s="1" t="s">
        <v>863</v>
      </c>
      <c r="B982" s="2" t="s">
        <v>700</v>
      </c>
      <c r="C982" s="3"/>
    </row>
    <row r="983">
      <c r="A983" s="1" t="s">
        <v>864</v>
      </c>
      <c r="B983" s="2" t="s">
        <v>700</v>
      </c>
      <c r="C983" s="3"/>
    </row>
    <row r="984">
      <c r="A984" s="1" t="s">
        <v>865</v>
      </c>
      <c r="B984" s="2" t="s">
        <v>700</v>
      </c>
      <c r="C984" s="3"/>
    </row>
    <row r="985">
      <c r="A985" s="1" t="s">
        <v>866</v>
      </c>
      <c r="B985" s="2" t="s">
        <v>700</v>
      </c>
      <c r="C985" s="3"/>
    </row>
    <row r="986">
      <c r="A986" s="1" t="s">
        <v>867</v>
      </c>
      <c r="B986" s="2" t="s">
        <v>700</v>
      </c>
      <c r="C986" s="3"/>
    </row>
    <row r="987">
      <c r="A987" s="1" t="s">
        <v>868</v>
      </c>
      <c r="B987" s="2" t="s">
        <v>700</v>
      </c>
      <c r="C987" s="3"/>
    </row>
    <row r="988">
      <c r="A988" s="1" t="s">
        <v>869</v>
      </c>
      <c r="B988" s="2" t="s">
        <v>700</v>
      </c>
      <c r="C988" s="3"/>
    </row>
    <row r="989">
      <c r="A989" s="1" t="s">
        <v>870</v>
      </c>
      <c r="B989" s="2" t="s">
        <v>700</v>
      </c>
      <c r="C989" s="3"/>
    </row>
    <row r="990">
      <c r="A990" s="1" t="s">
        <v>871</v>
      </c>
      <c r="B990" s="2" t="s">
        <v>700</v>
      </c>
      <c r="C990" s="3"/>
    </row>
    <row r="991">
      <c r="A991" s="1" t="s">
        <v>872</v>
      </c>
      <c r="B991" s="2" t="s">
        <v>700</v>
      </c>
      <c r="C991" s="3"/>
    </row>
    <row r="992">
      <c r="A992" s="1" t="s">
        <v>873</v>
      </c>
      <c r="B992" s="2" t="s">
        <v>700</v>
      </c>
      <c r="C992" s="3"/>
    </row>
    <row r="993">
      <c r="A993" s="1" t="s">
        <v>874</v>
      </c>
      <c r="B993" s="2" t="s">
        <v>700</v>
      </c>
      <c r="C993" s="3"/>
    </row>
    <row r="994">
      <c r="A994" s="2" t="s">
        <v>875</v>
      </c>
      <c r="B994" s="2" t="s">
        <v>700</v>
      </c>
      <c r="C994" s="3"/>
    </row>
    <row r="995">
      <c r="A995" s="1" t="s">
        <v>876</v>
      </c>
      <c r="B995" s="2" t="s">
        <v>700</v>
      </c>
      <c r="C995" s="3"/>
    </row>
    <row r="996">
      <c r="A996" s="1" t="s">
        <v>877</v>
      </c>
      <c r="B996" s="2" t="s">
        <v>700</v>
      </c>
      <c r="C996" s="3"/>
    </row>
    <row r="997">
      <c r="A997" s="1" t="s">
        <v>878</v>
      </c>
      <c r="B997" s="2" t="s">
        <v>700</v>
      </c>
      <c r="C997" s="3"/>
    </row>
    <row r="998">
      <c r="A998" s="1" t="s">
        <v>879</v>
      </c>
      <c r="B998" s="2" t="s">
        <v>700</v>
      </c>
      <c r="C998" s="3"/>
    </row>
    <row r="999">
      <c r="A999" s="1" t="s">
        <v>880</v>
      </c>
      <c r="B999" s="2" t="s">
        <v>700</v>
      </c>
      <c r="C999" s="3"/>
    </row>
    <row r="1000">
      <c r="A1000" s="1" t="s">
        <v>881</v>
      </c>
      <c r="B1000" s="2" t="s">
        <v>700</v>
      </c>
      <c r="C1000" s="3"/>
    </row>
    <row r="1001">
      <c r="A1001" s="1" t="s">
        <v>882</v>
      </c>
      <c r="B1001" s="2" t="s">
        <v>700</v>
      </c>
      <c r="C1001" s="3"/>
    </row>
    <row r="1002">
      <c r="A1002" s="1" t="s">
        <v>883</v>
      </c>
      <c r="B1002" s="2" t="s">
        <v>700</v>
      </c>
      <c r="C1002" s="3"/>
    </row>
    <row r="1003">
      <c r="A1003" s="1" t="s">
        <v>884</v>
      </c>
      <c r="B1003" s="2" t="s">
        <v>700</v>
      </c>
      <c r="C1003" s="3"/>
    </row>
    <row r="1004">
      <c r="A1004" s="1" t="s">
        <v>885</v>
      </c>
      <c r="B1004" s="2" t="s">
        <v>700</v>
      </c>
      <c r="C1004" s="3"/>
    </row>
    <row r="1005">
      <c r="A1005" s="1" t="s">
        <v>886</v>
      </c>
      <c r="B1005" s="2" t="s">
        <v>700</v>
      </c>
      <c r="C1005" s="3"/>
    </row>
    <row r="1006">
      <c r="A1006" s="1" t="s">
        <v>887</v>
      </c>
      <c r="B1006" s="2" t="s">
        <v>700</v>
      </c>
      <c r="C1006" s="3"/>
    </row>
    <row r="1007">
      <c r="A1007" s="1" t="s">
        <v>888</v>
      </c>
      <c r="B1007" s="2" t="s">
        <v>700</v>
      </c>
      <c r="C1007" s="3"/>
    </row>
    <row r="1008">
      <c r="A1008" s="1" t="s">
        <v>889</v>
      </c>
      <c r="B1008" s="2" t="s">
        <v>700</v>
      </c>
      <c r="C1008" s="3"/>
    </row>
    <row r="1009">
      <c r="A1009" s="1" t="s">
        <v>890</v>
      </c>
      <c r="B1009" s="2" t="s">
        <v>700</v>
      </c>
      <c r="C1009" s="3"/>
    </row>
    <row r="1010">
      <c r="A1010" s="1" t="s">
        <v>891</v>
      </c>
      <c r="B1010" s="2" t="s">
        <v>700</v>
      </c>
      <c r="C1010" s="3"/>
    </row>
    <row r="1011">
      <c r="A1011" s="1" t="s">
        <v>892</v>
      </c>
      <c r="B1011" s="2" t="s">
        <v>700</v>
      </c>
      <c r="C1011" s="3"/>
    </row>
    <row r="1012">
      <c r="A1012" s="1" t="s">
        <v>893</v>
      </c>
      <c r="B1012" s="2" t="s">
        <v>700</v>
      </c>
      <c r="C1012" s="3"/>
    </row>
    <row r="1013">
      <c r="A1013" s="1" t="s">
        <v>894</v>
      </c>
      <c r="B1013" s="2" t="s">
        <v>700</v>
      </c>
      <c r="C1013" s="3"/>
    </row>
    <row r="1014">
      <c r="A1014" s="1" t="s">
        <v>895</v>
      </c>
      <c r="B1014" s="2" t="s">
        <v>700</v>
      </c>
      <c r="C1014" s="3"/>
    </row>
    <row r="1015">
      <c r="A1015" s="1" t="s">
        <v>896</v>
      </c>
      <c r="B1015" s="2" t="s">
        <v>700</v>
      </c>
      <c r="C1015" s="3"/>
    </row>
    <row r="1016">
      <c r="A1016" s="1" t="s">
        <v>897</v>
      </c>
      <c r="B1016" s="2" t="s">
        <v>700</v>
      </c>
      <c r="C1016" s="3"/>
    </row>
    <row r="1017">
      <c r="A1017" s="1" t="s">
        <v>898</v>
      </c>
      <c r="B1017" s="2" t="s">
        <v>700</v>
      </c>
      <c r="C1017" s="3"/>
    </row>
    <row r="1018">
      <c r="A1018" s="1" t="s">
        <v>899</v>
      </c>
      <c r="B1018" s="2" t="s">
        <v>700</v>
      </c>
      <c r="C1018" s="3"/>
    </row>
    <row r="1019">
      <c r="A1019" s="1" t="s">
        <v>900</v>
      </c>
      <c r="B1019" s="2" t="s">
        <v>700</v>
      </c>
      <c r="C1019" s="3"/>
    </row>
    <row r="1020">
      <c r="A1020" s="1" t="s">
        <v>901</v>
      </c>
      <c r="B1020" s="2" t="s">
        <v>700</v>
      </c>
      <c r="C1020" s="3"/>
    </row>
    <row r="1021">
      <c r="A1021" s="1" t="s">
        <v>902</v>
      </c>
      <c r="B1021" s="2" t="s">
        <v>700</v>
      </c>
      <c r="C1021" s="3"/>
    </row>
    <row r="1022">
      <c r="A1022" s="1" t="s">
        <v>903</v>
      </c>
      <c r="B1022" s="2" t="s">
        <v>700</v>
      </c>
      <c r="C1022" s="3"/>
    </row>
    <row r="1023">
      <c r="A1023" s="1" t="s">
        <v>904</v>
      </c>
      <c r="B1023" s="2" t="s">
        <v>700</v>
      </c>
      <c r="C1023" s="3"/>
    </row>
    <row r="1024">
      <c r="A1024" s="1" t="s">
        <v>905</v>
      </c>
      <c r="B1024" s="2" t="s">
        <v>700</v>
      </c>
      <c r="C1024" s="3"/>
    </row>
    <row r="1025">
      <c r="A1025" s="1" t="s">
        <v>906</v>
      </c>
      <c r="B1025" s="2" t="s">
        <v>700</v>
      </c>
      <c r="C1025" s="3"/>
    </row>
    <row r="1026">
      <c r="A1026" s="1" t="s">
        <v>907</v>
      </c>
      <c r="B1026" s="2" t="s">
        <v>700</v>
      </c>
      <c r="C1026" s="3"/>
    </row>
    <row r="1027">
      <c r="A1027" s="1" t="s">
        <v>908</v>
      </c>
      <c r="B1027" s="2" t="s">
        <v>700</v>
      </c>
      <c r="C1027" s="3"/>
    </row>
    <row r="1028">
      <c r="A1028" s="1" t="s">
        <v>909</v>
      </c>
      <c r="B1028" s="2" t="s">
        <v>700</v>
      </c>
      <c r="C1028" s="3"/>
    </row>
    <row r="1029">
      <c r="A1029" s="1" t="s">
        <v>910</v>
      </c>
      <c r="B1029" s="2" t="s">
        <v>700</v>
      </c>
      <c r="C1029" s="3"/>
    </row>
    <row r="1030">
      <c r="A1030" s="1" t="s">
        <v>911</v>
      </c>
      <c r="B1030" s="2" t="s">
        <v>700</v>
      </c>
      <c r="C1030" s="3"/>
    </row>
    <row r="1031">
      <c r="A1031" s="1" t="s">
        <v>912</v>
      </c>
      <c r="B1031" s="2" t="s">
        <v>700</v>
      </c>
      <c r="C1031" s="3"/>
    </row>
    <row r="1032">
      <c r="A1032" s="1" t="s">
        <v>913</v>
      </c>
      <c r="B1032" s="2" t="s">
        <v>700</v>
      </c>
      <c r="C1032" s="3"/>
    </row>
    <row r="1033">
      <c r="A1033" s="1" t="s">
        <v>914</v>
      </c>
      <c r="B1033" s="2" t="s">
        <v>700</v>
      </c>
      <c r="C1033" s="3"/>
    </row>
    <row r="1034">
      <c r="A1034" s="1" t="s">
        <v>915</v>
      </c>
      <c r="B1034" s="2" t="s">
        <v>700</v>
      </c>
      <c r="C1034" s="3"/>
    </row>
    <row r="1035">
      <c r="A1035" s="1" t="s">
        <v>916</v>
      </c>
      <c r="B1035" s="2" t="s">
        <v>700</v>
      </c>
      <c r="C1035" s="3"/>
    </row>
    <row r="1036">
      <c r="A1036" s="1" t="s">
        <v>917</v>
      </c>
      <c r="B1036" s="2" t="s">
        <v>700</v>
      </c>
      <c r="C1036" s="3"/>
    </row>
    <row r="1037">
      <c r="A1037" s="1" t="s">
        <v>918</v>
      </c>
      <c r="B1037" s="2" t="s">
        <v>700</v>
      </c>
      <c r="C1037" s="3"/>
    </row>
    <row r="1038">
      <c r="A1038" s="1" t="s">
        <v>919</v>
      </c>
      <c r="B1038" s="2" t="s">
        <v>700</v>
      </c>
      <c r="C1038" s="3"/>
    </row>
    <row r="1039">
      <c r="A1039" s="1" t="s">
        <v>920</v>
      </c>
      <c r="B1039" s="2" t="s">
        <v>700</v>
      </c>
      <c r="C1039" s="3"/>
    </row>
    <row r="1040">
      <c r="A1040" s="1" t="s">
        <v>921</v>
      </c>
      <c r="B1040" s="2" t="s">
        <v>700</v>
      </c>
      <c r="C1040" s="3"/>
    </row>
    <row r="1041">
      <c r="A1041" s="1" t="s">
        <v>922</v>
      </c>
      <c r="B1041" s="2" t="s">
        <v>700</v>
      </c>
      <c r="C1041" s="3"/>
    </row>
    <row r="1042">
      <c r="A1042" s="1" t="s">
        <v>923</v>
      </c>
      <c r="B1042" s="2" t="s">
        <v>700</v>
      </c>
      <c r="C1042" s="3"/>
    </row>
    <row r="1043">
      <c r="A1043" s="1" t="s">
        <v>924</v>
      </c>
      <c r="B1043" s="2" t="s">
        <v>700</v>
      </c>
      <c r="C1043" s="3"/>
    </row>
    <row r="1044">
      <c r="A1044" s="1" t="s">
        <v>925</v>
      </c>
      <c r="B1044" s="2" t="s">
        <v>700</v>
      </c>
      <c r="C1044" s="3"/>
    </row>
    <row r="1045">
      <c r="A1045" s="1" t="s">
        <v>926</v>
      </c>
      <c r="B1045" s="2" t="s">
        <v>700</v>
      </c>
      <c r="C1045" s="3"/>
    </row>
    <row r="1046">
      <c r="A1046" s="1" t="s">
        <v>850</v>
      </c>
      <c r="B1046" s="2" t="s">
        <v>700</v>
      </c>
      <c r="C1046" s="3"/>
    </row>
    <row r="1047">
      <c r="A1047" s="1" t="s">
        <v>927</v>
      </c>
      <c r="B1047" s="2" t="s">
        <v>700</v>
      </c>
      <c r="C1047" s="3"/>
    </row>
    <row r="1048">
      <c r="A1048" s="1" t="s">
        <v>928</v>
      </c>
      <c r="B1048" s="2" t="s">
        <v>700</v>
      </c>
      <c r="C1048" s="3"/>
    </row>
    <row r="1049">
      <c r="A1049" s="1" t="s">
        <v>929</v>
      </c>
      <c r="B1049" s="2" t="s">
        <v>700</v>
      </c>
      <c r="C1049" s="3"/>
    </row>
    <row r="1050">
      <c r="A1050" s="1" t="s">
        <v>930</v>
      </c>
      <c r="B1050" s="2" t="s">
        <v>700</v>
      </c>
      <c r="C1050" s="3"/>
    </row>
    <row r="1051">
      <c r="A1051" s="1" t="s">
        <v>931</v>
      </c>
      <c r="B1051" s="2" t="s">
        <v>700</v>
      </c>
      <c r="C1051" s="3"/>
    </row>
    <row r="1052">
      <c r="A1052" s="1" t="s">
        <v>932</v>
      </c>
      <c r="B1052" s="2" t="s">
        <v>700</v>
      </c>
      <c r="C1052" s="3"/>
    </row>
    <row r="1053">
      <c r="A1053" s="1" t="s">
        <v>933</v>
      </c>
      <c r="B1053" s="2" t="s">
        <v>700</v>
      </c>
      <c r="C1053" s="3"/>
    </row>
    <row r="1054">
      <c r="A1054" s="1" t="s">
        <v>934</v>
      </c>
      <c r="B1054" s="2" t="s">
        <v>700</v>
      </c>
      <c r="C1054" s="3"/>
    </row>
    <row r="1055">
      <c r="A1055" s="1" t="s">
        <v>935</v>
      </c>
      <c r="B1055" s="2" t="s">
        <v>700</v>
      </c>
      <c r="C1055" s="3"/>
    </row>
    <row r="1056">
      <c r="A1056" s="1" t="s">
        <v>936</v>
      </c>
      <c r="B1056" s="2" t="s">
        <v>700</v>
      </c>
      <c r="C1056" s="3"/>
    </row>
    <row r="1057">
      <c r="A1057" s="1" t="s">
        <v>937</v>
      </c>
      <c r="B1057" s="2" t="s">
        <v>700</v>
      </c>
      <c r="C1057" s="3"/>
    </row>
    <row r="1058">
      <c r="A1058" s="1" t="s">
        <v>938</v>
      </c>
      <c r="B1058" s="2" t="s">
        <v>700</v>
      </c>
      <c r="C1058" s="3"/>
    </row>
    <row r="1059">
      <c r="A1059" s="1" t="s">
        <v>939</v>
      </c>
      <c r="B1059" s="2" t="s">
        <v>700</v>
      </c>
      <c r="C1059" s="3"/>
    </row>
    <row r="1060">
      <c r="A1060" s="1" t="s">
        <v>940</v>
      </c>
      <c r="B1060" s="2" t="s">
        <v>700</v>
      </c>
      <c r="C1060" s="3"/>
    </row>
    <row r="1061">
      <c r="A1061" s="1" t="s">
        <v>941</v>
      </c>
      <c r="B1061" s="2" t="s">
        <v>700</v>
      </c>
      <c r="C1061" s="3"/>
    </row>
    <row r="1062">
      <c r="A1062" s="1" t="s">
        <v>942</v>
      </c>
      <c r="B1062" s="2" t="s">
        <v>700</v>
      </c>
      <c r="C1062" s="3"/>
    </row>
    <row r="1063">
      <c r="A1063" s="1" t="s">
        <v>943</v>
      </c>
      <c r="B1063" s="2" t="s">
        <v>700</v>
      </c>
      <c r="C1063" s="3"/>
    </row>
    <row r="1064">
      <c r="A1064" s="1" t="s">
        <v>944</v>
      </c>
      <c r="B1064" s="2" t="s">
        <v>700</v>
      </c>
      <c r="C1064" s="3"/>
    </row>
    <row r="1065">
      <c r="A1065" s="1" t="s">
        <v>945</v>
      </c>
      <c r="B1065" s="2" t="s">
        <v>700</v>
      </c>
      <c r="C1065" s="3"/>
    </row>
    <row r="1066">
      <c r="A1066" s="1" t="s">
        <v>946</v>
      </c>
      <c r="B1066" s="2" t="s">
        <v>700</v>
      </c>
      <c r="C1066" s="3"/>
    </row>
    <row r="1067">
      <c r="A1067" s="1" t="s">
        <v>947</v>
      </c>
      <c r="B1067" s="2" t="s">
        <v>700</v>
      </c>
      <c r="C1067" s="3"/>
    </row>
    <row r="1068">
      <c r="A1068" s="1" t="s">
        <v>948</v>
      </c>
      <c r="B1068" s="2" t="s">
        <v>700</v>
      </c>
      <c r="C1068" s="3"/>
    </row>
    <row r="1069">
      <c r="A1069" s="1" t="s">
        <v>949</v>
      </c>
      <c r="B1069" s="2" t="s">
        <v>700</v>
      </c>
      <c r="C1069" s="3"/>
    </row>
    <row r="1070">
      <c r="A1070" s="1" t="s">
        <v>950</v>
      </c>
      <c r="B1070" s="2" t="s">
        <v>700</v>
      </c>
      <c r="C1070" s="3"/>
    </row>
    <row r="1071">
      <c r="A1071" s="1" t="s">
        <v>951</v>
      </c>
      <c r="B1071" s="2" t="s">
        <v>700</v>
      </c>
      <c r="C1071" s="3"/>
    </row>
    <row r="1072">
      <c r="A1072" s="1" t="s">
        <v>855</v>
      </c>
      <c r="B1072" s="2" t="s">
        <v>700</v>
      </c>
      <c r="C1072" s="3"/>
    </row>
    <row r="1073">
      <c r="A1073" s="1" t="s">
        <v>856</v>
      </c>
      <c r="B1073" s="2" t="s">
        <v>700</v>
      </c>
      <c r="C1073" s="3"/>
    </row>
    <row r="1074">
      <c r="A1074" s="1" t="s">
        <v>857</v>
      </c>
      <c r="B1074" s="2" t="s">
        <v>700</v>
      </c>
      <c r="C1074" s="3"/>
    </row>
    <row r="1075">
      <c r="A1075" s="1" t="s">
        <v>858</v>
      </c>
      <c r="B1075" s="2" t="s">
        <v>700</v>
      </c>
      <c r="C1075" s="3"/>
    </row>
    <row r="1076">
      <c r="A1076" s="1" t="s">
        <v>859</v>
      </c>
      <c r="B1076" s="2" t="s">
        <v>700</v>
      </c>
      <c r="C1076" s="3"/>
    </row>
    <row r="1077">
      <c r="A1077" s="1" t="s">
        <v>860</v>
      </c>
      <c r="B1077" s="2" t="s">
        <v>700</v>
      </c>
      <c r="C1077" s="3"/>
    </row>
    <row r="1078">
      <c r="A1078" s="1" t="s">
        <v>861</v>
      </c>
      <c r="B1078" s="2" t="s">
        <v>700</v>
      </c>
      <c r="C1078" s="3"/>
    </row>
    <row r="1079">
      <c r="A1079" s="1" t="s">
        <v>862</v>
      </c>
      <c r="B1079" s="2" t="s">
        <v>700</v>
      </c>
      <c r="C1079" s="3"/>
    </row>
    <row r="1080">
      <c r="A1080" s="1" t="s">
        <v>863</v>
      </c>
      <c r="B1080" s="2" t="s">
        <v>700</v>
      </c>
      <c r="C1080" s="3"/>
    </row>
    <row r="1081">
      <c r="A1081" s="1" t="s">
        <v>864</v>
      </c>
      <c r="B1081" s="2" t="s">
        <v>700</v>
      </c>
      <c r="C1081" s="3"/>
    </row>
    <row r="1082">
      <c r="A1082" s="1" t="s">
        <v>865</v>
      </c>
      <c r="B1082" s="2" t="s">
        <v>700</v>
      </c>
      <c r="C1082" s="3"/>
    </row>
    <row r="1083">
      <c r="A1083" s="1" t="s">
        <v>866</v>
      </c>
      <c r="B1083" s="2" t="s">
        <v>700</v>
      </c>
      <c r="C1083" s="3"/>
    </row>
    <row r="1084">
      <c r="A1084" s="1" t="s">
        <v>867</v>
      </c>
      <c r="B1084" s="2" t="s">
        <v>700</v>
      </c>
      <c r="C1084" s="3"/>
    </row>
    <row r="1085">
      <c r="A1085" s="1" t="s">
        <v>868</v>
      </c>
      <c r="B1085" s="2" t="s">
        <v>700</v>
      </c>
      <c r="C1085" s="3"/>
    </row>
    <row r="1086">
      <c r="A1086" s="1" t="s">
        <v>869</v>
      </c>
      <c r="B1086" s="2" t="s">
        <v>700</v>
      </c>
      <c r="C1086" s="3"/>
    </row>
    <row r="1087">
      <c r="A1087" s="1" t="s">
        <v>870</v>
      </c>
      <c r="B1087" s="2" t="s">
        <v>700</v>
      </c>
      <c r="C1087" s="3"/>
    </row>
    <row r="1088">
      <c r="A1088" s="1" t="s">
        <v>871</v>
      </c>
      <c r="B1088" s="2" t="s">
        <v>700</v>
      </c>
      <c r="C1088" s="3"/>
    </row>
    <row r="1089">
      <c r="A1089" s="1" t="s">
        <v>872</v>
      </c>
      <c r="B1089" s="2" t="s">
        <v>700</v>
      </c>
      <c r="C1089" s="3"/>
    </row>
    <row r="1090">
      <c r="A1090" s="1" t="s">
        <v>873</v>
      </c>
      <c r="B1090" s="2" t="s">
        <v>700</v>
      </c>
      <c r="C1090" s="3"/>
    </row>
    <row r="1091">
      <c r="A1091" s="1" t="s">
        <v>874</v>
      </c>
      <c r="B1091" s="2" t="s">
        <v>700</v>
      </c>
      <c r="C1091" s="3"/>
    </row>
    <row r="1092">
      <c r="A1092" s="2" t="s">
        <v>875</v>
      </c>
      <c r="B1092" s="2" t="s">
        <v>700</v>
      </c>
      <c r="C1092" s="3"/>
    </row>
    <row r="1093">
      <c r="A1093" s="1" t="s">
        <v>876</v>
      </c>
      <c r="B1093" s="2" t="s">
        <v>700</v>
      </c>
      <c r="C1093" s="3"/>
    </row>
    <row r="1094">
      <c r="A1094" s="1" t="s">
        <v>877</v>
      </c>
      <c r="B1094" s="2" t="s">
        <v>700</v>
      </c>
      <c r="C1094" s="3"/>
    </row>
    <row r="1095">
      <c r="A1095" s="1" t="s">
        <v>878</v>
      </c>
      <c r="B1095" s="2" t="s">
        <v>700</v>
      </c>
      <c r="C1095" s="3"/>
    </row>
    <row r="1096">
      <c r="A1096" s="1" t="s">
        <v>879</v>
      </c>
      <c r="B1096" s="2" t="s">
        <v>700</v>
      </c>
      <c r="C1096" s="3"/>
    </row>
    <row r="1097">
      <c r="A1097" s="1" t="s">
        <v>880</v>
      </c>
      <c r="B1097" s="2" t="s">
        <v>700</v>
      </c>
      <c r="C1097" s="3"/>
    </row>
    <row r="1098">
      <c r="A1098" s="1" t="s">
        <v>881</v>
      </c>
      <c r="B1098" s="2" t="s">
        <v>700</v>
      </c>
      <c r="C1098" s="3"/>
    </row>
    <row r="1099">
      <c r="A1099" s="1" t="s">
        <v>882</v>
      </c>
      <c r="B1099" s="2" t="s">
        <v>700</v>
      </c>
      <c r="C1099" s="3"/>
    </row>
    <row r="1100">
      <c r="A1100" s="1" t="s">
        <v>883</v>
      </c>
      <c r="B1100" s="2" t="s">
        <v>700</v>
      </c>
      <c r="C1100" s="3"/>
    </row>
    <row r="1101">
      <c r="A1101" s="1" t="s">
        <v>884</v>
      </c>
      <c r="B1101" s="2" t="s">
        <v>700</v>
      </c>
      <c r="C1101" s="3"/>
    </row>
    <row r="1102">
      <c r="A1102" s="1" t="s">
        <v>885</v>
      </c>
      <c r="B1102" s="2" t="s">
        <v>700</v>
      </c>
      <c r="C1102" s="3"/>
    </row>
    <row r="1103">
      <c r="A1103" s="1" t="s">
        <v>886</v>
      </c>
      <c r="B1103" s="2" t="s">
        <v>700</v>
      </c>
      <c r="C1103" s="3"/>
    </row>
    <row r="1104">
      <c r="A1104" s="1" t="s">
        <v>887</v>
      </c>
      <c r="B1104" s="2" t="s">
        <v>700</v>
      </c>
      <c r="C1104" s="3"/>
    </row>
    <row r="1105">
      <c r="A1105" s="1" t="s">
        <v>888</v>
      </c>
      <c r="B1105" s="2" t="s">
        <v>700</v>
      </c>
      <c r="C1105" s="3"/>
    </row>
    <row r="1106">
      <c r="A1106" s="1" t="s">
        <v>889</v>
      </c>
      <c r="B1106" s="2" t="s">
        <v>700</v>
      </c>
      <c r="C1106" s="3"/>
    </row>
    <row r="1107">
      <c r="A1107" s="1" t="s">
        <v>890</v>
      </c>
      <c r="B1107" s="2" t="s">
        <v>700</v>
      </c>
      <c r="C1107" s="3"/>
    </row>
    <row r="1108">
      <c r="A1108" s="1" t="s">
        <v>891</v>
      </c>
      <c r="B1108" s="2" t="s">
        <v>700</v>
      </c>
      <c r="C1108" s="3"/>
    </row>
    <row r="1109">
      <c r="A1109" s="1" t="s">
        <v>892</v>
      </c>
      <c r="B1109" s="2" t="s">
        <v>700</v>
      </c>
      <c r="C1109" s="3"/>
    </row>
    <row r="1110">
      <c r="A1110" s="1" t="s">
        <v>893</v>
      </c>
      <c r="B1110" s="2" t="s">
        <v>700</v>
      </c>
      <c r="C1110" s="3"/>
    </row>
    <row r="1111">
      <c r="A1111" s="1" t="s">
        <v>894</v>
      </c>
      <c r="B1111" s="2" t="s">
        <v>700</v>
      </c>
      <c r="C1111" s="3"/>
    </row>
    <row r="1112">
      <c r="A1112" s="1" t="s">
        <v>895</v>
      </c>
      <c r="B1112" s="2" t="s">
        <v>700</v>
      </c>
      <c r="C1112" s="3"/>
    </row>
    <row r="1113">
      <c r="A1113" s="1" t="s">
        <v>896</v>
      </c>
      <c r="B1113" s="2" t="s">
        <v>700</v>
      </c>
      <c r="C1113" s="3"/>
    </row>
    <row r="1114">
      <c r="A1114" s="1" t="s">
        <v>897</v>
      </c>
      <c r="B1114" s="2" t="s">
        <v>700</v>
      </c>
      <c r="C1114" s="3"/>
    </row>
    <row r="1115">
      <c r="A1115" s="1" t="s">
        <v>898</v>
      </c>
      <c r="B1115" s="2" t="s">
        <v>700</v>
      </c>
      <c r="C1115" s="3"/>
    </row>
    <row r="1116">
      <c r="A1116" s="1" t="s">
        <v>899</v>
      </c>
      <c r="B1116" s="2" t="s">
        <v>700</v>
      </c>
      <c r="C1116" s="3"/>
    </row>
    <row r="1117">
      <c r="A1117" s="1" t="s">
        <v>900</v>
      </c>
      <c r="B1117" s="2" t="s">
        <v>700</v>
      </c>
      <c r="C1117" s="3"/>
    </row>
    <row r="1118">
      <c r="A1118" s="1" t="s">
        <v>901</v>
      </c>
      <c r="B1118" s="2" t="s">
        <v>700</v>
      </c>
      <c r="C1118" s="3"/>
    </row>
    <row r="1119">
      <c r="A1119" s="1" t="s">
        <v>952</v>
      </c>
      <c r="B1119" s="2" t="s">
        <v>700</v>
      </c>
      <c r="C1119" s="3"/>
    </row>
    <row r="1120">
      <c r="A1120" s="1" t="s">
        <v>953</v>
      </c>
      <c r="B1120" s="2" t="s">
        <v>700</v>
      </c>
      <c r="C1120" s="3"/>
    </row>
    <row r="1121">
      <c r="A1121" s="1" t="s">
        <v>954</v>
      </c>
      <c r="B1121" s="2" t="s">
        <v>700</v>
      </c>
      <c r="C1121" s="3"/>
    </row>
    <row r="1122">
      <c r="A1122" s="1" t="s">
        <v>955</v>
      </c>
      <c r="B1122" s="2" t="s">
        <v>700</v>
      </c>
      <c r="C1122" s="3"/>
    </row>
    <row r="1123">
      <c r="A1123" s="1" t="s">
        <v>956</v>
      </c>
      <c r="B1123" s="2" t="s">
        <v>700</v>
      </c>
      <c r="C1123" s="3"/>
    </row>
    <row r="1124">
      <c r="A1124" s="1" t="s">
        <v>957</v>
      </c>
      <c r="B1124" s="2" t="s">
        <v>700</v>
      </c>
      <c r="C1124" s="3"/>
    </row>
    <row r="1125">
      <c r="A1125" s="1" t="s">
        <v>958</v>
      </c>
      <c r="B1125" s="2" t="s">
        <v>700</v>
      </c>
      <c r="C1125" s="3"/>
    </row>
    <row r="1126">
      <c r="A1126" s="1" t="s">
        <v>959</v>
      </c>
      <c r="B1126" s="2" t="s">
        <v>700</v>
      </c>
      <c r="C1126" s="3"/>
    </row>
    <row r="1127">
      <c r="A1127" s="1" t="s">
        <v>960</v>
      </c>
      <c r="B1127" s="2" t="s">
        <v>700</v>
      </c>
      <c r="C1127" s="3"/>
    </row>
    <row r="1128">
      <c r="A1128" s="1" t="s">
        <v>961</v>
      </c>
      <c r="B1128" s="2" t="s">
        <v>700</v>
      </c>
      <c r="C1128" s="3"/>
    </row>
    <row r="1129">
      <c r="A1129" s="1" t="s">
        <v>962</v>
      </c>
      <c r="B1129" s="2" t="s">
        <v>700</v>
      </c>
      <c r="C1129" s="3"/>
    </row>
    <row r="1130">
      <c r="A1130" s="1" t="s">
        <v>963</v>
      </c>
      <c r="B1130" s="2" t="s">
        <v>700</v>
      </c>
      <c r="C1130" s="3"/>
    </row>
    <row r="1131">
      <c r="A1131" s="1" t="s">
        <v>964</v>
      </c>
      <c r="B1131" s="2" t="s">
        <v>700</v>
      </c>
      <c r="C1131" s="3"/>
    </row>
    <row r="1132">
      <c r="A1132" s="1" t="s">
        <v>965</v>
      </c>
      <c r="B1132" s="2" t="s">
        <v>700</v>
      </c>
      <c r="C1132" s="3"/>
    </row>
    <row r="1133">
      <c r="A1133" s="1" t="s">
        <v>966</v>
      </c>
      <c r="B1133" s="2" t="s">
        <v>700</v>
      </c>
      <c r="C1133" s="3"/>
    </row>
    <row r="1134">
      <c r="A1134" s="1" t="s">
        <v>967</v>
      </c>
      <c r="B1134" s="2" t="s">
        <v>700</v>
      </c>
      <c r="C1134" s="3"/>
    </row>
    <row r="1135">
      <c r="A1135" s="1" t="s">
        <v>968</v>
      </c>
      <c r="B1135" s="2" t="s">
        <v>700</v>
      </c>
      <c r="C1135" s="3"/>
    </row>
    <row r="1136">
      <c r="A1136" s="1" t="s">
        <v>969</v>
      </c>
      <c r="B1136" s="2" t="s">
        <v>700</v>
      </c>
      <c r="C1136" s="3"/>
    </row>
    <row r="1137">
      <c r="A1137" s="1" t="s">
        <v>970</v>
      </c>
      <c r="B1137" s="2" t="s">
        <v>700</v>
      </c>
      <c r="C1137" s="3"/>
    </row>
    <row r="1138">
      <c r="A1138" s="1" t="s">
        <v>971</v>
      </c>
      <c r="B1138" s="2" t="s">
        <v>700</v>
      </c>
      <c r="C1138" s="3"/>
    </row>
    <row r="1139">
      <c r="A1139" s="1" t="s">
        <v>972</v>
      </c>
      <c r="B1139" s="2" t="s">
        <v>700</v>
      </c>
      <c r="C1139" s="3"/>
    </row>
    <row r="1140">
      <c r="A1140" s="1" t="s">
        <v>973</v>
      </c>
      <c r="B1140" s="2" t="s">
        <v>700</v>
      </c>
      <c r="C1140" s="3"/>
    </row>
    <row r="1141">
      <c r="A1141" s="1" t="s">
        <v>974</v>
      </c>
      <c r="B1141" s="2" t="s">
        <v>700</v>
      </c>
      <c r="C1141" s="3"/>
    </row>
    <row r="1142">
      <c r="A1142" s="1" t="s">
        <v>975</v>
      </c>
      <c r="B1142" s="2" t="s">
        <v>700</v>
      </c>
      <c r="C1142" s="3"/>
    </row>
    <row r="1143">
      <c r="A1143" s="1" t="s">
        <v>976</v>
      </c>
      <c r="B1143" s="2" t="s">
        <v>700</v>
      </c>
      <c r="C1143" s="3"/>
    </row>
    <row r="1144">
      <c r="A1144" s="1" t="s">
        <v>977</v>
      </c>
      <c r="B1144" s="2" t="s">
        <v>700</v>
      </c>
      <c r="C1144" s="3"/>
    </row>
    <row r="1145">
      <c r="A1145" s="1" t="s">
        <v>978</v>
      </c>
      <c r="B1145" s="2" t="s">
        <v>700</v>
      </c>
      <c r="C1145" s="3"/>
    </row>
    <row r="1146">
      <c r="A1146" s="1" t="s">
        <v>979</v>
      </c>
      <c r="B1146" s="2" t="s">
        <v>700</v>
      </c>
      <c r="C1146" s="3"/>
    </row>
    <row r="1147">
      <c r="A1147" s="1" t="s">
        <v>980</v>
      </c>
      <c r="B1147" s="2" t="s">
        <v>700</v>
      </c>
      <c r="C1147" s="3"/>
    </row>
    <row r="1148">
      <c r="A1148" s="1" t="s">
        <v>981</v>
      </c>
      <c r="B1148" s="2" t="s">
        <v>700</v>
      </c>
      <c r="C1148" s="3"/>
    </row>
    <row r="1149">
      <c r="A1149" s="1" t="s">
        <v>982</v>
      </c>
      <c r="B1149" s="2" t="s">
        <v>700</v>
      </c>
      <c r="C1149" s="3"/>
    </row>
    <row r="1150">
      <c r="A1150" s="1" t="s">
        <v>949</v>
      </c>
      <c r="B1150" s="2" t="s">
        <v>700</v>
      </c>
      <c r="C1150" s="3"/>
    </row>
    <row r="1151">
      <c r="A1151" s="1" t="s">
        <v>950</v>
      </c>
      <c r="B1151" s="2" t="s">
        <v>700</v>
      </c>
      <c r="C1151" s="3"/>
    </row>
    <row r="1152">
      <c r="A1152" s="1" t="s">
        <v>951</v>
      </c>
      <c r="B1152" s="2" t="s">
        <v>700</v>
      </c>
      <c r="C1152" s="3"/>
    </row>
    <row r="1153">
      <c r="A1153" s="1" t="s">
        <v>983</v>
      </c>
      <c r="B1153" s="2" t="s">
        <v>984</v>
      </c>
      <c r="C1153" s="3"/>
    </row>
    <row r="1154">
      <c r="A1154" s="1" t="s">
        <v>985</v>
      </c>
      <c r="B1154" s="2" t="s">
        <v>984</v>
      </c>
      <c r="C1154" s="3"/>
    </row>
    <row r="1155">
      <c r="A1155" s="1" t="s">
        <v>986</v>
      </c>
      <c r="B1155" s="2" t="s">
        <v>984</v>
      </c>
      <c r="C1155" s="3"/>
    </row>
    <row r="1156">
      <c r="A1156" s="1" t="s">
        <v>987</v>
      </c>
      <c r="B1156" s="2" t="s">
        <v>984</v>
      </c>
      <c r="C1156" s="3"/>
    </row>
    <row r="1157">
      <c r="A1157" s="1" t="s">
        <v>988</v>
      </c>
      <c r="B1157" s="2" t="s">
        <v>984</v>
      </c>
      <c r="C1157" s="3"/>
    </row>
    <row r="1158">
      <c r="A1158" s="1" t="s">
        <v>989</v>
      </c>
      <c r="B1158" s="2" t="s">
        <v>984</v>
      </c>
      <c r="C1158" s="3"/>
    </row>
    <row r="1159">
      <c r="A1159" s="1" t="s">
        <v>990</v>
      </c>
      <c r="B1159" s="2" t="s">
        <v>984</v>
      </c>
      <c r="C1159" s="3"/>
    </row>
    <row r="1160">
      <c r="A1160" s="1" t="s">
        <v>991</v>
      </c>
      <c r="B1160" s="2" t="s">
        <v>984</v>
      </c>
      <c r="C1160" s="3"/>
    </row>
    <row r="1161">
      <c r="A1161" s="1" t="s">
        <v>992</v>
      </c>
      <c r="B1161" s="2" t="s">
        <v>984</v>
      </c>
      <c r="C1161" s="3"/>
    </row>
    <row r="1162">
      <c r="A1162" s="1" t="s">
        <v>993</v>
      </c>
      <c r="B1162" s="2" t="s">
        <v>984</v>
      </c>
      <c r="C1162" s="3"/>
    </row>
    <row r="1163">
      <c r="A1163" s="2" t="s">
        <v>994</v>
      </c>
      <c r="B1163" s="2" t="s">
        <v>984</v>
      </c>
      <c r="C1163" s="3"/>
    </row>
    <row r="1164">
      <c r="A1164" s="2" t="s">
        <v>995</v>
      </c>
      <c r="B1164" s="2" t="s">
        <v>984</v>
      </c>
      <c r="C1164" s="3"/>
    </row>
    <row r="1165">
      <c r="A1165" s="1" t="s">
        <v>996</v>
      </c>
      <c r="B1165" s="2" t="s">
        <v>984</v>
      </c>
      <c r="C1165" s="3"/>
    </row>
    <row r="1166">
      <c r="A1166" s="1" t="s">
        <v>997</v>
      </c>
      <c r="B1166" s="2" t="s">
        <v>984</v>
      </c>
      <c r="C1166" s="3"/>
    </row>
    <row r="1167">
      <c r="A1167" s="1" t="s">
        <v>998</v>
      </c>
      <c r="B1167" s="2" t="s">
        <v>984</v>
      </c>
      <c r="C1167" s="3"/>
    </row>
    <row r="1168">
      <c r="A1168" s="1" t="s">
        <v>999</v>
      </c>
      <c r="B1168" s="2" t="s">
        <v>984</v>
      </c>
      <c r="C1168" s="3"/>
    </row>
    <row r="1169">
      <c r="A1169" s="1" t="s">
        <v>1000</v>
      </c>
      <c r="B1169" s="2" t="s">
        <v>984</v>
      </c>
      <c r="C1169" s="3"/>
    </row>
    <row r="1170">
      <c r="A1170" s="1" t="s">
        <v>1001</v>
      </c>
      <c r="B1170" s="2" t="s">
        <v>984</v>
      </c>
      <c r="C1170" s="3"/>
    </row>
    <row r="1171">
      <c r="A1171" s="1" t="s">
        <v>1002</v>
      </c>
      <c r="B1171" s="2" t="s">
        <v>984</v>
      </c>
      <c r="C1171" s="3"/>
    </row>
    <row r="1172">
      <c r="A1172" s="1" t="s">
        <v>1003</v>
      </c>
      <c r="B1172" s="2" t="s">
        <v>984</v>
      </c>
      <c r="C1172" s="3"/>
    </row>
    <row r="1173">
      <c r="A1173" s="1" t="s">
        <v>1004</v>
      </c>
      <c r="B1173" s="2" t="s">
        <v>984</v>
      </c>
      <c r="C1173" s="3"/>
    </row>
    <row r="1174">
      <c r="A1174" s="1" t="s">
        <v>1005</v>
      </c>
      <c r="B1174" s="2" t="s">
        <v>984</v>
      </c>
      <c r="C1174" s="3"/>
    </row>
    <row r="1175">
      <c r="A1175" s="1" t="s">
        <v>1006</v>
      </c>
      <c r="B1175" s="2" t="s">
        <v>984</v>
      </c>
      <c r="C1175" s="3"/>
    </row>
    <row r="1176">
      <c r="A1176" s="2" t="s">
        <v>1007</v>
      </c>
      <c r="B1176" s="2" t="s">
        <v>984</v>
      </c>
      <c r="C1176" s="3"/>
    </row>
    <row r="1177">
      <c r="A1177" s="1" t="s">
        <v>1008</v>
      </c>
      <c r="B1177" s="2" t="s">
        <v>984</v>
      </c>
      <c r="C1177" s="3"/>
    </row>
    <row r="1178">
      <c r="A1178" s="1" t="s">
        <v>1009</v>
      </c>
      <c r="B1178" s="2" t="s">
        <v>984</v>
      </c>
      <c r="C1178" s="3"/>
    </row>
    <row r="1179">
      <c r="A1179" s="1" t="s">
        <v>1010</v>
      </c>
      <c r="B1179" s="2" t="s">
        <v>984</v>
      </c>
      <c r="C1179" s="3"/>
    </row>
    <row r="1180">
      <c r="A1180" s="1" t="s">
        <v>1011</v>
      </c>
      <c r="B1180" s="2" t="s">
        <v>984</v>
      </c>
      <c r="C1180" s="3"/>
    </row>
    <row r="1181">
      <c r="A1181" s="2" t="s">
        <v>1012</v>
      </c>
      <c r="B1181" s="2" t="s">
        <v>984</v>
      </c>
      <c r="C1181" s="3"/>
    </row>
    <row r="1182">
      <c r="A1182" s="1" t="s">
        <v>1013</v>
      </c>
      <c r="B1182" s="2" t="s">
        <v>984</v>
      </c>
      <c r="C1182" s="3"/>
    </row>
    <row r="1183">
      <c r="A1183" s="1" t="s">
        <v>1014</v>
      </c>
      <c r="B1183" s="2" t="s">
        <v>984</v>
      </c>
      <c r="C1183" s="3"/>
    </row>
    <row r="1184">
      <c r="A1184" s="1" t="s">
        <v>1015</v>
      </c>
      <c r="B1184" s="2" t="s">
        <v>984</v>
      </c>
      <c r="C1184" s="3"/>
    </row>
    <row r="1185">
      <c r="A1185" s="1" t="s">
        <v>1016</v>
      </c>
      <c r="B1185" s="2" t="s">
        <v>984</v>
      </c>
      <c r="C1185" s="3"/>
    </row>
    <row r="1186">
      <c r="A1186" s="1" t="s">
        <v>1017</v>
      </c>
      <c r="B1186" s="2" t="s">
        <v>984</v>
      </c>
      <c r="C1186" s="3"/>
    </row>
    <row r="1187">
      <c r="A1187" s="1" t="s">
        <v>1018</v>
      </c>
      <c r="B1187" s="2" t="s">
        <v>984</v>
      </c>
      <c r="C1187" s="3"/>
    </row>
    <row r="1188">
      <c r="A1188" s="1" t="s">
        <v>1019</v>
      </c>
      <c r="B1188" s="2" t="s">
        <v>984</v>
      </c>
      <c r="C1188" s="3"/>
    </row>
    <row r="1189">
      <c r="A1189" s="1" t="s">
        <v>1020</v>
      </c>
      <c r="B1189" s="2" t="s">
        <v>984</v>
      </c>
      <c r="C1189" s="3"/>
    </row>
    <row r="1190">
      <c r="A1190" s="1" t="s">
        <v>1021</v>
      </c>
      <c r="B1190" s="2" t="s">
        <v>984</v>
      </c>
      <c r="C1190" s="3"/>
    </row>
    <row r="1191">
      <c r="A1191" s="1" t="s">
        <v>1022</v>
      </c>
      <c r="B1191" s="2" t="s">
        <v>984</v>
      </c>
      <c r="C1191" s="3"/>
    </row>
    <row r="1192">
      <c r="A1192" s="1" t="s">
        <v>1023</v>
      </c>
      <c r="B1192" s="2" t="s">
        <v>984</v>
      </c>
      <c r="C1192" s="3"/>
    </row>
    <row r="1193">
      <c r="A1193" s="1" t="s">
        <v>1024</v>
      </c>
      <c r="B1193" s="2" t="s">
        <v>984</v>
      </c>
      <c r="C1193" s="3"/>
    </row>
    <row r="1194">
      <c r="A1194" s="1" t="s">
        <v>1025</v>
      </c>
      <c r="B1194" s="2" t="s">
        <v>984</v>
      </c>
      <c r="C1194" s="3"/>
    </row>
    <row r="1195">
      <c r="A1195" s="1" t="s">
        <v>1026</v>
      </c>
      <c r="B1195" s="2" t="s">
        <v>984</v>
      </c>
      <c r="C1195" s="3"/>
    </row>
    <row r="1196">
      <c r="A1196" s="1" t="s">
        <v>1027</v>
      </c>
      <c r="B1196" s="2" t="s">
        <v>984</v>
      </c>
      <c r="C1196" s="3"/>
    </row>
    <row r="1197">
      <c r="A1197" s="1" t="s">
        <v>1028</v>
      </c>
      <c r="B1197" s="2" t="s">
        <v>984</v>
      </c>
      <c r="C1197" s="3"/>
    </row>
    <row r="1198">
      <c r="A1198" s="1" t="s">
        <v>1029</v>
      </c>
      <c r="B1198" s="2" t="s">
        <v>984</v>
      </c>
      <c r="C1198" s="3"/>
    </row>
    <row r="1199">
      <c r="A1199" s="1" t="s">
        <v>1030</v>
      </c>
      <c r="B1199" s="2" t="s">
        <v>984</v>
      </c>
      <c r="C1199" s="3"/>
    </row>
    <row r="1200">
      <c r="A1200" s="1" t="s">
        <v>1031</v>
      </c>
      <c r="B1200" s="2" t="s">
        <v>984</v>
      </c>
      <c r="C1200" s="3"/>
    </row>
    <row r="1201">
      <c r="A1201" s="1" t="s">
        <v>1032</v>
      </c>
      <c r="B1201" s="2" t="s">
        <v>984</v>
      </c>
      <c r="C1201" s="3"/>
    </row>
    <row r="1202">
      <c r="A1202" s="1" t="s">
        <v>1033</v>
      </c>
      <c r="B1202" s="2" t="s">
        <v>984</v>
      </c>
      <c r="C1202" s="3"/>
    </row>
    <row r="1203">
      <c r="A1203" s="1" t="s">
        <v>1034</v>
      </c>
      <c r="B1203" s="2" t="s">
        <v>984</v>
      </c>
      <c r="C1203" s="3"/>
    </row>
    <row r="1204">
      <c r="A1204" s="1" t="s">
        <v>1035</v>
      </c>
      <c r="B1204" s="2" t="s">
        <v>984</v>
      </c>
      <c r="C1204" s="3"/>
    </row>
    <row r="1205">
      <c r="A1205" s="1" t="s">
        <v>1036</v>
      </c>
      <c r="B1205" s="2" t="s">
        <v>984</v>
      </c>
      <c r="C1205" s="3"/>
    </row>
    <row r="1206">
      <c r="A1206" s="1" t="s">
        <v>1037</v>
      </c>
      <c r="B1206" s="2" t="s">
        <v>984</v>
      </c>
      <c r="C1206" s="3"/>
    </row>
    <row r="1207">
      <c r="A1207" s="1" t="s">
        <v>1038</v>
      </c>
      <c r="B1207" s="2" t="s">
        <v>984</v>
      </c>
      <c r="C1207" s="3"/>
    </row>
    <row r="1208">
      <c r="A1208" s="1" t="s">
        <v>1039</v>
      </c>
      <c r="B1208" s="2" t="s">
        <v>984</v>
      </c>
      <c r="C1208" s="3"/>
    </row>
    <row r="1209">
      <c r="A1209" s="1" t="s">
        <v>1040</v>
      </c>
      <c r="B1209" s="2" t="s">
        <v>984</v>
      </c>
      <c r="C1209" s="3"/>
    </row>
    <row r="1210">
      <c r="A1210" s="1" t="s">
        <v>1041</v>
      </c>
      <c r="B1210" s="2" t="s">
        <v>984</v>
      </c>
      <c r="C1210" s="3"/>
    </row>
    <row r="1211">
      <c r="A1211" s="2" t="s">
        <v>1042</v>
      </c>
      <c r="B1211" s="2" t="s">
        <v>984</v>
      </c>
      <c r="C1211" s="3"/>
    </row>
    <row r="1212">
      <c r="A1212" s="1" t="s">
        <v>1043</v>
      </c>
      <c r="B1212" s="2" t="s">
        <v>984</v>
      </c>
      <c r="C1212" s="3"/>
    </row>
    <row r="1213">
      <c r="A1213" s="1" t="s">
        <v>1044</v>
      </c>
      <c r="B1213" s="2" t="s">
        <v>984</v>
      </c>
      <c r="C1213" s="3"/>
    </row>
    <row r="1214">
      <c r="A1214" s="1" t="s">
        <v>1045</v>
      </c>
      <c r="B1214" s="2" t="s">
        <v>984</v>
      </c>
      <c r="C1214" s="3"/>
    </row>
    <row r="1215">
      <c r="A1215" s="1" t="s">
        <v>1046</v>
      </c>
      <c r="B1215" s="2" t="s">
        <v>984</v>
      </c>
      <c r="C1215" s="3"/>
    </row>
    <row r="1216">
      <c r="A1216" s="1" t="s">
        <v>1047</v>
      </c>
      <c r="B1216" s="2" t="s">
        <v>984</v>
      </c>
      <c r="C1216" s="3"/>
    </row>
    <row r="1217">
      <c r="A1217" s="1" t="s">
        <v>1048</v>
      </c>
      <c r="B1217" s="2" t="s">
        <v>984</v>
      </c>
      <c r="C1217" s="3"/>
    </row>
    <row r="1218">
      <c r="A1218" s="1" t="s">
        <v>1049</v>
      </c>
      <c r="B1218" s="2" t="s">
        <v>984</v>
      </c>
      <c r="C1218" s="3"/>
    </row>
    <row r="1219">
      <c r="A1219" s="1" t="s">
        <v>1050</v>
      </c>
      <c r="B1219" s="2" t="s">
        <v>984</v>
      </c>
      <c r="C1219" s="3"/>
    </row>
    <row r="1220">
      <c r="A1220" s="1" t="s">
        <v>1051</v>
      </c>
      <c r="B1220" s="2" t="s">
        <v>984</v>
      </c>
      <c r="C1220" s="3"/>
    </row>
    <row r="1221">
      <c r="A1221" s="1" t="s">
        <v>1052</v>
      </c>
      <c r="B1221" s="2" t="s">
        <v>984</v>
      </c>
      <c r="C1221" s="3"/>
    </row>
    <row r="1222">
      <c r="A1222" s="1" t="s">
        <v>1053</v>
      </c>
      <c r="B1222" s="2" t="s">
        <v>984</v>
      </c>
      <c r="C1222" s="3"/>
    </row>
    <row r="1223">
      <c r="A1223" s="1" t="s">
        <v>1054</v>
      </c>
      <c r="B1223" s="2" t="s">
        <v>984</v>
      </c>
      <c r="C1223" s="3"/>
    </row>
    <row r="1224">
      <c r="A1224" s="1" t="s">
        <v>1055</v>
      </c>
      <c r="B1224" s="2" t="s">
        <v>984</v>
      </c>
      <c r="C1224" s="3"/>
    </row>
    <row r="1225">
      <c r="A1225" s="1" t="s">
        <v>1056</v>
      </c>
      <c r="B1225" s="2" t="s">
        <v>984</v>
      </c>
      <c r="C1225" s="3"/>
    </row>
    <row r="1226">
      <c r="A1226" s="1" t="s">
        <v>1057</v>
      </c>
      <c r="B1226" s="2" t="s">
        <v>984</v>
      </c>
      <c r="C1226" s="3"/>
    </row>
    <row r="1227">
      <c r="A1227" s="1" t="s">
        <v>1058</v>
      </c>
      <c r="B1227" s="2" t="s">
        <v>984</v>
      </c>
      <c r="C1227" s="3"/>
    </row>
    <row r="1228">
      <c r="A1228" s="1" t="s">
        <v>1059</v>
      </c>
      <c r="B1228" s="2" t="s">
        <v>984</v>
      </c>
      <c r="C1228" s="3"/>
    </row>
    <row r="1229">
      <c r="A1229" s="1" t="s">
        <v>1060</v>
      </c>
      <c r="B1229" s="2" t="s">
        <v>984</v>
      </c>
      <c r="C1229" s="3"/>
    </row>
    <row r="1230">
      <c r="A1230" s="1" t="s">
        <v>1061</v>
      </c>
      <c r="B1230" s="2" t="s">
        <v>984</v>
      </c>
      <c r="C1230" s="3"/>
    </row>
    <row r="1231">
      <c r="A1231" s="1" t="s">
        <v>1062</v>
      </c>
      <c r="B1231" s="2" t="s">
        <v>984</v>
      </c>
      <c r="C1231" s="3"/>
    </row>
    <row r="1232">
      <c r="A1232" s="2" t="s">
        <v>1063</v>
      </c>
      <c r="B1232" s="2" t="s">
        <v>984</v>
      </c>
      <c r="C1232" s="3"/>
    </row>
    <row r="1233">
      <c r="A1233" s="1" t="s">
        <v>1064</v>
      </c>
      <c r="B1233" s="2" t="s">
        <v>984</v>
      </c>
      <c r="C1233" s="3"/>
    </row>
    <row r="1234">
      <c r="A1234" s="1" t="s">
        <v>1065</v>
      </c>
      <c r="B1234" s="2" t="s">
        <v>984</v>
      </c>
      <c r="C1234" s="3"/>
    </row>
    <row r="1235">
      <c r="A1235" s="1" t="s">
        <v>1066</v>
      </c>
      <c r="B1235" s="2" t="s">
        <v>984</v>
      </c>
      <c r="C1235" s="3"/>
    </row>
    <row r="1236">
      <c r="A1236" s="1" t="s">
        <v>1067</v>
      </c>
      <c r="B1236" s="2" t="s">
        <v>984</v>
      </c>
      <c r="C1236" s="3"/>
    </row>
    <row r="1237">
      <c r="A1237" s="1" t="s">
        <v>1068</v>
      </c>
      <c r="B1237" s="2" t="s">
        <v>984</v>
      </c>
      <c r="C1237" s="3"/>
    </row>
    <row r="1238">
      <c r="A1238" s="2" t="s">
        <v>1069</v>
      </c>
      <c r="B1238" s="2" t="s">
        <v>984</v>
      </c>
      <c r="C1238" s="3"/>
    </row>
    <row r="1239">
      <c r="A1239" s="1" t="s">
        <v>1070</v>
      </c>
      <c r="B1239" s="2" t="s">
        <v>984</v>
      </c>
      <c r="C1239" s="3"/>
    </row>
    <row r="1240">
      <c r="A1240" s="1" t="s">
        <v>1071</v>
      </c>
      <c r="B1240" s="2" t="s">
        <v>984</v>
      </c>
      <c r="C1240" s="3"/>
    </row>
    <row r="1241">
      <c r="A1241" s="1" t="s">
        <v>1072</v>
      </c>
      <c r="B1241" s="2" t="s">
        <v>984</v>
      </c>
      <c r="C1241" s="3"/>
    </row>
    <row r="1242">
      <c r="A1242" s="1" t="s">
        <v>1073</v>
      </c>
      <c r="B1242" s="2" t="s">
        <v>984</v>
      </c>
      <c r="C1242" s="3"/>
    </row>
    <row r="1243">
      <c r="A1243" s="1" t="s">
        <v>1074</v>
      </c>
      <c r="B1243" s="2" t="s">
        <v>984</v>
      </c>
      <c r="C1243" s="3"/>
    </row>
    <row r="1244">
      <c r="A1244" s="1" t="s">
        <v>1075</v>
      </c>
      <c r="B1244" s="2" t="s">
        <v>984</v>
      </c>
      <c r="C1244" s="3"/>
    </row>
    <row r="1245">
      <c r="A1245" s="1" t="s">
        <v>1076</v>
      </c>
      <c r="B1245" s="2" t="s">
        <v>984</v>
      </c>
      <c r="C1245" s="3"/>
    </row>
    <row r="1246">
      <c r="A1246" s="1" t="s">
        <v>1077</v>
      </c>
      <c r="B1246" s="2" t="s">
        <v>984</v>
      </c>
      <c r="C1246" s="3"/>
    </row>
    <row r="1247">
      <c r="A1247" s="2" t="s">
        <v>1078</v>
      </c>
      <c r="B1247" s="2" t="s">
        <v>1079</v>
      </c>
      <c r="C1247" s="3"/>
    </row>
    <row r="1248">
      <c r="A1248" s="1" t="s">
        <v>1080</v>
      </c>
      <c r="B1248" s="2" t="s">
        <v>1081</v>
      </c>
      <c r="C1248" s="3"/>
    </row>
    <row r="1249">
      <c r="A1249" s="1" t="s">
        <v>1082</v>
      </c>
      <c r="B1249" s="2" t="s">
        <v>1081</v>
      </c>
      <c r="C1249" s="3"/>
    </row>
    <row r="1250">
      <c r="A1250" s="1" t="s">
        <v>1083</v>
      </c>
      <c r="B1250" s="2" t="s">
        <v>1081</v>
      </c>
      <c r="C1250" s="3"/>
    </row>
    <row r="1251">
      <c r="A1251" s="1" t="s">
        <v>1084</v>
      </c>
      <c r="B1251" s="2" t="s">
        <v>1081</v>
      </c>
      <c r="C1251" s="3"/>
    </row>
    <row r="1252">
      <c r="A1252" s="1" t="s">
        <v>1085</v>
      </c>
      <c r="B1252" s="2" t="s">
        <v>1081</v>
      </c>
      <c r="C1252" s="3"/>
    </row>
    <row r="1253">
      <c r="A1253" s="1" t="s">
        <v>1086</v>
      </c>
      <c r="B1253" s="2" t="s">
        <v>1081</v>
      </c>
      <c r="C1253" s="3"/>
    </row>
    <row r="1254">
      <c r="A1254" s="1" t="s">
        <v>1087</v>
      </c>
      <c r="B1254" s="2" t="s">
        <v>1081</v>
      </c>
      <c r="C1254" s="3"/>
    </row>
    <row r="1255">
      <c r="A1255" s="1" t="s">
        <v>1088</v>
      </c>
      <c r="B1255" s="2" t="s">
        <v>1081</v>
      </c>
      <c r="C1255" s="3"/>
    </row>
    <row r="1256">
      <c r="A1256" s="1" t="s">
        <v>1089</v>
      </c>
      <c r="B1256" s="2" t="s">
        <v>1081</v>
      </c>
      <c r="C1256" s="3"/>
    </row>
    <row r="1257">
      <c r="A1257" s="1" t="s">
        <v>1090</v>
      </c>
      <c r="B1257" s="2" t="s">
        <v>1081</v>
      </c>
      <c r="C1257" s="3"/>
    </row>
    <row r="1258">
      <c r="A1258" s="1" t="s">
        <v>1091</v>
      </c>
      <c r="B1258" s="2" t="s">
        <v>1081</v>
      </c>
      <c r="C1258" s="3"/>
    </row>
    <row r="1259">
      <c r="A1259" s="1" t="s">
        <v>1092</v>
      </c>
      <c r="B1259" s="2" t="s">
        <v>1081</v>
      </c>
      <c r="C1259" s="3"/>
    </row>
    <row r="1260">
      <c r="A1260" s="1" t="s">
        <v>1093</v>
      </c>
      <c r="B1260" s="2" t="s">
        <v>1081</v>
      </c>
      <c r="C1260" s="3"/>
    </row>
    <row r="1261">
      <c r="A1261" s="1" t="s">
        <v>1094</v>
      </c>
      <c r="B1261" s="2" t="s">
        <v>1081</v>
      </c>
      <c r="C1261" s="3"/>
    </row>
    <row r="1262">
      <c r="A1262" s="1" t="s">
        <v>1095</v>
      </c>
      <c r="B1262" s="2" t="s">
        <v>1081</v>
      </c>
      <c r="C1262" s="3"/>
    </row>
    <row r="1263">
      <c r="A1263" s="1" t="s">
        <v>1096</v>
      </c>
      <c r="B1263" s="2" t="s">
        <v>1081</v>
      </c>
      <c r="C1263" s="3"/>
    </row>
    <row r="1264">
      <c r="A1264" s="1" t="s">
        <v>1097</v>
      </c>
      <c r="B1264" s="2" t="s">
        <v>1081</v>
      </c>
      <c r="C1264" s="3"/>
    </row>
    <row r="1265">
      <c r="A1265" s="1" t="s">
        <v>1098</v>
      </c>
      <c r="B1265" s="2" t="s">
        <v>1081</v>
      </c>
      <c r="C1265" s="3"/>
    </row>
    <row r="1266">
      <c r="A1266" s="1" t="s">
        <v>1099</v>
      </c>
      <c r="B1266" s="2" t="s">
        <v>1081</v>
      </c>
      <c r="C1266" s="3"/>
    </row>
    <row r="1267">
      <c r="A1267" s="1" t="s">
        <v>1100</v>
      </c>
      <c r="B1267" s="2" t="s">
        <v>1081</v>
      </c>
      <c r="C1267" s="3"/>
    </row>
    <row r="1268">
      <c r="A1268" s="1" t="s">
        <v>1101</v>
      </c>
      <c r="B1268" s="2" t="s">
        <v>1081</v>
      </c>
      <c r="C1268" s="3"/>
    </row>
    <row r="1269">
      <c r="A1269" s="1" t="s">
        <v>1102</v>
      </c>
      <c r="B1269" s="2" t="s">
        <v>1081</v>
      </c>
      <c r="C1269" s="3"/>
    </row>
    <row r="1270">
      <c r="A1270" s="1" t="s">
        <v>1103</v>
      </c>
      <c r="B1270" s="2" t="s">
        <v>1081</v>
      </c>
      <c r="C1270" s="3"/>
    </row>
    <row r="1271">
      <c r="A1271" s="1" t="s">
        <v>1104</v>
      </c>
      <c r="B1271" s="2" t="s">
        <v>1081</v>
      </c>
      <c r="C1271" s="3"/>
    </row>
    <row r="1272">
      <c r="A1272" s="1" t="s">
        <v>1105</v>
      </c>
      <c r="B1272" s="2" t="s">
        <v>1081</v>
      </c>
      <c r="C1272" s="3"/>
    </row>
    <row r="1273">
      <c r="A1273" s="1" t="s">
        <v>1106</v>
      </c>
      <c r="B1273" s="2" t="s">
        <v>1081</v>
      </c>
      <c r="C1273" s="3"/>
    </row>
    <row r="1274">
      <c r="A1274" s="1" t="s">
        <v>1107</v>
      </c>
      <c r="B1274" s="2" t="s">
        <v>1081</v>
      </c>
      <c r="C1274" s="3"/>
    </row>
    <row r="1275">
      <c r="A1275" s="1" t="s">
        <v>1108</v>
      </c>
      <c r="B1275" s="2" t="s">
        <v>1081</v>
      </c>
      <c r="C1275" s="3"/>
    </row>
    <row r="1276">
      <c r="A1276" s="1" t="s">
        <v>1109</v>
      </c>
      <c r="B1276" s="2" t="s">
        <v>1081</v>
      </c>
      <c r="C1276" s="3"/>
    </row>
    <row r="1277">
      <c r="A1277" s="1" t="s">
        <v>1110</v>
      </c>
      <c r="B1277" s="2" t="s">
        <v>1081</v>
      </c>
      <c r="C1277" s="3"/>
    </row>
    <row r="1278">
      <c r="A1278" s="1" t="s">
        <v>1111</v>
      </c>
      <c r="B1278" s="2" t="s">
        <v>1081</v>
      </c>
      <c r="C1278" s="3"/>
    </row>
    <row r="1279">
      <c r="A1279" s="1" t="s">
        <v>1112</v>
      </c>
      <c r="B1279" s="2" t="s">
        <v>1081</v>
      </c>
      <c r="C1279" s="3"/>
    </row>
    <row r="1280">
      <c r="A1280" s="1" t="s">
        <v>1113</v>
      </c>
      <c r="B1280" s="2" t="s">
        <v>1081</v>
      </c>
      <c r="C1280" s="3"/>
    </row>
    <row r="1281">
      <c r="A1281" s="1" t="s">
        <v>1114</v>
      </c>
      <c r="B1281" s="2" t="s">
        <v>1081</v>
      </c>
      <c r="C1281" s="3"/>
    </row>
    <row r="1282">
      <c r="A1282" s="1" t="s">
        <v>1115</v>
      </c>
      <c r="B1282" s="2" t="s">
        <v>1081</v>
      </c>
      <c r="C1282" s="3"/>
    </row>
    <row r="1283">
      <c r="A1283" s="1" t="s">
        <v>1116</v>
      </c>
      <c r="B1283" s="2" t="s">
        <v>1081</v>
      </c>
      <c r="C1283" s="3"/>
    </row>
    <row r="1284">
      <c r="A1284" s="1" t="s">
        <v>1117</v>
      </c>
      <c r="B1284" s="2" t="s">
        <v>1081</v>
      </c>
      <c r="C1284" s="3"/>
    </row>
    <row r="1285">
      <c r="A1285" s="1" t="s">
        <v>1118</v>
      </c>
      <c r="B1285" s="2" t="s">
        <v>1081</v>
      </c>
      <c r="C1285" s="3"/>
    </row>
    <row r="1286">
      <c r="A1286" s="1" t="s">
        <v>1119</v>
      </c>
      <c r="B1286" s="2" t="s">
        <v>1081</v>
      </c>
      <c r="C1286" s="3"/>
    </row>
    <row r="1287">
      <c r="A1287" s="1" t="s">
        <v>1120</v>
      </c>
      <c r="B1287" s="2" t="s">
        <v>1081</v>
      </c>
      <c r="C1287" s="3"/>
    </row>
    <row r="1288">
      <c r="A1288" s="1" t="s">
        <v>1121</v>
      </c>
      <c r="B1288" s="2" t="s">
        <v>1081</v>
      </c>
      <c r="C1288" s="3"/>
    </row>
    <row r="1289">
      <c r="A1289" s="1" t="s">
        <v>1122</v>
      </c>
      <c r="B1289" s="2" t="s">
        <v>1081</v>
      </c>
      <c r="C1289" s="3"/>
    </row>
    <row r="1290">
      <c r="A1290" s="1" t="s">
        <v>1123</v>
      </c>
      <c r="B1290" s="2" t="s">
        <v>1081</v>
      </c>
      <c r="C1290" s="3"/>
    </row>
    <row r="1291">
      <c r="A1291" s="1" t="s">
        <v>1124</v>
      </c>
      <c r="B1291" s="2" t="s">
        <v>1081</v>
      </c>
      <c r="C1291" s="3"/>
    </row>
    <row r="1292">
      <c r="A1292" s="1" t="s">
        <v>1125</v>
      </c>
      <c r="B1292" s="2" t="s">
        <v>1081</v>
      </c>
      <c r="C1292" s="3"/>
    </row>
    <row r="1293">
      <c r="A1293" s="1" t="s">
        <v>1126</v>
      </c>
      <c r="B1293" s="2" t="s">
        <v>1081</v>
      </c>
      <c r="C1293" s="3"/>
    </row>
    <row r="1294">
      <c r="A1294" s="1" t="s">
        <v>1127</v>
      </c>
      <c r="B1294" s="2" t="s">
        <v>1081</v>
      </c>
      <c r="C1294" s="3"/>
    </row>
    <row r="1295">
      <c r="A1295" s="1" t="s">
        <v>1128</v>
      </c>
      <c r="B1295" s="2" t="s">
        <v>1081</v>
      </c>
      <c r="C1295" s="3"/>
    </row>
    <row r="1296">
      <c r="A1296" s="1" t="s">
        <v>1129</v>
      </c>
      <c r="B1296" s="2" t="s">
        <v>1081</v>
      </c>
      <c r="C1296" s="3"/>
    </row>
    <row r="1297">
      <c r="A1297" s="1" t="s">
        <v>1130</v>
      </c>
      <c r="B1297" s="2" t="s">
        <v>1081</v>
      </c>
      <c r="C1297" s="3"/>
    </row>
    <row r="1298">
      <c r="A1298" s="1" t="s">
        <v>1131</v>
      </c>
      <c r="B1298" s="2" t="s">
        <v>1081</v>
      </c>
      <c r="C1298" s="3"/>
    </row>
    <row r="1299">
      <c r="A1299" s="1" t="s">
        <v>1132</v>
      </c>
      <c r="B1299" s="2" t="s">
        <v>1081</v>
      </c>
      <c r="C1299" s="3"/>
    </row>
    <row r="1300">
      <c r="A1300" s="1" t="s">
        <v>1133</v>
      </c>
      <c r="B1300" s="2" t="s">
        <v>1081</v>
      </c>
      <c r="C1300" s="3"/>
    </row>
    <row r="1301">
      <c r="A1301" s="1" t="s">
        <v>1134</v>
      </c>
      <c r="B1301" s="2" t="s">
        <v>1081</v>
      </c>
      <c r="C1301" s="3"/>
    </row>
    <row r="1302">
      <c r="A1302" s="1" t="s">
        <v>1135</v>
      </c>
      <c r="B1302" s="2" t="s">
        <v>1081</v>
      </c>
      <c r="C1302" s="3"/>
    </row>
    <row r="1303">
      <c r="A1303" s="1" t="s">
        <v>1136</v>
      </c>
      <c r="B1303" s="2" t="s">
        <v>1081</v>
      </c>
      <c r="C1303" s="3"/>
    </row>
    <row r="1304">
      <c r="A1304" s="1" t="s">
        <v>1137</v>
      </c>
      <c r="B1304" s="2" t="s">
        <v>1081</v>
      </c>
      <c r="C1304" s="3"/>
    </row>
    <row r="1305">
      <c r="A1305" s="1" t="s">
        <v>1138</v>
      </c>
      <c r="B1305" s="2" t="s">
        <v>1081</v>
      </c>
      <c r="C1305" s="3"/>
    </row>
    <row r="1306">
      <c r="A1306" s="1" t="s">
        <v>1139</v>
      </c>
      <c r="B1306" s="2" t="s">
        <v>1081</v>
      </c>
      <c r="C1306" s="3"/>
    </row>
    <row r="1307">
      <c r="A1307" s="1" t="s">
        <v>1140</v>
      </c>
      <c r="B1307" s="2" t="s">
        <v>1081</v>
      </c>
      <c r="C1307" s="3"/>
    </row>
    <row r="1308">
      <c r="A1308" s="1" t="s">
        <v>1141</v>
      </c>
      <c r="B1308" s="2" t="s">
        <v>1081</v>
      </c>
      <c r="C1308" s="3"/>
    </row>
    <row r="1309">
      <c r="A1309" s="1" t="s">
        <v>1142</v>
      </c>
      <c r="B1309" s="2" t="s">
        <v>1081</v>
      </c>
      <c r="C1309" s="3"/>
    </row>
    <row r="1310">
      <c r="A1310" s="1" t="s">
        <v>1143</v>
      </c>
      <c r="B1310" s="2" t="s">
        <v>1081</v>
      </c>
      <c r="C1310" s="3"/>
    </row>
    <row r="1311">
      <c r="A1311" s="1" t="s">
        <v>1144</v>
      </c>
      <c r="B1311" s="2" t="s">
        <v>1081</v>
      </c>
      <c r="C1311" s="3"/>
    </row>
    <row r="1312">
      <c r="A1312" s="1" t="s">
        <v>1145</v>
      </c>
      <c r="B1312" s="2" t="s">
        <v>1081</v>
      </c>
      <c r="C1312" s="3"/>
    </row>
    <row r="1313">
      <c r="A1313" s="1" t="s">
        <v>1146</v>
      </c>
      <c r="B1313" s="2" t="s">
        <v>1081</v>
      </c>
      <c r="C1313" s="3"/>
    </row>
    <row r="1314">
      <c r="A1314" s="1" t="s">
        <v>1147</v>
      </c>
      <c r="B1314" s="2" t="s">
        <v>1081</v>
      </c>
      <c r="C1314" s="3"/>
    </row>
    <row r="1315">
      <c r="A1315" s="1" t="s">
        <v>1148</v>
      </c>
      <c r="B1315" s="2" t="s">
        <v>1081</v>
      </c>
      <c r="C1315" s="3"/>
    </row>
    <row r="1316">
      <c r="A1316" s="1" t="s">
        <v>1149</v>
      </c>
      <c r="B1316" s="2" t="s">
        <v>1081</v>
      </c>
      <c r="C1316" s="3"/>
    </row>
    <row r="1317">
      <c r="A1317" s="1" t="s">
        <v>1150</v>
      </c>
      <c r="B1317" s="2" t="s">
        <v>1081</v>
      </c>
      <c r="C1317" s="3"/>
    </row>
    <row r="1318">
      <c r="A1318" s="1" t="s">
        <v>1151</v>
      </c>
      <c r="B1318" s="2" t="s">
        <v>1081</v>
      </c>
      <c r="C1318" s="3"/>
    </row>
    <row r="1319">
      <c r="A1319" s="1" t="s">
        <v>1152</v>
      </c>
      <c r="B1319" s="2" t="s">
        <v>1081</v>
      </c>
      <c r="C1319" s="3"/>
    </row>
    <row r="1320">
      <c r="A1320" s="1" t="s">
        <v>1153</v>
      </c>
      <c r="B1320" s="2" t="s">
        <v>1081</v>
      </c>
      <c r="C1320" s="3"/>
    </row>
    <row r="1321">
      <c r="A1321" s="1" t="s">
        <v>1129</v>
      </c>
      <c r="B1321" s="2" t="s">
        <v>1081</v>
      </c>
      <c r="C1321" s="3"/>
    </row>
    <row r="1322">
      <c r="A1322" s="1" t="s">
        <v>1130</v>
      </c>
      <c r="B1322" s="2" t="s">
        <v>1081</v>
      </c>
      <c r="C1322" s="3"/>
    </row>
    <row r="1323">
      <c r="A1323" s="1" t="s">
        <v>1154</v>
      </c>
      <c r="B1323" s="2" t="s">
        <v>1081</v>
      </c>
      <c r="C1323" s="3"/>
    </row>
    <row r="1324">
      <c r="A1324" s="1" t="s">
        <v>1155</v>
      </c>
      <c r="B1324" s="2" t="s">
        <v>1081</v>
      </c>
      <c r="C1324" s="3"/>
    </row>
    <row r="1325">
      <c r="A1325" s="1" t="s">
        <v>1156</v>
      </c>
      <c r="B1325" s="2" t="s">
        <v>1081</v>
      </c>
      <c r="C1325" s="3"/>
    </row>
    <row r="1326">
      <c r="A1326" s="1" t="s">
        <v>1157</v>
      </c>
      <c r="B1326" s="2" t="s">
        <v>1081</v>
      </c>
      <c r="C1326" s="3"/>
    </row>
    <row r="1327">
      <c r="A1327" s="1" t="s">
        <v>1158</v>
      </c>
      <c r="B1327" s="2" t="s">
        <v>1081</v>
      </c>
      <c r="C1327" s="3"/>
    </row>
    <row r="1328">
      <c r="A1328" s="1" t="s">
        <v>1159</v>
      </c>
      <c r="B1328" s="2" t="s">
        <v>1081</v>
      </c>
      <c r="C1328" s="3"/>
    </row>
    <row r="1329">
      <c r="A1329" s="1" t="s">
        <v>1160</v>
      </c>
      <c r="B1329" s="2" t="s">
        <v>1081</v>
      </c>
      <c r="C1329" s="3"/>
    </row>
    <row r="1330">
      <c r="A1330" s="1" t="s">
        <v>1161</v>
      </c>
      <c r="B1330" s="2" t="s">
        <v>1081</v>
      </c>
      <c r="C1330" s="3"/>
    </row>
    <row r="1331">
      <c r="A1331" s="1" t="s">
        <v>1162</v>
      </c>
      <c r="B1331" s="2" t="s">
        <v>1081</v>
      </c>
      <c r="C1331" s="3"/>
    </row>
    <row r="1332">
      <c r="A1332" s="1" t="s">
        <v>1163</v>
      </c>
      <c r="B1332" s="2" t="s">
        <v>1081</v>
      </c>
      <c r="C1332" s="3"/>
    </row>
    <row r="1333">
      <c r="A1333" s="1" t="s">
        <v>1164</v>
      </c>
      <c r="B1333" s="2" t="s">
        <v>1081</v>
      </c>
      <c r="C1333" s="3"/>
    </row>
    <row r="1334">
      <c r="A1334" s="1" t="s">
        <v>1165</v>
      </c>
      <c r="B1334" s="2" t="s">
        <v>1081</v>
      </c>
      <c r="C1334" s="3"/>
    </row>
    <row r="1335">
      <c r="A1335" s="1" t="s">
        <v>1166</v>
      </c>
      <c r="B1335" s="2" t="s">
        <v>1081</v>
      </c>
      <c r="C1335" s="3"/>
    </row>
    <row r="1336">
      <c r="A1336" s="1" t="s">
        <v>1167</v>
      </c>
      <c r="B1336" s="2" t="s">
        <v>1081</v>
      </c>
      <c r="C1336" s="3"/>
    </row>
    <row r="1337">
      <c r="A1337" s="1" t="s">
        <v>1168</v>
      </c>
      <c r="B1337" s="2" t="s">
        <v>1081</v>
      </c>
      <c r="C1337" s="3"/>
    </row>
    <row r="1338">
      <c r="A1338" s="1" t="s">
        <v>1169</v>
      </c>
      <c r="B1338" s="2" t="s">
        <v>1081</v>
      </c>
      <c r="C1338" s="3"/>
    </row>
    <row r="1339">
      <c r="A1339" s="1" t="s">
        <v>1170</v>
      </c>
      <c r="B1339" s="2" t="s">
        <v>1081</v>
      </c>
      <c r="C1339" s="3"/>
    </row>
    <row r="1340">
      <c r="A1340" s="1" t="s">
        <v>1171</v>
      </c>
      <c r="B1340" s="2" t="s">
        <v>1081</v>
      </c>
      <c r="C1340" s="3"/>
    </row>
    <row r="1341">
      <c r="A1341" s="1" t="s">
        <v>1172</v>
      </c>
      <c r="B1341" s="2" t="s">
        <v>1081</v>
      </c>
      <c r="C1341" s="3"/>
    </row>
    <row r="1342">
      <c r="A1342" s="1" t="s">
        <v>1173</v>
      </c>
      <c r="B1342" s="2" t="s">
        <v>1081</v>
      </c>
      <c r="C1342" s="3"/>
    </row>
    <row r="1343">
      <c r="A1343" s="1" t="s">
        <v>1174</v>
      </c>
      <c r="B1343" s="2" t="s">
        <v>1081</v>
      </c>
      <c r="C1343" s="3"/>
    </row>
    <row r="1344">
      <c r="A1344" s="1" t="s">
        <v>1175</v>
      </c>
      <c r="B1344" s="2" t="s">
        <v>1081</v>
      </c>
      <c r="C1344" s="3"/>
    </row>
    <row r="1345">
      <c r="A1345" s="1" t="s">
        <v>1176</v>
      </c>
      <c r="B1345" s="2" t="s">
        <v>1081</v>
      </c>
      <c r="C1345" s="3"/>
    </row>
    <row r="1346">
      <c r="A1346" s="1" t="s">
        <v>1177</v>
      </c>
      <c r="B1346" s="2" t="s">
        <v>1081</v>
      </c>
      <c r="C1346" s="3"/>
    </row>
    <row r="1347">
      <c r="A1347" s="1" t="s">
        <v>1178</v>
      </c>
      <c r="B1347" s="2" t="s">
        <v>1081</v>
      </c>
      <c r="C1347" s="3"/>
    </row>
    <row r="1348">
      <c r="A1348" s="1" t="s">
        <v>1146</v>
      </c>
      <c r="B1348" s="2" t="s">
        <v>1081</v>
      </c>
      <c r="C1348" s="3"/>
    </row>
    <row r="1349">
      <c r="A1349" s="1" t="s">
        <v>1147</v>
      </c>
      <c r="B1349" s="2" t="s">
        <v>1081</v>
      </c>
      <c r="C1349" s="3"/>
    </row>
    <row r="1350">
      <c r="A1350" s="1" t="s">
        <v>1148</v>
      </c>
      <c r="B1350" s="2" t="s">
        <v>1081</v>
      </c>
      <c r="C1350" s="3"/>
    </row>
    <row r="1351">
      <c r="A1351" s="1" t="s">
        <v>1149</v>
      </c>
      <c r="B1351" s="2" t="s">
        <v>1081</v>
      </c>
      <c r="C1351" s="3"/>
    </row>
    <row r="1352">
      <c r="A1352" s="1" t="s">
        <v>1150</v>
      </c>
      <c r="B1352" s="2" t="s">
        <v>1081</v>
      </c>
      <c r="C1352" s="3"/>
    </row>
    <row r="1353">
      <c r="A1353" s="1" t="s">
        <v>1151</v>
      </c>
      <c r="B1353" s="2" t="s">
        <v>1081</v>
      </c>
      <c r="C1353" s="3"/>
    </row>
    <row r="1354">
      <c r="A1354" s="1" t="s">
        <v>1152</v>
      </c>
      <c r="B1354" s="2" t="s">
        <v>1081</v>
      </c>
      <c r="C1354" s="3"/>
    </row>
    <row r="1355">
      <c r="A1355" s="1" t="s">
        <v>1153</v>
      </c>
      <c r="B1355" s="2" t="s">
        <v>1081</v>
      </c>
      <c r="C1355" s="3"/>
    </row>
    <row r="1356">
      <c r="A1356" s="1" t="s">
        <v>1179</v>
      </c>
      <c r="B1356" s="2" t="s">
        <v>1081</v>
      </c>
      <c r="C1356" s="3"/>
    </row>
    <row r="1357">
      <c r="A1357" s="1" t="s">
        <v>1180</v>
      </c>
      <c r="B1357" s="2" t="s">
        <v>1181</v>
      </c>
      <c r="C1357" s="3"/>
    </row>
    <row r="1358">
      <c r="A1358" s="1" t="s">
        <v>1182</v>
      </c>
      <c r="B1358" s="2" t="s">
        <v>1181</v>
      </c>
      <c r="C1358" s="3"/>
    </row>
    <row r="1359">
      <c r="A1359" s="1" t="s">
        <v>1183</v>
      </c>
      <c r="B1359" s="2" t="s">
        <v>1181</v>
      </c>
      <c r="C1359" s="3"/>
    </row>
    <row r="1360">
      <c r="A1360" s="1" t="s">
        <v>1184</v>
      </c>
      <c r="B1360" s="2" t="s">
        <v>1181</v>
      </c>
      <c r="C1360" s="3"/>
    </row>
    <row r="1361">
      <c r="A1361" s="1" t="s">
        <v>1185</v>
      </c>
      <c r="B1361" s="2" t="s">
        <v>1181</v>
      </c>
      <c r="C1361" s="3"/>
    </row>
    <row r="1362">
      <c r="A1362" s="1" t="s">
        <v>1186</v>
      </c>
      <c r="B1362" s="2" t="s">
        <v>1181</v>
      </c>
      <c r="C1362" s="3"/>
    </row>
    <row r="1363">
      <c r="A1363" s="1" t="s">
        <v>1187</v>
      </c>
      <c r="B1363" s="2" t="s">
        <v>1181</v>
      </c>
      <c r="C1363" s="3"/>
    </row>
    <row r="1364">
      <c r="A1364" s="1" t="s">
        <v>1188</v>
      </c>
      <c r="B1364" s="2" t="s">
        <v>1181</v>
      </c>
      <c r="C1364" s="3"/>
    </row>
    <row r="1365">
      <c r="A1365" s="1" t="s">
        <v>1189</v>
      </c>
      <c r="B1365" s="2" t="s">
        <v>1181</v>
      </c>
      <c r="C1365" s="3"/>
    </row>
    <row r="1366">
      <c r="A1366" s="1" t="s">
        <v>1190</v>
      </c>
      <c r="B1366" s="2" t="s">
        <v>1181</v>
      </c>
      <c r="C1366" s="3"/>
    </row>
    <row r="1367">
      <c r="A1367" s="1" t="s">
        <v>1191</v>
      </c>
      <c r="B1367" s="2" t="s">
        <v>1181</v>
      </c>
      <c r="C1367" s="3"/>
    </row>
    <row r="1368">
      <c r="A1368" s="1" t="s">
        <v>1192</v>
      </c>
      <c r="B1368" s="2" t="s">
        <v>1181</v>
      </c>
      <c r="C1368" s="3"/>
    </row>
    <row r="1369">
      <c r="A1369" s="1" t="s">
        <v>1193</v>
      </c>
      <c r="B1369" s="2" t="s">
        <v>1181</v>
      </c>
      <c r="C1369" s="3"/>
    </row>
    <row r="1370">
      <c r="A1370" s="1" t="s">
        <v>1194</v>
      </c>
      <c r="B1370" s="2" t="s">
        <v>1181</v>
      </c>
      <c r="C1370" s="3"/>
    </row>
    <row r="1371">
      <c r="A1371" s="1" t="s">
        <v>1195</v>
      </c>
      <c r="B1371" s="2" t="s">
        <v>1181</v>
      </c>
      <c r="C1371" s="3"/>
    </row>
    <row r="1372">
      <c r="A1372" s="1" t="s">
        <v>1196</v>
      </c>
      <c r="B1372" s="2" t="s">
        <v>1181</v>
      </c>
      <c r="C1372" s="3"/>
    </row>
    <row r="1373">
      <c r="A1373" s="1" t="s">
        <v>1197</v>
      </c>
      <c r="B1373" s="2" t="s">
        <v>1181</v>
      </c>
      <c r="C1373" s="3"/>
    </row>
    <row r="1374">
      <c r="A1374" s="1" t="s">
        <v>1198</v>
      </c>
      <c r="B1374" s="2" t="s">
        <v>1181</v>
      </c>
      <c r="C1374" s="3"/>
    </row>
    <row r="1375">
      <c r="A1375" s="1" t="s">
        <v>1199</v>
      </c>
      <c r="B1375" s="2" t="s">
        <v>1181</v>
      </c>
      <c r="C1375" s="3"/>
    </row>
    <row r="1376">
      <c r="A1376" s="1" t="s">
        <v>1200</v>
      </c>
      <c r="B1376" s="2" t="s">
        <v>1181</v>
      </c>
      <c r="C1376" s="3"/>
    </row>
    <row r="1377">
      <c r="A1377" s="1" t="s">
        <v>1201</v>
      </c>
      <c r="B1377" s="2" t="s">
        <v>1181</v>
      </c>
      <c r="C1377" s="3"/>
    </row>
    <row r="1378">
      <c r="A1378" s="1" t="s">
        <v>1202</v>
      </c>
      <c r="B1378" s="2" t="s">
        <v>1181</v>
      </c>
      <c r="C1378" s="3"/>
    </row>
    <row r="1379">
      <c r="A1379" s="1" t="s">
        <v>1203</v>
      </c>
      <c r="B1379" s="2" t="s">
        <v>1181</v>
      </c>
      <c r="C1379" s="3"/>
    </row>
    <row r="1380">
      <c r="A1380" s="1" t="s">
        <v>1204</v>
      </c>
      <c r="B1380" s="2" t="s">
        <v>1181</v>
      </c>
      <c r="C1380" s="3"/>
    </row>
    <row r="1381">
      <c r="A1381" s="1" t="s">
        <v>1205</v>
      </c>
      <c r="B1381" s="2" t="s">
        <v>1181</v>
      </c>
      <c r="C1381" s="3"/>
    </row>
    <row r="1382">
      <c r="A1382" s="1" t="s">
        <v>1206</v>
      </c>
      <c r="B1382" s="2" t="s">
        <v>1181</v>
      </c>
      <c r="C1382" s="3"/>
    </row>
    <row r="1383">
      <c r="A1383" s="1" t="s">
        <v>1207</v>
      </c>
      <c r="B1383" s="2" t="s">
        <v>1181</v>
      </c>
      <c r="C1383" s="3"/>
    </row>
    <row r="1384">
      <c r="A1384" s="1" t="s">
        <v>1208</v>
      </c>
      <c r="B1384" s="2" t="s">
        <v>1181</v>
      </c>
      <c r="C1384" s="3"/>
    </row>
    <row r="1385">
      <c r="A1385" s="1" t="s">
        <v>1209</v>
      </c>
      <c r="B1385" s="2" t="s">
        <v>1181</v>
      </c>
      <c r="C1385" s="3"/>
    </row>
    <row r="1386">
      <c r="A1386" s="1" t="s">
        <v>1210</v>
      </c>
      <c r="B1386" s="2" t="s">
        <v>1181</v>
      </c>
      <c r="C1386" s="3"/>
    </row>
    <row r="1387">
      <c r="A1387" s="1" t="s">
        <v>1211</v>
      </c>
      <c r="B1387" s="2" t="s">
        <v>1181</v>
      </c>
      <c r="C1387" s="3"/>
    </row>
    <row r="1388">
      <c r="A1388" s="1" t="s">
        <v>1212</v>
      </c>
      <c r="B1388" s="2" t="s">
        <v>1181</v>
      </c>
      <c r="C1388" s="3"/>
    </row>
    <row r="1389">
      <c r="A1389" s="1" t="s">
        <v>1213</v>
      </c>
      <c r="B1389" s="2" t="s">
        <v>1181</v>
      </c>
      <c r="C1389" s="3"/>
    </row>
    <row r="1390">
      <c r="A1390" s="1" t="s">
        <v>1214</v>
      </c>
      <c r="B1390" s="2" t="s">
        <v>1181</v>
      </c>
      <c r="C1390" s="3"/>
    </row>
    <row r="1391">
      <c r="A1391" s="1" t="s">
        <v>1215</v>
      </c>
      <c r="B1391" s="2" t="s">
        <v>1181</v>
      </c>
      <c r="C1391" s="3"/>
    </row>
    <row r="1392">
      <c r="A1392" s="1" t="s">
        <v>1216</v>
      </c>
      <c r="B1392" s="2" t="s">
        <v>1181</v>
      </c>
      <c r="C1392" s="3"/>
    </row>
    <row r="1393">
      <c r="A1393" s="1" t="s">
        <v>1217</v>
      </c>
      <c r="B1393" s="2" t="s">
        <v>1181</v>
      </c>
      <c r="C1393" s="3"/>
    </row>
    <row r="1394">
      <c r="A1394" s="1" t="s">
        <v>1218</v>
      </c>
      <c r="B1394" s="2" t="s">
        <v>1181</v>
      </c>
      <c r="C1394" s="3"/>
    </row>
    <row r="1395">
      <c r="A1395" s="1" t="s">
        <v>1219</v>
      </c>
      <c r="B1395" s="2" t="s">
        <v>1181</v>
      </c>
      <c r="C1395" s="3"/>
    </row>
    <row r="1396">
      <c r="A1396" s="1" t="s">
        <v>1220</v>
      </c>
      <c r="B1396" s="2" t="s">
        <v>1181</v>
      </c>
      <c r="C1396" s="3"/>
    </row>
    <row r="1397">
      <c r="A1397" s="1" t="s">
        <v>1221</v>
      </c>
      <c r="B1397" s="2" t="s">
        <v>1181</v>
      </c>
      <c r="C1397" s="3"/>
    </row>
    <row r="1398">
      <c r="A1398" s="1" t="s">
        <v>1222</v>
      </c>
      <c r="B1398" s="2" t="s">
        <v>1181</v>
      </c>
      <c r="C1398" s="3"/>
    </row>
    <row r="1399">
      <c r="A1399" s="1" t="s">
        <v>1223</v>
      </c>
      <c r="B1399" s="2" t="s">
        <v>1181</v>
      </c>
      <c r="C1399" s="3"/>
    </row>
    <row r="1400">
      <c r="A1400" s="1" t="s">
        <v>1224</v>
      </c>
      <c r="B1400" s="2" t="s">
        <v>1181</v>
      </c>
      <c r="C1400" s="3"/>
    </row>
    <row r="1401">
      <c r="A1401" s="1" t="s">
        <v>1225</v>
      </c>
      <c r="B1401" s="2" t="s">
        <v>1181</v>
      </c>
      <c r="C1401" s="3"/>
    </row>
    <row r="1402">
      <c r="A1402" s="1" t="s">
        <v>1226</v>
      </c>
      <c r="B1402" s="2" t="s">
        <v>1181</v>
      </c>
      <c r="C1402" s="3"/>
    </row>
    <row r="1403">
      <c r="A1403" s="1" t="s">
        <v>1227</v>
      </c>
      <c r="B1403" s="2" t="s">
        <v>1181</v>
      </c>
      <c r="C1403" s="3"/>
    </row>
    <row r="1404">
      <c r="A1404" s="1" t="s">
        <v>1228</v>
      </c>
      <c r="B1404" s="2" t="s">
        <v>1181</v>
      </c>
      <c r="C1404" s="3"/>
    </row>
    <row r="1405">
      <c r="A1405" s="1" t="s">
        <v>1229</v>
      </c>
      <c r="B1405" s="2" t="s">
        <v>1181</v>
      </c>
      <c r="C1405" s="3"/>
    </row>
    <row r="1406">
      <c r="A1406" s="1" t="s">
        <v>1230</v>
      </c>
      <c r="B1406" s="2" t="s">
        <v>1181</v>
      </c>
      <c r="C1406" s="3"/>
    </row>
    <row r="1407">
      <c r="A1407" s="1" t="s">
        <v>1231</v>
      </c>
      <c r="B1407" s="2" t="s">
        <v>1181</v>
      </c>
      <c r="C1407" s="3"/>
    </row>
    <row r="1408">
      <c r="A1408" s="1" t="s">
        <v>1232</v>
      </c>
      <c r="B1408" s="2" t="s">
        <v>1181</v>
      </c>
      <c r="C1408" s="3"/>
    </row>
    <row r="1409">
      <c r="A1409" s="1" t="s">
        <v>1233</v>
      </c>
      <c r="B1409" s="2" t="s">
        <v>1181</v>
      </c>
      <c r="C1409" s="3"/>
    </row>
    <row r="1410">
      <c r="A1410" s="1" t="s">
        <v>1234</v>
      </c>
      <c r="B1410" s="2" t="s">
        <v>1181</v>
      </c>
      <c r="C1410" s="3"/>
    </row>
    <row r="1411">
      <c r="A1411" s="1" t="s">
        <v>1235</v>
      </c>
      <c r="B1411" s="2" t="s">
        <v>1181</v>
      </c>
      <c r="C1411" s="3"/>
    </row>
    <row r="1412">
      <c r="A1412" s="1" t="s">
        <v>1236</v>
      </c>
      <c r="B1412" s="2" t="s">
        <v>1181</v>
      </c>
      <c r="C1412" s="3"/>
    </row>
    <row r="1413">
      <c r="A1413" s="1" t="s">
        <v>1237</v>
      </c>
      <c r="B1413" s="2" t="s">
        <v>1181</v>
      </c>
      <c r="C1413" s="3"/>
    </row>
    <row r="1414">
      <c r="A1414" s="1" t="s">
        <v>1238</v>
      </c>
      <c r="B1414" s="2" t="s">
        <v>1181</v>
      </c>
      <c r="C1414" s="3"/>
    </row>
    <row r="1415">
      <c r="A1415" s="1" t="s">
        <v>1239</v>
      </c>
      <c r="B1415" s="2" t="s">
        <v>1181</v>
      </c>
      <c r="C1415" s="3"/>
    </row>
    <row r="1416">
      <c r="A1416" s="1" t="s">
        <v>1240</v>
      </c>
      <c r="B1416" s="2" t="s">
        <v>1181</v>
      </c>
      <c r="C1416" s="3"/>
    </row>
    <row r="1417">
      <c r="A1417" s="1" t="s">
        <v>1241</v>
      </c>
      <c r="B1417" s="2" t="s">
        <v>1181</v>
      </c>
      <c r="C1417" s="3"/>
    </row>
    <row r="1418">
      <c r="A1418" s="1" t="s">
        <v>1242</v>
      </c>
      <c r="B1418" s="2" t="s">
        <v>1181</v>
      </c>
      <c r="C1418" s="3"/>
    </row>
    <row r="1419">
      <c r="A1419" s="1" t="s">
        <v>1243</v>
      </c>
      <c r="B1419" s="2" t="s">
        <v>1181</v>
      </c>
      <c r="C1419" s="3"/>
    </row>
    <row r="1420">
      <c r="A1420" s="1" t="s">
        <v>1244</v>
      </c>
      <c r="B1420" s="2" t="s">
        <v>1181</v>
      </c>
      <c r="C1420" s="3"/>
    </row>
    <row r="1421">
      <c r="A1421" s="1" t="s">
        <v>1245</v>
      </c>
      <c r="B1421" s="2" t="s">
        <v>1181</v>
      </c>
      <c r="C1421" s="3"/>
    </row>
    <row r="1422">
      <c r="A1422" s="1" t="s">
        <v>1246</v>
      </c>
      <c r="B1422" s="2" t="s">
        <v>1181</v>
      </c>
      <c r="C1422" s="3"/>
    </row>
    <row r="1423">
      <c r="A1423" s="1" t="s">
        <v>1247</v>
      </c>
      <c r="B1423" s="2" t="s">
        <v>1181</v>
      </c>
      <c r="C1423" s="3"/>
    </row>
    <row r="1424">
      <c r="A1424" s="1" t="s">
        <v>1248</v>
      </c>
      <c r="B1424" s="2" t="s">
        <v>1181</v>
      </c>
      <c r="C1424" s="3"/>
    </row>
    <row r="1425">
      <c r="A1425" s="1" t="s">
        <v>1249</v>
      </c>
      <c r="B1425" s="2" t="s">
        <v>1181</v>
      </c>
      <c r="C1425" s="3"/>
    </row>
    <row r="1426">
      <c r="A1426" s="1" t="s">
        <v>1250</v>
      </c>
      <c r="B1426" s="2" t="s">
        <v>1181</v>
      </c>
      <c r="C1426" s="3"/>
    </row>
    <row r="1427">
      <c r="A1427" s="1" t="s">
        <v>1251</v>
      </c>
      <c r="B1427" s="2" t="s">
        <v>1181</v>
      </c>
      <c r="C1427" s="3"/>
    </row>
    <row r="1428">
      <c r="A1428" s="1" t="s">
        <v>1252</v>
      </c>
      <c r="B1428" s="2" t="s">
        <v>1181</v>
      </c>
      <c r="C1428" s="3"/>
    </row>
    <row r="1429">
      <c r="A1429" s="1" t="s">
        <v>1253</v>
      </c>
      <c r="B1429" s="2" t="s">
        <v>1181</v>
      </c>
      <c r="C1429" s="3"/>
    </row>
    <row r="1430">
      <c r="A1430" s="1" t="s">
        <v>1254</v>
      </c>
      <c r="B1430" s="2" t="s">
        <v>1181</v>
      </c>
      <c r="C1430" s="3"/>
    </row>
    <row r="1431">
      <c r="A1431" s="1" t="s">
        <v>1255</v>
      </c>
      <c r="B1431" s="2" t="s">
        <v>1181</v>
      </c>
      <c r="C1431" s="3"/>
    </row>
    <row r="1432">
      <c r="A1432" s="1" t="s">
        <v>1256</v>
      </c>
      <c r="B1432" s="2" t="s">
        <v>1181</v>
      </c>
      <c r="C1432" s="3"/>
    </row>
    <row r="1433">
      <c r="A1433" s="1" t="s">
        <v>1257</v>
      </c>
      <c r="B1433" s="2" t="s">
        <v>1181</v>
      </c>
      <c r="C1433" s="3"/>
    </row>
    <row r="1434">
      <c r="A1434" s="1" t="s">
        <v>1258</v>
      </c>
      <c r="B1434" s="2" t="s">
        <v>1181</v>
      </c>
      <c r="C1434" s="3"/>
    </row>
    <row r="1435">
      <c r="A1435" s="1" t="s">
        <v>1259</v>
      </c>
      <c r="B1435" s="2" t="s">
        <v>1181</v>
      </c>
      <c r="C1435" s="3"/>
    </row>
    <row r="1436">
      <c r="A1436" s="1" t="s">
        <v>1260</v>
      </c>
      <c r="B1436" s="2" t="s">
        <v>1181</v>
      </c>
      <c r="C1436" s="3"/>
    </row>
    <row r="1437">
      <c r="A1437" s="1" t="s">
        <v>1261</v>
      </c>
      <c r="B1437" s="2" t="s">
        <v>1181</v>
      </c>
      <c r="C1437" s="3"/>
    </row>
    <row r="1438">
      <c r="A1438" s="1" t="s">
        <v>1262</v>
      </c>
      <c r="B1438" s="2" t="s">
        <v>1181</v>
      </c>
      <c r="C1438" s="3"/>
    </row>
    <row r="1439">
      <c r="A1439" s="1" t="s">
        <v>1263</v>
      </c>
      <c r="B1439" s="2" t="s">
        <v>1181</v>
      </c>
      <c r="C1439" s="3"/>
    </row>
    <row r="1440">
      <c r="A1440" s="2" t="s">
        <v>1264</v>
      </c>
      <c r="B1440" s="2" t="s">
        <v>1181</v>
      </c>
      <c r="C1440" s="3"/>
    </row>
    <row r="1441">
      <c r="A1441" s="1" t="s">
        <v>1265</v>
      </c>
      <c r="B1441" s="2" t="s">
        <v>1181</v>
      </c>
      <c r="C1441" s="3"/>
    </row>
    <row r="1442">
      <c r="A1442" s="1" t="s">
        <v>1266</v>
      </c>
      <c r="B1442" s="2" t="s">
        <v>1181</v>
      </c>
      <c r="C1442" s="3"/>
    </row>
    <row r="1443">
      <c r="A1443" s="1" t="s">
        <v>1267</v>
      </c>
      <c r="B1443" s="2" t="s">
        <v>1181</v>
      </c>
      <c r="C1443" s="3"/>
    </row>
    <row r="1444">
      <c r="A1444" s="1" t="s">
        <v>1268</v>
      </c>
      <c r="B1444" s="2" t="s">
        <v>1181</v>
      </c>
      <c r="C1444" s="3"/>
    </row>
    <row r="1445">
      <c r="A1445" s="1" t="s">
        <v>1269</v>
      </c>
      <c r="B1445" s="2" t="s">
        <v>1181</v>
      </c>
      <c r="C1445" s="3"/>
    </row>
    <row r="1446">
      <c r="A1446" s="1" t="s">
        <v>1270</v>
      </c>
      <c r="B1446" s="2" t="s">
        <v>1181</v>
      </c>
      <c r="C1446" s="3"/>
    </row>
    <row r="1447">
      <c r="A1447" s="1" t="s">
        <v>1271</v>
      </c>
      <c r="B1447" s="2" t="s">
        <v>1181</v>
      </c>
      <c r="C1447" s="3"/>
    </row>
    <row r="1448">
      <c r="A1448" s="1" t="s">
        <v>1272</v>
      </c>
      <c r="B1448" s="2" t="s">
        <v>1181</v>
      </c>
      <c r="C1448" s="3"/>
    </row>
    <row r="1449">
      <c r="A1449" s="1" t="s">
        <v>1273</v>
      </c>
      <c r="B1449" s="2" t="s">
        <v>1181</v>
      </c>
      <c r="C1449" s="3"/>
    </row>
    <row r="1450">
      <c r="A1450" s="1" t="s">
        <v>1274</v>
      </c>
      <c r="B1450" s="2" t="s">
        <v>1181</v>
      </c>
      <c r="C1450" s="3"/>
    </row>
    <row r="1451">
      <c r="A1451" s="1" t="s">
        <v>1275</v>
      </c>
      <c r="B1451" s="2" t="s">
        <v>1181</v>
      </c>
      <c r="C1451" s="3"/>
    </row>
    <row r="1452">
      <c r="A1452" s="1" t="s">
        <v>1276</v>
      </c>
      <c r="B1452" s="2" t="s">
        <v>1181</v>
      </c>
      <c r="C1452" s="3"/>
    </row>
    <row r="1453">
      <c r="A1453" s="1" t="s">
        <v>1277</v>
      </c>
      <c r="B1453" s="2" t="s">
        <v>1181</v>
      </c>
      <c r="C1453" s="3"/>
    </row>
    <row r="1454">
      <c r="A1454" s="1" t="s">
        <v>1278</v>
      </c>
      <c r="B1454" s="2" t="s">
        <v>1181</v>
      </c>
      <c r="C1454" s="3"/>
    </row>
    <row r="1455">
      <c r="A1455" s="1" t="s">
        <v>1279</v>
      </c>
      <c r="B1455" s="2" t="s">
        <v>1181</v>
      </c>
      <c r="C1455" s="3"/>
    </row>
    <row r="1456">
      <c r="A1456" s="1" t="s">
        <v>1280</v>
      </c>
      <c r="B1456" s="2" t="s">
        <v>1181</v>
      </c>
      <c r="C1456" s="3"/>
    </row>
    <row r="1457">
      <c r="A1457" s="1" t="s">
        <v>1281</v>
      </c>
      <c r="B1457" s="2" t="s">
        <v>1181</v>
      </c>
      <c r="C1457" s="3"/>
    </row>
    <row r="1458">
      <c r="A1458" s="1" t="s">
        <v>1282</v>
      </c>
      <c r="B1458" s="2" t="s">
        <v>1181</v>
      </c>
      <c r="C1458" s="3"/>
    </row>
    <row r="1459">
      <c r="A1459" s="1" t="s">
        <v>1283</v>
      </c>
      <c r="B1459" s="2" t="s">
        <v>1181</v>
      </c>
      <c r="C1459" s="3"/>
    </row>
    <row r="1460">
      <c r="A1460" s="1" t="s">
        <v>1284</v>
      </c>
      <c r="B1460" s="2" t="s">
        <v>1181</v>
      </c>
      <c r="C1460" s="3"/>
    </row>
    <row r="1461">
      <c r="A1461" s="1" t="s">
        <v>1285</v>
      </c>
      <c r="B1461" s="2" t="s">
        <v>1181</v>
      </c>
      <c r="C1461" s="3"/>
    </row>
    <row r="1462">
      <c r="A1462" s="1" t="s">
        <v>1286</v>
      </c>
      <c r="B1462" s="2" t="s">
        <v>1181</v>
      </c>
      <c r="C1462" s="3"/>
    </row>
    <row r="1463">
      <c r="A1463" s="1" t="s">
        <v>1287</v>
      </c>
      <c r="B1463" s="2" t="s">
        <v>1181</v>
      </c>
      <c r="C1463" s="3"/>
    </row>
    <row r="1464">
      <c r="A1464" s="1" t="s">
        <v>1288</v>
      </c>
      <c r="B1464" s="2" t="s">
        <v>1181</v>
      </c>
      <c r="C1464" s="3"/>
    </row>
    <row r="1465">
      <c r="A1465" s="1" t="s">
        <v>1289</v>
      </c>
      <c r="B1465" s="2" t="s">
        <v>1181</v>
      </c>
      <c r="C1465" s="3"/>
    </row>
    <row r="1466">
      <c r="A1466" s="1" t="s">
        <v>1290</v>
      </c>
      <c r="B1466" s="2" t="s">
        <v>1181</v>
      </c>
      <c r="C1466" s="3"/>
    </row>
    <row r="1467">
      <c r="A1467" s="1" t="s">
        <v>1291</v>
      </c>
      <c r="B1467" s="2" t="s">
        <v>1181</v>
      </c>
      <c r="C1467" s="3"/>
    </row>
    <row r="1468">
      <c r="A1468" s="1" t="s">
        <v>1292</v>
      </c>
      <c r="B1468" s="2" t="s">
        <v>1181</v>
      </c>
      <c r="C1468" s="3"/>
    </row>
    <row r="1469">
      <c r="A1469" s="1" t="s">
        <v>1293</v>
      </c>
      <c r="B1469" s="2" t="s">
        <v>1181</v>
      </c>
      <c r="C1469" s="3"/>
    </row>
    <row r="1470">
      <c r="A1470" s="1" t="s">
        <v>1294</v>
      </c>
      <c r="B1470" s="2" t="s">
        <v>1181</v>
      </c>
      <c r="C1470" s="3"/>
    </row>
    <row r="1471">
      <c r="A1471" s="1" t="s">
        <v>1295</v>
      </c>
      <c r="B1471" s="2" t="s">
        <v>1181</v>
      </c>
      <c r="C1471" s="3"/>
    </row>
    <row r="1472">
      <c r="A1472" s="1" t="s">
        <v>1296</v>
      </c>
      <c r="B1472" s="2" t="s">
        <v>1181</v>
      </c>
      <c r="C1472" s="3"/>
    </row>
    <row r="1473">
      <c r="A1473" s="1" t="s">
        <v>1297</v>
      </c>
      <c r="B1473" s="2" t="s">
        <v>1181</v>
      </c>
      <c r="C1473" s="3"/>
    </row>
    <row r="1474">
      <c r="A1474" s="1" t="s">
        <v>1298</v>
      </c>
      <c r="B1474" s="2" t="s">
        <v>1181</v>
      </c>
      <c r="C1474" s="3"/>
    </row>
    <row r="1475">
      <c r="A1475" s="1" t="s">
        <v>1299</v>
      </c>
      <c r="B1475" s="2" t="s">
        <v>1181</v>
      </c>
      <c r="C1475" s="3"/>
    </row>
    <row r="1476">
      <c r="A1476" s="1" t="s">
        <v>1300</v>
      </c>
      <c r="B1476" s="2" t="s">
        <v>1181</v>
      </c>
      <c r="C1476" s="3"/>
    </row>
    <row r="1477">
      <c r="A1477" s="1" t="s">
        <v>1301</v>
      </c>
      <c r="B1477" s="2" t="s">
        <v>1181</v>
      </c>
      <c r="C1477" s="3"/>
    </row>
    <row r="1478">
      <c r="A1478" s="1" t="s">
        <v>1302</v>
      </c>
      <c r="B1478" s="2" t="s">
        <v>1181</v>
      </c>
      <c r="C1478" s="3"/>
    </row>
    <row r="1479">
      <c r="A1479" s="1" t="s">
        <v>1303</v>
      </c>
      <c r="B1479" s="2" t="s">
        <v>1181</v>
      </c>
      <c r="C1479" s="3"/>
    </row>
    <row r="1480">
      <c r="A1480" s="2" t="s">
        <v>1304</v>
      </c>
      <c r="B1480" s="2" t="s">
        <v>1181</v>
      </c>
      <c r="C1480" s="3"/>
    </row>
    <row r="1481">
      <c r="A1481" s="1" t="s">
        <v>1305</v>
      </c>
      <c r="B1481" s="2" t="s">
        <v>1181</v>
      </c>
      <c r="C1481" s="3"/>
    </row>
    <row r="1482">
      <c r="A1482" s="1" t="s">
        <v>1306</v>
      </c>
      <c r="B1482" s="2" t="s">
        <v>1181</v>
      </c>
      <c r="C1482" s="3"/>
    </row>
    <row r="1483">
      <c r="A1483" s="2" t="s">
        <v>1307</v>
      </c>
      <c r="B1483" s="2" t="s">
        <v>1181</v>
      </c>
      <c r="C1483" s="3"/>
    </row>
    <row r="1484">
      <c r="A1484" s="1" t="s">
        <v>1308</v>
      </c>
      <c r="B1484" s="2" t="s">
        <v>1181</v>
      </c>
      <c r="C1484" s="3"/>
    </row>
    <row r="1485">
      <c r="A1485" s="1" t="s">
        <v>1309</v>
      </c>
      <c r="B1485" s="2" t="s">
        <v>1181</v>
      </c>
      <c r="C1485" s="3"/>
    </row>
    <row r="1486">
      <c r="A1486" s="1" t="s">
        <v>1310</v>
      </c>
      <c r="B1486" s="2" t="s">
        <v>1181</v>
      </c>
      <c r="C1486" s="3"/>
    </row>
    <row r="1487">
      <c r="A1487" s="1" t="s">
        <v>1311</v>
      </c>
      <c r="B1487" s="2" t="s">
        <v>1181</v>
      </c>
      <c r="C1487" s="3"/>
    </row>
    <row r="1488">
      <c r="A1488" s="1" t="s">
        <v>1312</v>
      </c>
      <c r="B1488" s="2" t="s">
        <v>1181</v>
      </c>
      <c r="C1488" s="3"/>
    </row>
    <row r="1489">
      <c r="A1489" s="1" t="s">
        <v>1313</v>
      </c>
      <c r="B1489" s="2" t="s">
        <v>1181</v>
      </c>
      <c r="C1489" s="3"/>
    </row>
    <row r="1490">
      <c r="A1490" s="1" t="s">
        <v>1314</v>
      </c>
      <c r="B1490" s="2" t="s">
        <v>1181</v>
      </c>
      <c r="C1490" s="3"/>
    </row>
    <row r="1491">
      <c r="A1491" s="1" t="s">
        <v>1315</v>
      </c>
      <c r="B1491" s="2" t="s">
        <v>1181</v>
      </c>
      <c r="C1491" s="3"/>
    </row>
    <row r="1492">
      <c r="A1492" s="1" t="s">
        <v>1316</v>
      </c>
      <c r="B1492" s="2" t="s">
        <v>1181</v>
      </c>
      <c r="C1492" s="3"/>
    </row>
    <row r="1493">
      <c r="A1493" s="1" t="s">
        <v>1317</v>
      </c>
      <c r="B1493" s="2" t="s">
        <v>1181</v>
      </c>
      <c r="C1493" s="3"/>
    </row>
    <row r="1494">
      <c r="A1494" s="1" t="s">
        <v>1318</v>
      </c>
      <c r="B1494" s="2" t="s">
        <v>1181</v>
      </c>
      <c r="C1494" s="3"/>
    </row>
    <row r="1495">
      <c r="A1495" s="1" t="s">
        <v>1319</v>
      </c>
      <c r="B1495" s="2" t="s">
        <v>1181</v>
      </c>
      <c r="C1495" s="3"/>
    </row>
    <row r="1496">
      <c r="A1496" s="1" t="s">
        <v>1320</v>
      </c>
      <c r="B1496" s="2" t="s">
        <v>1181</v>
      </c>
      <c r="C1496" s="3"/>
    </row>
    <row r="1497">
      <c r="A1497" s="1" t="s">
        <v>1321</v>
      </c>
      <c r="B1497" s="2" t="s">
        <v>1181</v>
      </c>
      <c r="C1497" s="3"/>
    </row>
    <row r="1498">
      <c r="A1498" s="1" t="s">
        <v>1322</v>
      </c>
      <c r="B1498" s="2" t="s">
        <v>1181</v>
      </c>
      <c r="C1498" s="3"/>
    </row>
    <row r="1499">
      <c r="A1499" s="1" t="s">
        <v>1323</v>
      </c>
      <c r="B1499" s="2" t="s">
        <v>1181</v>
      </c>
      <c r="C1499" s="3"/>
    </row>
    <row r="1500">
      <c r="A1500" s="1" t="s">
        <v>1324</v>
      </c>
      <c r="B1500" s="2" t="s">
        <v>1181</v>
      </c>
      <c r="C1500" s="3"/>
    </row>
    <row r="1501">
      <c r="A1501" s="1" t="s">
        <v>1325</v>
      </c>
      <c r="B1501" s="2" t="s">
        <v>1181</v>
      </c>
      <c r="C1501" s="3"/>
    </row>
    <row r="1502">
      <c r="A1502" s="1" t="s">
        <v>1326</v>
      </c>
      <c r="B1502" s="2" t="s">
        <v>1181</v>
      </c>
      <c r="C1502" s="3"/>
    </row>
    <row r="1503">
      <c r="A1503" s="1" t="s">
        <v>1327</v>
      </c>
      <c r="B1503" s="2" t="s">
        <v>1181</v>
      </c>
      <c r="C1503" s="3"/>
    </row>
    <row r="1504">
      <c r="A1504" s="1" t="s">
        <v>1328</v>
      </c>
      <c r="B1504" s="2" t="s">
        <v>1181</v>
      </c>
      <c r="C1504" s="3"/>
    </row>
    <row r="1505">
      <c r="A1505" s="1" t="s">
        <v>1329</v>
      </c>
      <c r="B1505" s="2" t="s">
        <v>1181</v>
      </c>
      <c r="C1505" s="3"/>
    </row>
    <row r="1506">
      <c r="A1506" s="1" t="s">
        <v>1330</v>
      </c>
      <c r="B1506" s="2" t="s">
        <v>1181</v>
      </c>
      <c r="C1506" s="3"/>
    </row>
    <row r="1507">
      <c r="A1507" s="1" t="s">
        <v>1331</v>
      </c>
      <c r="B1507" s="2" t="s">
        <v>1181</v>
      </c>
      <c r="C1507" s="3"/>
    </row>
    <row r="1508">
      <c r="A1508" s="1" t="s">
        <v>1332</v>
      </c>
      <c r="B1508" s="2" t="s">
        <v>1181</v>
      </c>
      <c r="C1508" s="3"/>
    </row>
    <row r="1509">
      <c r="A1509" s="1" t="s">
        <v>1333</v>
      </c>
      <c r="B1509" s="2" t="s">
        <v>1181</v>
      </c>
      <c r="C1509" s="3"/>
    </row>
    <row r="1510">
      <c r="A1510" s="1" t="s">
        <v>1334</v>
      </c>
      <c r="B1510" s="2" t="s">
        <v>1181</v>
      </c>
      <c r="C1510" s="3"/>
    </row>
    <row r="1511">
      <c r="A1511" s="1" t="s">
        <v>1335</v>
      </c>
      <c r="B1511" s="2" t="s">
        <v>1181</v>
      </c>
      <c r="C1511" s="3"/>
    </row>
    <row r="1512">
      <c r="A1512" s="1" t="s">
        <v>1336</v>
      </c>
      <c r="B1512" s="2" t="s">
        <v>1181</v>
      </c>
      <c r="C1512" s="3"/>
    </row>
    <row r="1513">
      <c r="A1513" s="1" t="s">
        <v>1337</v>
      </c>
      <c r="B1513" s="2" t="s">
        <v>1181</v>
      </c>
      <c r="C1513" s="3"/>
    </row>
    <row r="1514">
      <c r="A1514" s="1" t="s">
        <v>1338</v>
      </c>
      <c r="B1514" s="2" t="s">
        <v>1181</v>
      </c>
      <c r="C1514" s="3"/>
    </row>
    <row r="1515">
      <c r="A1515" s="1" t="s">
        <v>1339</v>
      </c>
      <c r="B1515" s="2" t="s">
        <v>1181</v>
      </c>
      <c r="C1515" s="3"/>
    </row>
    <row r="1516">
      <c r="A1516" s="1" t="s">
        <v>1340</v>
      </c>
      <c r="B1516" s="2" t="s">
        <v>1181</v>
      </c>
      <c r="C1516" s="3"/>
    </row>
    <row r="1517">
      <c r="A1517" s="1" t="s">
        <v>1341</v>
      </c>
      <c r="B1517" s="2" t="s">
        <v>1181</v>
      </c>
      <c r="C1517" s="3"/>
    </row>
    <row r="1518">
      <c r="A1518" s="1" t="s">
        <v>1342</v>
      </c>
      <c r="B1518" s="2" t="s">
        <v>1181</v>
      </c>
      <c r="C1518" s="3"/>
    </row>
    <row r="1519">
      <c r="A1519" s="1" t="s">
        <v>1343</v>
      </c>
      <c r="B1519" s="2" t="s">
        <v>1181</v>
      </c>
      <c r="C1519" s="3"/>
    </row>
    <row r="1520">
      <c r="A1520" s="1" t="s">
        <v>1344</v>
      </c>
      <c r="B1520" s="2" t="s">
        <v>1181</v>
      </c>
      <c r="C1520" s="3"/>
    </row>
    <row r="1521">
      <c r="A1521" s="1" t="s">
        <v>1345</v>
      </c>
      <c r="B1521" s="2" t="s">
        <v>1181</v>
      </c>
      <c r="C1521" s="3"/>
    </row>
    <row r="1522">
      <c r="A1522" s="1" t="s">
        <v>1346</v>
      </c>
      <c r="B1522" s="2" t="s">
        <v>1181</v>
      </c>
      <c r="C1522" s="3"/>
    </row>
    <row r="1523">
      <c r="A1523" s="1" t="s">
        <v>1347</v>
      </c>
      <c r="B1523" s="2" t="s">
        <v>1181</v>
      </c>
      <c r="C1523" s="3"/>
    </row>
    <row r="1524">
      <c r="A1524" s="1" t="s">
        <v>1348</v>
      </c>
      <c r="B1524" s="2" t="s">
        <v>1181</v>
      </c>
      <c r="C1524" s="3"/>
    </row>
    <row r="1525">
      <c r="A1525" s="1" t="s">
        <v>1349</v>
      </c>
      <c r="B1525" s="2" t="s">
        <v>1181</v>
      </c>
      <c r="C1525" s="3"/>
    </row>
    <row r="1526">
      <c r="A1526" s="1" t="s">
        <v>1350</v>
      </c>
      <c r="B1526" s="2" t="s">
        <v>1181</v>
      </c>
      <c r="C1526" s="3"/>
    </row>
    <row r="1527">
      <c r="A1527" s="1" t="s">
        <v>1351</v>
      </c>
      <c r="B1527" s="2" t="s">
        <v>1181</v>
      </c>
      <c r="C1527" s="3"/>
    </row>
    <row r="1528">
      <c r="A1528" s="1" t="s">
        <v>1352</v>
      </c>
      <c r="B1528" s="2" t="s">
        <v>1181</v>
      </c>
      <c r="C1528" s="3"/>
    </row>
    <row r="1529">
      <c r="A1529" s="1" t="s">
        <v>1353</v>
      </c>
      <c r="B1529" s="2" t="s">
        <v>1181</v>
      </c>
      <c r="C1529" s="3"/>
    </row>
    <row r="1530">
      <c r="A1530" s="1" t="s">
        <v>1354</v>
      </c>
      <c r="B1530" s="2" t="s">
        <v>1181</v>
      </c>
      <c r="C1530" s="3"/>
    </row>
    <row r="1531">
      <c r="A1531" s="1" t="s">
        <v>1355</v>
      </c>
      <c r="B1531" s="2" t="s">
        <v>1181</v>
      </c>
      <c r="C1531" s="3"/>
    </row>
    <row r="1532">
      <c r="A1532" s="1" t="s">
        <v>1356</v>
      </c>
      <c r="B1532" s="2" t="s">
        <v>1181</v>
      </c>
      <c r="C1532" s="3"/>
    </row>
    <row r="1533">
      <c r="A1533" s="1" t="s">
        <v>1357</v>
      </c>
      <c r="B1533" s="2" t="s">
        <v>1181</v>
      </c>
      <c r="C1533" s="3"/>
    </row>
    <row r="1534">
      <c r="A1534" s="1" t="s">
        <v>1358</v>
      </c>
      <c r="B1534" s="2" t="s">
        <v>1181</v>
      </c>
      <c r="C1534" s="3"/>
    </row>
    <row r="1535">
      <c r="A1535" s="1" t="s">
        <v>1359</v>
      </c>
      <c r="B1535" s="2" t="s">
        <v>1181</v>
      </c>
      <c r="C1535" s="3"/>
    </row>
    <row r="1536">
      <c r="A1536" s="1" t="s">
        <v>1360</v>
      </c>
      <c r="B1536" s="2" t="s">
        <v>1181</v>
      </c>
      <c r="C1536" s="3"/>
    </row>
    <row r="1537">
      <c r="A1537" s="1" t="s">
        <v>1361</v>
      </c>
      <c r="B1537" s="2" t="s">
        <v>1181</v>
      </c>
      <c r="C1537" s="3"/>
    </row>
    <row r="1538">
      <c r="A1538" s="1" t="s">
        <v>1362</v>
      </c>
      <c r="B1538" s="2" t="s">
        <v>1181</v>
      </c>
      <c r="C1538" s="3"/>
    </row>
    <row r="1539">
      <c r="A1539" s="1" t="s">
        <v>1363</v>
      </c>
      <c r="B1539" s="2" t="s">
        <v>1181</v>
      </c>
      <c r="C1539" s="3"/>
    </row>
    <row r="1540">
      <c r="A1540" s="1" t="s">
        <v>1364</v>
      </c>
      <c r="B1540" s="2" t="s">
        <v>1181</v>
      </c>
      <c r="C1540" s="3"/>
    </row>
    <row r="1541">
      <c r="A1541" s="2" t="s">
        <v>1365</v>
      </c>
      <c r="B1541" s="2" t="s">
        <v>1181</v>
      </c>
      <c r="C1541" s="3"/>
    </row>
    <row r="1542">
      <c r="A1542" s="1" t="s">
        <v>1366</v>
      </c>
      <c r="B1542" s="2" t="s">
        <v>1181</v>
      </c>
      <c r="C1542" s="3"/>
    </row>
    <row r="1543">
      <c r="A1543" s="1" t="s">
        <v>1367</v>
      </c>
      <c r="B1543" s="2" t="s">
        <v>1181</v>
      </c>
      <c r="C1543" s="3"/>
    </row>
    <row r="1544">
      <c r="A1544" s="1" t="s">
        <v>1368</v>
      </c>
      <c r="B1544" s="2" t="s">
        <v>1181</v>
      </c>
      <c r="C1544" s="3"/>
    </row>
    <row r="1545">
      <c r="A1545" s="1" t="s">
        <v>1369</v>
      </c>
      <c r="B1545" s="2" t="s">
        <v>1181</v>
      </c>
      <c r="C1545" s="3"/>
    </row>
    <row r="1546">
      <c r="A1546" s="1" t="s">
        <v>1370</v>
      </c>
      <c r="B1546" s="2" t="s">
        <v>1181</v>
      </c>
      <c r="C1546" s="3"/>
    </row>
    <row r="1547">
      <c r="A1547" s="1" t="s">
        <v>1371</v>
      </c>
      <c r="B1547" s="2" t="s">
        <v>1181</v>
      </c>
      <c r="C1547" s="3"/>
    </row>
    <row r="1548">
      <c r="A1548" s="1" t="s">
        <v>1372</v>
      </c>
      <c r="B1548" s="2" t="s">
        <v>1181</v>
      </c>
      <c r="C1548" s="3"/>
    </row>
    <row r="1549">
      <c r="A1549" s="1" t="s">
        <v>1373</v>
      </c>
      <c r="B1549" s="2" t="s">
        <v>1181</v>
      </c>
      <c r="C1549" s="3"/>
    </row>
    <row r="1550">
      <c r="A1550" s="1" t="s">
        <v>1374</v>
      </c>
      <c r="B1550" s="2" t="s">
        <v>1181</v>
      </c>
      <c r="C1550" s="3"/>
    </row>
    <row r="1551">
      <c r="A1551" s="1" t="s">
        <v>1375</v>
      </c>
      <c r="B1551" s="2" t="s">
        <v>1181</v>
      </c>
      <c r="C1551" s="3"/>
    </row>
    <row r="1552">
      <c r="A1552" s="1" t="s">
        <v>1376</v>
      </c>
      <c r="B1552" s="2" t="s">
        <v>1181</v>
      </c>
      <c r="C1552" s="3"/>
    </row>
    <row r="1553">
      <c r="A1553" s="1" t="s">
        <v>1377</v>
      </c>
      <c r="B1553" s="2" t="s">
        <v>1181</v>
      </c>
      <c r="C1553" s="3"/>
    </row>
    <row r="1554">
      <c r="A1554" s="1" t="s">
        <v>1378</v>
      </c>
      <c r="B1554" s="2" t="s">
        <v>1181</v>
      </c>
      <c r="C1554" s="3"/>
    </row>
    <row r="1555">
      <c r="A1555" s="1" t="s">
        <v>1379</v>
      </c>
      <c r="B1555" s="2" t="s">
        <v>1181</v>
      </c>
      <c r="C1555" s="3"/>
    </row>
    <row r="1556">
      <c r="A1556" s="1" t="s">
        <v>1380</v>
      </c>
      <c r="B1556" s="2" t="s">
        <v>1181</v>
      </c>
      <c r="C1556" s="3"/>
    </row>
    <row r="1557">
      <c r="A1557" s="1" t="s">
        <v>1381</v>
      </c>
      <c r="B1557" s="2" t="s">
        <v>1181</v>
      </c>
      <c r="C1557" s="3"/>
    </row>
    <row r="1558">
      <c r="A1558" s="1" t="s">
        <v>1382</v>
      </c>
      <c r="B1558" s="2" t="s">
        <v>1181</v>
      </c>
      <c r="C1558" s="3"/>
    </row>
    <row r="1559">
      <c r="A1559" s="2" t="s">
        <v>1383</v>
      </c>
      <c r="B1559" s="2" t="s">
        <v>1181</v>
      </c>
      <c r="C1559" s="3"/>
    </row>
    <row r="1560">
      <c r="A1560" s="1" t="s">
        <v>1384</v>
      </c>
      <c r="B1560" s="2" t="s">
        <v>1181</v>
      </c>
      <c r="C1560" s="3"/>
    </row>
    <row r="1561">
      <c r="A1561" s="1" t="s">
        <v>1385</v>
      </c>
      <c r="B1561" s="2" t="s">
        <v>1181</v>
      </c>
      <c r="C1561" s="3"/>
    </row>
    <row r="1562">
      <c r="A1562" s="1" t="s">
        <v>1386</v>
      </c>
      <c r="B1562" s="2" t="s">
        <v>1181</v>
      </c>
      <c r="C1562" s="3"/>
    </row>
    <row r="1563">
      <c r="A1563" s="1" t="s">
        <v>1387</v>
      </c>
      <c r="B1563" s="2" t="s">
        <v>1181</v>
      </c>
      <c r="C1563" s="3"/>
    </row>
    <row r="1564">
      <c r="A1564" s="1" t="s">
        <v>1388</v>
      </c>
      <c r="B1564" s="2" t="s">
        <v>1181</v>
      </c>
      <c r="C1564" s="3"/>
    </row>
    <row r="1565">
      <c r="A1565" s="1" t="s">
        <v>1389</v>
      </c>
      <c r="B1565" s="2" t="s">
        <v>1181</v>
      </c>
      <c r="C1565" s="3"/>
    </row>
    <row r="1566">
      <c r="A1566" s="1" t="s">
        <v>1390</v>
      </c>
      <c r="B1566" s="2" t="s">
        <v>1181</v>
      </c>
      <c r="C1566" s="3"/>
    </row>
    <row r="1567">
      <c r="A1567" s="1" t="s">
        <v>1391</v>
      </c>
      <c r="B1567" s="2" t="s">
        <v>1181</v>
      </c>
      <c r="C1567" s="3"/>
    </row>
    <row r="1568">
      <c r="A1568" s="1" t="s">
        <v>1392</v>
      </c>
      <c r="B1568" s="2" t="s">
        <v>1181</v>
      </c>
      <c r="C1568" s="3"/>
    </row>
    <row r="1569">
      <c r="A1569" s="1" t="s">
        <v>1393</v>
      </c>
      <c r="B1569" s="2" t="s">
        <v>1181</v>
      </c>
      <c r="C1569" s="3"/>
    </row>
    <row r="1570">
      <c r="A1570" s="1" t="s">
        <v>1394</v>
      </c>
      <c r="B1570" s="2" t="s">
        <v>1181</v>
      </c>
      <c r="C1570" s="3"/>
    </row>
    <row r="1571">
      <c r="A1571" s="1" t="s">
        <v>1395</v>
      </c>
      <c r="B1571" s="2" t="s">
        <v>1181</v>
      </c>
      <c r="C1571" s="3"/>
    </row>
    <row r="1572">
      <c r="A1572" s="1" t="s">
        <v>1396</v>
      </c>
      <c r="B1572" s="2" t="s">
        <v>1181</v>
      </c>
      <c r="C1572" s="3"/>
    </row>
    <row r="1573">
      <c r="A1573" s="1" t="s">
        <v>1397</v>
      </c>
      <c r="B1573" s="2" t="s">
        <v>1181</v>
      </c>
      <c r="C1573" s="3"/>
    </row>
    <row r="1574">
      <c r="A1574" s="1" t="s">
        <v>1398</v>
      </c>
      <c r="B1574" s="2" t="s">
        <v>1181</v>
      </c>
      <c r="C1574" s="3"/>
    </row>
    <row r="1575">
      <c r="A1575" s="1" t="s">
        <v>1399</v>
      </c>
      <c r="B1575" s="2" t="s">
        <v>1181</v>
      </c>
      <c r="C1575" s="3"/>
    </row>
    <row r="1576">
      <c r="A1576" s="1" t="s">
        <v>1400</v>
      </c>
      <c r="B1576" s="2" t="s">
        <v>1181</v>
      </c>
      <c r="C1576" s="3"/>
    </row>
    <row r="1577">
      <c r="A1577" s="1" t="s">
        <v>1401</v>
      </c>
      <c r="B1577" s="2" t="s">
        <v>1181</v>
      </c>
      <c r="C1577" s="3"/>
    </row>
    <row r="1578">
      <c r="A1578" s="1" t="s">
        <v>1402</v>
      </c>
      <c r="B1578" s="2" t="s">
        <v>1181</v>
      </c>
      <c r="C1578" s="3"/>
    </row>
    <row r="1579">
      <c r="A1579" s="1" t="s">
        <v>1403</v>
      </c>
      <c r="B1579" s="2" t="s">
        <v>1181</v>
      </c>
      <c r="C1579" s="3"/>
    </row>
    <row r="1580">
      <c r="A1580" s="1" t="s">
        <v>1404</v>
      </c>
      <c r="B1580" s="2" t="s">
        <v>1181</v>
      </c>
      <c r="C1580" s="3"/>
    </row>
    <row r="1581">
      <c r="A1581" s="1" t="s">
        <v>1405</v>
      </c>
      <c r="B1581" s="2" t="s">
        <v>1181</v>
      </c>
      <c r="C1581" s="3"/>
    </row>
    <row r="1582">
      <c r="A1582" s="1" t="s">
        <v>1406</v>
      </c>
      <c r="B1582" s="2" t="s">
        <v>1181</v>
      </c>
      <c r="C1582" s="3"/>
    </row>
    <row r="1583">
      <c r="A1583" s="1" t="s">
        <v>1407</v>
      </c>
      <c r="B1583" s="2" t="s">
        <v>1181</v>
      </c>
      <c r="C1583" s="3"/>
    </row>
    <row r="1584">
      <c r="A1584" s="1" t="s">
        <v>1408</v>
      </c>
      <c r="B1584" s="2" t="s">
        <v>1181</v>
      </c>
      <c r="C1584" s="3"/>
    </row>
    <row r="1585">
      <c r="A1585" s="1" t="s">
        <v>1409</v>
      </c>
      <c r="B1585" s="2" t="s">
        <v>1181</v>
      </c>
      <c r="C1585" s="3"/>
    </row>
    <row r="1586">
      <c r="A1586" s="1" t="s">
        <v>1410</v>
      </c>
      <c r="B1586" s="2" t="s">
        <v>1181</v>
      </c>
      <c r="C1586" s="3"/>
    </row>
    <row r="1587">
      <c r="A1587" s="1" t="s">
        <v>1411</v>
      </c>
      <c r="B1587" s="2" t="s">
        <v>1181</v>
      </c>
      <c r="C1587" s="3"/>
    </row>
    <row r="1588">
      <c r="A1588" s="1" t="s">
        <v>1412</v>
      </c>
      <c r="B1588" s="2" t="s">
        <v>1181</v>
      </c>
      <c r="C1588" s="3"/>
    </row>
    <row r="1589">
      <c r="A1589" s="1" t="s">
        <v>1413</v>
      </c>
      <c r="B1589" s="2" t="s">
        <v>1181</v>
      </c>
      <c r="C1589" s="3"/>
    </row>
    <row r="1590">
      <c r="A1590" s="1" t="s">
        <v>1414</v>
      </c>
      <c r="B1590" s="2" t="s">
        <v>1181</v>
      </c>
      <c r="C1590" s="3"/>
    </row>
    <row r="1591">
      <c r="A1591" s="1" t="s">
        <v>1415</v>
      </c>
      <c r="B1591" s="2" t="s">
        <v>1181</v>
      </c>
      <c r="C1591" s="3"/>
    </row>
    <row r="1592">
      <c r="A1592" s="1" t="s">
        <v>1416</v>
      </c>
      <c r="B1592" s="2" t="s">
        <v>1181</v>
      </c>
      <c r="C1592" s="3"/>
    </row>
    <row r="1593">
      <c r="A1593" s="1" t="s">
        <v>1417</v>
      </c>
      <c r="B1593" s="2" t="s">
        <v>1181</v>
      </c>
      <c r="C1593" s="3"/>
    </row>
    <row r="1594">
      <c r="A1594" s="1" t="s">
        <v>1418</v>
      </c>
      <c r="B1594" s="2" t="s">
        <v>1181</v>
      </c>
      <c r="C1594" s="3"/>
    </row>
    <row r="1595">
      <c r="A1595" s="1" t="s">
        <v>1419</v>
      </c>
      <c r="B1595" s="2" t="s">
        <v>1181</v>
      </c>
      <c r="C1595" s="3"/>
    </row>
    <row r="1596">
      <c r="A1596" s="1" t="s">
        <v>1420</v>
      </c>
      <c r="B1596" s="2" t="s">
        <v>1181</v>
      </c>
      <c r="C1596" s="3"/>
    </row>
    <row r="1597">
      <c r="A1597" s="1" t="s">
        <v>1421</v>
      </c>
      <c r="B1597" s="2" t="s">
        <v>1181</v>
      </c>
      <c r="C1597" s="3"/>
    </row>
    <row r="1598">
      <c r="A1598" s="1" t="s">
        <v>1422</v>
      </c>
      <c r="B1598" s="2" t="s">
        <v>1181</v>
      </c>
      <c r="C1598" s="3"/>
    </row>
    <row r="1599">
      <c r="A1599" s="1" t="s">
        <v>1423</v>
      </c>
      <c r="B1599" s="2" t="s">
        <v>1181</v>
      </c>
      <c r="C1599" s="3"/>
    </row>
    <row r="1600">
      <c r="A1600" s="1" t="s">
        <v>1424</v>
      </c>
      <c r="B1600" s="2" t="s">
        <v>1181</v>
      </c>
      <c r="C1600" s="3"/>
    </row>
    <row r="1601">
      <c r="A1601" s="1" t="s">
        <v>1425</v>
      </c>
      <c r="B1601" s="2" t="s">
        <v>1181</v>
      </c>
      <c r="C1601" s="3"/>
    </row>
    <row r="1602">
      <c r="A1602" s="1" t="s">
        <v>1426</v>
      </c>
      <c r="B1602" s="2" t="s">
        <v>1181</v>
      </c>
      <c r="C1602" s="3"/>
    </row>
    <row r="1603">
      <c r="A1603" s="1" t="s">
        <v>1427</v>
      </c>
      <c r="B1603" s="2" t="s">
        <v>1181</v>
      </c>
      <c r="C1603" s="3"/>
    </row>
    <row r="1604">
      <c r="A1604" s="1" t="s">
        <v>1428</v>
      </c>
      <c r="B1604" s="2" t="s">
        <v>1181</v>
      </c>
      <c r="C1604" s="3"/>
    </row>
    <row r="1605">
      <c r="A1605" s="1" t="s">
        <v>1429</v>
      </c>
      <c r="B1605" s="2" t="s">
        <v>1181</v>
      </c>
      <c r="C1605" s="3"/>
    </row>
    <row r="1606">
      <c r="A1606" s="1" t="s">
        <v>1430</v>
      </c>
      <c r="B1606" s="2" t="s">
        <v>1181</v>
      </c>
      <c r="C1606" s="3"/>
    </row>
    <row r="1607">
      <c r="A1607" s="1" t="s">
        <v>1431</v>
      </c>
      <c r="B1607" s="2" t="s">
        <v>1181</v>
      </c>
      <c r="C1607" s="3"/>
    </row>
    <row r="1608">
      <c r="A1608" s="1" t="s">
        <v>1432</v>
      </c>
      <c r="B1608" s="2" t="s">
        <v>1181</v>
      </c>
      <c r="C1608" s="3"/>
    </row>
    <row r="1609">
      <c r="A1609" s="1" t="s">
        <v>1433</v>
      </c>
      <c r="B1609" s="2" t="s">
        <v>1181</v>
      </c>
      <c r="C1609" s="3"/>
    </row>
    <row r="1610">
      <c r="A1610" s="1" t="s">
        <v>1434</v>
      </c>
      <c r="B1610" s="2" t="s">
        <v>1181</v>
      </c>
      <c r="C1610" s="3"/>
    </row>
    <row r="1611">
      <c r="A1611" s="1" t="s">
        <v>1435</v>
      </c>
      <c r="B1611" s="2" t="s">
        <v>1181</v>
      </c>
      <c r="C1611" s="3"/>
    </row>
    <row r="1612">
      <c r="A1612" s="1" t="s">
        <v>1436</v>
      </c>
      <c r="B1612" s="2" t="s">
        <v>1181</v>
      </c>
      <c r="C1612" s="3"/>
    </row>
    <row r="1613">
      <c r="A1613" s="1" t="s">
        <v>1437</v>
      </c>
      <c r="B1613" s="2" t="s">
        <v>1181</v>
      </c>
      <c r="C1613" s="3"/>
    </row>
    <row r="1614">
      <c r="A1614" s="1" t="s">
        <v>1438</v>
      </c>
      <c r="B1614" s="2" t="s">
        <v>1181</v>
      </c>
      <c r="C1614" s="3"/>
    </row>
    <row r="1615">
      <c r="A1615" s="1" t="s">
        <v>1439</v>
      </c>
      <c r="B1615" s="2" t="s">
        <v>1181</v>
      </c>
      <c r="C1615" s="3"/>
    </row>
    <row r="1616">
      <c r="A1616" s="1" t="s">
        <v>1440</v>
      </c>
      <c r="B1616" s="2" t="s">
        <v>1181</v>
      </c>
      <c r="C1616" s="3"/>
    </row>
    <row r="1617">
      <c r="A1617" s="1" t="s">
        <v>1441</v>
      </c>
      <c r="B1617" s="2" t="s">
        <v>1181</v>
      </c>
      <c r="C1617" s="3"/>
    </row>
    <row r="1618">
      <c r="A1618" s="1" t="s">
        <v>1442</v>
      </c>
      <c r="B1618" s="2" t="s">
        <v>1181</v>
      </c>
      <c r="C1618" s="3"/>
    </row>
    <row r="1619">
      <c r="A1619" s="1" t="s">
        <v>1443</v>
      </c>
      <c r="B1619" s="2" t="s">
        <v>1181</v>
      </c>
      <c r="C1619" s="3"/>
    </row>
    <row r="1620">
      <c r="A1620" s="1" t="s">
        <v>1444</v>
      </c>
      <c r="B1620" s="2" t="s">
        <v>1181</v>
      </c>
      <c r="C1620" s="3"/>
    </row>
    <row r="1621">
      <c r="A1621" s="1" t="s">
        <v>1445</v>
      </c>
      <c r="B1621" s="2" t="s">
        <v>1181</v>
      </c>
      <c r="C1621" s="3"/>
    </row>
    <row r="1622">
      <c r="A1622" s="1" t="s">
        <v>1446</v>
      </c>
      <c r="B1622" s="2" t="s">
        <v>1181</v>
      </c>
      <c r="C1622" s="3"/>
    </row>
    <row r="1623">
      <c r="A1623" s="1" t="s">
        <v>1447</v>
      </c>
      <c r="B1623" s="2" t="s">
        <v>1181</v>
      </c>
      <c r="C1623" s="3"/>
    </row>
    <row r="1624">
      <c r="A1624" s="1" t="s">
        <v>1448</v>
      </c>
      <c r="B1624" s="2" t="s">
        <v>1181</v>
      </c>
      <c r="C1624" s="3"/>
    </row>
    <row r="1625">
      <c r="A1625" s="1" t="s">
        <v>1449</v>
      </c>
      <c r="B1625" s="2" t="s">
        <v>1181</v>
      </c>
      <c r="C1625" s="3"/>
    </row>
    <row r="1626">
      <c r="A1626" s="1" t="s">
        <v>1450</v>
      </c>
      <c r="B1626" s="2" t="s">
        <v>1181</v>
      </c>
      <c r="C1626" s="3"/>
    </row>
    <row r="1627">
      <c r="A1627" s="1" t="s">
        <v>1451</v>
      </c>
      <c r="B1627" s="2" t="s">
        <v>1181</v>
      </c>
      <c r="C1627" s="3"/>
    </row>
    <row r="1628">
      <c r="A1628" s="1" t="s">
        <v>1452</v>
      </c>
      <c r="B1628" s="2" t="s">
        <v>1181</v>
      </c>
      <c r="C1628" s="3"/>
    </row>
    <row r="1629">
      <c r="A1629" s="1" t="s">
        <v>1453</v>
      </c>
      <c r="B1629" s="2" t="s">
        <v>1181</v>
      </c>
      <c r="C1629" s="3"/>
    </row>
    <row r="1630">
      <c r="A1630" s="1" t="s">
        <v>1454</v>
      </c>
      <c r="B1630" s="2" t="s">
        <v>1181</v>
      </c>
      <c r="C1630" s="3"/>
    </row>
    <row r="1631">
      <c r="A1631" s="1" t="s">
        <v>1455</v>
      </c>
      <c r="B1631" s="2" t="s">
        <v>1181</v>
      </c>
      <c r="C1631" s="3"/>
    </row>
    <row r="1632">
      <c r="A1632" s="1" t="s">
        <v>1456</v>
      </c>
      <c r="B1632" s="2" t="s">
        <v>1181</v>
      </c>
      <c r="C1632" s="3"/>
    </row>
    <row r="1633">
      <c r="A1633" s="1" t="s">
        <v>1457</v>
      </c>
      <c r="B1633" s="2" t="s">
        <v>1181</v>
      </c>
      <c r="C1633" s="3"/>
    </row>
    <row r="1634">
      <c r="A1634" s="1" t="s">
        <v>1458</v>
      </c>
      <c r="B1634" s="2" t="s">
        <v>1181</v>
      </c>
      <c r="C1634" s="3"/>
    </row>
    <row r="1635">
      <c r="A1635" s="1" t="s">
        <v>1459</v>
      </c>
      <c r="B1635" s="2" t="s">
        <v>1181</v>
      </c>
      <c r="C1635" s="3"/>
    </row>
    <row r="1636">
      <c r="A1636" s="1" t="s">
        <v>1460</v>
      </c>
      <c r="B1636" s="2" t="s">
        <v>1181</v>
      </c>
      <c r="C1636" s="3"/>
    </row>
    <row r="1637">
      <c r="A1637" s="1" t="s">
        <v>1461</v>
      </c>
      <c r="B1637" s="2" t="s">
        <v>1181</v>
      </c>
      <c r="C1637" s="3"/>
    </row>
    <row r="1638">
      <c r="A1638" s="1" t="s">
        <v>1462</v>
      </c>
      <c r="B1638" s="2" t="s">
        <v>1181</v>
      </c>
      <c r="C1638" s="3"/>
    </row>
    <row r="1639">
      <c r="A1639" s="1" t="s">
        <v>1463</v>
      </c>
      <c r="B1639" s="2" t="s">
        <v>1181</v>
      </c>
      <c r="C1639" s="3"/>
    </row>
    <row r="1640">
      <c r="A1640" s="1" t="s">
        <v>1464</v>
      </c>
      <c r="B1640" s="2" t="s">
        <v>1181</v>
      </c>
      <c r="C1640" s="3"/>
    </row>
    <row r="1641">
      <c r="A1641" s="1" t="s">
        <v>1465</v>
      </c>
      <c r="B1641" s="2" t="s">
        <v>1181</v>
      </c>
      <c r="C1641" s="3"/>
    </row>
    <row r="1642">
      <c r="A1642" s="1" t="s">
        <v>1466</v>
      </c>
      <c r="B1642" s="2" t="s">
        <v>1181</v>
      </c>
      <c r="C1642" s="3"/>
    </row>
    <row r="1643">
      <c r="A1643" s="1" t="s">
        <v>1467</v>
      </c>
      <c r="B1643" s="2" t="s">
        <v>1181</v>
      </c>
      <c r="C1643" s="3"/>
    </row>
    <row r="1644">
      <c r="A1644" s="1" t="s">
        <v>1468</v>
      </c>
      <c r="B1644" s="2" t="s">
        <v>1181</v>
      </c>
      <c r="C1644" s="3"/>
    </row>
    <row r="1645">
      <c r="A1645" s="1" t="s">
        <v>1469</v>
      </c>
      <c r="B1645" s="2" t="s">
        <v>1181</v>
      </c>
      <c r="C1645" s="3"/>
    </row>
    <row r="1646">
      <c r="A1646" s="1" t="s">
        <v>1470</v>
      </c>
      <c r="B1646" s="2" t="s">
        <v>1181</v>
      </c>
      <c r="C1646" s="3"/>
    </row>
    <row r="1647">
      <c r="A1647" s="1" t="s">
        <v>1471</v>
      </c>
      <c r="B1647" s="2" t="s">
        <v>1181</v>
      </c>
      <c r="C1647" s="3"/>
    </row>
    <row r="1648">
      <c r="A1648" s="1" t="s">
        <v>1472</v>
      </c>
      <c r="B1648" s="2" t="s">
        <v>1181</v>
      </c>
      <c r="C1648" s="3"/>
    </row>
    <row r="1649">
      <c r="A1649" s="1" t="s">
        <v>1473</v>
      </c>
      <c r="B1649" s="2" t="s">
        <v>1181</v>
      </c>
      <c r="C1649" s="3"/>
    </row>
    <row r="1650">
      <c r="A1650" s="1" t="s">
        <v>1474</v>
      </c>
      <c r="B1650" s="2" t="s">
        <v>1181</v>
      </c>
      <c r="C1650" s="3"/>
    </row>
    <row r="1651">
      <c r="A1651" s="1" t="s">
        <v>1475</v>
      </c>
      <c r="B1651" s="2" t="s">
        <v>1181</v>
      </c>
      <c r="C1651" s="3"/>
    </row>
    <row r="1652">
      <c r="A1652" s="1" t="s">
        <v>1476</v>
      </c>
      <c r="B1652" s="2" t="s">
        <v>1181</v>
      </c>
      <c r="C1652" s="3"/>
    </row>
    <row r="1653">
      <c r="A1653" s="1" t="s">
        <v>1477</v>
      </c>
      <c r="B1653" s="2" t="s">
        <v>1181</v>
      </c>
      <c r="C1653" s="3"/>
    </row>
    <row r="1654">
      <c r="A1654" s="1" t="s">
        <v>1478</v>
      </c>
      <c r="B1654" s="2" t="s">
        <v>1181</v>
      </c>
      <c r="C1654" s="3"/>
    </row>
    <row r="1655">
      <c r="A1655" s="1" t="s">
        <v>1479</v>
      </c>
      <c r="B1655" s="2" t="s">
        <v>1181</v>
      </c>
      <c r="C1655" s="3"/>
    </row>
    <row r="1656">
      <c r="A1656" s="1" t="s">
        <v>1480</v>
      </c>
      <c r="B1656" s="2" t="s">
        <v>1181</v>
      </c>
      <c r="C1656" s="3"/>
    </row>
    <row r="1657">
      <c r="A1657" s="1" t="s">
        <v>1354</v>
      </c>
      <c r="B1657" s="2" t="s">
        <v>1181</v>
      </c>
      <c r="C1657" s="3"/>
    </row>
    <row r="1658">
      <c r="A1658" s="1" t="s">
        <v>1355</v>
      </c>
      <c r="B1658" s="2" t="s">
        <v>1181</v>
      </c>
      <c r="C1658" s="3"/>
    </row>
    <row r="1659">
      <c r="A1659" s="1" t="s">
        <v>1356</v>
      </c>
      <c r="B1659" s="2" t="s">
        <v>1181</v>
      </c>
      <c r="C1659" s="3"/>
    </row>
    <row r="1660">
      <c r="A1660" s="1" t="s">
        <v>1357</v>
      </c>
      <c r="B1660" s="2" t="s">
        <v>1181</v>
      </c>
      <c r="C1660" s="3"/>
    </row>
    <row r="1661">
      <c r="A1661" s="1" t="s">
        <v>1358</v>
      </c>
      <c r="B1661" s="2" t="s">
        <v>1181</v>
      </c>
      <c r="C1661" s="3"/>
    </row>
    <row r="1662">
      <c r="A1662" s="1" t="s">
        <v>1359</v>
      </c>
      <c r="B1662" s="2" t="s">
        <v>1181</v>
      </c>
      <c r="C1662" s="3"/>
    </row>
    <row r="1663">
      <c r="A1663" s="1" t="s">
        <v>1360</v>
      </c>
      <c r="B1663" s="2" t="s">
        <v>1181</v>
      </c>
      <c r="C1663" s="3"/>
    </row>
    <row r="1664">
      <c r="A1664" s="1" t="s">
        <v>1361</v>
      </c>
      <c r="B1664" s="2" t="s">
        <v>1181</v>
      </c>
      <c r="C1664" s="3"/>
    </row>
    <row r="1665">
      <c r="A1665" s="1" t="s">
        <v>1362</v>
      </c>
      <c r="B1665" s="2" t="s">
        <v>1181</v>
      </c>
      <c r="C1665" s="3"/>
    </row>
    <row r="1666">
      <c r="A1666" s="1" t="s">
        <v>1363</v>
      </c>
      <c r="B1666" s="2" t="s">
        <v>1181</v>
      </c>
      <c r="C1666" s="3"/>
    </row>
    <row r="1667">
      <c r="A1667" s="1" t="s">
        <v>1364</v>
      </c>
      <c r="B1667" s="2" t="s">
        <v>1181</v>
      </c>
      <c r="C1667" s="3"/>
    </row>
    <row r="1668">
      <c r="A1668" s="2" t="s">
        <v>1365</v>
      </c>
      <c r="B1668" s="2" t="s">
        <v>1181</v>
      </c>
      <c r="C1668" s="3"/>
    </row>
    <row r="1669">
      <c r="A1669" s="1" t="s">
        <v>1366</v>
      </c>
      <c r="B1669" s="2" t="s">
        <v>1181</v>
      </c>
      <c r="C1669" s="3"/>
    </row>
    <row r="1670">
      <c r="A1670" s="1" t="s">
        <v>1367</v>
      </c>
      <c r="B1670" s="2" t="s">
        <v>1181</v>
      </c>
      <c r="C1670" s="3"/>
    </row>
    <row r="1671">
      <c r="A1671" s="1" t="s">
        <v>1368</v>
      </c>
      <c r="B1671" s="2" t="s">
        <v>1181</v>
      </c>
      <c r="C1671" s="3"/>
    </row>
    <row r="1672">
      <c r="A1672" s="1" t="s">
        <v>1369</v>
      </c>
      <c r="B1672" s="2" t="s">
        <v>1181</v>
      </c>
      <c r="C1672" s="3"/>
    </row>
    <row r="1673">
      <c r="A1673" s="1" t="s">
        <v>1370</v>
      </c>
      <c r="B1673" s="2" t="s">
        <v>1181</v>
      </c>
      <c r="C1673" s="3"/>
    </row>
    <row r="1674">
      <c r="A1674" s="1" t="s">
        <v>1371</v>
      </c>
      <c r="B1674" s="2" t="s">
        <v>1181</v>
      </c>
      <c r="C1674" s="3"/>
    </row>
    <row r="1675">
      <c r="A1675" s="1" t="s">
        <v>1372</v>
      </c>
      <c r="B1675" s="2" t="s">
        <v>1181</v>
      </c>
      <c r="C1675" s="3"/>
    </row>
    <row r="1676">
      <c r="A1676" s="1" t="s">
        <v>1373</v>
      </c>
      <c r="B1676" s="2" t="s">
        <v>1181</v>
      </c>
      <c r="C1676" s="3"/>
    </row>
    <row r="1677">
      <c r="A1677" s="1" t="s">
        <v>1374</v>
      </c>
      <c r="B1677" s="2" t="s">
        <v>1181</v>
      </c>
      <c r="C1677" s="3"/>
    </row>
    <row r="1678">
      <c r="A1678" s="1" t="s">
        <v>1375</v>
      </c>
      <c r="B1678" s="2" t="s">
        <v>1181</v>
      </c>
      <c r="C1678" s="3"/>
    </row>
    <row r="1679">
      <c r="A1679" s="1" t="s">
        <v>1376</v>
      </c>
      <c r="B1679" s="2" t="s">
        <v>1181</v>
      </c>
      <c r="C1679" s="3"/>
    </row>
    <row r="1680">
      <c r="A1680" s="1" t="s">
        <v>1377</v>
      </c>
      <c r="B1680" s="2" t="s">
        <v>1181</v>
      </c>
      <c r="C1680" s="3"/>
    </row>
    <row r="1681">
      <c r="A1681" s="1" t="s">
        <v>1378</v>
      </c>
      <c r="B1681" s="2" t="s">
        <v>1181</v>
      </c>
      <c r="C1681" s="3"/>
    </row>
    <row r="1682">
      <c r="A1682" s="1" t="s">
        <v>1379</v>
      </c>
      <c r="B1682" s="2" t="s">
        <v>1181</v>
      </c>
      <c r="C1682" s="3"/>
    </row>
    <row r="1683">
      <c r="A1683" s="1" t="s">
        <v>1380</v>
      </c>
      <c r="B1683" s="2" t="s">
        <v>1181</v>
      </c>
      <c r="C1683" s="3"/>
    </row>
    <row r="1684">
      <c r="A1684" s="1" t="s">
        <v>1481</v>
      </c>
      <c r="B1684" s="2" t="s">
        <v>1181</v>
      </c>
      <c r="C1684" s="3"/>
    </row>
    <row r="1685">
      <c r="A1685" s="1" t="s">
        <v>1482</v>
      </c>
      <c r="B1685" s="2" t="s">
        <v>1181</v>
      </c>
      <c r="C1685" s="3"/>
    </row>
    <row r="1686">
      <c r="A1686" s="1" t="s">
        <v>1483</v>
      </c>
      <c r="B1686" s="2" t="s">
        <v>1181</v>
      </c>
      <c r="C1686" s="3"/>
    </row>
    <row r="1687">
      <c r="A1687" s="1" t="s">
        <v>1484</v>
      </c>
      <c r="B1687" s="2" t="s">
        <v>1181</v>
      </c>
      <c r="C1687" s="3"/>
    </row>
    <row r="1688">
      <c r="A1688" s="2" t="s">
        <v>1485</v>
      </c>
      <c r="B1688" s="2" t="s">
        <v>1181</v>
      </c>
      <c r="C1688" s="3"/>
    </row>
    <row r="1689">
      <c r="A1689" s="1" t="s">
        <v>1486</v>
      </c>
      <c r="B1689" s="2" t="s">
        <v>1181</v>
      </c>
      <c r="C1689" s="3"/>
    </row>
    <row r="1690">
      <c r="A1690" s="1" t="s">
        <v>1487</v>
      </c>
      <c r="B1690" s="2" t="s">
        <v>1181</v>
      </c>
      <c r="C1690" s="3"/>
    </row>
    <row r="1691">
      <c r="A1691" s="1" t="s">
        <v>1488</v>
      </c>
      <c r="B1691" s="2" t="s">
        <v>1181</v>
      </c>
      <c r="C1691" s="3"/>
    </row>
    <row r="1692">
      <c r="A1692" s="1" t="s">
        <v>1489</v>
      </c>
      <c r="B1692" s="2" t="s">
        <v>1181</v>
      </c>
      <c r="C1692" s="3"/>
    </row>
    <row r="1693">
      <c r="A1693" s="1" t="s">
        <v>1490</v>
      </c>
      <c r="B1693" s="2" t="s">
        <v>1181</v>
      </c>
      <c r="C1693" s="3"/>
    </row>
    <row r="1694">
      <c r="A1694" s="1" t="s">
        <v>1491</v>
      </c>
      <c r="B1694" s="2" t="s">
        <v>1181</v>
      </c>
      <c r="C1694" s="3"/>
    </row>
    <row r="1695">
      <c r="A1695" s="1" t="s">
        <v>1492</v>
      </c>
      <c r="B1695" s="2" t="s">
        <v>1181</v>
      </c>
      <c r="C1695" s="3"/>
    </row>
    <row r="1696">
      <c r="A1696" s="1" t="s">
        <v>1493</v>
      </c>
      <c r="B1696" s="2" t="s">
        <v>1181</v>
      </c>
      <c r="C1696" s="3"/>
    </row>
    <row r="1697">
      <c r="A1697" s="1" t="s">
        <v>1494</v>
      </c>
      <c r="B1697" s="2" t="s">
        <v>1181</v>
      </c>
      <c r="C1697" s="3"/>
    </row>
    <row r="1698">
      <c r="A1698" s="1" t="s">
        <v>1495</v>
      </c>
      <c r="B1698" s="2" t="s">
        <v>1181</v>
      </c>
      <c r="C1698" s="3"/>
    </row>
    <row r="1699">
      <c r="A1699" s="1" t="s">
        <v>1496</v>
      </c>
      <c r="B1699" s="2" t="s">
        <v>1181</v>
      </c>
      <c r="C1699" s="3"/>
    </row>
    <row r="1700">
      <c r="A1700" s="1" t="s">
        <v>1497</v>
      </c>
      <c r="B1700" s="2" t="s">
        <v>1181</v>
      </c>
      <c r="C1700" s="3"/>
    </row>
    <row r="1701">
      <c r="A1701" s="1" t="s">
        <v>1498</v>
      </c>
      <c r="B1701" s="2" t="s">
        <v>1181</v>
      </c>
      <c r="C1701" s="3"/>
    </row>
    <row r="1702">
      <c r="A1702" s="1" t="s">
        <v>1499</v>
      </c>
      <c r="B1702" s="2" t="s">
        <v>1181</v>
      </c>
      <c r="C1702" s="3"/>
    </row>
    <row r="1703">
      <c r="A1703" s="1" t="s">
        <v>1500</v>
      </c>
      <c r="B1703" s="2" t="s">
        <v>1181</v>
      </c>
      <c r="C1703" s="3"/>
    </row>
    <row r="1704">
      <c r="A1704" s="1" t="s">
        <v>1501</v>
      </c>
      <c r="B1704" s="2" t="s">
        <v>1181</v>
      </c>
      <c r="C1704" s="3"/>
    </row>
    <row r="1705">
      <c r="A1705" s="1" t="s">
        <v>1502</v>
      </c>
      <c r="B1705" s="2" t="s">
        <v>1181</v>
      </c>
      <c r="C1705" s="3"/>
    </row>
    <row r="1706">
      <c r="A1706" s="1" t="s">
        <v>1503</v>
      </c>
      <c r="B1706" s="2" t="s">
        <v>1181</v>
      </c>
      <c r="C1706" s="3"/>
    </row>
    <row r="1707">
      <c r="A1707" s="1" t="s">
        <v>1504</v>
      </c>
      <c r="B1707" s="2" t="s">
        <v>1181</v>
      </c>
      <c r="C1707" s="3"/>
    </row>
    <row r="1708">
      <c r="A1708" s="1" t="s">
        <v>1505</v>
      </c>
      <c r="B1708" s="2" t="s">
        <v>1181</v>
      </c>
      <c r="C1708" s="3"/>
    </row>
    <row r="1709">
      <c r="A1709" s="1" t="s">
        <v>1506</v>
      </c>
      <c r="B1709" s="2" t="s">
        <v>1181</v>
      </c>
      <c r="C1709" s="3"/>
    </row>
    <row r="1710">
      <c r="A1710" s="1" t="s">
        <v>1507</v>
      </c>
      <c r="B1710" s="2" t="s">
        <v>1181</v>
      </c>
      <c r="C1710" s="3"/>
    </row>
    <row r="1711">
      <c r="A1711" s="1" t="s">
        <v>1508</v>
      </c>
      <c r="B1711" s="2" t="s">
        <v>1181</v>
      </c>
      <c r="C1711" s="3"/>
    </row>
    <row r="1712">
      <c r="A1712" s="1" t="s">
        <v>1509</v>
      </c>
      <c r="B1712" s="2" t="s">
        <v>1181</v>
      </c>
      <c r="C1712" s="3"/>
    </row>
    <row r="1713">
      <c r="A1713" s="1" t="s">
        <v>1510</v>
      </c>
      <c r="B1713" s="2" t="s">
        <v>1181</v>
      </c>
      <c r="C1713" s="3"/>
    </row>
    <row r="1714">
      <c r="A1714" s="1" t="s">
        <v>1511</v>
      </c>
      <c r="B1714" s="2" t="s">
        <v>1181</v>
      </c>
      <c r="C1714" s="3"/>
    </row>
    <row r="1715">
      <c r="A1715" s="1" t="s">
        <v>1512</v>
      </c>
      <c r="B1715" s="2" t="s">
        <v>1181</v>
      </c>
      <c r="C1715" s="3"/>
    </row>
    <row r="1716">
      <c r="A1716" s="1" t="s">
        <v>1513</v>
      </c>
      <c r="B1716" s="2" t="s">
        <v>1181</v>
      </c>
      <c r="C1716" s="3"/>
    </row>
    <row r="1717">
      <c r="A1717" s="1" t="s">
        <v>1514</v>
      </c>
      <c r="B1717" s="2" t="s">
        <v>1181</v>
      </c>
      <c r="C1717" s="3"/>
    </row>
    <row r="1718">
      <c r="A1718" s="1" t="s">
        <v>1515</v>
      </c>
      <c r="B1718" s="2" t="s">
        <v>1181</v>
      </c>
      <c r="C1718" s="3"/>
    </row>
    <row r="1719">
      <c r="A1719" s="1" t="s">
        <v>1516</v>
      </c>
      <c r="B1719" s="2" t="s">
        <v>1181</v>
      </c>
      <c r="C1719" s="3"/>
    </row>
    <row r="1720">
      <c r="A1720" s="1" t="s">
        <v>1517</v>
      </c>
      <c r="B1720" s="2" t="s">
        <v>1181</v>
      </c>
      <c r="C1720" s="3"/>
    </row>
    <row r="1721">
      <c r="A1721" s="1" t="s">
        <v>1518</v>
      </c>
      <c r="B1721" s="2" t="s">
        <v>1181</v>
      </c>
      <c r="C1721" s="3"/>
    </row>
    <row r="1722">
      <c r="A1722" s="1" t="s">
        <v>1519</v>
      </c>
      <c r="B1722" s="2" t="s">
        <v>1181</v>
      </c>
      <c r="C1722" s="3"/>
    </row>
    <row r="1723">
      <c r="A1723" s="1" t="s">
        <v>1520</v>
      </c>
      <c r="B1723" s="2" t="s">
        <v>1181</v>
      </c>
      <c r="C1723" s="3"/>
    </row>
    <row r="1724">
      <c r="A1724" s="1" t="s">
        <v>1521</v>
      </c>
      <c r="B1724" s="2" t="s">
        <v>1181</v>
      </c>
      <c r="C1724" s="3"/>
    </row>
    <row r="1725">
      <c r="A1725" s="1" t="s">
        <v>1522</v>
      </c>
      <c r="B1725" s="2" t="s">
        <v>1181</v>
      </c>
      <c r="C1725" s="3"/>
    </row>
    <row r="1726">
      <c r="A1726" s="1" t="s">
        <v>1523</v>
      </c>
      <c r="B1726" s="2" t="s">
        <v>1181</v>
      </c>
      <c r="C1726" s="3"/>
    </row>
    <row r="1727">
      <c r="A1727" s="1" t="s">
        <v>1524</v>
      </c>
      <c r="B1727" s="2" t="s">
        <v>1181</v>
      </c>
      <c r="C1727" s="3"/>
    </row>
    <row r="1728">
      <c r="A1728" s="1" t="s">
        <v>1525</v>
      </c>
      <c r="B1728" s="2" t="s">
        <v>1181</v>
      </c>
      <c r="C1728" s="3"/>
    </row>
    <row r="1729">
      <c r="A1729" s="1" t="s">
        <v>1526</v>
      </c>
      <c r="B1729" s="2" t="s">
        <v>1181</v>
      </c>
      <c r="C1729" s="3"/>
    </row>
    <row r="1730">
      <c r="A1730" s="1" t="s">
        <v>1527</v>
      </c>
      <c r="B1730" s="2" t="s">
        <v>1181</v>
      </c>
      <c r="C1730" s="3"/>
    </row>
    <row r="1731">
      <c r="A1731" s="1" t="s">
        <v>1528</v>
      </c>
      <c r="B1731" s="2" t="s">
        <v>1181</v>
      </c>
      <c r="C1731" s="3"/>
    </row>
    <row r="1732">
      <c r="A1732" s="1" t="s">
        <v>1529</v>
      </c>
      <c r="B1732" s="2" t="s">
        <v>1181</v>
      </c>
      <c r="C1732" s="3"/>
    </row>
    <row r="1733">
      <c r="A1733" s="1" t="s">
        <v>1530</v>
      </c>
      <c r="B1733" s="2" t="s">
        <v>1181</v>
      </c>
      <c r="C1733" s="3"/>
    </row>
    <row r="1734">
      <c r="A1734" s="1" t="s">
        <v>1531</v>
      </c>
      <c r="B1734" s="2" t="s">
        <v>1181</v>
      </c>
      <c r="C1734" s="3"/>
    </row>
    <row r="1735">
      <c r="A1735" s="1" t="s">
        <v>1532</v>
      </c>
      <c r="B1735" s="2" t="s">
        <v>1181</v>
      </c>
      <c r="C1735" s="3"/>
    </row>
    <row r="1736">
      <c r="A1736" s="1" t="s">
        <v>1533</v>
      </c>
      <c r="B1736" s="2" t="s">
        <v>1181</v>
      </c>
      <c r="C1736" s="3"/>
    </row>
    <row r="1737">
      <c r="A1737" s="1" t="s">
        <v>1534</v>
      </c>
      <c r="B1737" s="2" t="s">
        <v>1181</v>
      </c>
      <c r="C1737" s="3"/>
    </row>
    <row r="1738">
      <c r="A1738" s="1" t="s">
        <v>1535</v>
      </c>
      <c r="B1738" s="2" t="s">
        <v>1181</v>
      </c>
      <c r="C1738" s="3"/>
    </row>
    <row r="1739">
      <c r="A1739" s="1" t="s">
        <v>1536</v>
      </c>
      <c r="B1739" s="2" t="s">
        <v>1181</v>
      </c>
      <c r="C1739" s="3"/>
    </row>
    <row r="1740">
      <c r="A1740" s="1" t="s">
        <v>1537</v>
      </c>
      <c r="B1740" s="2" t="s">
        <v>1181</v>
      </c>
      <c r="C1740" s="3"/>
    </row>
    <row r="1741">
      <c r="A1741" s="1" t="s">
        <v>1538</v>
      </c>
      <c r="B1741" s="2" t="s">
        <v>1181</v>
      </c>
      <c r="C1741" s="3"/>
    </row>
    <row r="1742">
      <c r="A1742" s="1" t="s">
        <v>1539</v>
      </c>
      <c r="B1742" s="2" t="s">
        <v>1181</v>
      </c>
      <c r="C1742" s="3"/>
    </row>
    <row r="1743">
      <c r="A1743" s="1" t="s">
        <v>1441</v>
      </c>
      <c r="B1743" s="2" t="s">
        <v>1181</v>
      </c>
      <c r="C1743" s="3"/>
    </row>
    <row r="1744">
      <c r="A1744" s="1" t="s">
        <v>1442</v>
      </c>
      <c r="B1744" s="2" t="s">
        <v>1181</v>
      </c>
      <c r="C1744" s="3"/>
    </row>
    <row r="1745">
      <c r="A1745" s="1" t="s">
        <v>1443</v>
      </c>
      <c r="B1745" s="2" t="s">
        <v>1181</v>
      </c>
      <c r="C1745" s="3"/>
    </row>
    <row r="1746">
      <c r="A1746" s="1" t="s">
        <v>1444</v>
      </c>
      <c r="B1746" s="2" t="s">
        <v>1181</v>
      </c>
      <c r="C1746" s="3"/>
    </row>
    <row r="1747">
      <c r="A1747" s="1" t="s">
        <v>1445</v>
      </c>
      <c r="B1747" s="2" t="s">
        <v>1181</v>
      </c>
      <c r="C1747" s="3"/>
    </row>
    <row r="1748">
      <c r="A1748" s="1" t="s">
        <v>1446</v>
      </c>
      <c r="B1748" s="2" t="s">
        <v>1181</v>
      </c>
      <c r="C1748" s="3"/>
    </row>
    <row r="1749">
      <c r="A1749" s="1" t="s">
        <v>1447</v>
      </c>
      <c r="B1749" s="2" t="s">
        <v>1181</v>
      </c>
      <c r="C1749" s="3"/>
    </row>
    <row r="1750">
      <c r="A1750" s="1" t="s">
        <v>1448</v>
      </c>
      <c r="B1750" s="2" t="s">
        <v>1181</v>
      </c>
      <c r="C1750" s="3"/>
    </row>
    <row r="1751">
      <c r="A1751" s="1" t="s">
        <v>1449</v>
      </c>
      <c r="B1751" s="2" t="s">
        <v>1181</v>
      </c>
      <c r="C1751" s="3"/>
    </row>
    <row r="1752">
      <c r="A1752" s="1" t="s">
        <v>1450</v>
      </c>
      <c r="B1752" s="2" t="s">
        <v>1181</v>
      </c>
      <c r="C1752" s="3"/>
    </row>
    <row r="1753">
      <c r="A1753" s="1" t="s">
        <v>1451</v>
      </c>
      <c r="B1753" s="2" t="s">
        <v>1181</v>
      </c>
      <c r="C1753" s="3"/>
    </row>
    <row r="1754">
      <c r="A1754" s="1" t="s">
        <v>1452</v>
      </c>
      <c r="B1754" s="2" t="s">
        <v>1181</v>
      </c>
      <c r="C1754" s="3"/>
    </row>
    <row r="1755">
      <c r="A1755" s="1" t="s">
        <v>1453</v>
      </c>
      <c r="B1755" s="2" t="s">
        <v>1181</v>
      </c>
      <c r="C1755" s="3"/>
    </row>
    <row r="1756">
      <c r="A1756" s="1" t="s">
        <v>1454</v>
      </c>
      <c r="B1756" s="2" t="s">
        <v>1181</v>
      </c>
      <c r="C1756" s="3"/>
    </row>
    <row r="1757">
      <c r="A1757" s="1" t="s">
        <v>1319</v>
      </c>
      <c r="B1757" s="2" t="s">
        <v>1181</v>
      </c>
      <c r="C1757" s="3"/>
    </row>
    <row r="1758">
      <c r="A1758" s="1" t="s">
        <v>1320</v>
      </c>
      <c r="B1758" s="2" t="s">
        <v>1181</v>
      </c>
      <c r="C1758" s="3"/>
    </row>
    <row r="1759">
      <c r="A1759" s="1" t="s">
        <v>1321</v>
      </c>
      <c r="B1759" s="2" t="s">
        <v>1181</v>
      </c>
      <c r="C1759" s="3"/>
    </row>
    <row r="1760">
      <c r="A1760" s="1" t="s">
        <v>1322</v>
      </c>
      <c r="B1760" s="2" t="s">
        <v>1181</v>
      </c>
      <c r="C1760" s="3"/>
    </row>
    <row r="1761">
      <c r="A1761" s="1" t="s">
        <v>1323</v>
      </c>
      <c r="B1761" s="2" t="s">
        <v>1181</v>
      </c>
      <c r="C1761" s="3"/>
    </row>
    <row r="1762">
      <c r="A1762" s="1" t="s">
        <v>1324</v>
      </c>
      <c r="B1762" s="2" t="s">
        <v>1181</v>
      </c>
      <c r="C1762" s="3"/>
    </row>
    <row r="1763">
      <c r="A1763" s="1" t="s">
        <v>1325</v>
      </c>
      <c r="B1763" s="2" t="s">
        <v>1181</v>
      </c>
      <c r="C1763" s="3"/>
    </row>
    <row r="1764">
      <c r="A1764" s="1" t="s">
        <v>1326</v>
      </c>
      <c r="B1764" s="2" t="s">
        <v>1181</v>
      </c>
      <c r="C1764" s="3"/>
    </row>
    <row r="1765">
      <c r="A1765" s="1" t="s">
        <v>1327</v>
      </c>
      <c r="B1765" s="2" t="s">
        <v>1181</v>
      </c>
      <c r="C1765" s="3"/>
    </row>
    <row r="1766">
      <c r="A1766" s="1" t="s">
        <v>1328</v>
      </c>
      <c r="B1766" s="2" t="s">
        <v>1181</v>
      </c>
      <c r="C1766" s="3"/>
    </row>
    <row r="1767">
      <c r="A1767" s="1" t="s">
        <v>1329</v>
      </c>
      <c r="B1767" s="2" t="s">
        <v>1181</v>
      </c>
      <c r="C1767" s="3"/>
    </row>
    <row r="1768">
      <c r="A1768" s="1" t="s">
        <v>1330</v>
      </c>
      <c r="B1768" s="2" t="s">
        <v>1181</v>
      </c>
      <c r="C1768" s="3"/>
    </row>
    <row r="1769">
      <c r="A1769" s="1" t="s">
        <v>1331</v>
      </c>
      <c r="B1769" s="2" t="s">
        <v>1181</v>
      </c>
      <c r="C1769" s="3"/>
    </row>
    <row r="1770">
      <c r="A1770" s="1" t="s">
        <v>1332</v>
      </c>
      <c r="B1770" s="2" t="s">
        <v>1181</v>
      </c>
      <c r="C1770" s="3"/>
    </row>
    <row r="1771">
      <c r="A1771" s="1" t="s">
        <v>1333</v>
      </c>
      <c r="B1771" s="2" t="s">
        <v>1181</v>
      </c>
      <c r="C1771" s="3"/>
    </row>
    <row r="1772">
      <c r="A1772" s="1" t="s">
        <v>1334</v>
      </c>
      <c r="B1772" s="2" t="s">
        <v>1181</v>
      </c>
      <c r="C1772" s="3"/>
    </row>
    <row r="1773">
      <c r="A1773" s="1" t="s">
        <v>1335</v>
      </c>
      <c r="B1773" s="2" t="s">
        <v>1181</v>
      </c>
      <c r="C1773" s="3"/>
    </row>
    <row r="1774">
      <c r="A1774" s="1" t="s">
        <v>1336</v>
      </c>
      <c r="B1774" s="2" t="s">
        <v>1181</v>
      </c>
      <c r="C1774" s="3"/>
    </row>
    <row r="1775">
      <c r="A1775" s="1" t="s">
        <v>1337</v>
      </c>
      <c r="B1775" s="2" t="s">
        <v>1181</v>
      </c>
      <c r="C1775" s="3"/>
    </row>
    <row r="1776">
      <c r="A1776" s="1" t="s">
        <v>1338</v>
      </c>
      <c r="B1776" s="2" t="s">
        <v>1181</v>
      </c>
      <c r="C1776" s="3"/>
    </row>
    <row r="1777">
      <c r="A1777" s="1" t="s">
        <v>1339</v>
      </c>
      <c r="B1777" s="2" t="s">
        <v>1181</v>
      </c>
      <c r="C1777" s="3"/>
    </row>
    <row r="1778">
      <c r="A1778" s="1" t="s">
        <v>1340</v>
      </c>
      <c r="B1778" s="2" t="s">
        <v>1181</v>
      </c>
      <c r="C1778" s="3"/>
    </row>
    <row r="1779">
      <c r="A1779" s="1" t="s">
        <v>1341</v>
      </c>
      <c r="B1779" s="2" t="s">
        <v>1181</v>
      </c>
      <c r="C1779" s="3"/>
    </row>
    <row r="1780">
      <c r="A1780" s="1" t="s">
        <v>1342</v>
      </c>
      <c r="B1780" s="2" t="s">
        <v>1181</v>
      </c>
      <c r="C1780" s="3"/>
    </row>
    <row r="1781">
      <c r="A1781" s="1" t="s">
        <v>1343</v>
      </c>
      <c r="B1781" s="2" t="s">
        <v>1181</v>
      </c>
      <c r="C1781" s="3"/>
    </row>
    <row r="1782">
      <c r="A1782" s="1" t="s">
        <v>1344</v>
      </c>
      <c r="B1782" s="2" t="s">
        <v>1181</v>
      </c>
      <c r="C1782" s="3"/>
    </row>
    <row r="1783">
      <c r="A1783" s="1" t="s">
        <v>1345</v>
      </c>
      <c r="B1783" s="2" t="s">
        <v>1181</v>
      </c>
      <c r="C1783" s="3"/>
    </row>
    <row r="1784">
      <c r="A1784" s="1" t="s">
        <v>1346</v>
      </c>
      <c r="B1784" s="2" t="s">
        <v>1181</v>
      </c>
      <c r="C1784" s="3"/>
    </row>
    <row r="1785">
      <c r="A1785" s="1" t="s">
        <v>1347</v>
      </c>
      <c r="B1785" s="2" t="s">
        <v>1181</v>
      </c>
      <c r="C1785" s="3"/>
    </row>
    <row r="1786">
      <c r="A1786" s="1" t="s">
        <v>1348</v>
      </c>
      <c r="B1786" s="2" t="s">
        <v>1181</v>
      </c>
      <c r="C1786" s="3"/>
    </row>
    <row r="1787">
      <c r="A1787" s="1" t="s">
        <v>1349</v>
      </c>
      <c r="B1787" s="2" t="s">
        <v>1181</v>
      </c>
      <c r="C1787" s="3"/>
    </row>
    <row r="1788">
      <c r="A1788" s="1" t="s">
        <v>1350</v>
      </c>
      <c r="B1788" s="2" t="s">
        <v>1181</v>
      </c>
      <c r="C1788" s="3"/>
    </row>
    <row r="1789">
      <c r="A1789" s="1" t="s">
        <v>1351</v>
      </c>
      <c r="B1789" s="2" t="s">
        <v>1181</v>
      </c>
      <c r="C1789" s="3"/>
    </row>
    <row r="1790">
      <c r="A1790" s="1" t="s">
        <v>1352</v>
      </c>
      <c r="B1790" s="2" t="s">
        <v>1181</v>
      </c>
      <c r="C1790" s="3"/>
    </row>
    <row r="1791">
      <c r="A1791" s="1" t="s">
        <v>1353</v>
      </c>
      <c r="B1791" s="2" t="s">
        <v>1181</v>
      </c>
      <c r="C1791" s="3"/>
    </row>
    <row r="1792">
      <c r="A1792" s="1" t="s">
        <v>1354</v>
      </c>
      <c r="B1792" s="2" t="s">
        <v>1181</v>
      </c>
      <c r="C1792" s="3"/>
    </row>
    <row r="1793">
      <c r="A1793" s="1" t="s">
        <v>1355</v>
      </c>
      <c r="B1793" s="2" t="s">
        <v>1181</v>
      </c>
      <c r="C1793" s="3"/>
    </row>
    <row r="1794">
      <c r="A1794" s="1" t="s">
        <v>1356</v>
      </c>
      <c r="B1794" s="2" t="s">
        <v>1181</v>
      </c>
      <c r="C1794" s="3"/>
    </row>
    <row r="1795">
      <c r="A1795" s="1" t="s">
        <v>1357</v>
      </c>
      <c r="B1795" s="2" t="s">
        <v>1181</v>
      </c>
      <c r="C1795" s="3"/>
    </row>
    <row r="1796">
      <c r="A1796" s="1" t="s">
        <v>1358</v>
      </c>
      <c r="B1796" s="2" t="s">
        <v>1181</v>
      </c>
      <c r="C1796" s="3"/>
    </row>
    <row r="1797">
      <c r="A1797" s="1" t="s">
        <v>1359</v>
      </c>
      <c r="B1797" s="2" t="s">
        <v>1181</v>
      </c>
      <c r="C1797" s="3"/>
    </row>
    <row r="1798">
      <c r="A1798" s="1" t="s">
        <v>1360</v>
      </c>
      <c r="B1798" s="2" t="s">
        <v>1181</v>
      </c>
      <c r="C1798" s="3"/>
    </row>
    <row r="1799">
      <c r="A1799" s="1" t="s">
        <v>1361</v>
      </c>
      <c r="B1799" s="2" t="s">
        <v>1181</v>
      </c>
      <c r="C1799" s="3"/>
    </row>
    <row r="1800">
      <c r="A1800" s="1" t="s">
        <v>1362</v>
      </c>
      <c r="B1800" s="2" t="s">
        <v>1181</v>
      </c>
      <c r="C1800" s="3"/>
    </row>
    <row r="1801">
      <c r="A1801" s="1" t="s">
        <v>1363</v>
      </c>
      <c r="B1801" s="2" t="s">
        <v>1181</v>
      </c>
      <c r="C1801" s="3"/>
    </row>
    <row r="1802">
      <c r="A1802" s="1" t="s">
        <v>1364</v>
      </c>
      <c r="B1802" s="2" t="s">
        <v>1181</v>
      </c>
      <c r="C1802" s="3"/>
    </row>
    <row r="1803">
      <c r="A1803" s="2" t="s">
        <v>1365</v>
      </c>
      <c r="B1803" s="2" t="s">
        <v>1181</v>
      </c>
      <c r="C1803" s="3"/>
    </row>
    <row r="1804">
      <c r="A1804" s="1" t="s">
        <v>1366</v>
      </c>
      <c r="B1804" s="2" t="s">
        <v>1181</v>
      </c>
      <c r="C1804" s="3"/>
    </row>
    <row r="1805">
      <c r="A1805" s="1" t="s">
        <v>1367</v>
      </c>
      <c r="B1805" s="2" t="s">
        <v>1181</v>
      </c>
      <c r="C1805" s="3"/>
    </row>
    <row r="1806">
      <c r="A1806" s="1" t="s">
        <v>1368</v>
      </c>
      <c r="B1806" s="2" t="s">
        <v>1181</v>
      </c>
      <c r="C1806" s="3"/>
    </row>
    <row r="1807">
      <c r="A1807" s="1" t="s">
        <v>1369</v>
      </c>
      <c r="B1807" s="2" t="s">
        <v>1181</v>
      </c>
      <c r="C1807" s="3"/>
    </row>
    <row r="1808">
      <c r="A1808" s="1" t="s">
        <v>1370</v>
      </c>
      <c r="B1808" s="2" t="s">
        <v>1181</v>
      </c>
      <c r="C1808" s="3"/>
    </row>
    <row r="1809">
      <c r="A1809" s="1" t="s">
        <v>1371</v>
      </c>
      <c r="B1809" s="2" t="s">
        <v>1181</v>
      </c>
      <c r="C1809" s="3"/>
    </row>
    <row r="1810">
      <c r="A1810" s="1" t="s">
        <v>1372</v>
      </c>
      <c r="B1810" s="2" t="s">
        <v>1181</v>
      </c>
      <c r="C1810" s="3"/>
    </row>
    <row r="1811">
      <c r="A1811" s="1" t="s">
        <v>1373</v>
      </c>
      <c r="B1811" s="2" t="s">
        <v>1181</v>
      </c>
      <c r="C1811" s="3"/>
    </row>
    <row r="1812">
      <c r="A1812" s="1" t="s">
        <v>1374</v>
      </c>
      <c r="B1812" s="2" t="s">
        <v>1181</v>
      </c>
      <c r="C1812" s="3"/>
    </row>
    <row r="1813">
      <c r="A1813" s="1" t="s">
        <v>1375</v>
      </c>
      <c r="B1813" s="2" t="s">
        <v>1181</v>
      </c>
      <c r="C1813" s="3"/>
    </row>
    <row r="1814">
      <c r="A1814" s="1" t="s">
        <v>1376</v>
      </c>
      <c r="B1814" s="2" t="s">
        <v>1181</v>
      </c>
      <c r="C1814" s="3"/>
    </row>
    <row r="1815">
      <c r="A1815" s="1" t="s">
        <v>1377</v>
      </c>
      <c r="B1815" s="2" t="s">
        <v>1181</v>
      </c>
      <c r="C1815" s="3"/>
    </row>
    <row r="1816">
      <c r="A1816" s="1" t="s">
        <v>1378</v>
      </c>
      <c r="B1816" s="2" t="s">
        <v>1181</v>
      </c>
      <c r="C1816" s="3"/>
    </row>
    <row r="1817">
      <c r="A1817" s="1" t="s">
        <v>1379</v>
      </c>
      <c r="B1817" s="2" t="s">
        <v>1181</v>
      </c>
      <c r="C1817" s="3"/>
    </row>
    <row r="1818">
      <c r="A1818" s="1" t="s">
        <v>1380</v>
      </c>
      <c r="B1818" s="2" t="s">
        <v>1181</v>
      </c>
      <c r="C1818" s="3"/>
    </row>
    <row r="1819">
      <c r="A1819" s="1" t="s">
        <v>1481</v>
      </c>
      <c r="B1819" s="2" t="s">
        <v>1181</v>
      </c>
      <c r="C1819" s="3"/>
    </row>
    <row r="1820">
      <c r="A1820" s="1" t="s">
        <v>1482</v>
      </c>
      <c r="B1820" s="2" t="s">
        <v>1181</v>
      </c>
      <c r="C1820" s="3"/>
    </row>
    <row r="1821">
      <c r="A1821" s="1" t="s">
        <v>1483</v>
      </c>
      <c r="B1821" s="2" t="s">
        <v>1181</v>
      </c>
      <c r="C1821" s="3"/>
    </row>
    <row r="1822">
      <c r="A1822" s="1" t="s">
        <v>1484</v>
      </c>
      <c r="B1822" s="2" t="s">
        <v>1181</v>
      </c>
      <c r="C1822" s="3"/>
    </row>
    <row r="1823">
      <c r="A1823" s="2" t="s">
        <v>1485</v>
      </c>
      <c r="B1823" s="2" t="s">
        <v>1181</v>
      </c>
      <c r="C1823" s="3"/>
    </row>
    <row r="1824">
      <c r="A1824" s="1" t="s">
        <v>1486</v>
      </c>
      <c r="B1824" s="2" t="s">
        <v>1181</v>
      </c>
      <c r="C1824" s="3"/>
    </row>
    <row r="1825">
      <c r="A1825" s="1" t="s">
        <v>1487</v>
      </c>
      <c r="B1825" s="2" t="s">
        <v>1181</v>
      </c>
      <c r="C1825" s="3"/>
    </row>
    <row r="1826">
      <c r="A1826" s="1" t="s">
        <v>1488</v>
      </c>
      <c r="B1826" s="2" t="s">
        <v>1181</v>
      </c>
      <c r="C1826" s="3"/>
    </row>
    <row r="1827">
      <c r="A1827" s="1" t="s">
        <v>1489</v>
      </c>
      <c r="B1827" s="2" t="s">
        <v>1181</v>
      </c>
      <c r="C1827" s="3"/>
    </row>
    <row r="1828">
      <c r="A1828" s="1" t="s">
        <v>1490</v>
      </c>
      <c r="B1828" s="2" t="s">
        <v>1181</v>
      </c>
      <c r="C1828" s="3"/>
    </row>
    <row r="1829">
      <c r="A1829" s="1" t="s">
        <v>1491</v>
      </c>
      <c r="B1829" s="2" t="s">
        <v>1181</v>
      </c>
      <c r="C1829" s="3"/>
    </row>
    <row r="1830">
      <c r="A1830" s="1" t="s">
        <v>1492</v>
      </c>
      <c r="B1830" s="2" t="s">
        <v>1181</v>
      </c>
      <c r="C1830" s="3"/>
    </row>
    <row r="1831">
      <c r="A1831" s="1" t="s">
        <v>1493</v>
      </c>
      <c r="B1831" s="2" t="s">
        <v>1181</v>
      </c>
      <c r="C1831" s="3"/>
    </row>
    <row r="1832">
      <c r="A1832" s="1" t="s">
        <v>1494</v>
      </c>
      <c r="B1832" s="2" t="s">
        <v>1181</v>
      </c>
      <c r="C1832" s="3"/>
    </row>
    <row r="1833">
      <c r="A1833" s="1" t="s">
        <v>1495</v>
      </c>
      <c r="B1833" s="2" t="s">
        <v>1181</v>
      </c>
      <c r="C1833" s="3"/>
    </row>
    <row r="1834">
      <c r="A1834" s="1" t="s">
        <v>1496</v>
      </c>
      <c r="B1834" s="2" t="s">
        <v>1181</v>
      </c>
      <c r="C1834" s="3"/>
    </row>
    <row r="1835">
      <c r="A1835" s="1" t="s">
        <v>1497</v>
      </c>
      <c r="B1835" s="2" t="s">
        <v>1181</v>
      </c>
      <c r="C1835" s="3"/>
    </row>
    <row r="1836">
      <c r="A1836" s="1" t="s">
        <v>1498</v>
      </c>
      <c r="B1836" s="2" t="s">
        <v>1181</v>
      </c>
      <c r="C1836" s="3"/>
    </row>
    <row r="1837">
      <c r="A1837" s="1" t="s">
        <v>1499</v>
      </c>
      <c r="B1837" s="2" t="s">
        <v>1181</v>
      </c>
      <c r="C1837" s="3"/>
    </row>
    <row r="1838">
      <c r="A1838" s="1" t="s">
        <v>1500</v>
      </c>
      <c r="B1838" s="2" t="s">
        <v>1181</v>
      </c>
      <c r="C1838" s="3"/>
    </row>
    <row r="1839">
      <c r="A1839" s="1" t="s">
        <v>1501</v>
      </c>
      <c r="B1839" s="2" t="s">
        <v>1181</v>
      </c>
      <c r="C1839" s="3"/>
    </row>
    <row r="1840">
      <c r="A1840" s="1" t="s">
        <v>1502</v>
      </c>
      <c r="B1840" s="2" t="s">
        <v>1181</v>
      </c>
      <c r="C1840" s="3"/>
    </row>
    <row r="1841">
      <c r="A1841" s="1" t="s">
        <v>1503</v>
      </c>
      <c r="B1841" s="2" t="s">
        <v>1181</v>
      </c>
      <c r="C1841" s="3"/>
    </row>
    <row r="1842">
      <c r="A1842" s="1" t="s">
        <v>1504</v>
      </c>
      <c r="B1842" s="2" t="s">
        <v>1181</v>
      </c>
      <c r="C1842" s="3"/>
    </row>
    <row r="1843">
      <c r="A1843" s="1" t="s">
        <v>1505</v>
      </c>
      <c r="B1843" s="2" t="s">
        <v>1181</v>
      </c>
      <c r="C1843" s="3"/>
    </row>
    <row r="1844">
      <c r="A1844" s="1" t="s">
        <v>1506</v>
      </c>
      <c r="B1844" s="2" t="s">
        <v>1181</v>
      </c>
      <c r="C1844" s="3"/>
    </row>
    <row r="1845">
      <c r="A1845" s="1" t="s">
        <v>1507</v>
      </c>
      <c r="B1845" s="2" t="s">
        <v>1181</v>
      </c>
      <c r="C1845" s="3"/>
    </row>
    <row r="1846">
      <c r="A1846" s="1" t="s">
        <v>1508</v>
      </c>
      <c r="B1846" s="2" t="s">
        <v>1181</v>
      </c>
      <c r="C1846" s="3"/>
    </row>
    <row r="1847">
      <c r="A1847" s="1" t="s">
        <v>1509</v>
      </c>
      <c r="B1847" s="2" t="s">
        <v>1181</v>
      </c>
      <c r="C1847" s="3"/>
    </row>
    <row r="1848">
      <c r="A1848" s="1" t="s">
        <v>1510</v>
      </c>
      <c r="B1848" s="2" t="s">
        <v>1181</v>
      </c>
      <c r="C1848" s="3"/>
    </row>
    <row r="1849">
      <c r="A1849" s="1" t="s">
        <v>1511</v>
      </c>
      <c r="B1849" s="2" t="s">
        <v>1181</v>
      </c>
      <c r="C1849" s="3"/>
    </row>
    <row r="1850">
      <c r="A1850" s="1" t="s">
        <v>1512</v>
      </c>
      <c r="B1850" s="2" t="s">
        <v>1181</v>
      </c>
      <c r="C1850" s="3"/>
    </row>
    <row r="1851">
      <c r="A1851" s="1" t="s">
        <v>1513</v>
      </c>
      <c r="B1851" s="2" t="s">
        <v>1181</v>
      </c>
      <c r="C1851" s="3"/>
    </row>
    <row r="1852">
      <c r="A1852" s="1" t="s">
        <v>1514</v>
      </c>
      <c r="B1852" s="2" t="s">
        <v>1181</v>
      </c>
      <c r="C1852" s="3"/>
    </row>
    <row r="1853">
      <c r="A1853" s="1" t="s">
        <v>1515</v>
      </c>
      <c r="B1853" s="2" t="s">
        <v>1181</v>
      </c>
      <c r="C1853" s="3"/>
    </row>
    <row r="1854">
      <c r="A1854" s="1" t="s">
        <v>1516</v>
      </c>
      <c r="B1854" s="2" t="s">
        <v>1181</v>
      </c>
      <c r="C1854" s="3"/>
    </row>
    <row r="1855">
      <c r="A1855" s="1" t="s">
        <v>1517</v>
      </c>
      <c r="B1855" s="2" t="s">
        <v>1181</v>
      </c>
      <c r="C1855" s="3"/>
    </row>
    <row r="1856">
      <c r="A1856" s="1" t="s">
        <v>1518</v>
      </c>
      <c r="B1856" s="2" t="s">
        <v>1181</v>
      </c>
      <c r="C1856" s="3"/>
    </row>
    <row r="1857">
      <c r="A1857" s="1" t="s">
        <v>1540</v>
      </c>
      <c r="B1857" s="2" t="s">
        <v>1181</v>
      </c>
      <c r="C1857" s="3"/>
    </row>
    <row r="1858">
      <c r="A1858" s="1" t="s">
        <v>1541</v>
      </c>
      <c r="B1858" s="2" t="s">
        <v>1181</v>
      </c>
      <c r="C1858" s="3"/>
    </row>
    <row r="1859">
      <c r="A1859" s="1" t="s">
        <v>1542</v>
      </c>
      <c r="B1859" s="2" t="s">
        <v>1181</v>
      </c>
      <c r="C1859" s="3"/>
    </row>
    <row r="1860">
      <c r="A1860" s="1" t="s">
        <v>1543</v>
      </c>
      <c r="B1860" s="2" t="s">
        <v>1181</v>
      </c>
      <c r="C1860" s="3"/>
    </row>
    <row r="1861">
      <c r="A1861" s="1" t="s">
        <v>1544</v>
      </c>
      <c r="B1861" s="2" t="s">
        <v>1181</v>
      </c>
      <c r="C1861" s="3"/>
    </row>
    <row r="1862">
      <c r="A1862" s="1" t="s">
        <v>1545</v>
      </c>
      <c r="B1862" s="2" t="s">
        <v>1181</v>
      </c>
      <c r="C1862" s="3"/>
    </row>
    <row r="1863">
      <c r="A1863" s="1" t="s">
        <v>1546</v>
      </c>
      <c r="B1863" s="2" t="s">
        <v>1181</v>
      </c>
      <c r="C1863" s="3"/>
    </row>
    <row r="1864">
      <c r="A1864" s="1" t="s">
        <v>1547</v>
      </c>
      <c r="B1864" s="2" t="s">
        <v>1181</v>
      </c>
      <c r="C1864" s="3"/>
    </row>
    <row r="1865">
      <c r="A1865" s="1" t="s">
        <v>1548</v>
      </c>
      <c r="B1865" s="2" t="s">
        <v>1181</v>
      </c>
      <c r="C1865" s="3"/>
    </row>
    <row r="1866">
      <c r="A1866" s="1" t="s">
        <v>1549</v>
      </c>
      <c r="B1866" s="2" t="s">
        <v>1181</v>
      </c>
      <c r="C1866" s="3"/>
    </row>
    <row r="1867">
      <c r="A1867" s="1" t="s">
        <v>1550</v>
      </c>
      <c r="B1867" s="2" t="s">
        <v>1181</v>
      </c>
      <c r="C1867" s="3"/>
    </row>
    <row r="1868">
      <c r="A1868" s="1" t="s">
        <v>1551</v>
      </c>
      <c r="B1868" s="2" t="s">
        <v>1181</v>
      </c>
      <c r="C1868" s="3"/>
    </row>
    <row r="1869">
      <c r="A1869" s="1" t="s">
        <v>1552</v>
      </c>
      <c r="B1869" s="2" t="s">
        <v>1181</v>
      </c>
      <c r="C1869" s="3"/>
    </row>
    <row r="1870">
      <c r="A1870" s="1" t="s">
        <v>1553</v>
      </c>
      <c r="B1870" s="2" t="s">
        <v>1181</v>
      </c>
      <c r="C1870" s="3"/>
    </row>
    <row r="1871">
      <c r="A1871" s="1" t="s">
        <v>1554</v>
      </c>
      <c r="B1871" s="2" t="s">
        <v>1181</v>
      </c>
      <c r="C1871" s="3"/>
    </row>
    <row r="1872">
      <c r="A1872" s="1" t="s">
        <v>1555</v>
      </c>
      <c r="B1872" s="2" t="s">
        <v>1181</v>
      </c>
      <c r="C1872" s="3"/>
    </row>
    <row r="1873">
      <c r="A1873" s="1" t="s">
        <v>1556</v>
      </c>
      <c r="B1873" s="2" t="s">
        <v>1181</v>
      </c>
      <c r="C1873" s="3"/>
    </row>
    <row r="1874">
      <c r="A1874" s="1" t="s">
        <v>1557</v>
      </c>
      <c r="B1874" s="2" t="s">
        <v>1181</v>
      </c>
      <c r="C1874" s="3"/>
    </row>
    <row r="1875">
      <c r="A1875" s="1" t="s">
        <v>1558</v>
      </c>
      <c r="B1875" s="2" t="s">
        <v>1181</v>
      </c>
      <c r="C1875" s="3"/>
    </row>
    <row r="1876">
      <c r="A1876" s="1" t="s">
        <v>1559</v>
      </c>
      <c r="B1876" s="2" t="s">
        <v>1181</v>
      </c>
      <c r="C1876" s="3"/>
    </row>
    <row r="1877">
      <c r="A1877" s="1" t="s">
        <v>1560</v>
      </c>
      <c r="B1877" s="2" t="s">
        <v>1181</v>
      </c>
      <c r="C1877" s="3"/>
    </row>
    <row r="1878">
      <c r="A1878" s="2" t="s">
        <v>1561</v>
      </c>
      <c r="B1878" s="2" t="s">
        <v>1562</v>
      </c>
      <c r="C1878" s="3"/>
    </row>
    <row r="1879">
      <c r="A1879" s="2" t="s">
        <v>1563</v>
      </c>
      <c r="B1879" s="2" t="s">
        <v>1564</v>
      </c>
      <c r="C1879" s="3"/>
    </row>
    <row r="1880">
      <c r="A1880" s="2" t="s">
        <v>1565</v>
      </c>
      <c r="B1880" s="2" t="s">
        <v>1564</v>
      </c>
      <c r="C1880" s="3"/>
    </row>
    <row r="1881">
      <c r="A1881" s="1" t="s">
        <v>1566</v>
      </c>
      <c r="B1881" s="2" t="s">
        <v>1564</v>
      </c>
      <c r="C1881" s="3"/>
    </row>
    <row r="1882">
      <c r="A1882" s="1" t="s">
        <v>1567</v>
      </c>
      <c r="B1882" s="2" t="s">
        <v>1564</v>
      </c>
      <c r="C1882" s="3"/>
    </row>
    <row r="1883">
      <c r="A1883" s="1" t="s">
        <v>1568</v>
      </c>
      <c r="B1883" s="2" t="s">
        <v>1564</v>
      </c>
      <c r="C1883" s="3"/>
    </row>
    <row r="1884">
      <c r="A1884" s="1" t="s">
        <v>1569</v>
      </c>
      <c r="B1884" s="2" t="s">
        <v>1564</v>
      </c>
      <c r="C1884" s="3"/>
    </row>
    <row r="1885">
      <c r="A1885" s="1" t="s">
        <v>1570</v>
      </c>
      <c r="B1885" s="2" t="s">
        <v>1564</v>
      </c>
      <c r="C1885" s="3"/>
    </row>
    <row r="1886">
      <c r="A1886" s="1" t="s">
        <v>1571</v>
      </c>
      <c r="B1886" s="2" t="s">
        <v>1564</v>
      </c>
      <c r="C1886" s="3"/>
    </row>
    <row r="1887">
      <c r="A1887" s="1" t="s">
        <v>1572</v>
      </c>
      <c r="B1887" s="2" t="s">
        <v>1564</v>
      </c>
      <c r="C1887" s="3"/>
    </row>
    <row r="1888">
      <c r="A1888" s="1" t="s">
        <v>1573</v>
      </c>
      <c r="B1888" s="2" t="s">
        <v>1564</v>
      </c>
      <c r="C1888" s="3"/>
    </row>
    <row r="1889">
      <c r="A1889" s="1" t="s">
        <v>1574</v>
      </c>
      <c r="B1889" s="2" t="s">
        <v>1564</v>
      </c>
      <c r="C1889" s="3"/>
    </row>
    <row r="1890">
      <c r="A1890" s="2" t="s">
        <v>1575</v>
      </c>
      <c r="B1890" s="2" t="s">
        <v>1564</v>
      </c>
      <c r="C1890" s="3"/>
    </row>
    <row r="1891">
      <c r="A1891" s="1" t="s">
        <v>1576</v>
      </c>
      <c r="B1891" s="2" t="s">
        <v>1564</v>
      </c>
      <c r="C1891" s="3"/>
    </row>
    <row r="1892">
      <c r="A1892" s="2" t="s">
        <v>1577</v>
      </c>
      <c r="B1892" s="2" t="s">
        <v>1564</v>
      </c>
      <c r="C1892" s="3"/>
    </row>
    <row r="1893">
      <c r="A1893" s="2" t="s">
        <v>1578</v>
      </c>
      <c r="B1893" s="2" t="s">
        <v>1564</v>
      </c>
      <c r="C1893" s="3"/>
    </row>
    <row r="1894">
      <c r="A1894" s="1" t="s">
        <v>1579</v>
      </c>
      <c r="B1894" s="2" t="s">
        <v>1564</v>
      </c>
      <c r="C1894" s="3"/>
    </row>
    <row r="1895">
      <c r="A1895" s="1" t="s">
        <v>1580</v>
      </c>
      <c r="B1895" s="2" t="s">
        <v>1564</v>
      </c>
      <c r="C1895" s="3"/>
    </row>
    <row r="1896">
      <c r="A1896" s="2" t="s">
        <v>1581</v>
      </c>
      <c r="B1896" s="2" t="s">
        <v>1564</v>
      </c>
      <c r="C1896" s="3"/>
    </row>
    <row r="1897">
      <c r="A1897" s="2" t="s">
        <v>1582</v>
      </c>
      <c r="B1897" s="2" t="s">
        <v>1564</v>
      </c>
      <c r="C1897" s="3"/>
    </row>
    <row r="1898">
      <c r="A1898" s="1" t="s">
        <v>1583</v>
      </c>
      <c r="B1898" s="2" t="s">
        <v>1564</v>
      </c>
      <c r="C1898" s="3"/>
    </row>
    <row r="1899">
      <c r="A1899" s="1" t="s">
        <v>1584</v>
      </c>
      <c r="B1899" s="2" t="s">
        <v>1564</v>
      </c>
      <c r="C1899" s="3"/>
    </row>
    <row r="1900">
      <c r="A1900" s="1" t="s">
        <v>1585</v>
      </c>
      <c r="B1900" s="2" t="s">
        <v>1564</v>
      </c>
      <c r="C1900" s="3"/>
    </row>
    <row r="1901">
      <c r="A1901" s="1" t="s">
        <v>1586</v>
      </c>
      <c r="B1901" s="2" t="s">
        <v>1564</v>
      </c>
      <c r="C1901" s="3"/>
    </row>
    <row r="1902">
      <c r="A1902" s="1" t="s">
        <v>1587</v>
      </c>
      <c r="B1902" s="2" t="s">
        <v>1564</v>
      </c>
      <c r="C1902" s="3"/>
    </row>
    <row r="1903">
      <c r="A1903" s="1" t="s">
        <v>1588</v>
      </c>
      <c r="B1903" s="2" t="s">
        <v>1564</v>
      </c>
      <c r="C1903" s="3"/>
    </row>
    <row r="1904">
      <c r="A1904" s="1" t="s">
        <v>1589</v>
      </c>
      <c r="B1904" s="2" t="s">
        <v>1564</v>
      </c>
      <c r="C1904" s="3"/>
    </row>
    <row r="1905">
      <c r="A1905" s="1" t="s">
        <v>1590</v>
      </c>
      <c r="B1905" s="2" t="s">
        <v>1564</v>
      </c>
      <c r="C1905" s="3"/>
    </row>
    <row r="1906">
      <c r="A1906" s="1" t="s">
        <v>1591</v>
      </c>
      <c r="B1906" s="4" t="s">
        <v>1592</v>
      </c>
      <c r="C1906" s="3"/>
    </row>
    <row r="1907">
      <c r="A1907" s="1" t="s">
        <v>1593</v>
      </c>
      <c r="B1907" s="4" t="s">
        <v>1592</v>
      </c>
      <c r="C1907" s="3"/>
    </row>
    <row r="1908">
      <c r="A1908" s="1" t="s">
        <v>1594</v>
      </c>
      <c r="B1908" s="4" t="s">
        <v>1592</v>
      </c>
      <c r="C1908" s="3"/>
    </row>
    <row r="1909">
      <c r="A1909" s="1" t="s">
        <v>1595</v>
      </c>
      <c r="B1909" s="4" t="s">
        <v>1592</v>
      </c>
      <c r="C1909" s="3"/>
    </row>
    <row r="1910">
      <c r="A1910" s="1" t="s">
        <v>1596</v>
      </c>
      <c r="B1910" s="4" t="s">
        <v>1592</v>
      </c>
      <c r="C1910" s="3"/>
    </row>
    <row r="1911">
      <c r="A1911" s="1" t="s">
        <v>1597</v>
      </c>
      <c r="B1911" s="4" t="s">
        <v>1592</v>
      </c>
      <c r="C1911" s="3"/>
    </row>
    <row r="1912">
      <c r="A1912" s="1" t="s">
        <v>1598</v>
      </c>
      <c r="B1912" s="4" t="s">
        <v>1592</v>
      </c>
      <c r="C1912" s="3"/>
    </row>
    <row r="1913">
      <c r="A1913" s="1" t="s">
        <v>1599</v>
      </c>
      <c r="B1913" s="4" t="s">
        <v>1592</v>
      </c>
      <c r="C1913" s="3"/>
    </row>
    <row r="1914">
      <c r="A1914" s="1" t="s">
        <v>1600</v>
      </c>
      <c r="B1914" s="4" t="s">
        <v>1592</v>
      </c>
      <c r="C1914" s="3"/>
    </row>
    <row r="1915">
      <c r="A1915" s="1" t="s">
        <v>1601</v>
      </c>
      <c r="B1915" s="4" t="s">
        <v>1592</v>
      </c>
      <c r="C1915" s="3"/>
    </row>
    <row r="1916">
      <c r="A1916" s="1" t="s">
        <v>1602</v>
      </c>
      <c r="B1916" s="4" t="s">
        <v>1592</v>
      </c>
      <c r="C1916" s="3"/>
    </row>
    <row r="1917">
      <c r="A1917" s="1" t="s">
        <v>1603</v>
      </c>
      <c r="B1917" s="4" t="s">
        <v>1592</v>
      </c>
      <c r="C1917" s="3"/>
    </row>
    <row r="1918">
      <c r="A1918" s="1" t="s">
        <v>1604</v>
      </c>
      <c r="B1918" s="4" t="s">
        <v>1592</v>
      </c>
      <c r="C1918" s="3"/>
    </row>
    <row r="1919">
      <c r="A1919" s="1" t="s">
        <v>1605</v>
      </c>
      <c r="B1919" s="4" t="s">
        <v>1592</v>
      </c>
      <c r="C1919" s="3"/>
    </row>
    <row r="1920">
      <c r="A1920" s="1" t="s">
        <v>1606</v>
      </c>
      <c r="B1920" s="4" t="s">
        <v>1592</v>
      </c>
      <c r="C1920" s="3"/>
    </row>
    <row r="1921">
      <c r="A1921" s="1" t="s">
        <v>1607</v>
      </c>
      <c r="B1921" s="4" t="s">
        <v>1592</v>
      </c>
      <c r="C1921" s="3"/>
    </row>
    <row r="1922">
      <c r="A1922" s="1" t="s">
        <v>1608</v>
      </c>
      <c r="B1922" s="4" t="s">
        <v>1592</v>
      </c>
      <c r="C1922" s="3"/>
    </row>
    <row r="1923">
      <c r="A1923" s="1" t="s">
        <v>1609</v>
      </c>
      <c r="B1923" s="4" t="s">
        <v>1592</v>
      </c>
      <c r="C1923" s="3"/>
    </row>
    <row r="1924">
      <c r="A1924" s="1" t="s">
        <v>1610</v>
      </c>
      <c r="B1924" s="4" t="s">
        <v>1592</v>
      </c>
      <c r="C1924" s="3"/>
    </row>
    <row r="1925">
      <c r="A1925" s="1" t="s">
        <v>1611</v>
      </c>
      <c r="B1925" s="4" t="s">
        <v>1592</v>
      </c>
      <c r="C1925" s="3"/>
    </row>
    <row r="1926">
      <c r="A1926" s="1" t="s">
        <v>1612</v>
      </c>
      <c r="B1926" s="4" t="s">
        <v>1592</v>
      </c>
      <c r="C1926" s="3"/>
    </row>
    <row r="1927">
      <c r="A1927" s="1" t="s">
        <v>1613</v>
      </c>
      <c r="B1927" s="4" t="s">
        <v>1592</v>
      </c>
      <c r="C1927" s="3"/>
    </row>
    <row r="1928">
      <c r="A1928" s="1" t="s">
        <v>1614</v>
      </c>
      <c r="B1928" s="4" t="s">
        <v>1592</v>
      </c>
      <c r="C1928" s="3"/>
    </row>
    <row r="1929">
      <c r="A1929" s="1" t="s">
        <v>1615</v>
      </c>
      <c r="B1929" s="4" t="s">
        <v>1592</v>
      </c>
      <c r="C1929" s="3"/>
    </row>
    <row r="1930">
      <c r="A1930" s="1" t="s">
        <v>1616</v>
      </c>
      <c r="B1930" s="4" t="s">
        <v>1592</v>
      </c>
      <c r="C1930" s="3"/>
    </row>
    <row r="1931">
      <c r="A1931" s="1" t="s">
        <v>1617</v>
      </c>
      <c r="B1931" s="4" t="s">
        <v>1592</v>
      </c>
      <c r="C1931" s="3"/>
    </row>
    <row r="1932">
      <c r="A1932" s="1" t="s">
        <v>1618</v>
      </c>
      <c r="B1932" s="4" t="s">
        <v>1592</v>
      </c>
      <c r="C1932" s="3"/>
    </row>
    <row r="1933">
      <c r="A1933" s="1" t="s">
        <v>1619</v>
      </c>
      <c r="B1933" s="4" t="s">
        <v>1592</v>
      </c>
      <c r="C1933" s="3"/>
    </row>
    <row r="1934">
      <c r="A1934" s="1" t="s">
        <v>1620</v>
      </c>
      <c r="B1934" s="4" t="s">
        <v>1592</v>
      </c>
      <c r="C1934" s="3"/>
    </row>
    <row r="1935">
      <c r="A1935" s="1" t="s">
        <v>1621</v>
      </c>
      <c r="B1935" s="4" t="s">
        <v>1592</v>
      </c>
      <c r="C1935" s="3"/>
    </row>
    <row r="1936">
      <c r="A1936" s="1" t="s">
        <v>1622</v>
      </c>
      <c r="B1936" s="4" t="s">
        <v>1592</v>
      </c>
      <c r="C1936" s="3"/>
    </row>
    <row r="1937">
      <c r="A1937" s="1" t="s">
        <v>1623</v>
      </c>
      <c r="B1937" s="4" t="s">
        <v>1592</v>
      </c>
      <c r="C1937" s="3"/>
    </row>
    <row r="1938">
      <c r="A1938" s="2" t="s">
        <v>1624</v>
      </c>
      <c r="B1938" s="4" t="s">
        <v>1592</v>
      </c>
      <c r="C1938" s="3"/>
    </row>
    <row r="1939">
      <c r="A1939" s="1" t="s">
        <v>1625</v>
      </c>
      <c r="B1939" s="4" t="s">
        <v>1592</v>
      </c>
      <c r="C1939" s="3"/>
    </row>
    <row r="1940">
      <c r="A1940" s="1" t="s">
        <v>1626</v>
      </c>
      <c r="B1940" s="4" t="s">
        <v>1592</v>
      </c>
      <c r="C1940" s="3"/>
    </row>
    <row r="1941">
      <c r="A1941" s="1" t="s">
        <v>1627</v>
      </c>
      <c r="B1941" s="4" t="s">
        <v>1592</v>
      </c>
      <c r="C1941" s="3"/>
    </row>
    <row r="1942">
      <c r="A1942" s="1" t="s">
        <v>1628</v>
      </c>
      <c r="B1942" s="4" t="s">
        <v>1592</v>
      </c>
      <c r="C1942" s="3"/>
    </row>
    <row r="1943">
      <c r="A1943" s="1" t="s">
        <v>1629</v>
      </c>
      <c r="B1943" s="4" t="s">
        <v>1592</v>
      </c>
      <c r="C1943" s="3"/>
    </row>
    <row r="1944">
      <c r="A1944" s="1" t="s">
        <v>1630</v>
      </c>
      <c r="B1944" s="4" t="s">
        <v>1592</v>
      </c>
      <c r="C1944" s="3"/>
    </row>
    <row r="1945">
      <c r="A1945" s="1" t="s">
        <v>1631</v>
      </c>
      <c r="B1945" s="4" t="s">
        <v>1592</v>
      </c>
      <c r="C1945" s="3"/>
    </row>
    <row r="1946">
      <c r="A1946" s="1" t="s">
        <v>1632</v>
      </c>
      <c r="B1946" s="4" t="s">
        <v>1592</v>
      </c>
      <c r="C1946" s="3"/>
    </row>
    <row r="1947">
      <c r="A1947" s="1" t="s">
        <v>1633</v>
      </c>
      <c r="B1947" s="4" t="s">
        <v>1592</v>
      </c>
      <c r="C1947" s="3"/>
    </row>
    <row r="1948">
      <c r="A1948" s="1" t="s">
        <v>1634</v>
      </c>
      <c r="B1948" s="4" t="s">
        <v>1592</v>
      </c>
      <c r="C1948" s="3"/>
    </row>
    <row r="1949">
      <c r="A1949" s="1" t="s">
        <v>1635</v>
      </c>
      <c r="B1949" s="4" t="s">
        <v>1592</v>
      </c>
      <c r="C1949" s="3"/>
    </row>
    <row r="1950">
      <c r="A1950" s="1" t="s">
        <v>1636</v>
      </c>
      <c r="B1950" s="4" t="s">
        <v>1592</v>
      </c>
      <c r="C1950" s="3"/>
    </row>
    <row r="1951">
      <c r="A1951" s="1" t="s">
        <v>1637</v>
      </c>
      <c r="B1951" s="4" t="s">
        <v>1592</v>
      </c>
      <c r="C1951" s="3"/>
    </row>
    <row r="1952">
      <c r="A1952" s="1" t="s">
        <v>1638</v>
      </c>
      <c r="B1952" s="4" t="s">
        <v>1592</v>
      </c>
      <c r="C1952" s="3"/>
    </row>
    <row r="1953">
      <c r="A1953" s="1" t="s">
        <v>1639</v>
      </c>
      <c r="B1953" s="4" t="s">
        <v>1592</v>
      </c>
      <c r="C1953" s="3"/>
    </row>
    <row r="1954">
      <c r="A1954" s="1" t="s">
        <v>1640</v>
      </c>
      <c r="B1954" s="4" t="s">
        <v>1592</v>
      </c>
      <c r="C1954" s="3"/>
    </row>
    <row r="1955">
      <c r="A1955" s="1" t="s">
        <v>1641</v>
      </c>
      <c r="B1955" s="4" t="s">
        <v>1592</v>
      </c>
      <c r="C1955" s="3"/>
    </row>
    <row r="1956">
      <c r="A1956" s="1" t="s">
        <v>1642</v>
      </c>
      <c r="B1956" s="4" t="s">
        <v>1592</v>
      </c>
      <c r="C1956" s="3"/>
    </row>
    <row r="1957">
      <c r="A1957" s="1" t="s">
        <v>1643</v>
      </c>
      <c r="B1957" s="4" t="s">
        <v>1592</v>
      </c>
      <c r="C1957" s="3"/>
    </row>
    <row r="1958">
      <c r="A1958" s="1" t="s">
        <v>1644</v>
      </c>
      <c r="B1958" s="4" t="s">
        <v>1592</v>
      </c>
      <c r="C1958" s="3"/>
    </row>
    <row r="1959">
      <c r="A1959" s="2" t="s">
        <v>1645</v>
      </c>
      <c r="B1959" s="4" t="s">
        <v>1592</v>
      </c>
      <c r="C1959" s="3"/>
    </row>
    <row r="1960">
      <c r="A1960" s="1" t="s">
        <v>1646</v>
      </c>
      <c r="B1960" s="4" t="s">
        <v>1592</v>
      </c>
      <c r="C1960" s="3"/>
    </row>
    <row r="1961">
      <c r="A1961" s="1" t="s">
        <v>1647</v>
      </c>
      <c r="B1961" s="4" t="s">
        <v>1592</v>
      </c>
      <c r="C1961" s="3"/>
    </row>
    <row r="1962">
      <c r="A1962" s="1" t="s">
        <v>1648</v>
      </c>
      <c r="B1962" s="4" t="s">
        <v>1592</v>
      </c>
      <c r="C1962" s="3"/>
    </row>
    <row r="1963">
      <c r="A1963" s="1" t="s">
        <v>1649</v>
      </c>
      <c r="B1963" s="4" t="s">
        <v>1592</v>
      </c>
      <c r="C1963" s="3"/>
    </row>
    <row r="1964">
      <c r="A1964" s="1" t="s">
        <v>1650</v>
      </c>
      <c r="B1964" s="4" t="s">
        <v>1592</v>
      </c>
      <c r="C1964" s="3"/>
    </row>
    <row r="1965">
      <c r="A1965" s="1" t="s">
        <v>1651</v>
      </c>
      <c r="B1965" s="4" t="s">
        <v>1592</v>
      </c>
      <c r="C1965" s="3"/>
    </row>
    <row r="1966">
      <c r="A1966" s="1" t="s">
        <v>1652</v>
      </c>
      <c r="B1966" s="4" t="s">
        <v>1592</v>
      </c>
      <c r="C1966" s="3"/>
    </row>
    <row r="1967">
      <c r="A1967" s="1" t="s">
        <v>1653</v>
      </c>
      <c r="B1967" s="4" t="s">
        <v>1592</v>
      </c>
      <c r="C1967" s="3"/>
    </row>
    <row r="1968">
      <c r="A1968" s="1" t="s">
        <v>1654</v>
      </c>
      <c r="B1968" s="4" t="s">
        <v>1592</v>
      </c>
      <c r="C1968" s="3"/>
    </row>
    <row r="1969">
      <c r="A1969" s="1" t="s">
        <v>1655</v>
      </c>
      <c r="B1969" s="4" t="s">
        <v>1592</v>
      </c>
      <c r="C1969" s="3"/>
    </row>
    <row r="1970">
      <c r="A1970" s="1" t="s">
        <v>1656</v>
      </c>
      <c r="B1970" s="4" t="s">
        <v>1592</v>
      </c>
      <c r="C1970" s="3"/>
    </row>
    <row r="1971">
      <c r="A1971" s="1" t="s">
        <v>1657</v>
      </c>
      <c r="B1971" s="4" t="s">
        <v>1592</v>
      </c>
      <c r="C1971" s="3"/>
    </row>
    <row r="1972">
      <c r="A1972" s="1" t="s">
        <v>1658</v>
      </c>
      <c r="B1972" s="4" t="s">
        <v>1592</v>
      </c>
      <c r="C1972" s="3"/>
    </row>
    <row r="1973">
      <c r="A1973" s="1" t="s">
        <v>1659</v>
      </c>
      <c r="B1973" s="4" t="s">
        <v>1592</v>
      </c>
      <c r="C1973" s="3"/>
    </row>
    <row r="1974">
      <c r="A1974" s="1" t="s">
        <v>1660</v>
      </c>
      <c r="B1974" s="4" t="s">
        <v>1592</v>
      </c>
      <c r="C1974" s="3"/>
    </row>
    <row r="1975">
      <c r="A1975" s="1" t="s">
        <v>1617</v>
      </c>
      <c r="B1975" s="4" t="s">
        <v>1592</v>
      </c>
      <c r="C1975" s="3"/>
    </row>
    <row r="1976">
      <c r="A1976" s="1" t="s">
        <v>1618</v>
      </c>
      <c r="B1976" s="4" t="s">
        <v>1592</v>
      </c>
      <c r="C1976" s="3"/>
    </row>
    <row r="1977">
      <c r="A1977" s="1" t="s">
        <v>1619</v>
      </c>
      <c r="B1977" s="4" t="s">
        <v>1592</v>
      </c>
      <c r="C1977" s="3"/>
    </row>
    <row r="1978">
      <c r="A1978" s="1" t="s">
        <v>1620</v>
      </c>
      <c r="B1978" s="4" t="s">
        <v>1592</v>
      </c>
      <c r="C1978" s="3"/>
    </row>
    <row r="1979">
      <c r="A1979" s="1" t="s">
        <v>1621</v>
      </c>
      <c r="B1979" s="4" t="s">
        <v>1592</v>
      </c>
      <c r="C1979" s="3"/>
    </row>
    <row r="1980">
      <c r="A1980" s="1" t="s">
        <v>1622</v>
      </c>
      <c r="B1980" s="4" t="s">
        <v>1592</v>
      </c>
      <c r="C1980" s="3"/>
    </row>
    <row r="1981">
      <c r="A1981" s="1" t="s">
        <v>1623</v>
      </c>
      <c r="B1981" s="4" t="s">
        <v>1592</v>
      </c>
      <c r="C1981" s="3"/>
    </row>
    <row r="1982">
      <c r="A1982" s="2" t="s">
        <v>1624</v>
      </c>
      <c r="B1982" s="4" t="s">
        <v>1592</v>
      </c>
      <c r="C1982" s="3"/>
    </row>
    <row r="1983">
      <c r="A1983" s="1" t="s">
        <v>1625</v>
      </c>
      <c r="B1983" s="4" t="s">
        <v>1592</v>
      </c>
      <c r="C1983" s="3"/>
    </row>
    <row r="1984">
      <c r="A1984" s="1" t="s">
        <v>1626</v>
      </c>
      <c r="B1984" s="4" t="s">
        <v>1592</v>
      </c>
      <c r="C1984" s="3"/>
    </row>
    <row r="1985">
      <c r="A1985" s="1" t="s">
        <v>1627</v>
      </c>
      <c r="B1985" s="4" t="s">
        <v>1592</v>
      </c>
      <c r="C1985" s="3"/>
    </row>
    <row r="1986">
      <c r="A1986" s="1" t="s">
        <v>1628</v>
      </c>
      <c r="B1986" s="4" t="s">
        <v>1592</v>
      </c>
      <c r="C1986" s="3"/>
    </row>
    <row r="1987">
      <c r="A1987" s="1" t="s">
        <v>1629</v>
      </c>
      <c r="B1987" s="4" t="s">
        <v>1592</v>
      </c>
      <c r="C1987" s="3"/>
    </row>
    <row r="1988">
      <c r="A1988" s="1" t="s">
        <v>1630</v>
      </c>
      <c r="B1988" s="4" t="s">
        <v>1592</v>
      </c>
      <c r="C1988" s="3"/>
    </row>
    <row r="1989">
      <c r="A1989" s="1" t="s">
        <v>1631</v>
      </c>
      <c r="B1989" s="4" t="s">
        <v>1592</v>
      </c>
      <c r="C1989" s="3"/>
    </row>
    <row r="1990">
      <c r="A1990" s="1" t="s">
        <v>1632</v>
      </c>
      <c r="B1990" s="4" t="s">
        <v>1592</v>
      </c>
      <c r="C1990" s="3"/>
    </row>
    <row r="1991">
      <c r="A1991" s="1" t="s">
        <v>1633</v>
      </c>
      <c r="B1991" s="4" t="s">
        <v>1592</v>
      </c>
      <c r="C1991" s="3"/>
    </row>
    <row r="1992">
      <c r="A1992" s="1" t="s">
        <v>1634</v>
      </c>
      <c r="B1992" s="4" t="s">
        <v>1592</v>
      </c>
      <c r="C1992" s="3"/>
    </row>
    <row r="1993">
      <c r="A1993" s="1" t="s">
        <v>1635</v>
      </c>
      <c r="B1993" s="4" t="s">
        <v>1592</v>
      </c>
      <c r="C1993" s="3"/>
    </row>
    <row r="1994">
      <c r="A1994" s="1" t="s">
        <v>1636</v>
      </c>
      <c r="B1994" s="4" t="s">
        <v>1592</v>
      </c>
      <c r="C1994" s="3"/>
    </row>
    <row r="1995">
      <c r="A1995" s="1" t="s">
        <v>1637</v>
      </c>
      <c r="B1995" s="4" t="s">
        <v>1592</v>
      </c>
      <c r="C1995" s="3"/>
    </row>
    <row r="1996">
      <c r="A1996" s="1" t="s">
        <v>1638</v>
      </c>
      <c r="B1996" s="4" t="s">
        <v>1592</v>
      </c>
      <c r="C1996" s="3"/>
    </row>
    <row r="1997">
      <c r="A1997" s="1" t="s">
        <v>1639</v>
      </c>
      <c r="B1997" s="4" t="s">
        <v>1592</v>
      </c>
      <c r="C1997" s="3"/>
    </row>
    <row r="1998">
      <c r="A1998" s="1" t="s">
        <v>1640</v>
      </c>
      <c r="B1998" s="4" t="s">
        <v>1592</v>
      </c>
      <c r="C1998" s="3"/>
    </row>
    <row r="1999">
      <c r="A1999" s="1" t="s">
        <v>1661</v>
      </c>
      <c r="B1999" s="4" t="s">
        <v>1592</v>
      </c>
      <c r="C1999" s="3"/>
    </row>
    <row r="2000">
      <c r="A2000" s="1" t="s">
        <v>1662</v>
      </c>
      <c r="B2000" s="2" t="s">
        <v>1663</v>
      </c>
      <c r="C2000" s="3"/>
    </row>
    <row r="2001">
      <c r="A2001" s="1" t="s">
        <v>1664</v>
      </c>
      <c r="B2001" s="2" t="s">
        <v>1663</v>
      </c>
      <c r="C2001" s="3"/>
    </row>
    <row r="2002">
      <c r="A2002" s="1" t="s">
        <v>1665</v>
      </c>
      <c r="B2002" s="2" t="s">
        <v>1663</v>
      </c>
      <c r="C2002" s="3"/>
    </row>
    <row r="2003">
      <c r="A2003" s="1" t="s">
        <v>1666</v>
      </c>
      <c r="B2003" s="2" t="s">
        <v>1667</v>
      </c>
      <c r="C2003" s="3"/>
    </row>
    <row r="2004">
      <c r="A2004" s="2" t="s">
        <v>1668</v>
      </c>
      <c r="B2004" s="2" t="s">
        <v>1667</v>
      </c>
      <c r="C2004" s="3"/>
    </row>
    <row r="2005">
      <c r="A2005" s="2" t="s">
        <v>1669</v>
      </c>
      <c r="B2005" s="2" t="s">
        <v>1667</v>
      </c>
      <c r="C2005" s="3"/>
    </row>
    <row r="2006">
      <c r="A2006" s="1" t="s">
        <v>1670</v>
      </c>
      <c r="B2006" s="2" t="s">
        <v>1667</v>
      </c>
      <c r="C2006" s="3"/>
    </row>
    <row r="2007">
      <c r="A2007" s="1" t="s">
        <v>1671</v>
      </c>
      <c r="B2007" s="2" t="s">
        <v>1667</v>
      </c>
      <c r="C2007" s="3"/>
    </row>
    <row r="2008">
      <c r="A2008" s="1" t="s">
        <v>1672</v>
      </c>
      <c r="B2008" s="2" t="s">
        <v>1667</v>
      </c>
      <c r="C2008" s="3"/>
    </row>
    <row r="2009">
      <c r="A2009" s="1" t="s">
        <v>1673</v>
      </c>
      <c r="B2009" s="2" t="s">
        <v>1667</v>
      </c>
      <c r="C2009" s="3"/>
    </row>
    <row r="2010">
      <c r="A2010" s="1" t="s">
        <v>1674</v>
      </c>
      <c r="B2010" s="2" t="s">
        <v>1667</v>
      </c>
      <c r="C2010" s="3"/>
    </row>
    <row r="2011">
      <c r="A2011" s="2" t="s">
        <v>1675</v>
      </c>
      <c r="B2011" s="2" t="s">
        <v>1667</v>
      </c>
      <c r="C2011" s="3"/>
    </row>
    <row r="2012">
      <c r="A2012" s="1" t="s">
        <v>1676</v>
      </c>
      <c r="B2012" s="2" t="s">
        <v>1667</v>
      </c>
      <c r="C2012" s="3"/>
    </row>
    <row r="2013">
      <c r="A2013" s="2" t="s">
        <v>1677</v>
      </c>
      <c r="B2013" s="2" t="s">
        <v>1667</v>
      </c>
      <c r="C2013" s="3"/>
    </row>
    <row r="2014">
      <c r="A2014" s="1" t="s">
        <v>1678</v>
      </c>
      <c r="B2014" s="2" t="s">
        <v>1667</v>
      </c>
      <c r="C2014" s="3"/>
    </row>
    <row r="2015">
      <c r="A2015" s="2" t="s">
        <v>1679</v>
      </c>
      <c r="B2015" s="2" t="s">
        <v>1667</v>
      </c>
      <c r="C2015" s="3"/>
    </row>
    <row r="2016">
      <c r="A2016" s="1" t="s">
        <v>1680</v>
      </c>
      <c r="B2016" s="2" t="s">
        <v>1667</v>
      </c>
      <c r="C2016" s="3"/>
    </row>
    <row r="2017">
      <c r="A2017" s="1" t="s">
        <v>1681</v>
      </c>
      <c r="B2017" s="2" t="s">
        <v>1667</v>
      </c>
      <c r="C2017" s="3"/>
    </row>
    <row r="2018">
      <c r="A2018" s="1" t="s">
        <v>1682</v>
      </c>
      <c r="B2018" s="2" t="s">
        <v>1667</v>
      </c>
      <c r="C2018" s="3"/>
    </row>
    <row r="2019">
      <c r="A2019" s="1" t="s">
        <v>1683</v>
      </c>
      <c r="B2019" s="2" t="s">
        <v>1667</v>
      </c>
      <c r="C2019" s="3"/>
    </row>
    <row r="2020">
      <c r="A2020" s="1" t="s">
        <v>1684</v>
      </c>
      <c r="B2020" s="2" t="s">
        <v>1667</v>
      </c>
      <c r="C2020" s="3"/>
    </row>
    <row r="2021">
      <c r="A2021" s="1" t="s">
        <v>1685</v>
      </c>
      <c r="B2021" s="2" t="s">
        <v>1667</v>
      </c>
      <c r="C2021" s="3"/>
    </row>
    <row r="2022">
      <c r="A2022" s="2" t="s">
        <v>1686</v>
      </c>
      <c r="B2022" s="2" t="s">
        <v>1667</v>
      </c>
      <c r="C2022" s="3"/>
    </row>
    <row r="2023">
      <c r="A2023" s="1" t="s">
        <v>1687</v>
      </c>
      <c r="B2023" s="2" t="s">
        <v>1667</v>
      </c>
      <c r="C2023" s="3"/>
    </row>
    <row r="2024">
      <c r="A2024" s="1" t="s">
        <v>1688</v>
      </c>
      <c r="B2024" s="2" t="s">
        <v>1667</v>
      </c>
      <c r="C2024" s="3"/>
    </row>
    <row r="2025">
      <c r="A2025" s="2" t="s">
        <v>1689</v>
      </c>
      <c r="B2025" s="2" t="s">
        <v>1667</v>
      </c>
      <c r="C2025" s="3"/>
    </row>
    <row r="2026">
      <c r="A2026" s="2" t="s">
        <v>1690</v>
      </c>
      <c r="B2026" s="2" t="s">
        <v>1667</v>
      </c>
      <c r="C2026" s="3"/>
    </row>
    <row r="2027">
      <c r="A2027" s="1" t="s">
        <v>1691</v>
      </c>
      <c r="B2027" s="2" t="s">
        <v>1667</v>
      </c>
      <c r="C2027" s="3"/>
    </row>
    <row r="2028">
      <c r="A2028" s="1" t="s">
        <v>1692</v>
      </c>
      <c r="B2028" s="2" t="s">
        <v>1667</v>
      </c>
      <c r="C2028" s="3"/>
    </row>
    <row r="2029">
      <c r="A2029" s="1" t="s">
        <v>1693</v>
      </c>
      <c r="B2029" s="2" t="s">
        <v>1667</v>
      </c>
      <c r="C2029" s="3"/>
    </row>
    <row r="2030">
      <c r="A2030" s="1" t="s">
        <v>1694</v>
      </c>
      <c r="B2030" s="2" t="s">
        <v>1667</v>
      </c>
      <c r="C2030" s="3"/>
    </row>
    <row r="2031">
      <c r="A2031" s="1" t="s">
        <v>1695</v>
      </c>
      <c r="B2031" s="2" t="s">
        <v>1667</v>
      </c>
      <c r="C2031" s="3"/>
    </row>
    <row r="2032">
      <c r="A2032" s="2" t="s">
        <v>1696</v>
      </c>
      <c r="B2032" s="2" t="s">
        <v>1667</v>
      </c>
      <c r="C2032" s="3"/>
    </row>
    <row r="2033">
      <c r="A2033" s="1" t="s">
        <v>1697</v>
      </c>
      <c r="B2033" s="2" t="s">
        <v>1667</v>
      </c>
      <c r="C2033" s="3"/>
    </row>
    <row r="2034">
      <c r="A2034" s="1" t="s">
        <v>1698</v>
      </c>
      <c r="B2034" s="2" t="s">
        <v>1667</v>
      </c>
      <c r="C2034" s="3"/>
    </row>
    <row r="2035">
      <c r="A2035" s="2" t="s">
        <v>1699</v>
      </c>
      <c r="B2035" s="2" t="s">
        <v>1667</v>
      </c>
      <c r="C2035" s="3"/>
    </row>
    <row r="2036">
      <c r="A2036" s="1" t="s">
        <v>1700</v>
      </c>
      <c r="B2036" s="2" t="s">
        <v>1667</v>
      </c>
      <c r="C2036" s="3"/>
    </row>
    <row r="2037">
      <c r="A2037" s="2" t="s">
        <v>1701</v>
      </c>
      <c r="B2037" s="2" t="s">
        <v>1667</v>
      </c>
      <c r="C2037" s="3"/>
    </row>
    <row r="2038">
      <c r="A2038" s="1" t="s">
        <v>1702</v>
      </c>
      <c r="B2038" s="2" t="s">
        <v>1667</v>
      </c>
      <c r="C2038" s="3"/>
    </row>
    <row r="2039">
      <c r="A2039" s="1" t="s">
        <v>1703</v>
      </c>
      <c r="B2039" s="2" t="s">
        <v>1667</v>
      </c>
      <c r="C2039" s="3"/>
    </row>
    <row r="2040">
      <c r="A2040" s="1" t="s">
        <v>1704</v>
      </c>
      <c r="B2040" s="2" t="s">
        <v>1667</v>
      </c>
      <c r="C2040" s="3"/>
    </row>
    <row r="2041">
      <c r="A2041" s="1" t="s">
        <v>1705</v>
      </c>
      <c r="B2041" s="2" t="s">
        <v>1667</v>
      </c>
      <c r="C2041" s="3"/>
    </row>
    <row r="2042">
      <c r="A2042" s="2" t="s">
        <v>1706</v>
      </c>
      <c r="B2042" s="2" t="s">
        <v>1667</v>
      </c>
      <c r="C2042" s="3"/>
    </row>
    <row r="2043">
      <c r="A2043" s="1" t="s">
        <v>1707</v>
      </c>
      <c r="B2043" s="2" t="s">
        <v>1667</v>
      </c>
      <c r="C2043" s="3"/>
    </row>
    <row r="2044">
      <c r="A2044" s="2" t="s">
        <v>1708</v>
      </c>
      <c r="B2044" s="2" t="s">
        <v>1667</v>
      </c>
      <c r="C2044" s="3"/>
    </row>
    <row r="2045">
      <c r="A2045" s="1" t="s">
        <v>1709</v>
      </c>
      <c r="B2045" s="2" t="s">
        <v>1667</v>
      </c>
      <c r="C2045" s="3"/>
    </row>
    <row r="2046">
      <c r="A2046" s="2" t="s">
        <v>1710</v>
      </c>
      <c r="B2046" s="2" t="s">
        <v>1667</v>
      </c>
      <c r="C2046" s="3"/>
    </row>
    <row r="2047">
      <c r="A2047" s="2" t="s">
        <v>1711</v>
      </c>
      <c r="B2047" s="2" t="s">
        <v>1667</v>
      </c>
      <c r="C2047" s="3"/>
    </row>
    <row r="2048">
      <c r="A2048" s="2" t="s">
        <v>1712</v>
      </c>
      <c r="B2048" s="2" t="s">
        <v>1667</v>
      </c>
      <c r="C2048" s="3"/>
    </row>
    <row r="2049">
      <c r="A2049" s="2" t="s">
        <v>1713</v>
      </c>
      <c r="B2049" s="2" t="s">
        <v>1667</v>
      </c>
      <c r="C2049" s="3"/>
    </row>
    <row r="2050">
      <c r="A2050" s="1" t="s">
        <v>1714</v>
      </c>
      <c r="B2050" s="2" t="s">
        <v>1667</v>
      </c>
      <c r="C2050" s="3"/>
    </row>
    <row r="2051">
      <c r="A2051" s="1" t="s">
        <v>1715</v>
      </c>
      <c r="B2051" s="2" t="s">
        <v>1667</v>
      </c>
      <c r="C2051" s="3"/>
    </row>
    <row r="2052">
      <c r="A2052" s="1" t="s">
        <v>1716</v>
      </c>
      <c r="B2052" s="2" t="s">
        <v>1667</v>
      </c>
      <c r="C2052" s="3"/>
    </row>
    <row r="2053">
      <c r="A2053" s="2" t="s">
        <v>1717</v>
      </c>
      <c r="B2053" s="2" t="s">
        <v>1667</v>
      </c>
      <c r="C2053" s="3"/>
    </row>
    <row r="2054">
      <c r="A2054" s="1" t="s">
        <v>1718</v>
      </c>
      <c r="B2054" s="2" t="s">
        <v>1667</v>
      </c>
      <c r="C2054" s="3"/>
    </row>
    <row r="2055">
      <c r="A2055" s="2" t="s">
        <v>1719</v>
      </c>
      <c r="B2055" s="2" t="s">
        <v>1667</v>
      </c>
      <c r="C2055" s="3"/>
    </row>
    <row r="2056">
      <c r="A2056" s="1" t="s">
        <v>1720</v>
      </c>
      <c r="B2056" s="2" t="s">
        <v>1667</v>
      </c>
      <c r="C2056" s="3"/>
    </row>
    <row r="2057">
      <c r="A2057" s="2" t="s">
        <v>1721</v>
      </c>
      <c r="B2057" s="2" t="s">
        <v>1667</v>
      </c>
      <c r="C2057" s="3"/>
    </row>
    <row r="2058">
      <c r="A2058" s="1" t="s">
        <v>1722</v>
      </c>
      <c r="B2058" s="2" t="s">
        <v>1667</v>
      </c>
      <c r="C2058" s="3"/>
    </row>
    <row r="2059">
      <c r="A2059" s="1" t="s">
        <v>1723</v>
      </c>
      <c r="B2059" s="2" t="s">
        <v>1667</v>
      </c>
      <c r="C2059" s="3"/>
    </row>
    <row r="2060">
      <c r="A2060" s="1" t="s">
        <v>1724</v>
      </c>
      <c r="B2060" s="2" t="s">
        <v>1667</v>
      </c>
      <c r="C2060" s="3"/>
    </row>
    <row r="2061">
      <c r="A2061" s="1" t="s">
        <v>1725</v>
      </c>
      <c r="B2061" s="2" t="s">
        <v>1667</v>
      </c>
      <c r="C2061" s="3"/>
    </row>
    <row r="2062">
      <c r="A2062" s="1" t="s">
        <v>1726</v>
      </c>
      <c r="B2062" s="2" t="s">
        <v>1667</v>
      </c>
      <c r="C2062" s="3"/>
    </row>
    <row r="2063">
      <c r="A2063" s="1" t="s">
        <v>1727</v>
      </c>
      <c r="B2063" s="2" t="s">
        <v>1667</v>
      </c>
      <c r="C2063" s="3"/>
    </row>
    <row r="2064">
      <c r="A2064" s="1" t="s">
        <v>1728</v>
      </c>
      <c r="B2064" s="2" t="s">
        <v>1667</v>
      </c>
      <c r="C2064" s="3"/>
    </row>
    <row r="2065">
      <c r="A2065" s="2" t="s">
        <v>1729</v>
      </c>
      <c r="B2065" s="2" t="s">
        <v>1667</v>
      </c>
      <c r="C2065" s="3"/>
    </row>
    <row r="2066">
      <c r="A2066" s="1" t="s">
        <v>1730</v>
      </c>
      <c r="B2066" s="2" t="s">
        <v>1667</v>
      </c>
      <c r="C2066" s="3"/>
    </row>
    <row r="2067">
      <c r="A2067" s="2" t="s">
        <v>1731</v>
      </c>
      <c r="B2067" s="2" t="s">
        <v>1667</v>
      </c>
      <c r="C2067" s="3"/>
    </row>
    <row r="2068">
      <c r="A2068" s="1" t="s">
        <v>1732</v>
      </c>
      <c r="B2068" s="2" t="s">
        <v>1667</v>
      </c>
      <c r="C2068" s="3"/>
    </row>
    <row r="2069">
      <c r="A2069" s="2" t="s">
        <v>1733</v>
      </c>
      <c r="B2069" s="2" t="s">
        <v>1667</v>
      </c>
      <c r="C2069" s="3"/>
    </row>
    <row r="2070">
      <c r="A2070" s="1" t="s">
        <v>1734</v>
      </c>
      <c r="B2070" s="2" t="s">
        <v>1667</v>
      </c>
      <c r="C2070" s="3"/>
    </row>
    <row r="2071">
      <c r="A2071" s="1" t="s">
        <v>1735</v>
      </c>
      <c r="B2071" s="2" t="s">
        <v>1667</v>
      </c>
      <c r="C2071" s="3"/>
    </row>
    <row r="2072">
      <c r="A2072" s="2" t="s">
        <v>1736</v>
      </c>
      <c r="B2072" s="2" t="s">
        <v>1667</v>
      </c>
      <c r="C2072" s="3"/>
    </row>
    <row r="2073">
      <c r="A2073" s="2" t="s">
        <v>1737</v>
      </c>
      <c r="B2073" s="2" t="s">
        <v>1667</v>
      </c>
      <c r="C2073" s="3"/>
    </row>
    <row r="2074">
      <c r="A2074" s="1" t="s">
        <v>1738</v>
      </c>
      <c r="B2074" s="2" t="s">
        <v>1667</v>
      </c>
      <c r="C2074" s="3"/>
    </row>
    <row r="2075">
      <c r="A2075" s="1" t="s">
        <v>1739</v>
      </c>
      <c r="B2075" s="2" t="s">
        <v>1667</v>
      </c>
      <c r="C2075" s="3"/>
    </row>
    <row r="2076">
      <c r="A2076" s="1" t="s">
        <v>1740</v>
      </c>
      <c r="B2076" s="2" t="s">
        <v>1667</v>
      </c>
      <c r="C2076" s="3"/>
    </row>
    <row r="2077">
      <c r="A2077" s="2" t="s">
        <v>1741</v>
      </c>
      <c r="B2077" s="2" t="s">
        <v>1667</v>
      </c>
      <c r="C2077" s="3"/>
    </row>
    <row r="2078">
      <c r="A2078" s="2" t="s">
        <v>1742</v>
      </c>
      <c r="B2078" s="2" t="s">
        <v>1667</v>
      </c>
      <c r="C2078" s="3"/>
    </row>
    <row r="2079">
      <c r="A2079" s="1" t="s">
        <v>1743</v>
      </c>
      <c r="B2079" s="2" t="s">
        <v>1667</v>
      </c>
      <c r="C2079" s="3"/>
    </row>
    <row r="2080">
      <c r="A2080" s="2" t="s">
        <v>1744</v>
      </c>
      <c r="B2080" s="2" t="s">
        <v>1667</v>
      </c>
      <c r="C2080" s="3"/>
    </row>
    <row r="2081">
      <c r="A2081" s="2" t="s">
        <v>1745</v>
      </c>
      <c r="B2081" s="2" t="s">
        <v>1667</v>
      </c>
      <c r="C2081" s="3"/>
    </row>
    <row r="2082">
      <c r="A2082" s="1" t="s">
        <v>1746</v>
      </c>
      <c r="B2082" s="2" t="s">
        <v>1667</v>
      </c>
      <c r="C2082" s="3"/>
    </row>
    <row r="2083">
      <c r="A2083" s="1" t="s">
        <v>1747</v>
      </c>
      <c r="B2083" s="2" t="s">
        <v>1667</v>
      </c>
      <c r="C2083" s="3"/>
    </row>
    <row r="2084">
      <c r="A2084" s="1" t="s">
        <v>1748</v>
      </c>
      <c r="B2084" s="2" t="s">
        <v>1667</v>
      </c>
      <c r="C2084" s="3"/>
    </row>
    <row r="2085">
      <c r="A2085" s="1" t="s">
        <v>1749</v>
      </c>
      <c r="B2085" s="2" t="s">
        <v>1667</v>
      </c>
      <c r="C2085" s="3"/>
    </row>
    <row r="2086">
      <c r="A2086" s="1" t="s">
        <v>1691</v>
      </c>
      <c r="B2086" s="2" t="s">
        <v>1667</v>
      </c>
      <c r="C2086" s="3"/>
    </row>
    <row r="2087">
      <c r="A2087" s="1" t="s">
        <v>1692</v>
      </c>
      <c r="B2087" s="2" t="s">
        <v>1667</v>
      </c>
      <c r="C2087" s="3"/>
    </row>
    <row r="2088">
      <c r="A2088" s="1" t="s">
        <v>1693</v>
      </c>
      <c r="B2088" s="2" t="s">
        <v>1667</v>
      </c>
      <c r="C2088" s="3"/>
    </row>
    <row r="2089">
      <c r="A2089" s="1" t="s">
        <v>1694</v>
      </c>
      <c r="B2089" s="2" t="s">
        <v>1667</v>
      </c>
      <c r="C2089" s="3"/>
    </row>
    <row r="2090">
      <c r="A2090" s="1" t="s">
        <v>1695</v>
      </c>
      <c r="B2090" s="2" t="s">
        <v>1667</v>
      </c>
      <c r="C2090" s="3"/>
    </row>
    <row r="2091">
      <c r="A2091" s="2" t="s">
        <v>1696</v>
      </c>
      <c r="B2091" s="2" t="s">
        <v>1667</v>
      </c>
      <c r="C2091" s="3"/>
    </row>
    <row r="2092">
      <c r="A2092" s="1" t="s">
        <v>1697</v>
      </c>
      <c r="B2092" s="2" t="s">
        <v>1667</v>
      </c>
      <c r="C2092" s="3"/>
    </row>
    <row r="2093">
      <c r="A2093" s="1" t="s">
        <v>1698</v>
      </c>
      <c r="B2093" s="2" t="s">
        <v>1667</v>
      </c>
      <c r="C2093" s="3"/>
    </row>
    <row r="2094">
      <c r="A2094" s="2" t="s">
        <v>1699</v>
      </c>
      <c r="B2094" s="2" t="s">
        <v>1667</v>
      </c>
      <c r="C2094" s="3"/>
    </row>
    <row r="2095">
      <c r="A2095" s="1" t="s">
        <v>1700</v>
      </c>
      <c r="B2095" s="2" t="s">
        <v>1667</v>
      </c>
      <c r="C2095" s="3"/>
    </row>
    <row r="2096">
      <c r="A2096" s="2" t="s">
        <v>1701</v>
      </c>
      <c r="B2096" s="2" t="s">
        <v>1667</v>
      </c>
      <c r="C2096" s="3"/>
    </row>
    <row r="2097">
      <c r="A2097" s="1" t="s">
        <v>1702</v>
      </c>
      <c r="B2097" s="2" t="s">
        <v>1667</v>
      </c>
      <c r="C2097" s="3"/>
    </row>
    <row r="2098">
      <c r="A2098" s="1" t="s">
        <v>1703</v>
      </c>
      <c r="B2098" s="2" t="s">
        <v>1667</v>
      </c>
      <c r="C2098" s="3"/>
    </row>
    <row r="2099">
      <c r="A2099" s="1" t="s">
        <v>1704</v>
      </c>
      <c r="B2099" s="2" t="s">
        <v>1667</v>
      </c>
      <c r="C2099" s="3"/>
    </row>
    <row r="2100">
      <c r="A2100" s="1" t="s">
        <v>1705</v>
      </c>
      <c r="B2100" s="2" t="s">
        <v>1667</v>
      </c>
      <c r="C2100" s="3"/>
    </row>
    <row r="2101">
      <c r="A2101" s="2" t="s">
        <v>1706</v>
      </c>
      <c r="B2101" s="2" t="s">
        <v>1667</v>
      </c>
      <c r="C2101" s="3"/>
    </row>
    <row r="2102">
      <c r="A2102" s="1" t="s">
        <v>1707</v>
      </c>
      <c r="B2102" s="2" t="s">
        <v>1667</v>
      </c>
      <c r="C2102" s="3"/>
    </row>
    <row r="2103">
      <c r="A2103" s="2" t="s">
        <v>1708</v>
      </c>
      <c r="B2103" s="2" t="s">
        <v>1667</v>
      </c>
      <c r="C2103" s="3"/>
    </row>
    <row r="2104">
      <c r="A2104" s="1" t="s">
        <v>1709</v>
      </c>
      <c r="B2104" s="2" t="s">
        <v>1667</v>
      </c>
      <c r="C2104" s="3"/>
    </row>
    <row r="2105">
      <c r="A2105" s="2" t="s">
        <v>1710</v>
      </c>
      <c r="B2105" s="2" t="s">
        <v>1667</v>
      </c>
      <c r="C2105" s="3"/>
    </row>
    <row r="2106">
      <c r="A2106" s="2" t="s">
        <v>1711</v>
      </c>
      <c r="B2106" s="2" t="s">
        <v>1667</v>
      </c>
      <c r="C2106" s="3"/>
    </row>
    <row r="2107">
      <c r="A2107" s="2" t="s">
        <v>1712</v>
      </c>
      <c r="B2107" s="2" t="s">
        <v>1667</v>
      </c>
      <c r="C2107" s="3"/>
    </row>
    <row r="2108">
      <c r="A2108" s="2" t="s">
        <v>1713</v>
      </c>
      <c r="B2108" s="2" t="s">
        <v>1667</v>
      </c>
      <c r="C2108" s="3"/>
    </row>
    <row r="2109">
      <c r="A2109" s="1" t="s">
        <v>1714</v>
      </c>
      <c r="B2109" s="2" t="s">
        <v>1667</v>
      </c>
      <c r="C2109" s="3"/>
    </row>
    <row r="2110">
      <c r="A2110" s="1" t="s">
        <v>1715</v>
      </c>
      <c r="B2110" s="2" t="s">
        <v>1667</v>
      </c>
      <c r="C2110" s="3"/>
    </row>
    <row r="2111">
      <c r="A2111" s="1" t="s">
        <v>1716</v>
      </c>
      <c r="B2111" s="2" t="s">
        <v>1667</v>
      </c>
      <c r="C2111" s="3"/>
    </row>
    <row r="2112">
      <c r="A2112" s="1" t="s">
        <v>1750</v>
      </c>
      <c r="B2112" s="2" t="s">
        <v>1667</v>
      </c>
      <c r="C2112" s="3"/>
    </row>
    <row r="2113">
      <c r="A2113" s="1" t="s">
        <v>1751</v>
      </c>
      <c r="B2113" s="2" t="s">
        <v>1667</v>
      </c>
      <c r="C2113" s="3"/>
    </row>
    <row r="2114">
      <c r="A2114" s="1" t="s">
        <v>1752</v>
      </c>
      <c r="B2114" s="2" t="s">
        <v>1667</v>
      </c>
      <c r="C2114" s="3"/>
    </row>
    <row r="2115">
      <c r="A2115" s="1" t="s">
        <v>1753</v>
      </c>
      <c r="B2115" s="2" t="s">
        <v>1754</v>
      </c>
      <c r="C2115" s="3"/>
    </row>
    <row r="2116">
      <c r="A2116" s="1" t="s">
        <v>1755</v>
      </c>
      <c r="B2116" s="2" t="s">
        <v>1754</v>
      </c>
      <c r="C2116" s="3"/>
    </row>
    <row r="2117">
      <c r="A2117" s="1" t="s">
        <v>1756</v>
      </c>
      <c r="B2117" s="2" t="s">
        <v>1754</v>
      </c>
      <c r="C2117" s="3"/>
    </row>
    <row r="2118">
      <c r="A2118" s="1" t="s">
        <v>1757</v>
      </c>
      <c r="B2118" s="2" t="s">
        <v>1754</v>
      </c>
      <c r="C2118" s="3"/>
    </row>
    <row r="2119">
      <c r="A2119" s="1" t="s">
        <v>1758</v>
      </c>
      <c r="B2119" s="2" t="s">
        <v>1754</v>
      </c>
      <c r="C2119" s="3"/>
    </row>
    <row r="2120">
      <c r="A2120" s="1" t="s">
        <v>1759</v>
      </c>
      <c r="B2120" s="2" t="s">
        <v>1754</v>
      </c>
      <c r="C2120" s="3"/>
    </row>
    <row r="2121">
      <c r="A2121" s="1" t="s">
        <v>1760</v>
      </c>
      <c r="B2121" s="2" t="s">
        <v>1754</v>
      </c>
      <c r="C2121" s="3"/>
    </row>
    <row r="2122">
      <c r="A2122" s="1" t="s">
        <v>1761</v>
      </c>
      <c r="B2122" s="2" t="s">
        <v>1754</v>
      </c>
      <c r="C2122" s="3"/>
    </row>
    <row r="2123">
      <c r="A2123" s="1" t="s">
        <v>1762</v>
      </c>
      <c r="B2123" s="2" t="s">
        <v>1754</v>
      </c>
      <c r="C2123" s="3"/>
    </row>
    <row r="2124">
      <c r="A2124" s="1" t="s">
        <v>1763</v>
      </c>
      <c r="B2124" s="2" t="s">
        <v>1754</v>
      </c>
      <c r="C2124" s="3"/>
    </row>
    <row r="2125">
      <c r="A2125" s="1" t="s">
        <v>1764</v>
      </c>
      <c r="B2125" s="2" t="s">
        <v>1754</v>
      </c>
      <c r="C2125" s="3"/>
    </row>
    <row r="2126">
      <c r="A2126" s="1" t="s">
        <v>1765</v>
      </c>
      <c r="B2126" s="2" t="s">
        <v>1754</v>
      </c>
      <c r="C2126" s="3"/>
    </row>
    <row r="2127">
      <c r="A2127" s="1" t="s">
        <v>1766</v>
      </c>
      <c r="B2127" s="2" t="s">
        <v>1754</v>
      </c>
      <c r="C2127" s="3"/>
    </row>
    <row r="2128">
      <c r="A2128" s="1" t="s">
        <v>1767</v>
      </c>
      <c r="B2128" s="2" t="s">
        <v>1754</v>
      </c>
      <c r="C2128" s="3"/>
    </row>
    <row r="2129">
      <c r="A2129" s="1" t="s">
        <v>1768</v>
      </c>
      <c r="B2129" s="2" t="s">
        <v>1754</v>
      </c>
      <c r="C2129" s="3"/>
    </row>
    <row r="2130">
      <c r="A2130" s="1" t="s">
        <v>1769</v>
      </c>
      <c r="B2130" s="2" t="s">
        <v>1754</v>
      </c>
      <c r="C2130" s="3"/>
    </row>
    <row r="2131">
      <c r="A2131" s="1" t="s">
        <v>1770</v>
      </c>
      <c r="B2131" s="2" t="s">
        <v>1754</v>
      </c>
      <c r="C2131" s="3"/>
    </row>
    <row r="2132">
      <c r="A2132" s="1" t="s">
        <v>1771</v>
      </c>
      <c r="B2132" s="2" t="s">
        <v>1754</v>
      </c>
      <c r="C2132" s="3"/>
    </row>
    <row r="2133">
      <c r="A2133" s="1" t="s">
        <v>1772</v>
      </c>
      <c r="B2133" s="2" t="s">
        <v>1754</v>
      </c>
      <c r="C2133" s="3"/>
    </row>
    <row r="2134">
      <c r="A2134" s="1" t="s">
        <v>1773</v>
      </c>
      <c r="B2134" s="2" t="s">
        <v>1754</v>
      </c>
      <c r="C2134" s="3"/>
    </row>
    <row r="2135">
      <c r="A2135" s="1" t="s">
        <v>1774</v>
      </c>
      <c r="B2135" s="2" t="s">
        <v>1754</v>
      </c>
      <c r="C2135" s="3"/>
    </row>
    <row r="2136">
      <c r="A2136" s="1" t="s">
        <v>1775</v>
      </c>
      <c r="B2136" s="2" t="s">
        <v>1754</v>
      </c>
      <c r="C2136" s="3"/>
    </row>
    <row r="2137">
      <c r="A2137" s="1" t="s">
        <v>1776</v>
      </c>
      <c r="B2137" s="2" t="s">
        <v>1754</v>
      </c>
      <c r="C2137" s="3"/>
    </row>
    <row r="2138">
      <c r="A2138" s="1" t="s">
        <v>1777</v>
      </c>
      <c r="B2138" s="2" t="s">
        <v>1754</v>
      </c>
      <c r="C2138" s="3"/>
    </row>
    <row r="2139">
      <c r="A2139" s="1" t="s">
        <v>1778</v>
      </c>
      <c r="B2139" s="2" t="s">
        <v>1754</v>
      </c>
      <c r="C2139" s="3"/>
    </row>
    <row r="2140">
      <c r="A2140" s="1" t="s">
        <v>1779</v>
      </c>
      <c r="B2140" s="2" t="s">
        <v>1754</v>
      </c>
      <c r="C2140" s="3"/>
    </row>
    <row r="2141">
      <c r="A2141" s="1" t="s">
        <v>1780</v>
      </c>
      <c r="B2141" s="2" t="s">
        <v>1754</v>
      </c>
      <c r="C2141" s="3"/>
    </row>
    <row r="2142">
      <c r="A2142" s="1" t="s">
        <v>1781</v>
      </c>
      <c r="B2142" s="2" t="s">
        <v>1754</v>
      </c>
      <c r="C2142" s="3"/>
    </row>
    <row r="2143">
      <c r="A2143" s="1" t="s">
        <v>1782</v>
      </c>
      <c r="B2143" s="2" t="s">
        <v>1754</v>
      </c>
      <c r="C2143" s="3"/>
    </row>
    <row r="2144">
      <c r="A2144" s="1" t="s">
        <v>1783</v>
      </c>
      <c r="B2144" s="2" t="s">
        <v>1784</v>
      </c>
      <c r="C2144" s="3"/>
    </row>
    <row r="2145">
      <c r="A2145" s="1" t="s">
        <v>1785</v>
      </c>
      <c r="B2145" s="2" t="s">
        <v>1784</v>
      </c>
      <c r="C2145" s="3"/>
    </row>
    <row r="2146">
      <c r="A2146" s="1" t="s">
        <v>1786</v>
      </c>
      <c r="B2146" s="2" t="s">
        <v>1784</v>
      </c>
      <c r="C2146" s="3"/>
    </row>
    <row r="2147">
      <c r="A2147" s="1" t="s">
        <v>1787</v>
      </c>
      <c r="B2147" s="2" t="s">
        <v>1784</v>
      </c>
      <c r="C2147" s="3"/>
    </row>
    <row r="2148">
      <c r="A2148" s="1" t="s">
        <v>1788</v>
      </c>
      <c r="B2148" s="2" t="s">
        <v>1784</v>
      </c>
      <c r="C2148" s="3"/>
    </row>
    <row r="2149">
      <c r="A2149" s="1" t="s">
        <v>1789</v>
      </c>
      <c r="B2149" s="2" t="s">
        <v>1784</v>
      </c>
      <c r="C2149" s="3"/>
    </row>
    <row r="2150">
      <c r="A2150" s="1" t="s">
        <v>1790</v>
      </c>
      <c r="B2150" s="2" t="s">
        <v>1784</v>
      </c>
      <c r="C2150" s="3"/>
    </row>
    <row r="2151">
      <c r="A2151" s="1" t="s">
        <v>1791</v>
      </c>
      <c r="B2151" s="2" t="s">
        <v>1784</v>
      </c>
      <c r="C2151" s="3"/>
    </row>
    <row r="2152">
      <c r="A2152" s="1" t="s">
        <v>1792</v>
      </c>
      <c r="B2152" s="2" t="s">
        <v>1784</v>
      </c>
      <c r="C2152" s="3"/>
    </row>
    <row r="2153">
      <c r="A2153" s="1" t="s">
        <v>1793</v>
      </c>
      <c r="B2153" s="2" t="s">
        <v>1784</v>
      </c>
      <c r="C2153" s="3"/>
    </row>
    <row r="2154">
      <c r="A2154" s="1" t="s">
        <v>1794</v>
      </c>
      <c r="B2154" s="2" t="s">
        <v>1784</v>
      </c>
      <c r="C2154" s="3"/>
    </row>
    <row r="2155">
      <c r="A2155" s="1" t="s">
        <v>1795</v>
      </c>
      <c r="B2155" s="2" t="s">
        <v>1784</v>
      </c>
      <c r="C2155" s="3"/>
    </row>
    <row r="2156">
      <c r="A2156" s="1" t="s">
        <v>1796</v>
      </c>
      <c r="B2156" s="2" t="s">
        <v>1784</v>
      </c>
      <c r="C2156" s="3"/>
    </row>
    <row r="2157">
      <c r="A2157" s="1" t="s">
        <v>1797</v>
      </c>
      <c r="B2157" s="2" t="s">
        <v>1784</v>
      </c>
      <c r="C2157" s="3"/>
    </row>
    <row r="2158">
      <c r="A2158" s="1" t="s">
        <v>1798</v>
      </c>
      <c r="B2158" s="2" t="s">
        <v>1784</v>
      </c>
      <c r="C2158" s="3"/>
    </row>
    <row r="2159">
      <c r="A2159" s="1" t="s">
        <v>1799</v>
      </c>
      <c r="B2159" s="2" t="s">
        <v>1784</v>
      </c>
      <c r="C2159" s="3"/>
    </row>
    <row r="2160">
      <c r="A2160" s="1" t="s">
        <v>1800</v>
      </c>
      <c r="B2160" s="2" t="s">
        <v>1784</v>
      </c>
      <c r="C2160" s="3"/>
    </row>
    <row r="2161">
      <c r="A2161" s="1" t="s">
        <v>1801</v>
      </c>
      <c r="B2161" s="2" t="s">
        <v>1784</v>
      </c>
      <c r="C2161" s="3"/>
    </row>
    <row r="2162">
      <c r="A2162" s="1" t="s">
        <v>1802</v>
      </c>
      <c r="B2162" s="2" t="s">
        <v>1784</v>
      </c>
      <c r="C2162" s="3"/>
    </row>
    <row r="2163">
      <c r="A2163" s="1" t="s">
        <v>1803</v>
      </c>
      <c r="B2163" s="2" t="s">
        <v>1784</v>
      </c>
      <c r="C2163" s="3"/>
    </row>
    <row r="2164">
      <c r="A2164" s="1" t="s">
        <v>1804</v>
      </c>
      <c r="B2164" s="2" t="s">
        <v>1784</v>
      </c>
      <c r="C2164" s="3"/>
    </row>
    <row r="2165">
      <c r="A2165" s="1" t="s">
        <v>1805</v>
      </c>
      <c r="B2165" s="2" t="s">
        <v>1784</v>
      </c>
      <c r="C2165" s="3"/>
    </row>
    <row r="2166">
      <c r="A2166" s="1" t="s">
        <v>1806</v>
      </c>
      <c r="B2166" s="2" t="s">
        <v>1784</v>
      </c>
      <c r="C2166" s="3"/>
    </row>
    <row r="2167">
      <c r="A2167" s="1" t="s">
        <v>1807</v>
      </c>
      <c r="B2167" s="2" t="s">
        <v>1784</v>
      </c>
      <c r="C2167" s="3"/>
    </row>
    <row r="2168">
      <c r="A2168" s="1" t="s">
        <v>1808</v>
      </c>
      <c r="B2168" s="2" t="s">
        <v>1784</v>
      </c>
      <c r="C2168" s="3"/>
    </row>
    <row r="2169">
      <c r="A2169" s="1" t="s">
        <v>1809</v>
      </c>
      <c r="B2169" s="2" t="s">
        <v>1784</v>
      </c>
      <c r="C2169" s="3"/>
    </row>
    <row r="2170">
      <c r="A2170" s="1" t="s">
        <v>1810</v>
      </c>
      <c r="B2170" s="2" t="s">
        <v>1784</v>
      </c>
      <c r="C2170" s="3"/>
    </row>
    <row r="2171">
      <c r="A2171" s="1" t="s">
        <v>1811</v>
      </c>
      <c r="B2171" s="2" t="s">
        <v>1784</v>
      </c>
      <c r="C2171" s="3"/>
    </row>
    <row r="2172">
      <c r="A2172" s="1" t="s">
        <v>1812</v>
      </c>
      <c r="B2172" s="2" t="s">
        <v>1784</v>
      </c>
      <c r="C2172" s="3"/>
    </row>
    <row r="2173">
      <c r="A2173" s="1" t="s">
        <v>1813</v>
      </c>
      <c r="B2173" s="2" t="s">
        <v>1784</v>
      </c>
      <c r="C2173" s="3"/>
    </row>
    <row r="2174">
      <c r="A2174" s="1" t="s">
        <v>1814</v>
      </c>
      <c r="B2174" s="2" t="s">
        <v>1784</v>
      </c>
      <c r="C2174" s="3"/>
    </row>
    <row r="2175">
      <c r="A2175" s="1" t="s">
        <v>1815</v>
      </c>
      <c r="B2175" s="2" t="s">
        <v>1784</v>
      </c>
      <c r="C2175" s="3"/>
    </row>
    <row r="2176">
      <c r="A2176" s="1" t="s">
        <v>1816</v>
      </c>
      <c r="B2176" s="2" t="s">
        <v>1784</v>
      </c>
      <c r="C2176" s="3"/>
    </row>
    <row r="2177">
      <c r="A2177" s="1" t="s">
        <v>1817</v>
      </c>
      <c r="B2177" s="2" t="s">
        <v>1784</v>
      </c>
      <c r="C2177" s="3"/>
    </row>
    <row r="2178">
      <c r="A2178" s="1" t="s">
        <v>1818</v>
      </c>
      <c r="B2178" s="2" t="s">
        <v>1784</v>
      </c>
      <c r="C2178" s="3"/>
    </row>
    <row r="2179">
      <c r="A2179" s="2" t="s">
        <v>1819</v>
      </c>
      <c r="B2179" s="2" t="s">
        <v>1784</v>
      </c>
      <c r="C2179" s="3"/>
    </row>
    <row r="2180">
      <c r="A2180" s="1" t="s">
        <v>1820</v>
      </c>
      <c r="B2180" s="2" t="s">
        <v>1784</v>
      </c>
      <c r="C2180" s="3"/>
    </row>
    <row r="2181">
      <c r="A2181" s="1" t="s">
        <v>1821</v>
      </c>
      <c r="B2181" s="2" t="s">
        <v>1784</v>
      </c>
      <c r="C2181" s="3"/>
    </row>
    <row r="2182">
      <c r="A2182" s="1" t="s">
        <v>1822</v>
      </c>
      <c r="B2182" s="2" t="s">
        <v>1784</v>
      </c>
      <c r="C2182" s="3"/>
    </row>
    <row r="2183">
      <c r="A2183" s="1" t="s">
        <v>1823</v>
      </c>
      <c r="B2183" s="2" t="s">
        <v>1784</v>
      </c>
      <c r="C2183" s="3"/>
    </row>
    <row r="2184">
      <c r="A2184" s="1" t="s">
        <v>1824</v>
      </c>
      <c r="B2184" s="2" t="s">
        <v>1784</v>
      </c>
      <c r="C2184" s="3"/>
    </row>
    <row r="2185">
      <c r="A2185" s="1" t="s">
        <v>1825</v>
      </c>
      <c r="B2185" s="2" t="s">
        <v>1784</v>
      </c>
      <c r="C2185" s="3"/>
    </row>
    <row r="2186">
      <c r="A2186" s="1" t="s">
        <v>1826</v>
      </c>
      <c r="B2186" s="2" t="s">
        <v>1784</v>
      </c>
      <c r="C2186" s="3"/>
    </row>
    <row r="2187">
      <c r="A2187" s="1" t="s">
        <v>1827</v>
      </c>
      <c r="B2187" s="2" t="s">
        <v>1784</v>
      </c>
      <c r="C2187" s="3"/>
    </row>
    <row r="2188">
      <c r="A2188" s="1" t="s">
        <v>1828</v>
      </c>
      <c r="B2188" s="2" t="s">
        <v>1784</v>
      </c>
      <c r="C2188" s="3"/>
    </row>
    <row r="2189">
      <c r="A2189" s="1" t="s">
        <v>1829</v>
      </c>
      <c r="B2189" s="2" t="s">
        <v>1784</v>
      </c>
      <c r="C2189" s="3"/>
    </row>
    <row r="2190">
      <c r="A2190" s="1" t="s">
        <v>1830</v>
      </c>
      <c r="B2190" s="2" t="s">
        <v>1784</v>
      </c>
      <c r="C2190" s="3"/>
    </row>
    <row r="2191">
      <c r="A2191" s="1" t="s">
        <v>1831</v>
      </c>
      <c r="B2191" s="2" t="s">
        <v>1784</v>
      </c>
      <c r="C2191" s="3"/>
    </row>
    <row r="2192">
      <c r="A2192" s="1" t="s">
        <v>1832</v>
      </c>
      <c r="B2192" s="2" t="s">
        <v>1784</v>
      </c>
      <c r="C2192" s="3"/>
    </row>
    <row r="2193">
      <c r="A2193" s="1" t="s">
        <v>1833</v>
      </c>
      <c r="B2193" s="2" t="s">
        <v>1784</v>
      </c>
      <c r="C2193" s="3"/>
    </row>
    <row r="2194">
      <c r="A2194" s="1" t="s">
        <v>1834</v>
      </c>
      <c r="B2194" s="2" t="s">
        <v>1784</v>
      </c>
      <c r="C2194" s="3"/>
    </row>
    <row r="2195">
      <c r="A2195" s="1" t="s">
        <v>1835</v>
      </c>
      <c r="B2195" s="2" t="s">
        <v>1784</v>
      </c>
      <c r="C2195" s="3"/>
    </row>
    <row r="2196">
      <c r="A2196" s="1" t="s">
        <v>1836</v>
      </c>
      <c r="B2196" s="2" t="s">
        <v>1784</v>
      </c>
      <c r="C2196" s="3"/>
    </row>
    <row r="2197">
      <c r="A2197" s="1" t="s">
        <v>1837</v>
      </c>
      <c r="B2197" s="2" t="s">
        <v>1784</v>
      </c>
      <c r="C2197" s="3"/>
    </row>
    <row r="2198">
      <c r="A2198" s="1" t="s">
        <v>1838</v>
      </c>
      <c r="B2198" s="2" t="s">
        <v>1784</v>
      </c>
      <c r="C2198" s="3"/>
    </row>
    <row r="2199">
      <c r="A2199" s="1" t="s">
        <v>1839</v>
      </c>
      <c r="B2199" s="2" t="s">
        <v>1784</v>
      </c>
      <c r="C2199" s="3"/>
    </row>
    <row r="2200">
      <c r="A2200" s="1" t="s">
        <v>1840</v>
      </c>
      <c r="B2200" s="2" t="s">
        <v>1784</v>
      </c>
      <c r="C2200" s="3"/>
    </row>
    <row r="2201">
      <c r="A2201" s="1" t="s">
        <v>1841</v>
      </c>
      <c r="B2201" s="2" t="s">
        <v>1784</v>
      </c>
      <c r="C2201" s="3"/>
    </row>
    <row r="2202">
      <c r="A2202" s="1" t="s">
        <v>1842</v>
      </c>
      <c r="B2202" s="2" t="s">
        <v>1784</v>
      </c>
      <c r="C2202" s="3"/>
    </row>
    <row r="2203">
      <c r="A2203" s="1" t="s">
        <v>1843</v>
      </c>
      <c r="B2203" s="2" t="s">
        <v>1784</v>
      </c>
      <c r="C2203" s="3"/>
    </row>
    <row r="2204">
      <c r="A2204" s="1" t="s">
        <v>1844</v>
      </c>
      <c r="B2204" s="2" t="s">
        <v>1784</v>
      </c>
      <c r="C2204" s="3"/>
    </row>
    <row r="2205">
      <c r="A2205" s="1" t="s">
        <v>1845</v>
      </c>
      <c r="B2205" s="2" t="s">
        <v>1784</v>
      </c>
      <c r="C2205" s="3"/>
    </row>
    <row r="2206">
      <c r="A2206" s="1" t="s">
        <v>1846</v>
      </c>
      <c r="B2206" s="2" t="s">
        <v>1784</v>
      </c>
      <c r="C2206" s="3"/>
    </row>
    <row r="2207">
      <c r="A2207" s="1" t="s">
        <v>1847</v>
      </c>
      <c r="B2207" s="2" t="s">
        <v>1784</v>
      </c>
      <c r="C2207" s="3"/>
    </row>
    <row r="2208">
      <c r="A2208" s="1" t="s">
        <v>1848</v>
      </c>
      <c r="B2208" s="2" t="s">
        <v>1784</v>
      </c>
      <c r="C2208" s="3"/>
    </row>
    <row r="2209">
      <c r="A2209" s="1" t="s">
        <v>1849</v>
      </c>
      <c r="B2209" s="2" t="s">
        <v>1784</v>
      </c>
      <c r="C2209" s="3"/>
    </row>
    <row r="2210">
      <c r="A2210" s="1" t="s">
        <v>1850</v>
      </c>
      <c r="B2210" s="2" t="s">
        <v>1784</v>
      </c>
      <c r="C2210" s="3"/>
    </row>
    <row r="2211">
      <c r="A2211" s="1" t="s">
        <v>1851</v>
      </c>
      <c r="B2211" s="2" t="s">
        <v>1784</v>
      </c>
      <c r="C2211" s="3"/>
    </row>
    <row r="2212">
      <c r="A2212" s="1" t="s">
        <v>1852</v>
      </c>
      <c r="B2212" s="2" t="s">
        <v>1784</v>
      </c>
      <c r="C2212" s="3"/>
    </row>
    <row r="2213">
      <c r="A2213" s="1" t="s">
        <v>1853</v>
      </c>
      <c r="B2213" s="2" t="s">
        <v>1784</v>
      </c>
      <c r="C2213" s="3"/>
    </row>
    <row r="2214">
      <c r="A2214" s="1" t="s">
        <v>1854</v>
      </c>
      <c r="B2214" s="2" t="s">
        <v>1784</v>
      </c>
      <c r="C2214" s="3"/>
    </row>
    <row r="2215">
      <c r="A2215" s="1" t="s">
        <v>1855</v>
      </c>
      <c r="B2215" s="2" t="s">
        <v>1784</v>
      </c>
      <c r="C2215" s="3"/>
    </row>
    <row r="2216">
      <c r="A2216" s="1" t="s">
        <v>1856</v>
      </c>
      <c r="B2216" s="2" t="s">
        <v>1784</v>
      </c>
      <c r="C2216" s="3"/>
    </row>
    <row r="2217">
      <c r="A2217" s="1" t="s">
        <v>1857</v>
      </c>
      <c r="B2217" s="2" t="s">
        <v>1784</v>
      </c>
      <c r="C2217" s="3"/>
    </row>
    <row r="2218">
      <c r="A2218" s="1" t="s">
        <v>1858</v>
      </c>
      <c r="B2218" s="2" t="s">
        <v>1784</v>
      </c>
      <c r="C2218" s="3"/>
    </row>
    <row r="2219">
      <c r="A2219" s="1" t="s">
        <v>1859</v>
      </c>
      <c r="B2219" s="2" t="s">
        <v>1784</v>
      </c>
      <c r="C2219" s="3"/>
    </row>
    <row r="2220">
      <c r="A2220" s="1" t="s">
        <v>1860</v>
      </c>
      <c r="B2220" s="2" t="s">
        <v>1784</v>
      </c>
      <c r="C2220" s="3"/>
    </row>
    <row r="2221">
      <c r="A2221" s="1" t="s">
        <v>1861</v>
      </c>
      <c r="B2221" s="2" t="s">
        <v>1784</v>
      </c>
      <c r="C2221" s="3"/>
    </row>
    <row r="2222">
      <c r="A2222" s="1" t="s">
        <v>1862</v>
      </c>
      <c r="B2222" s="2" t="s">
        <v>1784</v>
      </c>
      <c r="C2222" s="3"/>
    </row>
    <row r="2223">
      <c r="A2223" s="1" t="s">
        <v>1863</v>
      </c>
      <c r="B2223" s="2" t="s">
        <v>1784</v>
      </c>
      <c r="C2223" s="3"/>
    </row>
    <row r="2224">
      <c r="A2224" s="1" t="s">
        <v>1864</v>
      </c>
      <c r="B2224" s="2" t="s">
        <v>1784</v>
      </c>
      <c r="C2224" s="3"/>
    </row>
    <row r="2225">
      <c r="A2225" s="1" t="s">
        <v>1865</v>
      </c>
      <c r="B2225" s="2" t="s">
        <v>1784</v>
      </c>
      <c r="C2225" s="3"/>
    </row>
    <row r="2226">
      <c r="A2226" s="1" t="s">
        <v>1866</v>
      </c>
      <c r="B2226" s="2" t="s">
        <v>1784</v>
      </c>
      <c r="C2226" s="3"/>
    </row>
    <row r="2227">
      <c r="A2227" s="1" t="s">
        <v>1867</v>
      </c>
      <c r="B2227" s="2" t="s">
        <v>1784</v>
      </c>
      <c r="C2227" s="3"/>
    </row>
    <row r="2228">
      <c r="A2228" s="1" t="s">
        <v>1868</v>
      </c>
      <c r="B2228" s="2" t="s">
        <v>1784</v>
      </c>
      <c r="C2228" s="3"/>
    </row>
    <row r="2229">
      <c r="A2229" s="1" t="s">
        <v>1869</v>
      </c>
      <c r="B2229" s="2" t="s">
        <v>1784</v>
      </c>
      <c r="C2229" s="3"/>
    </row>
    <row r="2230">
      <c r="A2230" s="1" t="s">
        <v>1870</v>
      </c>
      <c r="B2230" s="2" t="s">
        <v>1784</v>
      </c>
      <c r="C2230" s="3"/>
    </row>
    <row r="2231">
      <c r="A2231" s="1" t="s">
        <v>1871</v>
      </c>
      <c r="B2231" s="2" t="s">
        <v>1784</v>
      </c>
      <c r="C2231" s="3"/>
    </row>
    <row r="2232">
      <c r="A2232" s="1" t="s">
        <v>1872</v>
      </c>
      <c r="B2232" s="2" t="s">
        <v>1784</v>
      </c>
      <c r="C2232" s="3"/>
    </row>
    <row r="2233">
      <c r="A2233" s="1" t="s">
        <v>1873</v>
      </c>
      <c r="B2233" s="2" t="s">
        <v>1784</v>
      </c>
      <c r="C2233" s="3"/>
    </row>
    <row r="2234">
      <c r="A2234" s="1" t="s">
        <v>1874</v>
      </c>
      <c r="B2234" s="2" t="s">
        <v>1784</v>
      </c>
      <c r="C2234" s="3"/>
    </row>
    <row r="2235">
      <c r="A2235" s="1" t="s">
        <v>1875</v>
      </c>
      <c r="B2235" s="2" t="s">
        <v>1784</v>
      </c>
      <c r="C2235" s="3"/>
    </row>
    <row r="2236">
      <c r="A2236" s="1" t="s">
        <v>1876</v>
      </c>
      <c r="B2236" s="2" t="s">
        <v>1784</v>
      </c>
      <c r="C2236" s="3"/>
    </row>
    <row r="2237">
      <c r="A2237" s="1" t="s">
        <v>1877</v>
      </c>
      <c r="B2237" s="2" t="s">
        <v>1784</v>
      </c>
      <c r="C2237" s="3"/>
    </row>
    <row r="2238">
      <c r="A2238" s="1" t="s">
        <v>1878</v>
      </c>
      <c r="B2238" s="2" t="s">
        <v>1784</v>
      </c>
      <c r="C2238" s="3"/>
    </row>
    <row r="2239">
      <c r="A2239" s="1" t="s">
        <v>1879</v>
      </c>
      <c r="B2239" s="2" t="s">
        <v>1784</v>
      </c>
      <c r="C2239" s="3"/>
    </row>
    <row r="2240">
      <c r="A2240" s="1" t="s">
        <v>1880</v>
      </c>
      <c r="B2240" s="2" t="s">
        <v>1784</v>
      </c>
      <c r="C2240" s="3"/>
    </row>
    <row r="2241">
      <c r="A2241" s="1" t="s">
        <v>1881</v>
      </c>
      <c r="B2241" s="2" t="s">
        <v>1784</v>
      </c>
      <c r="C2241" s="3"/>
    </row>
    <row r="2242">
      <c r="A2242" s="1" t="s">
        <v>1882</v>
      </c>
      <c r="B2242" s="2" t="s">
        <v>1784</v>
      </c>
      <c r="C2242" s="3"/>
    </row>
    <row r="2243">
      <c r="A2243" s="1" t="s">
        <v>1883</v>
      </c>
      <c r="B2243" s="2" t="s">
        <v>1784</v>
      </c>
      <c r="C2243" s="3"/>
    </row>
    <row r="2244">
      <c r="A2244" s="1" t="s">
        <v>1884</v>
      </c>
      <c r="B2244" s="2" t="s">
        <v>1784</v>
      </c>
      <c r="C2244" s="3"/>
    </row>
    <row r="2245">
      <c r="A2245" s="1" t="s">
        <v>1885</v>
      </c>
      <c r="B2245" s="2" t="s">
        <v>1784</v>
      </c>
      <c r="C2245" s="3"/>
    </row>
    <row r="2246">
      <c r="A2246" s="1" t="s">
        <v>1886</v>
      </c>
      <c r="B2246" s="2" t="s">
        <v>1784</v>
      </c>
      <c r="C2246" s="3"/>
    </row>
    <row r="2247">
      <c r="A2247" s="1" t="s">
        <v>1887</v>
      </c>
      <c r="B2247" s="2" t="s">
        <v>1784</v>
      </c>
      <c r="C2247" s="3"/>
    </row>
    <row r="2248">
      <c r="A2248" s="1" t="s">
        <v>1888</v>
      </c>
      <c r="B2248" s="2" t="s">
        <v>1784</v>
      </c>
      <c r="C2248" s="3"/>
    </row>
    <row r="2249">
      <c r="A2249" s="1" t="s">
        <v>1889</v>
      </c>
      <c r="B2249" s="2" t="s">
        <v>1784</v>
      </c>
      <c r="C2249" s="3"/>
    </row>
    <row r="2250">
      <c r="A2250" s="1" t="s">
        <v>1890</v>
      </c>
      <c r="B2250" s="2" t="s">
        <v>1784</v>
      </c>
      <c r="C2250" s="3"/>
    </row>
    <row r="2251">
      <c r="A2251" s="1" t="s">
        <v>1891</v>
      </c>
      <c r="B2251" s="2" t="s">
        <v>1784</v>
      </c>
      <c r="C2251" s="3"/>
    </row>
    <row r="2252">
      <c r="A2252" s="1" t="s">
        <v>1892</v>
      </c>
      <c r="B2252" s="2" t="s">
        <v>1784</v>
      </c>
      <c r="C2252" s="3"/>
    </row>
    <row r="2253">
      <c r="A2253" s="1" t="s">
        <v>1893</v>
      </c>
      <c r="B2253" s="2" t="s">
        <v>1784</v>
      </c>
      <c r="C2253" s="3"/>
    </row>
    <row r="2254">
      <c r="A2254" s="1" t="s">
        <v>1894</v>
      </c>
      <c r="B2254" s="2" t="s">
        <v>1784</v>
      </c>
      <c r="C2254" s="3"/>
    </row>
    <row r="2255">
      <c r="A2255" s="1" t="s">
        <v>1895</v>
      </c>
      <c r="B2255" s="2" t="s">
        <v>1784</v>
      </c>
      <c r="C2255" s="3"/>
    </row>
    <row r="2256">
      <c r="A2256" s="1" t="s">
        <v>1896</v>
      </c>
      <c r="B2256" s="2" t="s">
        <v>1784</v>
      </c>
      <c r="C2256" s="3"/>
    </row>
    <row r="2257">
      <c r="A2257" s="1" t="s">
        <v>1897</v>
      </c>
      <c r="B2257" s="2" t="s">
        <v>1784</v>
      </c>
      <c r="C2257" s="3"/>
    </row>
    <row r="2258">
      <c r="A2258" s="1" t="s">
        <v>1898</v>
      </c>
      <c r="B2258" s="2" t="s">
        <v>1784</v>
      </c>
      <c r="C2258" s="3"/>
    </row>
    <row r="2259">
      <c r="A2259" s="1" t="s">
        <v>1899</v>
      </c>
      <c r="B2259" s="2" t="s">
        <v>1784</v>
      </c>
      <c r="C2259" s="3"/>
    </row>
    <row r="2260">
      <c r="A2260" s="1" t="s">
        <v>1900</v>
      </c>
      <c r="B2260" s="2" t="s">
        <v>1784</v>
      </c>
      <c r="C2260" s="3"/>
    </row>
    <row r="2261">
      <c r="A2261" s="1" t="s">
        <v>1901</v>
      </c>
      <c r="B2261" s="2" t="s">
        <v>1784</v>
      </c>
      <c r="C2261" s="3"/>
    </row>
    <row r="2262">
      <c r="A2262" s="1" t="s">
        <v>1902</v>
      </c>
      <c r="B2262" s="2" t="s">
        <v>1784</v>
      </c>
      <c r="C2262" s="3"/>
    </row>
    <row r="2263">
      <c r="A2263" s="1" t="s">
        <v>1903</v>
      </c>
      <c r="B2263" s="2" t="s">
        <v>1784</v>
      </c>
      <c r="C2263" s="3"/>
    </row>
    <row r="2264">
      <c r="A2264" s="1" t="s">
        <v>1904</v>
      </c>
      <c r="B2264" s="2" t="s">
        <v>1784</v>
      </c>
      <c r="C2264" s="3"/>
    </row>
    <row r="2265">
      <c r="A2265" s="1" t="s">
        <v>1905</v>
      </c>
      <c r="B2265" s="2" t="s">
        <v>1784</v>
      </c>
      <c r="C2265" s="3"/>
    </row>
    <row r="2266">
      <c r="A2266" s="1" t="s">
        <v>1906</v>
      </c>
      <c r="B2266" s="2" t="s">
        <v>1784</v>
      </c>
      <c r="C2266" s="3"/>
    </row>
    <row r="2267">
      <c r="A2267" s="1" t="s">
        <v>1907</v>
      </c>
      <c r="B2267" s="2" t="s">
        <v>1784</v>
      </c>
      <c r="C2267" s="3"/>
    </row>
    <row r="2268">
      <c r="A2268" s="1" t="s">
        <v>1908</v>
      </c>
      <c r="B2268" s="2" t="s">
        <v>1784</v>
      </c>
      <c r="C2268" s="3"/>
    </row>
    <row r="2269">
      <c r="A2269" s="1" t="s">
        <v>1909</v>
      </c>
      <c r="B2269" s="2" t="s">
        <v>1784</v>
      </c>
      <c r="C2269" s="3"/>
    </row>
    <row r="2270">
      <c r="A2270" s="1" t="s">
        <v>1910</v>
      </c>
      <c r="B2270" s="2" t="s">
        <v>1784</v>
      </c>
      <c r="C2270" s="3"/>
    </row>
    <row r="2271">
      <c r="A2271" s="1" t="s">
        <v>1911</v>
      </c>
      <c r="B2271" s="2" t="s">
        <v>1784</v>
      </c>
      <c r="C2271" s="3"/>
    </row>
    <row r="2272">
      <c r="A2272" s="1" t="s">
        <v>1912</v>
      </c>
      <c r="B2272" s="2" t="s">
        <v>1784</v>
      </c>
      <c r="C2272" s="3"/>
    </row>
    <row r="2273">
      <c r="A2273" s="1" t="s">
        <v>1913</v>
      </c>
      <c r="B2273" s="2" t="s">
        <v>1784</v>
      </c>
      <c r="C2273" s="3"/>
    </row>
    <row r="2274">
      <c r="A2274" s="1" t="s">
        <v>1914</v>
      </c>
      <c r="B2274" s="2" t="s">
        <v>1784</v>
      </c>
      <c r="C2274" s="3"/>
    </row>
    <row r="2275">
      <c r="A2275" s="1" t="s">
        <v>1915</v>
      </c>
      <c r="B2275" s="2" t="s">
        <v>1784</v>
      </c>
      <c r="C2275" s="3"/>
    </row>
    <row r="2276">
      <c r="A2276" s="1" t="s">
        <v>1916</v>
      </c>
      <c r="B2276" s="2" t="s">
        <v>1784</v>
      </c>
      <c r="C2276" s="3"/>
    </row>
    <row r="2277">
      <c r="A2277" s="1" t="s">
        <v>1917</v>
      </c>
      <c r="B2277" s="2" t="s">
        <v>1784</v>
      </c>
      <c r="C2277" s="3"/>
    </row>
    <row r="2278">
      <c r="A2278" s="1" t="s">
        <v>1918</v>
      </c>
      <c r="B2278" s="2" t="s">
        <v>1784</v>
      </c>
      <c r="C2278" s="3"/>
    </row>
    <row r="2279">
      <c r="A2279" s="1" t="s">
        <v>1919</v>
      </c>
      <c r="B2279" s="2" t="s">
        <v>1784</v>
      </c>
      <c r="C2279" s="3"/>
    </row>
    <row r="2280">
      <c r="A2280" s="1" t="s">
        <v>1920</v>
      </c>
      <c r="B2280" s="2" t="s">
        <v>1784</v>
      </c>
      <c r="C2280" s="3"/>
    </row>
    <row r="2281">
      <c r="A2281" s="1" t="s">
        <v>1921</v>
      </c>
      <c r="B2281" s="2" t="s">
        <v>1784</v>
      </c>
      <c r="C2281" s="3"/>
    </row>
    <row r="2282">
      <c r="A2282" s="1" t="s">
        <v>1922</v>
      </c>
      <c r="B2282" s="2" t="s">
        <v>1784</v>
      </c>
      <c r="C2282" s="3"/>
    </row>
    <row r="2283">
      <c r="A2283" s="1" t="s">
        <v>1923</v>
      </c>
      <c r="B2283" s="2" t="s">
        <v>1784</v>
      </c>
      <c r="C2283" s="3"/>
    </row>
    <row r="2284">
      <c r="A2284" s="1" t="s">
        <v>1924</v>
      </c>
      <c r="B2284" s="2" t="s">
        <v>1784</v>
      </c>
      <c r="C2284" s="3"/>
    </row>
    <row r="2285">
      <c r="A2285" s="1" t="s">
        <v>1925</v>
      </c>
      <c r="B2285" s="2" t="s">
        <v>1784</v>
      </c>
      <c r="C2285" s="3"/>
    </row>
    <row r="2286">
      <c r="A2286" s="1" t="s">
        <v>1926</v>
      </c>
      <c r="B2286" s="2" t="s">
        <v>1784</v>
      </c>
      <c r="C2286" s="3"/>
    </row>
    <row r="2287">
      <c r="A2287" s="1" t="s">
        <v>1927</v>
      </c>
      <c r="B2287" s="2" t="s">
        <v>1784</v>
      </c>
      <c r="C2287" s="3"/>
    </row>
    <row r="2288">
      <c r="A2288" s="1" t="s">
        <v>1928</v>
      </c>
      <c r="B2288" s="2" t="s">
        <v>1784</v>
      </c>
      <c r="C2288" s="3"/>
    </row>
    <row r="2289">
      <c r="A2289" s="1" t="s">
        <v>1929</v>
      </c>
      <c r="B2289" s="2" t="s">
        <v>1784</v>
      </c>
      <c r="C2289" s="3"/>
    </row>
    <row r="2290">
      <c r="A2290" s="1" t="s">
        <v>1930</v>
      </c>
      <c r="B2290" s="2" t="s">
        <v>1784</v>
      </c>
      <c r="C2290" s="3"/>
    </row>
    <row r="2291">
      <c r="A2291" s="1" t="s">
        <v>1931</v>
      </c>
      <c r="B2291" s="2" t="s">
        <v>1784</v>
      </c>
      <c r="C2291" s="3"/>
    </row>
    <row r="2292">
      <c r="A2292" s="1" t="s">
        <v>1932</v>
      </c>
      <c r="B2292" s="2" t="s">
        <v>1784</v>
      </c>
      <c r="C2292" s="3"/>
    </row>
    <row r="2293">
      <c r="A2293" s="1" t="s">
        <v>1848</v>
      </c>
      <c r="B2293" s="2" t="s">
        <v>1784</v>
      </c>
      <c r="C2293" s="3"/>
    </row>
    <row r="2294">
      <c r="A2294" s="1" t="s">
        <v>1933</v>
      </c>
      <c r="B2294" s="2" t="s">
        <v>1784</v>
      </c>
      <c r="C2294" s="3"/>
    </row>
    <row r="2295">
      <c r="A2295" s="1" t="s">
        <v>1934</v>
      </c>
      <c r="B2295" s="2" t="s">
        <v>1784</v>
      </c>
      <c r="C2295" s="3"/>
    </row>
    <row r="2296">
      <c r="A2296" s="1" t="s">
        <v>1935</v>
      </c>
      <c r="B2296" s="2" t="s">
        <v>1784</v>
      </c>
      <c r="C2296" s="3"/>
    </row>
    <row r="2297">
      <c r="A2297" s="1" t="s">
        <v>1936</v>
      </c>
      <c r="B2297" s="2" t="s">
        <v>1784</v>
      </c>
      <c r="C2297" s="3"/>
    </row>
    <row r="2298">
      <c r="A2298" s="1" t="s">
        <v>1937</v>
      </c>
      <c r="B2298" s="2" t="s">
        <v>1784</v>
      </c>
      <c r="C2298" s="3"/>
    </row>
    <row r="2299">
      <c r="A2299" s="1" t="s">
        <v>1938</v>
      </c>
      <c r="B2299" s="2" t="s">
        <v>1784</v>
      </c>
      <c r="C2299" s="3"/>
    </row>
    <row r="2300">
      <c r="A2300" s="1" t="s">
        <v>1939</v>
      </c>
      <c r="B2300" s="2" t="s">
        <v>1784</v>
      </c>
      <c r="C2300" s="3"/>
    </row>
    <row r="2301">
      <c r="A2301" s="1" t="s">
        <v>1940</v>
      </c>
      <c r="B2301" s="2" t="s">
        <v>1784</v>
      </c>
      <c r="C2301" s="3"/>
    </row>
    <row r="2302">
      <c r="A2302" s="1" t="s">
        <v>1941</v>
      </c>
      <c r="B2302" s="2" t="s">
        <v>1784</v>
      </c>
      <c r="C2302" s="3"/>
    </row>
    <row r="2303">
      <c r="A2303" s="1" t="s">
        <v>1942</v>
      </c>
      <c r="B2303" s="2" t="s">
        <v>1784</v>
      </c>
      <c r="C2303" s="3"/>
    </row>
    <row r="2304">
      <c r="A2304" s="1" t="s">
        <v>1943</v>
      </c>
      <c r="B2304" s="2" t="s">
        <v>1784</v>
      </c>
      <c r="C2304" s="3"/>
    </row>
    <row r="2305">
      <c r="A2305" s="1" t="s">
        <v>1944</v>
      </c>
      <c r="B2305" s="2" t="s">
        <v>1784</v>
      </c>
      <c r="C2305" s="3"/>
    </row>
    <row r="2306">
      <c r="A2306" s="1" t="s">
        <v>1945</v>
      </c>
      <c r="B2306" s="2" t="s">
        <v>1784</v>
      </c>
      <c r="C2306" s="3"/>
    </row>
    <row r="2307">
      <c r="A2307" s="1" t="s">
        <v>1946</v>
      </c>
      <c r="B2307" s="2" t="s">
        <v>1784</v>
      </c>
      <c r="C2307" s="3"/>
    </row>
    <row r="2308">
      <c r="A2308" s="1" t="s">
        <v>1947</v>
      </c>
      <c r="B2308" s="2" t="s">
        <v>1784</v>
      </c>
      <c r="C2308" s="3"/>
    </row>
    <row r="2309">
      <c r="A2309" s="1" t="s">
        <v>1948</v>
      </c>
      <c r="B2309" s="2" t="s">
        <v>1784</v>
      </c>
      <c r="C2309" s="3"/>
    </row>
    <row r="2310">
      <c r="A2310" s="1" t="s">
        <v>1949</v>
      </c>
      <c r="B2310" s="2" t="s">
        <v>1784</v>
      </c>
      <c r="C2310" s="3"/>
    </row>
    <row r="2311">
      <c r="A2311" s="1" t="s">
        <v>1950</v>
      </c>
      <c r="B2311" s="2" t="s">
        <v>1784</v>
      </c>
      <c r="C2311" s="3"/>
    </row>
    <row r="2312">
      <c r="A2312" s="1" t="s">
        <v>1951</v>
      </c>
      <c r="B2312" s="2" t="s">
        <v>1784</v>
      </c>
      <c r="C2312" s="3"/>
    </row>
    <row r="2313">
      <c r="A2313" s="1" t="s">
        <v>1952</v>
      </c>
      <c r="B2313" s="2" t="s">
        <v>1784</v>
      </c>
      <c r="C2313" s="3"/>
    </row>
    <row r="2314">
      <c r="A2314" s="1" t="s">
        <v>1953</v>
      </c>
      <c r="B2314" s="2" t="s">
        <v>1784</v>
      </c>
      <c r="C2314" s="3"/>
    </row>
    <row r="2315">
      <c r="A2315" s="1" t="s">
        <v>1954</v>
      </c>
      <c r="B2315" s="2" t="s">
        <v>1784</v>
      </c>
      <c r="C2315" s="3"/>
    </row>
    <row r="2316">
      <c r="A2316" s="1" t="s">
        <v>1955</v>
      </c>
      <c r="B2316" s="2" t="s">
        <v>1784</v>
      </c>
      <c r="C2316" s="3"/>
    </row>
    <row r="2317">
      <c r="A2317" s="1" t="s">
        <v>1956</v>
      </c>
      <c r="B2317" s="2" t="s">
        <v>1784</v>
      </c>
      <c r="C2317" s="3"/>
    </row>
    <row r="2318">
      <c r="A2318" s="1" t="s">
        <v>1957</v>
      </c>
      <c r="B2318" s="2" t="s">
        <v>1784</v>
      </c>
      <c r="C2318" s="3"/>
    </row>
    <row r="2319">
      <c r="A2319" s="1" t="s">
        <v>1958</v>
      </c>
      <c r="B2319" s="2" t="s">
        <v>1784</v>
      </c>
      <c r="C2319" s="3"/>
    </row>
    <row r="2320">
      <c r="A2320" s="1" t="s">
        <v>1959</v>
      </c>
      <c r="B2320" s="2" t="s">
        <v>1784</v>
      </c>
      <c r="C2320" s="3"/>
    </row>
    <row r="2321">
      <c r="A2321" s="1" t="s">
        <v>1960</v>
      </c>
      <c r="B2321" s="2" t="s">
        <v>1784</v>
      </c>
      <c r="C2321" s="3"/>
    </row>
    <row r="2322">
      <c r="A2322" s="1" t="s">
        <v>1961</v>
      </c>
      <c r="B2322" s="2" t="s">
        <v>1784</v>
      </c>
      <c r="C2322" s="3"/>
    </row>
    <row r="2323">
      <c r="A2323" s="1" t="s">
        <v>1962</v>
      </c>
      <c r="B2323" s="2" t="s">
        <v>1784</v>
      </c>
      <c r="C2323" s="3"/>
    </row>
    <row r="2324">
      <c r="A2324" s="1" t="s">
        <v>1963</v>
      </c>
      <c r="B2324" s="2" t="s">
        <v>1784</v>
      </c>
      <c r="C2324" s="3"/>
    </row>
    <row r="2325">
      <c r="A2325" s="1" t="s">
        <v>1964</v>
      </c>
      <c r="B2325" s="2" t="s">
        <v>1784</v>
      </c>
      <c r="C2325" s="3"/>
    </row>
    <row r="2326">
      <c r="A2326" s="1" t="s">
        <v>1965</v>
      </c>
      <c r="B2326" s="2" t="s">
        <v>1784</v>
      </c>
      <c r="C2326" s="3"/>
    </row>
    <row r="2327">
      <c r="A2327" s="1" t="s">
        <v>1966</v>
      </c>
      <c r="B2327" s="2" t="s">
        <v>1784</v>
      </c>
      <c r="C2327" s="3"/>
    </row>
    <row r="2328">
      <c r="A2328" s="1" t="s">
        <v>1967</v>
      </c>
      <c r="B2328" s="2" t="s">
        <v>1784</v>
      </c>
      <c r="C2328" s="3"/>
    </row>
    <row r="2329">
      <c r="A2329" s="1" t="s">
        <v>1968</v>
      </c>
      <c r="B2329" s="2" t="s">
        <v>1784</v>
      </c>
      <c r="C2329" s="3"/>
    </row>
    <row r="2330">
      <c r="A2330" s="1" t="s">
        <v>1969</v>
      </c>
      <c r="B2330" s="2" t="s">
        <v>1784</v>
      </c>
      <c r="C2330" s="3"/>
    </row>
    <row r="2331">
      <c r="A2331" s="1" t="s">
        <v>1970</v>
      </c>
      <c r="B2331" s="2" t="s">
        <v>1784</v>
      </c>
      <c r="C2331" s="3"/>
    </row>
    <row r="2332">
      <c r="A2332" s="1" t="s">
        <v>1971</v>
      </c>
      <c r="B2332" s="2" t="s">
        <v>1784</v>
      </c>
      <c r="C2332" s="3"/>
    </row>
    <row r="2333">
      <c r="A2333" s="1" t="s">
        <v>1972</v>
      </c>
      <c r="B2333" s="2" t="s">
        <v>1784</v>
      </c>
      <c r="C2333" s="3"/>
    </row>
    <row r="2334">
      <c r="A2334" s="1" t="s">
        <v>1973</v>
      </c>
      <c r="B2334" s="2" t="s">
        <v>1784</v>
      </c>
      <c r="C2334" s="3"/>
    </row>
    <row r="2335">
      <c r="A2335" s="1" t="s">
        <v>1974</v>
      </c>
      <c r="B2335" s="2" t="s">
        <v>1784</v>
      </c>
      <c r="C2335" s="3"/>
    </row>
    <row r="2336">
      <c r="A2336" s="1" t="s">
        <v>1975</v>
      </c>
      <c r="B2336" s="2" t="s">
        <v>1784</v>
      </c>
      <c r="C2336" s="3"/>
    </row>
    <row r="2337">
      <c r="A2337" s="1" t="s">
        <v>1976</v>
      </c>
      <c r="B2337" s="2" t="s">
        <v>1784</v>
      </c>
      <c r="C2337" s="3"/>
    </row>
    <row r="2338">
      <c r="A2338" s="1" t="s">
        <v>1977</v>
      </c>
      <c r="B2338" s="2" t="s">
        <v>1784</v>
      </c>
      <c r="C2338" s="3"/>
    </row>
    <row r="2339">
      <c r="A2339" s="1" t="s">
        <v>1978</v>
      </c>
      <c r="B2339" s="2" t="s">
        <v>1784</v>
      </c>
      <c r="C2339" s="3"/>
    </row>
    <row r="2340">
      <c r="A2340" s="1" t="s">
        <v>1979</v>
      </c>
      <c r="B2340" s="2" t="s">
        <v>1784</v>
      </c>
      <c r="C2340" s="3"/>
    </row>
    <row r="2341">
      <c r="A2341" s="1" t="s">
        <v>1980</v>
      </c>
      <c r="B2341" s="2" t="s">
        <v>1784</v>
      </c>
      <c r="C2341" s="3"/>
    </row>
    <row r="2342">
      <c r="A2342" s="1" t="s">
        <v>1981</v>
      </c>
      <c r="B2342" s="2" t="s">
        <v>1784</v>
      </c>
      <c r="C2342" s="3"/>
    </row>
    <row r="2343">
      <c r="A2343" s="1" t="s">
        <v>1982</v>
      </c>
      <c r="B2343" s="2" t="s">
        <v>1784</v>
      </c>
      <c r="C2343" s="3"/>
    </row>
    <row r="2344">
      <c r="A2344" s="1" t="s">
        <v>1983</v>
      </c>
      <c r="B2344" s="2" t="s">
        <v>1784</v>
      </c>
      <c r="C2344" s="3"/>
    </row>
    <row r="2345">
      <c r="A2345" s="1" t="s">
        <v>1984</v>
      </c>
      <c r="B2345" s="2" t="s">
        <v>1784</v>
      </c>
      <c r="C2345" s="3"/>
    </row>
    <row r="2346">
      <c r="A2346" s="1" t="s">
        <v>1985</v>
      </c>
      <c r="B2346" s="2" t="s">
        <v>1784</v>
      </c>
      <c r="C2346" s="3"/>
    </row>
    <row r="2347">
      <c r="A2347" s="1" t="s">
        <v>1986</v>
      </c>
      <c r="B2347" s="2" t="s">
        <v>1784</v>
      </c>
      <c r="C2347" s="3"/>
    </row>
    <row r="2348">
      <c r="A2348" s="1" t="s">
        <v>1987</v>
      </c>
      <c r="B2348" s="2" t="s">
        <v>1784</v>
      </c>
      <c r="C2348" s="3"/>
    </row>
    <row r="2349">
      <c r="A2349" s="1" t="s">
        <v>1988</v>
      </c>
      <c r="B2349" s="2" t="s">
        <v>1784</v>
      </c>
      <c r="C2349" s="3"/>
    </row>
    <row r="2350">
      <c r="A2350" s="1" t="s">
        <v>1989</v>
      </c>
      <c r="B2350" s="2" t="s">
        <v>1784</v>
      </c>
      <c r="C2350" s="3"/>
    </row>
    <row r="2351">
      <c r="A2351" s="1" t="s">
        <v>1990</v>
      </c>
      <c r="B2351" s="2" t="s">
        <v>1784</v>
      </c>
      <c r="C2351" s="3"/>
    </row>
    <row r="2352">
      <c r="A2352" s="1" t="s">
        <v>1991</v>
      </c>
      <c r="B2352" s="2" t="s">
        <v>1784</v>
      </c>
      <c r="C2352" s="3"/>
    </row>
    <row r="2353">
      <c r="A2353" s="1" t="s">
        <v>1915</v>
      </c>
      <c r="B2353" s="2" t="s">
        <v>1784</v>
      </c>
      <c r="C2353" s="3"/>
    </row>
    <row r="2354">
      <c r="A2354" s="1" t="s">
        <v>1992</v>
      </c>
      <c r="B2354" s="2" t="s">
        <v>1784</v>
      </c>
      <c r="C2354" s="3"/>
    </row>
    <row r="2355">
      <c r="A2355" s="1" t="s">
        <v>1993</v>
      </c>
      <c r="B2355" s="2" t="s">
        <v>1784</v>
      </c>
      <c r="C2355" s="3"/>
    </row>
    <row r="2356">
      <c r="A2356" s="1" t="s">
        <v>1994</v>
      </c>
      <c r="B2356" s="2" t="s">
        <v>1784</v>
      </c>
      <c r="C2356" s="3"/>
    </row>
    <row r="2357">
      <c r="A2357" s="1" t="s">
        <v>1995</v>
      </c>
      <c r="B2357" s="2" t="s">
        <v>1784</v>
      </c>
      <c r="C2357" s="3"/>
    </row>
    <row r="2358">
      <c r="A2358" s="1" t="s">
        <v>1996</v>
      </c>
      <c r="B2358" s="2" t="s">
        <v>1784</v>
      </c>
      <c r="C2358" s="3"/>
    </row>
    <row r="2359">
      <c r="A2359" s="1" t="s">
        <v>1997</v>
      </c>
      <c r="B2359" s="2" t="s">
        <v>1784</v>
      </c>
      <c r="C2359" s="3"/>
    </row>
    <row r="2360">
      <c r="A2360" s="1" t="s">
        <v>1998</v>
      </c>
      <c r="B2360" s="2" t="s">
        <v>1784</v>
      </c>
      <c r="C2360" s="3"/>
    </row>
    <row r="2361">
      <c r="A2361" s="1" t="s">
        <v>1999</v>
      </c>
      <c r="B2361" s="2" t="s">
        <v>1784</v>
      </c>
      <c r="C2361" s="3"/>
    </row>
    <row r="2362">
      <c r="A2362" s="1" t="s">
        <v>2000</v>
      </c>
      <c r="B2362" s="2" t="s">
        <v>1784</v>
      </c>
      <c r="C2362" s="3"/>
    </row>
    <row r="2363">
      <c r="A2363" s="1" t="s">
        <v>2001</v>
      </c>
      <c r="B2363" s="2" t="s">
        <v>1784</v>
      </c>
      <c r="C2363" s="3"/>
    </row>
    <row r="2364">
      <c r="A2364" s="1" t="s">
        <v>2002</v>
      </c>
      <c r="B2364" s="2" t="s">
        <v>1784</v>
      </c>
      <c r="C2364" s="3"/>
    </row>
    <row r="2365">
      <c r="A2365" s="1" t="s">
        <v>2003</v>
      </c>
      <c r="B2365" s="2" t="s">
        <v>1784</v>
      </c>
      <c r="C2365" s="3"/>
    </row>
    <row r="2366">
      <c r="A2366" s="1" t="s">
        <v>1933</v>
      </c>
      <c r="B2366" s="2" t="s">
        <v>1784</v>
      </c>
      <c r="C2366" s="3"/>
    </row>
    <row r="2367">
      <c r="A2367" s="1" t="s">
        <v>1934</v>
      </c>
      <c r="B2367" s="2" t="s">
        <v>1784</v>
      </c>
      <c r="C2367" s="3"/>
    </row>
    <row r="2368">
      <c r="A2368" s="1" t="s">
        <v>1935</v>
      </c>
      <c r="B2368" s="2" t="s">
        <v>1784</v>
      </c>
      <c r="C2368" s="3"/>
    </row>
    <row r="2369">
      <c r="A2369" s="1" t="s">
        <v>1936</v>
      </c>
      <c r="B2369" s="2" t="s">
        <v>1784</v>
      </c>
      <c r="C2369" s="3"/>
    </row>
    <row r="2370">
      <c r="A2370" s="1" t="s">
        <v>1937</v>
      </c>
      <c r="B2370" s="2" t="s">
        <v>1784</v>
      </c>
      <c r="C2370" s="3"/>
    </row>
    <row r="2371">
      <c r="A2371" s="1" t="s">
        <v>1938</v>
      </c>
      <c r="B2371" s="2" t="s">
        <v>1784</v>
      </c>
      <c r="C2371" s="3"/>
    </row>
    <row r="2372">
      <c r="A2372" s="1" t="s">
        <v>1939</v>
      </c>
      <c r="B2372" s="2" t="s">
        <v>1784</v>
      </c>
      <c r="C2372" s="3"/>
    </row>
    <row r="2373">
      <c r="A2373" s="1" t="s">
        <v>1940</v>
      </c>
      <c r="B2373" s="2" t="s">
        <v>1784</v>
      </c>
      <c r="C2373" s="3"/>
    </row>
    <row r="2374">
      <c r="A2374" s="1" t="s">
        <v>1941</v>
      </c>
      <c r="B2374" s="2" t="s">
        <v>1784</v>
      </c>
      <c r="C2374" s="3"/>
    </row>
    <row r="2375">
      <c r="A2375" s="1" t="s">
        <v>1942</v>
      </c>
      <c r="B2375" s="2" t="s">
        <v>1784</v>
      </c>
      <c r="C2375" s="3"/>
    </row>
    <row r="2376">
      <c r="A2376" s="1" t="s">
        <v>1943</v>
      </c>
      <c r="B2376" s="2" t="s">
        <v>1784</v>
      </c>
      <c r="C2376" s="3"/>
    </row>
    <row r="2377">
      <c r="A2377" s="1" t="s">
        <v>1944</v>
      </c>
      <c r="B2377" s="2" t="s">
        <v>1784</v>
      </c>
      <c r="C2377" s="3"/>
    </row>
    <row r="2378">
      <c r="A2378" s="1" t="s">
        <v>1945</v>
      </c>
      <c r="B2378" s="2" t="s">
        <v>1784</v>
      </c>
      <c r="C2378" s="3"/>
    </row>
    <row r="2379">
      <c r="A2379" s="1" t="s">
        <v>1946</v>
      </c>
      <c r="B2379" s="2" t="s">
        <v>1784</v>
      </c>
      <c r="C2379" s="3"/>
    </row>
    <row r="2380">
      <c r="A2380" s="1" t="s">
        <v>1947</v>
      </c>
      <c r="B2380" s="2" t="s">
        <v>1784</v>
      </c>
      <c r="C2380" s="3"/>
    </row>
    <row r="2381">
      <c r="A2381" s="1" t="s">
        <v>1948</v>
      </c>
      <c r="B2381" s="2" t="s">
        <v>1784</v>
      </c>
      <c r="C2381" s="3"/>
    </row>
    <row r="2382">
      <c r="A2382" s="1" t="s">
        <v>1949</v>
      </c>
      <c r="B2382" s="2" t="s">
        <v>1784</v>
      </c>
      <c r="C2382" s="3"/>
    </row>
    <row r="2383">
      <c r="A2383" s="1" t="s">
        <v>1950</v>
      </c>
      <c r="B2383" s="2" t="s">
        <v>1784</v>
      </c>
      <c r="C2383" s="3"/>
    </row>
    <row r="2384">
      <c r="A2384" s="1" t="s">
        <v>1951</v>
      </c>
      <c r="B2384" s="2" t="s">
        <v>1784</v>
      </c>
      <c r="C2384" s="3"/>
    </row>
    <row r="2385">
      <c r="A2385" s="1" t="s">
        <v>1952</v>
      </c>
      <c r="B2385" s="2" t="s">
        <v>1784</v>
      </c>
      <c r="C2385" s="3"/>
    </row>
    <row r="2386">
      <c r="A2386" s="1" t="s">
        <v>2004</v>
      </c>
      <c r="B2386" s="2" t="s">
        <v>1784</v>
      </c>
      <c r="C2386" s="3"/>
    </row>
    <row r="2387">
      <c r="A2387" s="1" t="s">
        <v>2005</v>
      </c>
      <c r="B2387" s="2" t="s">
        <v>1784</v>
      </c>
      <c r="C2387" s="3"/>
    </row>
    <row r="2388">
      <c r="A2388" s="1" t="s">
        <v>2006</v>
      </c>
      <c r="B2388" s="2" t="s">
        <v>1784</v>
      </c>
      <c r="C2388" s="3"/>
    </row>
    <row r="2389">
      <c r="A2389" s="1" t="s">
        <v>2007</v>
      </c>
      <c r="B2389" s="2" t="s">
        <v>1784</v>
      </c>
      <c r="C2389" s="3"/>
    </row>
    <row r="2390">
      <c r="A2390" s="1" t="s">
        <v>2008</v>
      </c>
      <c r="B2390" s="2" t="s">
        <v>1784</v>
      </c>
      <c r="C2390" s="3"/>
    </row>
    <row r="2391">
      <c r="A2391" s="1" t="s">
        <v>2009</v>
      </c>
      <c r="B2391" s="2" t="s">
        <v>1784</v>
      </c>
      <c r="C2391" s="3"/>
    </row>
    <row r="2392">
      <c r="A2392" s="1" t="s">
        <v>2010</v>
      </c>
      <c r="B2392" s="2" t="s">
        <v>1784</v>
      </c>
      <c r="C2392" s="3"/>
    </row>
    <row r="2393">
      <c r="A2393" s="1" t="s">
        <v>2011</v>
      </c>
      <c r="B2393" s="2" t="s">
        <v>1784</v>
      </c>
      <c r="C2393" s="3"/>
    </row>
    <row r="2394">
      <c r="A2394" s="1" t="s">
        <v>2012</v>
      </c>
      <c r="B2394" s="2" t="s">
        <v>1784</v>
      </c>
      <c r="C2394" s="3"/>
    </row>
    <row r="2395">
      <c r="A2395" s="1" t="s">
        <v>2013</v>
      </c>
      <c r="B2395" s="2" t="s">
        <v>1784</v>
      </c>
      <c r="C2395" s="3"/>
    </row>
    <row r="2396">
      <c r="A2396" s="1" t="s">
        <v>2014</v>
      </c>
      <c r="B2396" s="2" t="s">
        <v>1784</v>
      </c>
      <c r="C2396" s="3"/>
    </row>
    <row r="2397">
      <c r="A2397" s="1" t="s">
        <v>2015</v>
      </c>
      <c r="B2397" s="2" t="s">
        <v>1784</v>
      </c>
      <c r="C2397" s="3"/>
    </row>
    <row r="2398">
      <c r="A2398" s="1" t="s">
        <v>2016</v>
      </c>
      <c r="B2398" s="2" t="s">
        <v>1784</v>
      </c>
      <c r="C2398" s="3"/>
    </row>
    <row r="2399">
      <c r="A2399" s="1" t="s">
        <v>1884</v>
      </c>
      <c r="B2399" s="2" t="s">
        <v>1784</v>
      </c>
      <c r="C2399" s="3"/>
    </row>
    <row r="2400">
      <c r="A2400" s="1" t="s">
        <v>1885</v>
      </c>
      <c r="B2400" s="2" t="s">
        <v>1784</v>
      </c>
      <c r="C2400" s="3"/>
    </row>
    <row r="2401">
      <c r="A2401" s="1" t="s">
        <v>1886</v>
      </c>
      <c r="B2401" s="2" t="s">
        <v>1784</v>
      </c>
      <c r="C2401" s="3"/>
    </row>
    <row r="2402">
      <c r="A2402" s="1" t="s">
        <v>1887</v>
      </c>
      <c r="B2402" s="2" t="s">
        <v>1784</v>
      </c>
      <c r="C2402" s="3"/>
    </row>
    <row r="2403">
      <c r="A2403" s="1" t="s">
        <v>1888</v>
      </c>
      <c r="B2403" s="2" t="s">
        <v>1784</v>
      </c>
      <c r="C2403" s="3"/>
    </row>
    <row r="2404">
      <c r="A2404" s="1" t="s">
        <v>1889</v>
      </c>
      <c r="B2404" s="2" t="s">
        <v>1784</v>
      </c>
      <c r="C2404" s="3"/>
    </row>
    <row r="2405">
      <c r="A2405" s="1" t="s">
        <v>1890</v>
      </c>
      <c r="B2405" s="2" t="s">
        <v>1784</v>
      </c>
      <c r="C2405" s="3"/>
    </row>
    <row r="2406">
      <c r="A2406" s="1" t="s">
        <v>1891</v>
      </c>
      <c r="B2406" s="2" t="s">
        <v>1784</v>
      </c>
      <c r="C2406" s="3"/>
    </row>
    <row r="2407">
      <c r="A2407" s="1" t="s">
        <v>1892</v>
      </c>
      <c r="B2407" s="2" t="s">
        <v>1784</v>
      </c>
      <c r="C2407" s="3"/>
    </row>
    <row r="2408">
      <c r="A2408" s="1" t="s">
        <v>1893</v>
      </c>
      <c r="B2408" s="2" t="s">
        <v>1784</v>
      </c>
      <c r="C2408" s="3"/>
    </row>
    <row r="2409">
      <c r="A2409" s="1" t="s">
        <v>1894</v>
      </c>
      <c r="B2409" s="2" t="s">
        <v>1784</v>
      </c>
      <c r="C2409" s="3"/>
    </row>
    <row r="2410">
      <c r="A2410" s="1" t="s">
        <v>1895</v>
      </c>
      <c r="B2410" s="2" t="s">
        <v>1784</v>
      </c>
      <c r="C2410" s="3"/>
    </row>
    <row r="2411">
      <c r="A2411" s="1" t="s">
        <v>1896</v>
      </c>
      <c r="B2411" s="2" t="s">
        <v>1784</v>
      </c>
      <c r="C2411" s="3"/>
    </row>
    <row r="2412">
      <c r="A2412" s="1" t="s">
        <v>1897</v>
      </c>
      <c r="B2412" s="2" t="s">
        <v>1784</v>
      </c>
      <c r="C2412" s="3"/>
    </row>
    <row r="2413">
      <c r="A2413" s="1" t="s">
        <v>1898</v>
      </c>
      <c r="B2413" s="2" t="s">
        <v>1784</v>
      </c>
      <c r="C2413" s="3"/>
    </row>
    <row r="2414">
      <c r="A2414" s="1" t="s">
        <v>1899</v>
      </c>
      <c r="B2414" s="2" t="s">
        <v>1784</v>
      </c>
      <c r="C2414" s="3"/>
    </row>
    <row r="2415">
      <c r="A2415" s="1" t="s">
        <v>1900</v>
      </c>
      <c r="B2415" s="2" t="s">
        <v>1784</v>
      </c>
      <c r="C2415" s="3"/>
    </row>
    <row r="2416">
      <c r="A2416" s="1" t="s">
        <v>1901</v>
      </c>
      <c r="B2416" s="2" t="s">
        <v>1784</v>
      </c>
      <c r="C2416" s="3"/>
    </row>
    <row r="2417">
      <c r="A2417" s="1" t="s">
        <v>1902</v>
      </c>
      <c r="B2417" s="2" t="s">
        <v>1784</v>
      </c>
      <c r="C2417" s="3"/>
    </row>
    <row r="2418">
      <c r="A2418" s="1" t="s">
        <v>1903</v>
      </c>
      <c r="B2418" s="2" t="s">
        <v>1784</v>
      </c>
      <c r="C2418" s="3"/>
    </row>
    <row r="2419">
      <c r="A2419" s="1" t="s">
        <v>1904</v>
      </c>
      <c r="B2419" s="2" t="s">
        <v>1784</v>
      </c>
      <c r="C2419" s="3"/>
    </row>
    <row r="2420">
      <c r="A2420" s="1" t="s">
        <v>1905</v>
      </c>
      <c r="B2420" s="2" t="s">
        <v>1784</v>
      </c>
      <c r="C2420" s="3"/>
    </row>
    <row r="2421">
      <c r="A2421" s="1" t="s">
        <v>1906</v>
      </c>
      <c r="B2421" s="2" t="s">
        <v>1784</v>
      </c>
      <c r="C2421" s="3"/>
    </row>
    <row r="2422">
      <c r="A2422" s="1" t="s">
        <v>1907</v>
      </c>
      <c r="B2422" s="2" t="s">
        <v>1784</v>
      </c>
      <c r="C2422" s="3"/>
    </row>
    <row r="2423">
      <c r="A2423" s="1" t="s">
        <v>1908</v>
      </c>
      <c r="B2423" s="2" t="s">
        <v>1784</v>
      </c>
      <c r="C2423" s="3"/>
    </row>
    <row r="2424">
      <c r="A2424" s="1" t="s">
        <v>1909</v>
      </c>
      <c r="B2424" s="2" t="s">
        <v>1784</v>
      </c>
      <c r="C2424" s="3"/>
    </row>
    <row r="2425">
      <c r="A2425" s="1" t="s">
        <v>1910</v>
      </c>
      <c r="B2425" s="2" t="s">
        <v>1784</v>
      </c>
      <c r="C2425" s="3"/>
    </row>
    <row r="2426">
      <c r="A2426" s="1" t="s">
        <v>1911</v>
      </c>
      <c r="B2426" s="2" t="s">
        <v>1784</v>
      </c>
      <c r="C2426" s="3"/>
    </row>
    <row r="2427">
      <c r="A2427" s="1" t="s">
        <v>1912</v>
      </c>
      <c r="B2427" s="2" t="s">
        <v>1784</v>
      </c>
      <c r="C2427" s="3"/>
    </row>
    <row r="2428">
      <c r="A2428" s="1" t="s">
        <v>1913</v>
      </c>
      <c r="B2428" s="2" t="s">
        <v>1784</v>
      </c>
      <c r="C2428" s="3"/>
    </row>
    <row r="2429">
      <c r="A2429" s="1" t="s">
        <v>1914</v>
      </c>
      <c r="B2429" s="2" t="s">
        <v>1784</v>
      </c>
      <c r="C2429" s="3"/>
    </row>
    <row r="2430">
      <c r="A2430" s="1" t="s">
        <v>1915</v>
      </c>
      <c r="B2430" s="2" t="s">
        <v>1784</v>
      </c>
      <c r="C2430" s="3"/>
    </row>
    <row r="2431">
      <c r="A2431" s="1" t="s">
        <v>1916</v>
      </c>
      <c r="B2431" s="2" t="s">
        <v>1784</v>
      </c>
      <c r="C2431" s="3"/>
    </row>
    <row r="2432">
      <c r="A2432" s="1" t="s">
        <v>1917</v>
      </c>
      <c r="B2432" s="2" t="s">
        <v>1784</v>
      </c>
      <c r="C2432" s="3"/>
    </row>
    <row r="2433">
      <c r="A2433" s="1" t="s">
        <v>1918</v>
      </c>
      <c r="B2433" s="2" t="s">
        <v>1784</v>
      </c>
      <c r="C2433" s="3"/>
    </row>
    <row r="2434">
      <c r="A2434" s="1" t="s">
        <v>1919</v>
      </c>
      <c r="B2434" s="2" t="s">
        <v>1784</v>
      </c>
      <c r="C2434" s="3"/>
    </row>
    <row r="2435">
      <c r="A2435" s="1" t="s">
        <v>1920</v>
      </c>
      <c r="B2435" s="2" t="s">
        <v>1784</v>
      </c>
      <c r="C2435" s="3"/>
    </row>
    <row r="2436">
      <c r="A2436" s="1" t="s">
        <v>1921</v>
      </c>
      <c r="B2436" s="2" t="s">
        <v>1784</v>
      </c>
      <c r="C2436" s="3"/>
    </row>
    <row r="2437">
      <c r="A2437" s="1" t="s">
        <v>1922</v>
      </c>
      <c r="B2437" s="2" t="s">
        <v>1784</v>
      </c>
      <c r="C2437" s="3"/>
    </row>
    <row r="2438">
      <c r="A2438" s="1" t="s">
        <v>1923</v>
      </c>
      <c r="B2438" s="2" t="s">
        <v>1784</v>
      </c>
      <c r="C2438" s="3"/>
    </row>
    <row r="2439">
      <c r="A2439" s="1" t="s">
        <v>1924</v>
      </c>
      <c r="B2439" s="2" t="s">
        <v>1784</v>
      </c>
      <c r="C2439" s="3"/>
    </row>
    <row r="2440">
      <c r="A2440" s="1" t="s">
        <v>1925</v>
      </c>
      <c r="B2440" s="2" t="s">
        <v>1784</v>
      </c>
      <c r="C2440" s="3"/>
    </row>
    <row r="2441">
      <c r="A2441" s="1" t="s">
        <v>1926</v>
      </c>
      <c r="B2441" s="2" t="s">
        <v>1784</v>
      </c>
      <c r="C2441" s="3"/>
    </row>
    <row r="2442">
      <c r="A2442" s="1" t="s">
        <v>1927</v>
      </c>
      <c r="B2442" s="2" t="s">
        <v>1784</v>
      </c>
      <c r="C2442" s="3"/>
    </row>
    <row r="2443">
      <c r="A2443" s="1" t="s">
        <v>1928</v>
      </c>
      <c r="B2443" s="2" t="s">
        <v>1784</v>
      </c>
      <c r="C2443" s="3"/>
    </row>
    <row r="2444">
      <c r="A2444" s="1" t="s">
        <v>2017</v>
      </c>
      <c r="B2444" s="2" t="s">
        <v>1784</v>
      </c>
      <c r="C2444" s="3"/>
    </row>
    <row r="2445">
      <c r="A2445" s="1" t="s">
        <v>2018</v>
      </c>
      <c r="B2445" s="2" t="s">
        <v>1784</v>
      </c>
      <c r="C2445" s="3"/>
    </row>
    <row r="2446">
      <c r="A2446" s="1" t="s">
        <v>2019</v>
      </c>
      <c r="B2446" s="2" t="s">
        <v>1784</v>
      </c>
      <c r="C2446" s="3"/>
    </row>
    <row r="2447">
      <c r="A2447" s="1" t="s">
        <v>2020</v>
      </c>
      <c r="B2447" s="2" t="s">
        <v>1784</v>
      </c>
      <c r="C2447" s="3"/>
    </row>
    <row r="2448">
      <c r="A2448" s="1" t="s">
        <v>2021</v>
      </c>
      <c r="B2448" s="2" t="s">
        <v>1784</v>
      </c>
      <c r="C2448" s="3"/>
    </row>
    <row r="2449">
      <c r="A2449" s="1" t="s">
        <v>2022</v>
      </c>
      <c r="B2449" s="2" t="s">
        <v>1784</v>
      </c>
      <c r="C2449" s="3"/>
    </row>
    <row r="2450">
      <c r="A2450" s="1" t="s">
        <v>2023</v>
      </c>
      <c r="B2450" s="2" t="s">
        <v>1784</v>
      </c>
      <c r="C2450" s="3"/>
    </row>
    <row r="2451">
      <c r="A2451" s="1" t="s">
        <v>2024</v>
      </c>
      <c r="B2451" s="2" t="s">
        <v>1784</v>
      </c>
      <c r="C2451" s="3"/>
    </row>
    <row r="2452">
      <c r="A2452" s="1" t="s">
        <v>2025</v>
      </c>
      <c r="B2452" s="2" t="s">
        <v>1784</v>
      </c>
      <c r="C2452" s="3"/>
    </row>
    <row r="2453">
      <c r="A2453" s="1" t="s">
        <v>2026</v>
      </c>
      <c r="B2453" s="2" t="s">
        <v>1784</v>
      </c>
      <c r="C2453" s="3"/>
    </row>
    <row r="2454">
      <c r="A2454" s="1" t="s">
        <v>2027</v>
      </c>
      <c r="B2454" s="2" t="s">
        <v>1784</v>
      </c>
      <c r="C2454" s="3"/>
    </row>
    <row r="2455">
      <c r="A2455" s="1" t="s">
        <v>2028</v>
      </c>
      <c r="B2455" s="2" t="s">
        <v>1784</v>
      </c>
      <c r="C2455" s="3"/>
    </row>
    <row r="2456">
      <c r="A2456" s="1" t="s">
        <v>2029</v>
      </c>
      <c r="B2456" s="2" t="s">
        <v>1784</v>
      </c>
      <c r="C2456" s="3"/>
    </row>
    <row r="2457">
      <c r="A2457" s="1" t="s">
        <v>2030</v>
      </c>
      <c r="B2457" s="2" t="s">
        <v>1784</v>
      </c>
      <c r="C2457" s="3"/>
    </row>
    <row r="2458">
      <c r="A2458" s="1" t="s">
        <v>2031</v>
      </c>
      <c r="B2458" s="2" t="s">
        <v>1784</v>
      </c>
      <c r="C2458" s="3"/>
    </row>
    <row r="2459">
      <c r="A2459" s="1" t="s">
        <v>2032</v>
      </c>
      <c r="B2459" s="2" t="s">
        <v>1784</v>
      </c>
      <c r="C2459" s="3"/>
    </row>
    <row r="2460">
      <c r="A2460" s="1" t="s">
        <v>2033</v>
      </c>
      <c r="B2460" s="2" t="s">
        <v>1784</v>
      </c>
      <c r="C2460" s="3"/>
    </row>
    <row r="2461">
      <c r="A2461" s="1" t="s">
        <v>2034</v>
      </c>
      <c r="B2461" s="4" t="s">
        <v>2035</v>
      </c>
      <c r="C2461" s="3"/>
    </row>
    <row r="2462">
      <c r="A2462" s="1" t="s">
        <v>2036</v>
      </c>
      <c r="B2462" s="4" t="s">
        <v>2035</v>
      </c>
      <c r="C2462" s="3"/>
    </row>
    <row r="2463">
      <c r="A2463" s="1" t="s">
        <v>2037</v>
      </c>
      <c r="B2463" s="4" t="s">
        <v>2035</v>
      </c>
      <c r="C2463" s="3"/>
    </row>
    <row r="2464">
      <c r="A2464" s="1" t="s">
        <v>2038</v>
      </c>
      <c r="B2464" s="4" t="s">
        <v>2035</v>
      </c>
      <c r="C2464" s="3"/>
    </row>
    <row r="2465">
      <c r="A2465" s="1" t="s">
        <v>2039</v>
      </c>
      <c r="B2465" s="4" t="s">
        <v>2035</v>
      </c>
      <c r="C2465" s="3"/>
    </row>
    <row r="2466">
      <c r="A2466" s="1" t="s">
        <v>2040</v>
      </c>
      <c r="B2466" s="4" t="s">
        <v>2035</v>
      </c>
      <c r="C2466" s="3"/>
    </row>
    <row r="2467">
      <c r="A2467" s="1" t="s">
        <v>2041</v>
      </c>
      <c r="B2467" s="4" t="s">
        <v>2035</v>
      </c>
      <c r="C2467" s="3"/>
    </row>
    <row r="2468">
      <c r="A2468" s="1" t="s">
        <v>2042</v>
      </c>
      <c r="B2468" s="4" t="s">
        <v>2035</v>
      </c>
      <c r="C2468" s="3"/>
    </row>
    <row r="2469">
      <c r="A2469" s="1" t="s">
        <v>2043</v>
      </c>
      <c r="B2469" s="4" t="s">
        <v>2035</v>
      </c>
      <c r="C2469" s="3"/>
    </row>
    <row r="2470">
      <c r="A2470" s="1" t="s">
        <v>2044</v>
      </c>
      <c r="B2470" s="4" t="s">
        <v>2035</v>
      </c>
      <c r="C2470" s="3"/>
    </row>
    <row r="2471">
      <c r="A2471" s="1" t="s">
        <v>2045</v>
      </c>
      <c r="B2471" s="4" t="s">
        <v>2035</v>
      </c>
      <c r="C2471" s="3"/>
    </row>
    <row r="2472">
      <c r="A2472" s="1" t="s">
        <v>2046</v>
      </c>
      <c r="B2472" s="4" t="s">
        <v>2035</v>
      </c>
      <c r="C2472" s="3"/>
    </row>
    <row r="2473">
      <c r="A2473" s="1" t="s">
        <v>2047</v>
      </c>
      <c r="B2473" s="4" t="s">
        <v>2035</v>
      </c>
      <c r="C2473" s="3"/>
    </row>
    <row r="2474">
      <c r="A2474" s="1" t="s">
        <v>2048</v>
      </c>
      <c r="B2474" s="4" t="s">
        <v>2035</v>
      </c>
      <c r="C2474" s="3"/>
    </row>
    <row r="2475">
      <c r="A2475" s="1" t="s">
        <v>2049</v>
      </c>
      <c r="B2475" s="4" t="s">
        <v>2035</v>
      </c>
      <c r="C2475" s="3"/>
    </row>
    <row r="2476">
      <c r="A2476" s="1" t="s">
        <v>2050</v>
      </c>
      <c r="B2476" s="4" t="s">
        <v>2035</v>
      </c>
      <c r="C2476" s="3"/>
    </row>
    <row r="2477">
      <c r="A2477" s="1" t="s">
        <v>2051</v>
      </c>
      <c r="B2477" s="4" t="s">
        <v>2035</v>
      </c>
      <c r="C2477" s="3"/>
    </row>
    <row r="2478">
      <c r="A2478" s="1" t="s">
        <v>2052</v>
      </c>
      <c r="B2478" s="4" t="s">
        <v>2035</v>
      </c>
      <c r="C2478" s="3"/>
    </row>
    <row r="2479">
      <c r="A2479" s="1" t="s">
        <v>2053</v>
      </c>
      <c r="B2479" s="4" t="s">
        <v>2035</v>
      </c>
      <c r="C2479" s="3"/>
    </row>
    <row r="2480">
      <c r="A2480" s="1" t="s">
        <v>2054</v>
      </c>
      <c r="B2480" s="4" t="s">
        <v>2035</v>
      </c>
      <c r="C2480" s="3"/>
    </row>
    <row r="2481">
      <c r="A2481" s="1" t="s">
        <v>2055</v>
      </c>
      <c r="B2481" s="4" t="s">
        <v>2035</v>
      </c>
      <c r="C2481" s="3"/>
    </row>
    <row r="2482">
      <c r="A2482" s="1" t="s">
        <v>2056</v>
      </c>
      <c r="B2482" s="4" t="s">
        <v>2035</v>
      </c>
      <c r="C2482" s="3"/>
    </row>
    <row r="2483">
      <c r="A2483" s="1" t="s">
        <v>2057</v>
      </c>
      <c r="B2483" s="4" t="s">
        <v>2035</v>
      </c>
      <c r="C2483" s="3"/>
    </row>
    <row r="2484">
      <c r="A2484" s="1" t="s">
        <v>2058</v>
      </c>
      <c r="B2484" s="4" t="s">
        <v>2035</v>
      </c>
      <c r="C2484" s="3"/>
    </row>
    <row r="2485">
      <c r="A2485" s="1" t="s">
        <v>2059</v>
      </c>
      <c r="B2485" s="4" t="s">
        <v>2035</v>
      </c>
      <c r="C2485" s="3"/>
    </row>
    <row r="2486">
      <c r="A2486" s="1" t="s">
        <v>2060</v>
      </c>
      <c r="B2486" s="4" t="s">
        <v>2035</v>
      </c>
      <c r="C2486" s="3"/>
    </row>
    <row r="2487">
      <c r="A2487" s="1" t="s">
        <v>2061</v>
      </c>
      <c r="B2487" s="4" t="s">
        <v>2035</v>
      </c>
      <c r="C2487" s="3"/>
    </row>
    <row r="2488">
      <c r="A2488" s="1" t="s">
        <v>2062</v>
      </c>
      <c r="B2488" s="4" t="s">
        <v>2035</v>
      </c>
      <c r="C2488" s="3"/>
    </row>
    <row r="2489">
      <c r="A2489" s="1" t="s">
        <v>2063</v>
      </c>
      <c r="B2489" s="4" t="s">
        <v>2035</v>
      </c>
      <c r="C2489" s="3"/>
    </row>
    <row r="2490">
      <c r="A2490" s="1" t="s">
        <v>2064</v>
      </c>
      <c r="B2490" s="4" t="s">
        <v>2035</v>
      </c>
      <c r="C2490" s="3"/>
    </row>
    <row r="2491">
      <c r="A2491" s="1" t="s">
        <v>2065</v>
      </c>
      <c r="B2491" s="4" t="s">
        <v>2035</v>
      </c>
      <c r="C2491" s="3"/>
    </row>
    <row r="2492">
      <c r="A2492" s="1" t="s">
        <v>2066</v>
      </c>
      <c r="B2492" s="4" t="s">
        <v>2035</v>
      </c>
      <c r="C2492" s="3"/>
    </row>
    <row r="2493">
      <c r="A2493" s="1" t="s">
        <v>2067</v>
      </c>
      <c r="B2493" s="4" t="s">
        <v>2035</v>
      </c>
      <c r="C2493" s="3"/>
    </row>
    <row r="2494">
      <c r="A2494" s="1" t="s">
        <v>2068</v>
      </c>
      <c r="B2494" s="4" t="s">
        <v>2035</v>
      </c>
      <c r="C2494" s="3"/>
    </row>
    <row r="2495">
      <c r="A2495" s="1" t="s">
        <v>2069</v>
      </c>
      <c r="B2495" s="4" t="s">
        <v>2035</v>
      </c>
      <c r="C2495" s="3"/>
    </row>
    <row r="2496">
      <c r="A2496" s="1" t="s">
        <v>2070</v>
      </c>
      <c r="B2496" s="4" t="s">
        <v>2035</v>
      </c>
      <c r="C2496" s="3"/>
    </row>
    <row r="2497">
      <c r="A2497" s="1" t="s">
        <v>2071</v>
      </c>
      <c r="B2497" s="4" t="s">
        <v>2035</v>
      </c>
      <c r="C2497" s="3"/>
    </row>
    <row r="2498">
      <c r="A2498" s="1" t="s">
        <v>2072</v>
      </c>
      <c r="B2498" s="4" t="s">
        <v>2035</v>
      </c>
      <c r="C2498" s="3"/>
    </row>
    <row r="2499">
      <c r="A2499" s="1" t="s">
        <v>2073</v>
      </c>
      <c r="B2499" s="4" t="s">
        <v>2035</v>
      </c>
      <c r="C2499" s="3"/>
    </row>
    <row r="2500">
      <c r="A2500" s="1" t="s">
        <v>2074</v>
      </c>
      <c r="B2500" s="4" t="s">
        <v>2035</v>
      </c>
      <c r="C2500" s="3"/>
    </row>
    <row r="2501">
      <c r="A2501" s="1" t="s">
        <v>2075</v>
      </c>
      <c r="B2501" s="4" t="s">
        <v>2035</v>
      </c>
      <c r="C2501" s="3"/>
    </row>
    <row r="2502">
      <c r="A2502" s="1" t="s">
        <v>2076</v>
      </c>
      <c r="B2502" s="4" t="s">
        <v>2035</v>
      </c>
      <c r="C2502" s="3"/>
    </row>
    <row r="2503">
      <c r="A2503" s="1" t="s">
        <v>2077</v>
      </c>
      <c r="B2503" s="4" t="s">
        <v>2035</v>
      </c>
      <c r="C2503" s="3"/>
    </row>
    <row r="2504">
      <c r="A2504" s="1" t="s">
        <v>2078</v>
      </c>
      <c r="B2504" s="4" t="s">
        <v>2035</v>
      </c>
      <c r="C2504" s="3"/>
    </row>
    <row r="2505">
      <c r="A2505" s="1" t="s">
        <v>2079</v>
      </c>
      <c r="B2505" s="4" t="s">
        <v>2035</v>
      </c>
      <c r="C2505" s="3"/>
    </row>
    <row r="2506">
      <c r="A2506" s="1" t="s">
        <v>2080</v>
      </c>
      <c r="B2506" s="4" t="s">
        <v>2035</v>
      </c>
      <c r="C2506" s="3"/>
    </row>
    <row r="2507">
      <c r="A2507" s="1" t="s">
        <v>2081</v>
      </c>
      <c r="B2507" s="4" t="s">
        <v>2035</v>
      </c>
      <c r="C2507" s="3"/>
    </row>
    <row r="2508">
      <c r="A2508" s="1" t="s">
        <v>2082</v>
      </c>
      <c r="B2508" s="4" t="s">
        <v>2035</v>
      </c>
      <c r="C2508" s="3"/>
    </row>
    <row r="2509">
      <c r="A2509" s="1" t="s">
        <v>2083</v>
      </c>
      <c r="B2509" s="4" t="s">
        <v>2035</v>
      </c>
      <c r="C2509" s="3"/>
    </row>
    <row r="2510">
      <c r="A2510" s="1" t="s">
        <v>2084</v>
      </c>
      <c r="B2510" s="4" t="s">
        <v>2035</v>
      </c>
      <c r="C2510" s="3"/>
    </row>
    <row r="2511">
      <c r="A2511" s="1" t="s">
        <v>2085</v>
      </c>
      <c r="B2511" s="4" t="s">
        <v>2035</v>
      </c>
      <c r="C2511" s="3"/>
    </row>
    <row r="2512">
      <c r="A2512" s="1" t="s">
        <v>2086</v>
      </c>
      <c r="B2512" s="4" t="s">
        <v>2035</v>
      </c>
      <c r="C2512" s="3"/>
    </row>
    <row r="2513">
      <c r="A2513" s="1" t="s">
        <v>2087</v>
      </c>
      <c r="B2513" s="4" t="s">
        <v>2035</v>
      </c>
      <c r="C2513" s="3"/>
    </row>
    <row r="2514">
      <c r="A2514" s="1" t="s">
        <v>2088</v>
      </c>
      <c r="B2514" s="4" t="s">
        <v>2035</v>
      </c>
      <c r="C2514" s="3"/>
    </row>
    <row r="2515">
      <c r="A2515" s="1" t="s">
        <v>2089</v>
      </c>
      <c r="B2515" s="4" t="s">
        <v>2035</v>
      </c>
      <c r="C2515" s="3"/>
    </row>
    <row r="2516">
      <c r="A2516" s="1" t="s">
        <v>2090</v>
      </c>
      <c r="B2516" s="4" t="s">
        <v>2035</v>
      </c>
      <c r="C2516" s="3"/>
    </row>
    <row r="2517">
      <c r="A2517" s="1" t="s">
        <v>2091</v>
      </c>
      <c r="B2517" s="4" t="s">
        <v>2035</v>
      </c>
      <c r="C2517" s="3"/>
    </row>
    <row r="2518">
      <c r="A2518" s="1" t="s">
        <v>2092</v>
      </c>
      <c r="B2518" s="4" t="s">
        <v>2035</v>
      </c>
      <c r="C2518" s="3"/>
    </row>
    <row r="2519">
      <c r="A2519" s="1" t="s">
        <v>2093</v>
      </c>
      <c r="B2519" s="4" t="s">
        <v>2035</v>
      </c>
      <c r="C2519" s="3"/>
    </row>
    <row r="2520">
      <c r="A2520" s="1" t="s">
        <v>2094</v>
      </c>
      <c r="B2520" s="4" t="s">
        <v>2035</v>
      </c>
      <c r="C2520" s="3"/>
    </row>
    <row r="2521">
      <c r="A2521" s="1" t="s">
        <v>2095</v>
      </c>
      <c r="B2521" s="4" t="s">
        <v>2035</v>
      </c>
      <c r="C2521" s="3"/>
    </row>
    <row r="2522">
      <c r="A2522" s="1" t="s">
        <v>2096</v>
      </c>
      <c r="B2522" s="4" t="s">
        <v>2035</v>
      </c>
      <c r="C2522" s="3"/>
    </row>
    <row r="2523">
      <c r="A2523" s="1" t="s">
        <v>2097</v>
      </c>
      <c r="B2523" s="4" t="s">
        <v>2035</v>
      </c>
      <c r="C2523" s="3"/>
    </row>
    <row r="2524">
      <c r="A2524" s="1" t="s">
        <v>2098</v>
      </c>
      <c r="B2524" s="4" t="s">
        <v>2035</v>
      </c>
      <c r="C2524" s="3"/>
    </row>
    <row r="2525">
      <c r="A2525" s="1" t="s">
        <v>2099</v>
      </c>
      <c r="B2525" s="4" t="s">
        <v>2035</v>
      </c>
      <c r="C2525" s="3"/>
    </row>
    <row r="2526">
      <c r="A2526" s="1" t="s">
        <v>2100</v>
      </c>
      <c r="B2526" s="4" t="s">
        <v>2035</v>
      </c>
      <c r="C2526" s="3"/>
    </row>
    <row r="2527">
      <c r="A2527" s="1" t="s">
        <v>2101</v>
      </c>
      <c r="B2527" s="4" t="s">
        <v>2035</v>
      </c>
      <c r="C2527" s="3"/>
    </row>
    <row r="2528">
      <c r="A2528" s="1" t="s">
        <v>2102</v>
      </c>
      <c r="B2528" s="4" t="s">
        <v>2035</v>
      </c>
      <c r="C2528" s="3"/>
    </row>
    <row r="2529">
      <c r="A2529" s="1" t="s">
        <v>2103</v>
      </c>
      <c r="B2529" s="4" t="s">
        <v>2035</v>
      </c>
      <c r="C2529" s="3"/>
    </row>
    <row r="2530">
      <c r="A2530" s="1" t="s">
        <v>2104</v>
      </c>
      <c r="B2530" s="4" t="s">
        <v>2035</v>
      </c>
      <c r="C2530" s="3"/>
    </row>
    <row r="2531">
      <c r="A2531" s="1" t="s">
        <v>2105</v>
      </c>
      <c r="B2531" s="4" t="s">
        <v>2035</v>
      </c>
      <c r="C2531" s="3"/>
    </row>
    <row r="2532">
      <c r="A2532" s="1" t="s">
        <v>2106</v>
      </c>
      <c r="B2532" s="4" t="s">
        <v>2035</v>
      </c>
      <c r="C2532" s="3"/>
    </row>
    <row r="2533">
      <c r="A2533" s="1" t="s">
        <v>2107</v>
      </c>
      <c r="B2533" s="4" t="s">
        <v>2035</v>
      </c>
      <c r="C2533" s="3"/>
    </row>
    <row r="2534">
      <c r="A2534" s="1" t="s">
        <v>2108</v>
      </c>
      <c r="B2534" s="4" t="s">
        <v>2035</v>
      </c>
      <c r="C2534" s="3"/>
    </row>
    <row r="2535">
      <c r="A2535" s="1" t="s">
        <v>2109</v>
      </c>
      <c r="B2535" s="4" t="s">
        <v>2035</v>
      </c>
      <c r="C2535" s="3"/>
    </row>
    <row r="2536">
      <c r="A2536" s="1" t="s">
        <v>2110</v>
      </c>
      <c r="B2536" s="4" t="s">
        <v>2035</v>
      </c>
      <c r="C2536" s="3"/>
    </row>
    <row r="2537">
      <c r="A2537" s="1" t="s">
        <v>2111</v>
      </c>
      <c r="B2537" s="4" t="s">
        <v>2035</v>
      </c>
      <c r="C2537" s="3"/>
    </row>
    <row r="2538">
      <c r="A2538" s="1" t="s">
        <v>2112</v>
      </c>
      <c r="B2538" s="4" t="s">
        <v>2035</v>
      </c>
      <c r="C2538" s="3"/>
    </row>
    <row r="2539">
      <c r="A2539" s="1" t="s">
        <v>2113</v>
      </c>
      <c r="B2539" s="4" t="s">
        <v>2035</v>
      </c>
      <c r="C2539" s="3"/>
    </row>
    <row r="2540">
      <c r="A2540" s="1" t="s">
        <v>2114</v>
      </c>
      <c r="B2540" s="4" t="s">
        <v>2035</v>
      </c>
      <c r="C2540" s="3"/>
    </row>
    <row r="2541">
      <c r="A2541" s="1" t="s">
        <v>2115</v>
      </c>
      <c r="B2541" s="4" t="s">
        <v>2035</v>
      </c>
      <c r="C2541" s="3"/>
    </row>
    <row r="2542">
      <c r="A2542" s="1" t="s">
        <v>2116</v>
      </c>
      <c r="B2542" s="4" t="s">
        <v>2035</v>
      </c>
      <c r="C2542" s="3"/>
    </row>
    <row r="2543">
      <c r="A2543" s="1" t="s">
        <v>2117</v>
      </c>
      <c r="B2543" s="4" t="s">
        <v>2035</v>
      </c>
      <c r="C2543" s="3"/>
    </row>
    <row r="2544">
      <c r="A2544" s="1" t="s">
        <v>2118</v>
      </c>
      <c r="B2544" s="4" t="s">
        <v>2035</v>
      </c>
      <c r="C2544" s="3"/>
    </row>
    <row r="2545">
      <c r="A2545" s="1" t="s">
        <v>2119</v>
      </c>
      <c r="B2545" s="4" t="s">
        <v>2035</v>
      </c>
      <c r="C2545" s="3"/>
    </row>
    <row r="2546">
      <c r="A2546" s="1" t="s">
        <v>2120</v>
      </c>
      <c r="B2546" s="4" t="s">
        <v>2035</v>
      </c>
      <c r="C2546" s="3"/>
    </row>
    <row r="2547">
      <c r="A2547" s="1" t="s">
        <v>2121</v>
      </c>
      <c r="B2547" s="4" t="s">
        <v>2035</v>
      </c>
      <c r="C2547" s="3"/>
    </row>
    <row r="2548">
      <c r="A2548" s="1" t="s">
        <v>2122</v>
      </c>
      <c r="B2548" s="4" t="s">
        <v>2035</v>
      </c>
      <c r="C2548" s="3"/>
    </row>
    <row r="2549">
      <c r="A2549" s="1" t="s">
        <v>2123</v>
      </c>
      <c r="B2549" s="4" t="s">
        <v>2035</v>
      </c>
      <c r="C2549" s="3"/>
    </row>
    <row r="2550">
      <c r="A2550" s="1" t="s">
        <v>2124</v>
      </c>
      <c r="B2550" s="4" t="s">
        <v>2035</v>
      </c>
      <c r="C2550" s="3"/>
    </row>
    <row r="2551">
      <c r="A2551" s="1" t="s">
        <v>2125</v>
      </c>
      <c r="B2551" s="4" t="s">
        <v>2035</v>
      </c>
      <c r="C2551" s="3"/>
    </row>
    <row r="2552">
      <c r="A2552" s="1" t="s">
        <v>2126</v>
      </c>
      <c r="B2552" s="4" t="s">
        <v>2035</v>
      </c>
      <c r="C2552" s="3"/>
    </row>
    <row r="2553">
      <c r="A2553" s="1" t="s">
        <v>2127</v>
      </c>
      <c r="B2553" s="4" t="s">
        <v>2035</v>
      </c>
      <c r="C2553" s="3"/>
    </row>
    <row r="2554">
      <c r="A2554" s="1" t="s">
        <v>2128</v>
      </c>
      <c r="B2554" s="4" t="s">
        <v>2035</v>
      </c>
      <c r="C2554" s="3"/>
    </row>
    <row r="2555">
      <c r="A2555" s="1" t="s">
        <v>2129</v>
      </c>
      <c r="B2555" s="4" t="s">
        <v>2035</v>
      </c>
      <c r="C2555" s="3"/>
    </row>
    <row r="2556">
      <c r="A2556" s="1" t="s">
        <v>2130</v>
      </c>
      <c r="B2556" s="2" t="s">
        <v>2131</v>
      </c>
      <c r="C2556" s="3"/>
    </row>
    <row r="2557">
      <c r="A2557" s="1" t="s">
        <v>2132</v>
      </c>
      <c r="B2557" s="2" t="s">
        <v>2131</v>
      </c>
      <c r="C2557" s="3"/>
    </row>
    <row r="2558">
      <c r="A2558" s="1" t="s">
        <v>2133</v>
      </c>
      <c r="B2558" s="2" t="s">
        <v>2131</v>
      </c>
      <c r="C2558" s="3"/>
    </row>
    <row r="2559">
      <c r="A2559" s="1" t="s">
        <v>2134</v>
      </c>
      <c r="B2559" s="2" t="s">
        <v>2131</v>
      </c>
      <c r="C2559" s="3"/>
    </row>
    <row r="2560">
      <c r="A2560" s="1" t="s">
        <v>2135</v>
      </c>
      <c r="B2560" s="2" t="s">
        <v>2131</v>
      </c>
      <c r="C2560" s="3"/>
    </row>
    <row r="2561">
      <c r="A2561" s="1" t="s">
        <v>2136</v>
      </c>
      <c r="B2561" s="2" t="s">
        <v>2131</v>
      </c>
      <c r="C2561" s="3"/>
    </row>
    <row r="2562">
      <c r="A2562" s="1" t="s">
        <v>2137</v>
      </c>
      <c r="B2562" s="2" t="s">
        <v>2131</v>
      </c>
      <c r="C2562" s="3"/>
    </row>
    <row r="2563">
      <c r="A2563" s="1" t="s">
        <v>2138</v>
      </c>
      <c r="B2563" s="2" t="s">
        <v>2131</v>
      </c>
      <c r="C2563" s="3"/>
    </row>
    <row r="2564">
      <c r="A2564" s="1" t="s">
        <v>2139</v>
      </c>
      <c r="B2564" s="2" t="s">
        <v>2131</v>
      </c>
      <c r="C2564" s="3"/>
    </row>
    <row r="2565">
      <c r="A2565" s="1" t="s">
        <v>2140</v>
      </c>
      <c r="B2565" s="2" t="s">
        <v>2131</v>
      </c>
      <c r="C2565" s="3"/>
    </row>
    <row r="2566">
      <c r="A2566" s="1" t="s">
        <v>2141</v>
      </c>
      <c r="B2566" s="2" t="s">
        <v>2131</v>
      </c>
      <c r="C2566" s="3"/>
    </row>
    <row r="2567">
      <c r="A2567" s="1" t="s">
        <v>2142</v>
      </c>
      <c r="B2567" s="2" t="s">
        <v>2131</v>
      </c>
      <c r="C2567" s="3"/>
    </row>
    <row r="2568">
      <c r="A2568" s="1" t="s">
        <v>2143</v>
      </c>
      <c r="B2568" s="2" t="s">
        <v>2131</v>
      </c>
      <c r="C2568" s="3"/>
    </row>
    <row r="2569">
      <c r="A2569" s="2" t="s">
        <v>2144</v>
      </c>
      <c r="B2569" s="2" t="s">
        <v>2131</v>
      </c>
      <c r="C2569" s="3"/>
    </row>
    <row r="2570">
      <c r="A2570" s="1" t="s">
        <v>2145</v>
      </c>
      <c r="B2570" s="2" t="s">
        <v>2131</v>
      </c>
      <c r="C2570" s="3"/>
    </row>
    <row r="2571">
      <c r="A2571" s="1" t="s">
        <v>2146</v>
      </c>
      <c r="B2571" s="2" t="s">
        <v>2131</v>
      </c>
      <c r="C2571" s="3"/>
    </row>
    <row r="2572">
      <c r="A2572" s="1" t="s">
        <v>2147</v>
      </c>
      <c r="B2572" s="2" t="s">
        <v>2131</v>
      </c>
      <c r="C2572" s="3"/>
    </row>
    <row r="2573">
      <c r="A2573" s="1" t="s">
        <v>2148</v>
      </c>
      <c r="B2573" s="2" t="s">
        <v>2131</v>
      </c>
      <c r="C2573" s="3"/>
    </row>
    <row r="2574">
      <c r="A2574" s="1" t="s">
        <v>2149</v>
      </c>
      <c r="B2574" s="2" t="s">
        <v>2131</v>
      </c>
      <c r="C2574" s="3"/>
    </row>
    <row r="2575">
      <c r="A2575" s="2" t="s">
        <v>2150</v>
      </c>
      <c r="B2575" s="2" t="s">
        <v>2131</v>
      </c>
      <c r="C2575" s="3"/>
    </row>
    <row r="2576">
      <c r="A2576" s="2" t="s">
        <v>2151</v>
      </c>
      <c r="B2576" s="2" t="s">
        <v>2131</v>
      </c>
      <c r="C2576" s="3"/>
    </row>
    <row r="2577">
      <c r="A2577" s="1" t="s">
        <v>2152</v>
      </c>
      <c r="B2577" s="2" t="s">
        <v>2131</v>
      </c>
      <c r="C2577" s="3"/>
    </row>
    <row r="2578">
      <c r="A2578" s="1" t="s">
        <v>2153</v>
      </c>
      <c r="B2578" s="2" t="s">
        <v>2131</v>
      </c>
      <c r="C2578" s="3"/>
    </row>
    <row r="2579">
      <c r="A2579" s="1" t="s">
        <v>2154</v>
      </c>
      <c r="B2579" s="2" t="s">
        <v>2131</v>
      </c>
      <c r="C2579" s="3"/>
    </row>
    <row r="2580">
      <c r="A2580" s="1" t="s">
        <v>2155</v>
      </c>
      <c r="B2580" s="2" t="s">
        <v>2131</v>
      </c>
      <c r="C2580" s="3"/>
    </row>
    <row r="2581">
      <c r="A2581" s="1" t="s">
        <v>2155</v>
      </c>
      <c r="B2581" s="2" t="s">
        <v>2131</v>
      </c>
      <c r="C2581" s="3"/>
    </row>
    <row r="2582">
      <c r="A2582" s="1" t="s">
        <v>2156</v>
      </c>
      <c r="B2582" s="2" t="s">
        <v>2131</v>
      </c>
      <c r="C2582" s="3"/>
    </row>
    <row r="2583">
      <c r="A2583" s="1" t="s">
        <v>2157</v>
      </c>
      <c r="B2583" s="2" t="s">
        <v>2131</v>
      </c>
      <c r="C2583" s="3"/>
    </row>
    <row r="2584">
      <c r="A2584" s="2" t="s">
        <v>2158</v>
      </c>
      <c r="B2584" s="2" t="s">
        <v>2131</v>
      </c>
      <c r="C2584" s="3"/>
    </row>
    <row r="2585">
      <c r="A2585" s="1" t="s">
        <v>2159</v>
      </c>
      <c r="B2585" s="2" t="s">
        <v>2131</v>
      </c>
      <c r="C2585" s="3"/>
    </row>
    <row r="2586">
      <c r="A2586" s="1" t="s">
        <v>2160</v>
      </c>
      <c r="B2586" s="2" t="s">
        <v>2131</v>
      </c>
      <c r="C2586" s="3"/>
    </row>
    <row r="2587">
      <c r="A2587" s="1" t="s">
        <v>2161</v>
      </c>
      <c r="B2587" s="2" t="s">
        <v>2131</v>
      </c>
      <c r="C2587" s="3"/>
    </row>
    <row r="2588">
      <c r="A2588" s="2" t="s">
        <v>2162</v>
      </c>
      <c r="B2588" s="2" t="s">
        <v>2131</v>
      </c>
      <c r="C2588" s="3"/>
    </row>
    <row r="2589">
      <c r="A2589" s="1" t="s">
        <v>2163</v>
      </c>
      <c r="B2589" s="2" t="s">
        <v>2131</v>
      </c>
      <c r="C2589" s="3"/>
    </row>
    <row r="2590">
      <c r="A2590" s="1" t="s">
        <v>2164</v>
      </c>
      <c r="B2590" s="2" t="s">
        <v>2131</v>
      </c>
      <c r="C2590" s="3"/>
    </row>
    <row r="2591">
      <c r="A2591" s="1" t="s">
        <v>2165</v>
      </c>
      <c r="B2591" s="2" t="s">
        <v>2131</v>
      </c>
      <c r="C2591" s="3"/>
    </row>
    <row r="2592">
      <c r="A2592" s="1" t="s">
        <v>2166</v>
      </c>
      <c r="B2592" s="2" t="s">
        <v>2131</v>
      </c>
      <c r="C2592" s="3"/>
    </row>
    <row r="2593">
      <c r="A2593" s="1" t="s">
        <v>2167</v>
      </c>
      <c r="B2593" s="2" t="s">
        <v>2131</v>
      </c>
      <c r="C2593" s="3"/>
    </row>
    <row r="2594">
      <c r="A2594" s="1" t="s">
        <v>2168</v>
      </c>
      <c r="B2594" s="2" t="s">
        <v>2131</v>
      </c>
      <c r="C2594" s="3"/>
    </row>
    <row r="2595">
      <c r="A2595" s="1" t="s">
        <v>2169</v>
      </c>
      <c r="B2595" s="2" t="s">
        <v>2131</v>
      </c>
      <c r="C2595" s="3"/>
    </row>
    <row r="2596">
      <c r="A2596" s="1" t="s">
        <v>2170</v>
      </c>
      <c r="B2596" s="2" t="s">
        <v>2131</v>
      </c>
      <c r="C2596" s="3"/>
    </row>
    <row r="2597">
      <c r="A2597" s="1" t="s">
        <v>2171</v>
      </c>
      <c r="B2597" s="2" t="s">
        <v>2131</v>
      </c>
      <c r="C2597" s="3"/>
    </row>
    <row r="2598">
      <c r="A2598" s="2" t="s">
        <v>2172</v>
      </c>
      <c r="B2598" s="2" t="s">
        <v>2131</v>
      </c>
      <c r="C2598" s="3"/>
    </row>
    <row r="2599">
      <c r="A2599" s="1" t="s">
        <v>2173</v>
      </c>
      <c r="B2599" s="2" t="s">
        <v>2131</v>
      </c>
      <c r="C2599" s="3"/>
    </row>
    <row r="2600">
      <c r="A2600" s="1" t="s">
        <v>2174</v>
      </c>
      <c r="B2600" s="2" t="s">
        <v>2131</v>
      </c>
      <c r="C2600" s="3"/>
    </row>
    <row r="2601">
      <c r="A2601" s="1" t="s">
        <v>2175</v>
      </c>
      <c r="B2601" s="2" t="s">
        <v>2131</v>
      </c>
      <c r="C2601" s="3"/>
    </row>
    <row r="2602">
      <c r="A2602" s="2" t="s">
        <v>2176</v>
      </c>
      <c r="B2602" s="2" t="s">
        <v>2131</v>
      </c>
      <c r="C2602" s="3"/>
    </row>
    <row r="2603">
      <c r="A2603" s="1" t="s">
        <v>2177</v>
      </c>
      <c r="B2603" s="2" t="s">
        <v>2131</v>
      </c>
      <c r="C2603" s="3"/>
    </row>
    <row r="2604">
      <c r="A2604" s="1" t="s">
        <v>2178</v>
      </c>
      <c r="B2604" s="2" t="s">
        <v>2131</v>
      </c>
      <c r="C2604" s="3"/>
    </row>
    <row r="2605">
      <c r="A2605" s="1" t="s">
        <v>2179</v>
      </c>
      <c r="B2605" s="2" t="s">
        <v>2131</v>
      </c>
      <c r="C2605" s="3"/>
    </row>
    <row r="2606">
      <c r="A2606" s="1" t="s">
        <v>2180</v>
      </c>
      <c r="B2606" s="2" t="s">
        <v>2131</v>
      </c>
      <c r="C2606" s="3"/>
    </row>
    <row r="2607">
      <c r="A2607" s="1" t="s">
        <v>2181</v>
      </c>
      <c r="B2607" s="2" t="s">
        <v>2131</v>
      </c>
      <c r="C2607" s="3"/>
    </row>
    <row r="2608">
      <c r="A2608" s="1" t="s">
        <v>2182</v>
      </c>
      <c r="B2608" s="2" t="s">
        <v>2131</v>
      </c>
      <c r="C2608" s="3"/>
    </row>
    <row r="2609">
      <c r="A2609" s="1" t="s">
        <v>2183</v>
      </c>
      <c r="B2609" s="2" t="s">
        <v>2131</v>
      </c>
      <c r="C2609" s="3"/>
    </row>
    <row r="2610">
      <c r="A2610" s="1" t="s">
        <v>2184</v>
      </c>
      <c r="B2610" s="2" t="s">
        <v>2131</v>
      </c>
      <c r="C2610" s="3"/>
    </row>
    <row r="2611">
      <c r="A2611" s="1" t="s">
        <v>2185</v>
      </c>
      <c r="B2611" s="2" t="s">
        <v>2131</v>
      </c>
      <c r="C2611" s="3"/>
    </row>
    <row r="2612">
      <c r="A2612" s="2" t="s">
        <v>2186</v>
      </c>
      <c r="B2612" s="2" t="s">
        <v>2131</v>
      </c>
      <c r="C2612" s="3"/>
    </row>
    <row r="2613">
      <c r="A2613" s="1" t="s">
        <v>2187</v>
      </c>
      <c r="B2613" s="2" t="s">
        <v>2131</v>
      </c>
      <c r="C2613" s="3"/>
    </row>
    <row r="2614">
      <c r="A2614" s="1" t="s">
        <v>2188</v>
      </c>
      <c r="B2614" s="2" t="s">
        <v>2131</v>
      </c>
      <c r="C2614" s="3"/>
    </row>
    <row r="2615">
      <c r="A2615" s="2" t="s">
        <v>2189</v>
      </c>
      <c r="B2615" s="2" t="s">
        <v>2131</v>
      </c>
      <c r="C2615" s="3"/>
    </row>
    <row r="2616">
      <c r="A2616" s="1" t="s">
        <v>2190</v>
      </c>
      <c r="B2616" s="2" t="s">
        <v>2131</v>
      </c>
      <c r="C2616" s="3"/>
    </row>
    <row r="2617">
      <c r="A2617" s="1" t="s">
        <v>2191</v>
      </c>
      <c r="B2617" s="2" t="s">
        <v>2131</v>
      </c>
      <c r="C2617" s="3"/>
    </row>
    <row r="2618">
      <c r="A2618" s="1" t="s">
        <v>2192</v>
      </c>
      <c r="B2618" s="2" t="s">
        <v>2131</v>
      </c>
      <c r="C2618" s="3"/>
    </row>
    <row r="2619">
      <c r="A2619" s="1" t="s">
        <v>2193</v>
      </c>
      <c r="B2619" s="2" t="s">
        <v>2131</v>
      </c>
      <c r="C2619" s="3"/>
    </row>
    <row r="2620">
      <c r="A2620" s="1" t="s">
        <v>2169</v>
      </c>
      <c r="B2620" s="2" t="s">
        <v>2131</v>
      </c>
      <c r="C2620" s="3"/>
    </row>
    <row r="2621">
      <c r="A2621" s="1" t="s">
        <v>2194</v>
      </c>
      <c r="B2621" s="2" t="s">
        <v>2131</v>
      </c>
      <c r="C2621" s="3"/>
    </row>
    <row r="2622">
      <c r="A2622" s="1" t="s">
        <v>2195</v>
      </c>
      <c r="B2622" s="2" t="s">
        <v>2131</v>
      </c>
      <c r="C2622" s="3"/>
    </row>
    <row r="2623">
      <c r="A2623" s="1" t="s">
        <v>2196</v>
      </c>
      <c r="B2623" s="2" t="s">
        <v>2131</v>
      </c>
      <c r="C2623" s="3"/>
    </row>
    <row r="2624">
      <c r="A2624" s="1" t="s">
        <v>2197</v>
      </c>
      <c r="B2624" s="2" t="s">
        <v>2131</v>
      </c>
      <c r="C2624" s="3"/>
    </row>
    <row r="2625">
      <c r="A2625" s="1" t="s">
        <v>2198</v>
      </c>
      <c r="B2625" s="2" t="s">
        <v>2131</v>
      </c>
      <c r="C2625" s="3"/>
    </row>
    <row r="2626">
      <c r="A2626" s="1" t="s">
        <v>2199</v>
      </c>
      <c r="B2626" s="2" t="s">
        <v>2131</v>
      </c>
      <c r="C2626" s="3"/>
    </row>
    <row r="2627">
      <c r="A2627" s="1" t="s">
        <v>2200</v>
      </c>
      <c r="B2627" s="2" t="s">
        <v>2131</v>
      </c>
      <c r="C2627" s="3"/>
    </row>
    <row r="2628">
      <c r="A2628" s="1" t="s">
        <v>2201</v>
      </c>
      <c r="B2628" s="2" t="s">
        <v>2131</v>
      </c>
      <c r="C2628" s="3"/>
    </row>
    <row r="2629">
      <c r="A2629" s="2" t="s">
        <v>2176</v>
      </c>
      <c r="B2629" s="2" t="s">
        <v>2131</v>
      </c>
      <c r="C2629" s="3"/>
    </row>
    <row r="2630">
      <c r="A2630" s="1" t="s">
        <v>2202</v>
      </c>
      <c r="B2630" s="2" t="s">
        <v>2131</v>
      </c>
      <c r="C2630" s="3"/>
    </row>
    <row r="2631">
      <c r="A2631" s="1" t="s">
        <v>2203</v>
      </c>
      <c r="B2631" s="2" t="s">
        <v>2131</v>
      </c>
      <c r="C2631" s="3"/>
    </row>
    <row r="2632">
      <c r="A2632" s="1" t="s">
        <v>2204</v>
      </c>
      <c r="B2632" s="2" t="s">
        <v>2131</v>
      </c>
      <c r="C2632" s="3"/>
    </row>
    <row r="2633">
      <c r="A2633" s="1" t="s">
        <v>2205</v>
      </c>
      <c r="B2633" s="2" t="s">
        <v>2131</v>
      </c>
      <c r="C2633" s="3"/>
    </row>
    <row r="2634">
      <c r="A2634" s="1" t="s">
        <v>2206</v>
      </c>
      <c r="B2634" s="2" t="s">
        <v>2131</v>
      </c>
      <c r="C2634" s="3"/>
    </row>
    <row r="2635">
      <c r="A2635" s="1" t="s">
        <v>2207</v>
      </c>
      <c r="B2635" s="2" t="s">
        <v>2131</v>
      </c>
      <c r="C2635" s="3"/>
    </row>
    <row r="2636">
      <c r="A2636" s="2" t="s">
        <v>2208</v>
      </c>
      <c r="B2636" s="2" t="s">
        <v>2131</v>
      </c>
      <c r="C2636" s="3"/>
    </row>
    <row r="2637">
      <c r="A2637" s="1" t="s">
        <v>2209</v>
      </c>
      <c r="B2637" s="2" t="s">
        <v>2131</v>
      </c>
      <c r="C2637" s="3"/>
    </row>
    <row r="2638">
      <c r="A2638" s="1" t="s">
        <v>2210</v>
      </c>
      <c r="B2638" s="2" t="s">
        <v>2131</v>
      </c>
      <c r="C2638" s="3"/>
    </row>
    <row r="2639">
      <c r="A2639" s="1" t="s">
        <v>2211</v>
      </c>
      <c r="B2639" s="2" t="s">
        <v>2131</v>
      </c>
      <c r="C2639" s="3"/>
    </row>
    <row r="2640">
      <c r="A2640" s="1" t="s">
        <v>2212</v>
      </c>
      <c r="B2640" s="2" t="s">
        <v>2131</v>
      </c>
      <c r="C2640" s="3"/>
    </row>
    <row r="2641">
      <c r="A2641" s="1" t="s">
        <v>2213</v>
      </c>
      <c r="B2641" s="2" t="s">
        <v>2131</v>
      </c>
      <c r="C2641" s="3"/>
    </row>
    <row r="2642">
      <c r="A2642" s="1" t="s">
        <v>2214</v>
      </c>
      <c r="B2642" s="2" t="s">
        <v>2131</v>
      </c>
      <c r="C2642" s="3"/>
    </row>
    <row r="2643">
      <c r="A2643" s="1" t="s">
        <v>2215</v>
      </c>
      <c r="B2643" s="2" t="s">
        <v>2131</v>
      </c>
      <c r="C2643" s="3"/>
    </row>
    <row r="2644">
      <c r="A2644" s="1" t="s">
        <v>2216</v>
      </c>
      <c r="B2644" s="2" t="s">
        <v>2131</v>
      </c>
      <c r="C2644" s="3"/>
    </row>
    <row r="2645">
      <c r="A2645" s="1" t="s">
        <v>2217</v>
      </c>
      <c r="B2645" s="2" t="s">
        <v>2131</v>
      </c>
      <c r="C2645" s="3"/>
    </row>
    <row r="2646">
      <c r="A2646" s="1" t="s">
        <v>2218</v>
      </c>
      <c r="B2646" s="2" t="s">
        <v>2131</v>
      </c>
      <c r="C2646" s="3"/>
    </row>
    <row r="2647">
      <c r="A2647" s="1" t="s">
        <v>2194</v>
      </c>
      <c r="B2647" s="2" t="s">
        <v>2131</v>
      </c>
      <c r="C2647" s="3"/>
    </row>
    <row r="2648">
      <c r="A2648" s="1" t="s">
        <v>2219</v>
      </c>
      <c r="B2648" s="2" t="s">
        <v>2131</v>
      </c>
      <c r="C2648" s="3"/>
    </row>
    <row r="2649">
      <c r="A2649" s="1" t="s">
        <v>2220</v>
      </c>
      <c r="B2649" s="2" t="s">
        <v>2131</v>
      </c>
      <c r="C2649" s="3"/>
    </row>
    <row r="2650">
      <c r="A2650" s="1" t="s">
        <v>2221</v>
      </c>
      <c r="B2650" s="2" t="s">
        <v>2131</v>
      </c>
      <c r="C2650" s="3"/>
    </row>
    <row r="2651">
      <c r="A2651" s="1" t="s">
        <v>2136</v>
      </c>
      <c r="B2651" s="2" t="s">
        <v>2131</v>
      </c>
      <c r="C2651" s="3"/>
    </row>
    <row r="2652">
      <c r="A2652" s="1" t="s">
        <v>2222</v>
      </c>
      <c r="B2652" s="2" t="s">
        <v>2131</v>
      </c>
      <c r="C2652" s="3"/>
    </row>
    <row r="2653">
      <c r="A2653" s="1" t="s">
        <v>2223</v>
      </c>
      <c r="B2653" s="2" t="s">
        <v>2131</v>
      </c>
      <c r="C2653" s="3"/>
    </row>
    <row r="2654">
      <c r="A2654" s="1" t="s">
        <v>2224</v>
      </c>
      <c r="B2654" s="2" t="s">
        <v>2131</v>
      </c>
      <c r="C2654" s="3"/>
    </row>
    <row r="2655">
      <c r="A2655" s="2" t="s">
        <v>2225</v>
      </c>
      <c r="B2655" s="2" t="s">
        <v>2131</v>
      </c>
      <c r="C2655" s="3"/>
    </row>
    <row r="2656">
      <c r="A2656" s="1" t="s">
        <v>2202</v>
      </c>
      <c r="B2656" s="2" t="s">
        <v>2131</v>
      </c>
      <c r="C2656" s="3"/>
    </row>
    <row r="2657">
      <c r="A2657" s="1" t="s">
        <v>2203</v>
      </c>
      <c r="B2657" s="2" t="s">
        <v>2131</v>
      </c>
      <c r="C2657" s="3"/>
    </row>
    <row r="2658">
      <c r="A2658" s="1" t="s">
        <v>2204</v>
      </c>
      <c r="B2658" s="2" t="s">
        <v>2131</v>
      </c>
      <c r="C2658" s="3"/>
    </row>
    <row r="2659">
      <c r="A2659" s="1" t="s">
        <v>2205</v>
      </c>
      <c r="B2659" s="2" t="s">
        <v>2131</v>
      </c>
      <c r="C2659" s="3"/>
    </row>
    <row r="2660">
      <c r="A2660" s="1" t="s">
        <v>2206</v>
      </c>
      <c r="B2660" s="2" t="s">
        <v>2131</v>
      </c>
      <c r="C2660" s="3"/>
    </row>
    <row r="2661">
      <c r="A2661" s="1" t="s">
        <v>2207</v>
      </c>
      <c r="B2661" s="2" t="s">
        <v>2131</v>
      </c>
      <c r="C2661" s="3"/>
    </row>
    <row r="2662">
      <c r="A2662" s="2" t="s">
        <v>2208</v>
      </c>
      <c r="B2662" s="2" t="s">
        <v>2131</v>
      </c>
      <c r="C2662" s="3"/>
    </row>
    <row r="2663">
      <c r="A2663" s="1" t="s">
        <v>2209</v>
      </c>
      <c r="B2663" s="2" t="s">
        <v>2131</v>
      </c>
      <c r="C2663" s="3"/>
    </row>
    <row r="2664">
      <c r="A2664" s="1" t="s">
        <v>2210</v>
      </c>
      <c r="B2664" s="2" t="s">
        <v>2131</v>
      </c>
      <c r="C2664" s="3"/>
    </row>
    <row r="2665">
      <c r="A2665" s="1" t="s">
        <v>2211</v>
      </c>
      <c r="B2665" s="2" t="s">
        <v>2131</v>
      </c>
      <c r="C2665" s="3"/>
    </row>
    <row r="2666">
      <c r="A2666" s="1" t="s">
        <v>2212</v>
      </c>
      <c r="B2666" s="2" t="s">
        <v>2131</v>
      </c>
      <c r="C2666" s="3"/>
    </row>
    <row r="2667">
      <c r="A2667" s="1" t="s">
        <v>2213</v>
      </c>
      <c r="B2667" s="2" t="s">
        <v>2131</v>
      </c>
      <c r="C2667" s="3"/>
    </row>
    <row r="2668">
      <c r="A2668" s="1" t="s">
        <v>2214</v>
      </c>
      <c r="B2668" s="2" t="s">
        <v>2131</v>
      </c>
      <c r="C2668" s="3"/>
    </row>
    <row r="2669">
      <c r="A2669" s="1" t="s">
        <v>2215</v>
      </c>
      <c r="B2669" s="2" t="s">
        <v>2131</v>
      </c>
      <c r="C2669" s="3"/>
    </row>
    <row r="2670">
      <c r="A2670" s="1" t="s">
        <v>2216</v>
      </c>
      <c r="B2670" s="2" t="s">
        <v>2131</v>
      </c>
      <c r="C2670" s="3"/>
    </row>
    <row r="2671">
      <c r="A2671" s="1" t="s">
        <v>2217</v>
      </c>
      <c r="B2671" s="2" t="s">
        <v>2131</v>
      </c>
      <c r="C2671" s="3"/>
    </row>
    <row r="2672">
      <c r="A2672" s="1" t="s">
        <v>2218</v>
      </c>
      <c r="B2672" s="2" t="s">
        <v>2131</v>
      </c>
      <c r="C2672" s="3"/>
    </row>
    <row r="2673">
      <c r="A2673" s="1" t="s">
        <v>2194</v>
      </c>
      <c r="B2673" s="2" t="s">
        <v>2131</v>
      </c>
      <c r="C2673" s="3"/>
    </row>
    <row r="2674">
      <c r="A2674" s="1" t="s">
        <v>2219</v>
      </c>
      <c r="B2674" s="2" t="s">
        <v>2131</v>
      </c>
      <c r="C2674" s="3"/>
    </row>
    <row r="2675">
      <c r="A2675" s="1" t="s">
        <v>2220</v>
      </c>
      <c r="B2675" s="2" t="s">
        <v>2131</v>
      </c>
      <c r="C2675" s="3"/>
    </row>
    <row r="2676">
      <c r="A2676" s="1" t="s">
        <v>2226</v>
      </c>
      <c r="B2676" s="2" t="s">
        <v>2131</v>
      </c>
      <c r="C2676" s="3"/>
    </row>
    <row r="2677">
      <c r="A2677" s="2" t="s">
        <v>2227</v>
      </c>
      <c r="B2677" s="2" t="s">
        <v>2228</v>
      </c>
      <c r="C2677" s="3"/>
    </row>
    <row r="2678">
      <c r="A2678" s="1" t="s">
        <v>2229</v>
      </c>
      <c r="B2678" s="2" t="s">
        <v>2228</v>
      </c>
      <c r="C2678" s="3"/>
    </row>
    <row r="2679">
      <c r="A2679" s="1" t="s">
        <v>2230</v>
      </c>
      <c r="B2679" s="2" t="s">
        <v>2228</v>
      </c>
      <c r="C2679" s="3"/>
    </row>
    <row r="2680">
      <c r="A2680" s="1" t="s">
        <v>2231</v>
      </c>
      <c r="B2680" s="2" t="s">
        <v>2228</v>
      </c>
      <c r="C2680" s="3"/>
    </row>
    <row r="2681">
      <c r="A2681" s="1" t="s">
        <v>2232</v>
      </c>
      <c r="B2681" s="2" t="s">
        <v>2228</v>
      </c>
      <c r="C2681" s="3"/>
    </row>
    <row r="2682">
      <c r="A2682" s="1" t="s">
        <v>2233</v>
      </c>
      <c r="B2682" s="2" t="s">
        <v>2228</v>
      </c>
      <c r="C2682" s="3"/>
    </row>
    <row r="2683">
      <c r="A2683" s="1" t="s">
        <v>2234</v>
      </c>
      <c r="B2683" s="2" t="s">
        <v>2228</v>
      </c>
      <c r="C2683" s="3"/>
    </row>
    <row r="2684">
      <c r="A2684" s="1" t="s">
        <v>2235</v>
      </c>
      <c r="B2684" s="2" t="s">
        <v>2228</v>
      </c>
      <c r="C2684" s="3"/>
    </row>
    <row r="2685">
      <c r="A2685" s="1" t="s">
        <v>2236</v>
      </c>
      <c r="B2685" s="2" t="s">
        <v>2228</v>
      </c>
      <c r="C2685" s="3"/>
    </row>
    <row r="2686">
      <c r="A2686" s="1" t="s">
        <v>2237</v>
      </c>
      <c r="B2686" s="2" t="s">
        <v>2228</v>
      </c>
      <c r="C2686" s="3"/>
    </row>
    <row r="2687">
      <c r="A2687" s="1" t="s">
        <v>2238</v>
      </c>
      <c r="B2687" s="2" t="s">
        <v>2228</v>
      </c>
      <c r="C2687" s="3"/>
    </row>
    <row r="2688">
      <c r="A2688" s="1" t="s">
        <v>2239</v>
      </c>
      <c r="B2688" s="2" t="s">
        <v>2228</v>
      </c>
      <c r="C2688" s="3"/>
    </row>
    <row r="2689">
      <c r="A2689" s="1" t="s">
        <v>2240</v>
      </c>
      <c r="B2689" s="2" t="s">
        <v>2228</v>
      </c>
      <c r="C2689" s="3"/>
    </row>
    <row r="2690">
      <c r="A2690" s="1" t="s">
        <v>2241</v>
      </c>
      <c r="B2690" s="2" t="s">
        <v>2228</v>
      </c>
      <c r="C2690" s="3"/>
    </row>
    <row r="2691">
      <c r="A2691" s="1" t="s">
        <v>2242</v>
      </c>
      <c r="B2691" s="2" t="s">
        <v>2228</v>
      </c>
      <c r="C2691" s="3"/>
    </row>
    <row r="2692">
      <c r="A2692" s="1" t="s">
        <v>2243</v>
      </c>
      <c r="B2692" s="2" t="s">
        <v>2228</v>
      </c>
      <c r="C2692" s="3"/>
    </row>
    <row r="2693">
      <c r="A2693" s="1" t="s">
        <v>2244</v>
      </c>
      <c r="B2693" s="2" t="s">
        <v>2228</v>
      </c>
      <c r="C2693" s="3"/>
    </row>
    <row r="2694">
      <c r="A2694" s="1" t="s">
        <v>2245</v>
      </c>
      <c r="B2694" s="2" t="s">
        <v>2228</v>
      </c>
      <c r="C2694" s="3"/>
    </row>
    <row r="2695">
      <c r="A2695" s="1" t="s">
        <v>2246</v>
      </c>
      <c r="B2695" s="2" t="s">
        <v>2228</v>
      </c>
      <c r="C2695" s="3"/>
    </row>
    <row r="2696">
      <c r="A2696" s="1" t="s">
        <v>2247</v>
      </c>
      <c r="B2696" s="2" t="s">
        <v>2228</v>
      </c>
      <c r="C2696" s="3"/>
    </row>
    <row r="2697">
      <c r="A2697" s="2" t="s">
        <v>2248</v>
      </c>
      <c r="B2697" s="2" t="s">
        <v>2249</v>
      </c>
      <c r="C2697" s="3"/>
    </row>
    <row r="2698">
      <c r="A2698" s="1" t="s">
        <v>2250</v>
      </c>
      <c r="B2698" s="2" t="s">
        <v>2249</v>
      </c>
      <c r="C2698" s="3"/>
    </row>
    <row r="2699">
      <c r="A2699" s="2" t="s">
        <v>2251</v>
      </c>
      <c r="B2699" s="2" t="s">
        <v>2249</v>
      </c>
      <c r="C2699" s="3"/>
    </row>
    <row r="2700">
      <c r="A2700" s="1" t="s">
        <v>2252</v>
      </c>
      <c r="B2700" s="2" t="s">
        <v>2249</v>
      </c>
      <c r="C2700" s="3"/>
    </row>
    <row r="2701">
      <c r="A2701" s="1" t="s">
        <v>2253</v>
      </c>
      <c r="B2701" s="2" t="s">
        <v>2249</v>
      </c>
      <c r="C2701" s="3"/>
    </row>
    <row r="2702">
      <c r="A2702" s="1" t="s">
        <v>2254</v>
      </c>
      <c r="B2702" s="2" t="s">
        <v>2249</v>
      </c>
      <c r="C2702" s="3"/>
    </row>
    <row r="2703">
      <c r="A2703" s="1" t="s">
        <v>2255</v>
      </c>
      <c r="B2703" s="2" t="s">
        <v>2249</v>
      </c>
      <c r="C2703" s="3"/>
    </row>
    <row r="2704">
      <c r="A2704" s="1" t="s">
        <v>2256</v>
      </c>
      <c r="B2704" s="2" t="s">
        <v>2249</v>
      </c>
      <c r="C2704" s="3"/>
    </row>
    <row r="2705">
      <c r="A2705" s="1" t="s">
        <v>2257</v>
      </c>
      <c r="B2705" s="2" t="s">
        <v>2249</v>
      </c>
      <c r="C2705" s="3"/>
    </row>
    <row r="2706">
      <c r="A2706" s="2" t="s">
        <v>2258</v>
      </c>
      <c r="B2706" s="2" t="s">
        <v>2249</v>
      </c>
      <c r="C2706" s="3"/>
    </row>
    <row r="2707">
      <c r="A2707" s="1" t="s">
        <v>2259</v>
      </c>
      <c r="B2707" s="2" t="s">
        <v>2249</v>
      </c>
      <c r="C2707" s="3"/>
    </row>
    <row r="2708">
      <c r="A2708" s="1" t="s">
        <v>2260</v>
      </c>
      <c r="B2708" s="2" t="s">
        <v>2249</v>
      </c>
      <c r="C2708" s="3"/>
    </row>
    <row r="2709">
      <c r="A2709" s="2" t="s">
        <v>2261</v>
      </c>
      <c r="B2709" s="2" t="s">
        <v>2249</v>
      </c>
      <c r="C2709" s="3"/>
    </row>
    <row r="2710">
      <c r="A2710" s="2" t="s">
        <v>2262</v>
      </c>
      <c r="B2710" s="2" t="s">
        <v>2249</v>
      </c>
      <c r="C2710" s="3"/>
    </row>
    <row r="2711">
      <c r="A2711" s="1" t="s">
        <v>2263</v>
      </c>
      <c r="B2711" s="2" t="s">
        <v>2249</v>
      </c>
      <c r="C2711" s="3"/>
    </row>
    <row r="2712">
      <c r="A2712" s="1" t="s">
        <v>2264</v>
      </c>
      <c r="B2712" s="2" t="s">
        <v>2249</v>
      </c>
      <c r="C2712" s="3"/>
    </row>
    <row r="2713">
      <c r="A2713" s="1" t="s">
        <v>2265</v>
      </c>
      <c r="B2713" s="2" t="s">
        <v>2249</v>
      </c>
      <c r="C2713" s="3"/>
    </row>
    <row r="2714">
      <c r="A2714" s="1" t="s">
        <v>2266</v>
      </c>
      <c r="B2714" s="2" t="s">
        <v>2249</v>
      </c>
      <c r="C2714" s="3"/>
    </row>
    <row r="2715">
      <c r="A2715" s="1" t="s">
        <v>2267</v>
      </c>
      <c r="B2715" s="2" t="s">
        <v>2249</v>
      </c>
      <c r="C2715" s="3"/>
    </row>
    <row r="2716">
      <c r="A2716" s="1" t="s">
        <v>2268</v>
      </c>
      <c r="B2716" s="2" t="s">
        <v>2249</v>
      </c>
      <c r="C2716" s="3"/>
    </row>
    <row r="2717">
      <c r="A2717" s="2" t="s">
        <v>2269</v>
      </c>
      <c r="B2717" s="2" t="s">
        <v>2249</v>
      </c>
      <c r="C2717" s="3"/>
    </row>
    <row r="2718">
      <c r="A2718" s="1" t="s">
        <v>2270</v>
      </c>
      <c r="B2718" s="2" t="s">
        <v>2249</v>
      </c>
      <c r="C2718" s="3"/>
    </row>
    <row r="2719">
      <c r="A2719" s="2" t="s">
        <v>2271</v>
      </c>
      <c r="B2719" s="2" t="s">
        <v>2249</v>
      </c>
      <c r="C2719" s="3"/>
    </row>
    <row r="2720">
      <c r="A2720" s="2" t="s">
        <v>2272</v>
      </c>
      <c r="B2720" s="2" t="s">
        <v>2249</v>
      </c>
      <c r="C2720" s="3"/>
    </row>
    <row r="2721">
      <c r="A2721" s="1" t="s">
        <v>2273</v>
      </c>
      <c r="B2721" s="2" t="s">
        <v>2249</v>
      </c>
      <c r="C2721" s="3"/>
    </row>
    <row r="2722">
      <c r="A2722" s="2" t="s">
        <v>2274</v>
      </c>
      <c r="B2722" s="2" t="s">
        <v>2249</v>
      </c>
      <c r="C2722" s="3"/>
    </row>
    <row r="2723">
      <c r="A2723" s="2" t="s">
        <v>2275</v>
      </c>
      <c r="B2723" s="2" t="s">
        <v>2249</v>
      </c>
      <c r="C2723" s="3"/>
    </row>
    <row r="2724">
      <c r="A2724" s="2" t="s">
        <v>2276</v>
      </c>
      <c r="B2724" s="2" t="s">
        <v>2249</v>
      </c>
      <c r="C2724" s="3"/>
    </row>
    <row r="2725">
      <c r="A2725" s="1" t="s">
        <v>2277</v>
      </c>
      <c r="B2725" s="2" t="s">
        <v>2249</v>
      </c>
      <c r="C2725" s="3"/>
    </row>
    <row r="2726">
      <c r="A2726" s="1" t="s">
        <v>2278</v>
      </c>
      <c r="B2726" s="2" t="s">
        <v>2249</v>
      </c>
      <c r="C2726" s="3"/>
    </row>
    <row r="2727">
      <c r="A2727" s="1" t="s">
        <v>2279</v>
      </c>
      <c r="B2727" s="2" t="s">
        <v>2249</v>
      </c>
      <c r="C2727" s="3"/>
    </row>
    <row r="2728">
      <c r="A2728" s="1" t="s">
        <v>2280</v>
      </c>
      <c r="B2728" s="2" t="s">
        <v>2249</v>
      </c>
      <c r="C2728" s="3"/>
    </row>
    <row r="2729">
      <c r="A2729" s="1" t="s">
        <v>2281</v>
      </c>
      <c r="B2729" s="2" t="s">
        <v>2249</v>
      </c>
      <c r="C2729" s="3"/>
    </row>
    <row r="2730">
      <c r="A2730" s="1" t="s">
        <v>2282</v>
      </c>
      <c r="B2730" s="2" t="s">
        <v>2249</v>
      </c>
      <c r="C2730" s="3"/>
    </row>
    <row r="2731">
      <c r="A2731" s="1" t="s">
        <v>2283</v>
      </c>
      <c r="B2731" s="2" t="s">
        <v>2249</v>
      </c>
      <c r="C2731" s="3"/>
    </row>
    <row r="2732">
      <c r="A2732" s="1" t="s">
        <v>2284</v>
      </c>
      <c r="B2732" s="2" t="s">
        <v>2249</v>
      </c>
      <c r="C2732" s="3"/>
    </row>
    <row r="2733">
      <c r="A2733" s="1" t="s">
        <v>2285</v>
      </c>
      <c r="B2733" s="2" t="s">
        <v>2249</v>
      </c>
      <c r="C2733" s="3"/>
    </row>
    <row r="2734">
      <c r="A2734" s="1" t="s">
        <v>2286</v>
      </c>
      <c r="B2734" s="2" t="s">
        <v>2249</v>
      </c>
      <c r="C2734" s="3"/>
    </row>
    <row r="2735">
      <c r="A2735" s="1" t="s">
        <v>2287</v>
      </c>
      <c r="B2735" s="2" t="s">
        <v>2249</v>
      </c>
      <c r="C2735" s="3"/>
    </row>
    <row r="2736">
      <c r="A2736" s="1" t="s">
        <v>2288</v>
      </c>
      <c r="B2736" s="2" t="s">
        <v>2249</v>
      </c>
      <c r="C2736" s="3"/>
    </row>
    <row r="2737">
      <c r="A2737" s="1" t="s">
        <v>2289</v>
      </c>
      <c r="B2737" s="2" t="s">
        <v>2249</v>
      </c>
      <c r="C2737" s="3"/>
    </row>
    <row r="2738">
      <c r="A2738" s="1" t="s">
        <v>2290</v>
      </c>
      <c r="B2738" s="2" t="s">
        <v>2249</v>
      </c>
      <c r="C2738" s="3"/>
    </row>
    <row r="2739">
      <c r="A2739" s="1" t="s">
        <v>2291</v>
      </c>
      <c r="B2739" s="2" t="s">
        <v>2249</v>
      </c>
      <c r="C2739" s="3"/>
    </row>
    <row r="2740">
      <c r="A2740" s="2" t="s">
        <v>2292</v>
      </c>
      <c r="B2740" s="2" t="s">
        <v>2249</v>
      </c>
      <c r="C2740" s="3"/>
    </row>
    <row r="2741">
      <c r="A2741" s="1" t="s">
        <v>2293</v>
      </c>
      <c r="B2741" s="2" t="s">
        <v>2249</v>
      </c>
      <c r="C2741" s="3"/>
    </row>
    <row r="2742">
      <c r="A2742" s="1" t="s">
        <v>2294</v>
      </c>
      <c r="B2742" s="2" t="s">
        <v>2249</v>
      </c>
      <c r="C2742" s="3"/>
    </row>
    <row r="2743">
      <c r="A2743" s="2" t="s">
        <v>2295</v>
      </c>
      <c r="B2743" s="2" t="s">
        <v>2249</v>
      </c>
      <c r="C2743" s="3"/>
    </row>
    <row r="2744">
      <c r="A2744" s="1" t="s">
        <v>2296</v>
      </c>
      <c r="B2744" s="2" t="s">
        <v>2249</v>
      </c>
      <c r="C2744" s="3"/>
    </row>
    <row r="2745">
      <c r="A2745" s="1" t="s">
        <v>2297</v>
      </c>
      <c r="B2745" s="2" t="s">
        <v>2249</v>
      </c>
      <c r="C2745" s="3"/>
    </row>
    <row r="2746">
      <c r="A2746" s="1" t="s">
        <v>2298</v>
      </c>
      <c r="B2746" s="2" t="s">
        <v>2249</v>
      </c>
      <c r="C2746" s="3"/>
    </row>
    <row r="2747">
      <c r="A2747" s="1" t="s">
        <v>2299</v>
      </c>
      <c r="B2747" s="2" t="s">
        <v>2249</v>
      </c>
      <c r="C2747" s="3"/>
    </row>
    <row r="2748">
      <c r="A2748" s="1" t="s">
        <v>2300</v>
      </c>
      <c r="B2748" s="2" t="s">
        <v>2249</v>
      </c>
      <c r="C2748" s="3"/>
    </row>
    <row r="2749">
      <c r="A2749" s="1" t="s">
        <v>2301</v>
      </c>
      <c r="B2749" s="2" t="s">
        <v>2249</v>
      </c>
      <c r="C2749" s="3"/>
    </row>
    <row r="2750">
      <c r="A2750" s="1" t="s">
        <v>2302</v>
      </c>
      <c r="B2750" s="2" t="s">
        <v>2249</v>
      </c>
      <c r="C2750" s="3"/>
    </row>
    <row r="2751">
      <c r="A2751" s="2" t="s">
        <v>2303</v>
      </c>
      <c r="B2751" s="2" t="s">
        <v>2249</v>
      </c>
      <c r="C2751" s="3"/>
    </row>
    <row r="2752">
      <c r="A2752" s="2" t="s">
        <v>2304</v>
      </c>
      <c r="B2752" s="2" t="s">
        <v>2249</v>
      </c>
      <c r="C2752" s="3"/>
    </row>
    <row r="2753">
      <c r="A2753" s="1" t="s">
        <v>2305</v>
      </c>
      <c r="B2753" s="2" t="s">
        <v>2249</v>
      </c>
      <c r="C2753" s="3"/>
    </row>
    <row r="2754">
      <c r="A2754" s="2" t="s">
        <v>2306</v>
      </c>
      <c r="B2754" s="2" t="s">
        <v>2249</v>
      </c>
      <c r="C2754" s="3"/>
    </row>
    <row r="2755">
      <c r="A2755" s="1" t="s">
        <v>2307</v>
      </c>
      <c r="B2755" s="2" t="s">
        <v>2249</v>
      </c>
      <c r="C2755" s="3"/>
    </row>
    <row r="2756">
      <c r="A2756" s="2" t="s">
        <v>2308</v>
      </c>
      <c r="B2756" s="2" t="s">
        <v>2249</v>
      </c>
      <c r="C2756" s="3"/>
    </row>
    <row r="2757">
      <c r="A2757" s="1" t="s">
        <v>2309</v>
      </c>
      <c r="B2757" s="2" t="s">
        <v>2249</v>
      </c>
      <c r="C2757" s="3"/>
    </row>
    <row r="2758">
      <c r="A2758" s="2" t="s">
        <v>2310</v>
      </c>
      <c r="B2758" s="2" t="s">
        <v>2249</v>
      </c>
      <c r="C2758" s="3"/>
    </row>
    <row r="2759">
      <c r="A2759" s="2" t="s">
        <v>2311</v>
      </c>
      <c r="B2759" s="2" t="s">
        <v>2249</v>
      </c>
      <c r="C2759" s="3"/>
    </row>
    <row r="2760">
      <c r="A2760" s="2" t="s">
        <v>2312</v>
      </c>
      <c r="B2760" s="2" t="s">
        <v>2249</v>
      </c>
      <c r="C2760" s="3"/>
    </row>
    <row r="2761">
      <c r="A2761" s="1" t="s">
        <v>2313</v>
      </c>
      <c r="B2761" s="2" t="s">
        <v>2249</v>
      </c>
      <c r="C2761" s="3"/>
    </row>
    <row r="2762">
      <c r="A2762" s="1" t="s">
        <v>2314</v>
      </c>
      <c r="B2762" s="2" t="s">
        <v>2249</v>
      </c>
      <c r="C2762" s="3"/>
    </row>
    <row r="2763">
      <c r="A2763" s="2" t="s">
        <v>2315</v>
      </c>
      <c r="B2763" s="2" t="s">
        <v>2249</v>
      </c>
      <c r="C2763" s="3"/>
    </row>
    <row r="2764">
      <c r="A2764" s="1" t="s">
        <v>2316</v>
      </c>
      <c r="B2764" s="2" t="s">
        <v>2249</v>
      </c>
      <c r="C2764" s="3"/>
    </row>
    <row r="2765">
      <c r="A2765" s="2" t="s">
        <v>2288</v>
      </c>
      <c r="B2765" s="2" t="s">
        <v>2249</v>
      </c>
      <c r="C2765" s="3"/>
    </row>
    <row r="2766">
      <c r="A2766" s="1" t="s">
        <v>2317</v>
      </c>
      <c r="B2766" s="2" t="s">
        <v>2249</v>
      </c>
      <c r="C276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2" width="26.13"/>
    <col customWidth="1" min="3" max="3" width="34.63"/>
    <col customWidth="1" min="4" max="4" width="35.0"/>
    <col customWidth="1" min="5" max="5" width="11.38"/>
    <col customWidth="1" min="6" max="6" width="14.75"/>
  </cols>
  <sheetData>
    <row r="1">
      <c r="A1" s="5" t="s">
        <v>0</v>
      </c>
      <c r="B1" s="5" t="s">
        <v>1</v>
      </c>
      <c r="C1" s="5" t="s">
        <v>2318</v>
      </c>
      <c r="D1" s="5" t="s">
        <v>2319</v>
      </c>
      <c r="E1" s="5" t="s">
        <v>2320</v>
      </c>
      <c r="F1" s="5" t="s">
        <v>2321</v>
      </c>
    </row>
    <row r="2">
      <c r="A2" s="5" t="s">
        <v>2322</v>
      </c>
      <c r="B2" s="5" t="s">
        <v>2323</v>
      </c>
      <c r="C2" s="5" t="s">
        <v>2324</v>
      </c>
      <c r="D2" s="6" t="s">
        <v>2325</v>
      </c>
      <c r="E2" s="6" t="s">
        <v>2325</v>
      </c>
      <c r="F2" s="5" t="b">
        <v>1</v>
      </c>
    </row>
    <row r="3">
      <c r="A3" s="6" t="s">
        <v>2325</v>
      </c>
      <c r="B3" s="5" t="s">
        <v>2326</v>
      </c>
      <c r="C3" s="5" t="s">
        <v>2327</v>
      </c>
      <c r="D3" s="5" t="s">
        <v>2328</v>
      </c>
      <c r="E3" s="5" t="s">
        <v>2325</v>
      </c>
      <c r="F3" s="5" t="b">
        <v>1</v>
      </c>
    </row>
    <row r="4">
      <c r="A4" s="6" t="s">
        <v>2325</v>
      </c>
      <c r="B4" s="5" t="s">
        <v>2329</v>
      </c>
      <c r="C4" s="5" t="s">
        <v>2330</v>
      </c>
      <c r="D4" s="5" t="s">
        <v>2331</v>
      </c>
      <c r="E4" s="5" t="s">
        <v>2325</v>
      </c>
      <c r="F4" s="5" t="b">
        <v>1</v>
      </c>
    </row>
    <row r="5">
      <c r="A5" s="5" t="s">
        <v>2332</v>
      </c>
      <c r="B5" s="5" t="s">
        <v>2333</v>
      </c>
      <c r="C5" s="5" t="s">
        <v>2334</v>
      </c>
      <c r="D5" s="5" t="s">
        <v>2335</v>
      </c>
      <c r="E5" s="5" t="s">
        <v>2325</v>
      </c>
      <c r="F5" s="5" t="b">
        <v>1</v>
      </c>
    </row>
    <row r="6">
      <c r="A6" s="6" t="s">
        <v>2325</v>
      </c>
      <c r="B6" s="5" t="s">
        <v>2336</v>
      </c>
      <c r="C6" s="5" t="s">
        <v>2337</v>
      </c>
      <c r="D6" s="5" t="s">
        <v>2338</v>
      </c>
      <c r="E6" s="5" t="s">
        <v>2325</v>
      </c>
      <c r="F6" s="5" t="b">
        <v>1</v>
      </c>
    </row>
    <row r="7">
      <c r="A7" s="6" t="s">
        <v>2325</v>
      </c>
      <c r="B7" s="5" t="s">
        <v>2339</v>
      </c>
      <c r="C7" s="5" t="s">
        <v>2340</v>
      </c>
      <c r="D7" s="5" t="s">
        <v>2325</v>
      </c>
      <c r="E7" s="5" t="s">
        <v>2325</v>
      </c>
      <c r="F7" s="5" t="b">
        <v>1</v>
      </c>
    </row>
    <row r="8">
      <c r="A8" s="5" t="s">
        <v>2341</v>
      </c>
      <c r="B8" s="5" t="s">
        <v>2342</v>
      </c>
      <c r="C8" s="5" t="s">
        <v>2343</v>
      </c>
      <c r="D8" s="6" t="s">
        <v>2325</v>
      </c>
      <c r="E8" s="6" t="s">
        <v>2325</v>
      </c>
      <c r="F8" s="5" t="b">
        <v>1</v>
      </c>
    </row>
    <row r="9">
      <c r="A9" s="6" t="s">
        <v>2325</v>
      </c>
      <c r="B9" s="5" t="s">
        <v>2344</v>
      </c>
      <c r="C9" s="5" t="s">
        <v>2345</v>
      </c>
      <c r="D9" s="5" t="s">
        <v>2331</v>
      </c>
      <c r="E9" s="5" t="s">
        <v>2325</v>
      </c>
      <c r="F9" s="5" t="b">
        <v>1</v>
      </c>
    </row>
    <row r="10">
      <c r="A10" s="5" t="s">
        <v>2346</v>
      </c>
      <c r="B10" s="5" t="s">
        <v>2347</v>
      </c>
      <c r="C10" s="5" t="s">
        <v>2348</v>
      </c>
      <c r="D10" s="6" t="s">
        <v>2325</v>
      </c>
      <c r="E10" s="6" t="s">
        <v>2325</v>
      </c>
      <c r="F10" s="5" t="b">
        <v>1</v>
      </c>
    </row>
    <row r="11">
      <c r="A11" s="5" t="s">
        <v>2349</v>
      </c>
      <c r="B11" s="5" t="s">
        <v>2350</v>
      </c>
      <c r="C11" s="5" t="s">
        <v>2351</v>
      </c>
      <c r="D11" s="5" t="s">
        <v>2352</v>
      </c>
      <c r="E11" s="5" t="s">
        <v>2325</v>
      </c>
      <c r="F11" s="5" t="b">
        <v>1</v>
      </c>
    </row>
    <row r="12">
      <c r="A12" s="6" t="s">
        <v>2325</v>
      </c>
      <c r="B12" s="5" t="s">
        <v>2353</v>
      </c>
      <c r="C12" s="5" t="s">
        <v>2354</v>
      </c>
      <c r="D12" s="5" t="s">
        <v>2331</v>
      </c>
      <c r="E12" s="5" t="s">
        <v>2325</v>
      </c>
      <c r="F12" s="5" t="b">
        <v>1</v>
      </c>
    </row>
    <row r="13">
      <c r="A13" s="6" t="s">
        <v>2325</v>
      </c>
      <c r="B13" s="5" t="s">
        <v>2355</v>
      </c>
      <c r="C13" s="5" t="s">
        <v>2356</v>
      </c>
      <c r="D13" s="6" t="s">
        <v>2325</v>
      </c>
      <c r="E13" s="6" t="s">
        <v>2325</v>
      </c>
      <c r="F13" s="5" t="b">
        <v>1</v>
      </c>
    </row>
    <row r="14">
      <c r="A14" s="5" t="s">
        <v>2357</v>
      </c>
      <c r="B14" s="5" t="s">
        <v>2358</v>
      </c>
      <c r="C14" s="5" t="s">
        <v>2359</v>
      </c>
      <c r="D14" s="6" t="s">
        <v>2325</v>
      </c>
      <c r="E14" s="6" t="s">
        <v>2325</v>
      </c>
      <c r="F14" s="5" t="b">
        <v>1</v>
      </c>
    </row>
    <row r="15">
      <c r="A15" s="5" t="s">
        <v>2360</v>
      </c>
      <c r="B15" s="5" t="s">
        <v>2361</v>
      </c>
      <c r="C15" s="5" t="s">
        <v>2362</v>
      </c>
      <c r="D15" s="5" t="s">
        <v>2363</v>
      </c>
      <c r="E15" s="5" t="s">
        <v>2325</v>
      </c>
      <c r="F15" s="5" t="b">
        <v>1</v>
      </c>
    </row>
    <row r="16">
      <c r="A16" s="5" t="s">
        <v>2364</v>
      </c>
      <c r="B16" s="5" t="s">
        <v>2365</v>
      </c>
      <c r="C16" s="5" t="s">
        <v>2366</v>
      </c>
      <c r="D16" s="5" t="s">
        <v>2367</v>
      </c>
      <c r="E16" s="5" t="s">
        <v>2325</v>
      </c>
      <c r="F16" s="5" t="b">
        <v>1</v>
      </c>
    </row>
    <row r="17">
      <c r="A17" s="6" t="s">
        <v>2325</v>
      </c>
      <c r="B17" s="5" t="s">
        <v>2368</v>
      </c>
      <c r="C17" s="5" t="s">
        <v>2369</v>
      </c>
      <c r="D17" s="5" t="s">
        <v>2370</v>
      </c>
      <c r="E17" s="5" t="s">
        <v>2325</v>
      </c>
      <c r="F17" s="5" t="b">
        <v>1</v>
      </c>
    </row>
    <row r="18">
      <c r="A18" s="6" t="s">
        <v>2325</v>
      </c>
      <c r="B18" s="5" t="s">
        <v>2371</v>
      </c>
      <c r="C18" s="5" t="s">
        <v>2372</v>
      </c>
      <c r="D18" s="5" t="s">
        <v>2373</v>
      </c>
      <c r="E18" s="5" t="s">
        <v>2325</v>
      </c>
      <c r="F18" s="5" t="b">
        <v>1</v>
      </c>
    </row>
    <row r="19">
      <c r="A19" s="6" t="s">
        <v>2325</v>
      </c>
      <c r="B19" s="5" t="s">
        <v>2374</v>
      </c>
      <c r="C19" s="5" t="s">
        <v>2375</v>
      </c>
      <c r="D19" s="5" t="s">
        <v>2331</v>
      </c>
      <c r="E19" s="5" t="s">
        <v>2325</v>
      </c>
      <c r="F19" s="5" t="b">
        <v>1</v>
      </c>
    </row>
    <row r="20">
      <c r="A20" s="6" t="s">
        <v>2325</v>
      </c>
      <c r="B20" s="5" t="s">
        <v>2376</v>
      </c>
      <c r="C20" s="5" t="s">
        <v>2377</v>
      </c>
      <c r="D20" s="5" t="s">
        <v>2352</v>
      </c>
      <c r="E20" s="5" t="s">
        <v>2325</v>
      </c>
      <c r="F20" s="6" t="b">
        <v>0</v>
      </c>
    </row>
    <row r="21">
      <c r="A21" s="6" t="s">
        <v>2325</v>
      </c>
      <c r="B21" s="5" t="s">
        <v>2378</v>
      </c>
      <c r="C21" s="5" t="s">
        <v>2379</v>
      </c>
      <c r="D21" s="5" t="s">
        <v>2380</v>
      </c>
      <c r="E21" s="5" t="s">
        <v>2325</v>
      </c>
      <c r="F21" s="5" t="b">
        <v>1</v>
      </c>
    </row>
    <row r="22">
      <c r="A22" s="5" t="s">
        <v>2381</v>
      </c>
      <c r="B22" s="5" t="s">
        <v>2382</v>
      </c>
      <c r="C22" s="5" t="s">
        <v>2383</v>
      </c>
      <c r="D22" s="6" t="s">
        <v>2325</v>
      </c>
      <c r="E22" s="6" t="s">
        <v>2325</v>
      </c>
      <c r="F22" s="6" t="b">
        <v>0</v>
      </c>
    </row>
    <row r="23">
      <c r="A23" s="5" t="s">
        <v>2384</v>
      </c>
      <c r="B23" s="5" t="s">
        <v>2385</v>
      </c>
      <c r="C23" s="5" t="s">
        <v>2386</v>
      </c>
      <c r="D23" s="5" t="s">
        <v>2331</v>
      </c>
      <c r="E23" s="5" t="s">
        <v>2325</v>
      </c>
      <c r="F23" s="5" t="b">
        <v>1</v>
      </c>
    </row>
    <row r="24">
      <c r="A24" s="6" t="s">
        <v>2325</v>
      </c>
      <c r="B24" s="5" t="s">
        <v>2387</v>
      </c>
      <c r="C24" s="5" t="s">
        <v>2388</v>
      </c>
      <c r="D24" s="6" t="s">
        <v>2325</v>
      </c>
      <c r="E24" s="6" t="s">
        <v>2325</v>
      </c>
      <c r="F24" s="6" t="b">
        <v>0</v>
      </c>
    </row>
    <row r="25">
      <c r="A25" s="6" t="s">
        <v>2325</v>
      </c>
      <c r="B25" s="5" t="s">
        <v>2389</v>
      </c>
      <c r="C25" s="5" t="s">
        <v>2390</v>
      </c>
      <c r="D25" s="5" t="s">
        <v>2331</v>
      </c>
      <c r="E25" s="5" t="s">
        <v>2325</v>
      </c>
      <c r="F25" s="5" t="b">
        <v>1</v>
      </c>
    </row>
    <row r="26">
      <c r="A26" s="5" t="s">
        <v>2391</v>
      </c>
      <c r="B26" s="5" t="s">
        <v>2392</v>
      </c>
      <c r="C26" s="5" t="s">
        <v>2354</v>
      </c>
      <c r="D26" s="5" t="s">
        <v>2331</v>
      </c>
      <c r="E26" s="5" t="s">
        <v>2325</v>
      </c>
      <c r="F26" s="5" t="b">
        <v>1</v>
      </c>
    </row>
    <row r="27">
      <c r="A27" s="6" t="s">
        <v>2325</v>
      </c>
      <c r="B27" s="5" t="s">
        <v>2393</v>
      </c>
      <c r="C27" s="5" t="s">
        <v>2394</v>
      </c>
      <c r="D27" s="5" t="s">
        <v>2395</v>
      </c>
      <c r="E27" s="5" t="s">
        <v>2325</v>
      </c>
      <c r="F27" s="6" t="b">
        <v>0</v>
      </c>
    </row>
    <row r="28">
      <c r="A28" s="5" t="s">
        <v>2396</v>
      </c>
      <c r="B28" s="5" t="s">
        <v>2397</v>
      </c>
      <c r="C28" s="5" t="s">
        <v>2398</v>
      </c>
      <c r="D28" s="5" t="s">
        <v>2399</v>
      </c>
      <c r="E28" s="5" t="s">
        <v>2325</v>
      </c>
      <c r="F28" s="5" t="b">
        <v>1</v>
      </c>
    </row>
    <row r="29">
      <c r="A29" s="5" t="s">
        <v>2400</v>
      </c>
      <c r="B29" s="5" t="s">
        <v>2401</v>
      </c>
      <c r="C29" s="5" t="s">
        <v>2402</v>
      </c>
      <c r="D29" s="5" t="s">
        <v>2403</v>
      </c>
      <c r="E29" s="5" t="s">
        <v>2325</v>
      </c>
      <c r="F29" s="5" t="b">
        <v>0</v>
      </c>
    </row>
    <row r="30">
      <c r="A30" s="5" t="s">
        <v>2404</v>
      </c>
      <c r="B30" s="5" t="s">
        <v>2405</v>
      </c>
      <c r="C30" s="5" t="s">
        <v>2406</v>
      </c>
      <c r="D30" s="5" t="s">
        <v>2380</v>
      </c>
      <c r="E30" s="5" t="s">
        <v>2325</v>
      </c>
      <c r="F30" s="5" t="b">
        <v>1</v>
      </c>
    </row>
    <row r="31">
      <c r="A31" s="6" t="s">
        <v>2325</v>
      </c>
      <c r="B31" s="5" t="s">
        <v>2407</v>
      </c>
      <c r="C31" s="5" t="s">
        <v>2408</v>
      </c>
      <c r="D31" s="6" t="s">
        <v>2325</v>
      </c>
      <c r="E31" s="6" t="s">
        <v>2325</v>
      </c>
      <c r="F31" s="5" t="b">
        <v>1</v>
      </c>
    </row>
    <row r="32">
      <c r="A32" s="6" t="s">
        <v>2325</v>
      </c>
      <c r="B32" s="5" t="s">
        <v>2409</v>
      </c>
      <c r="C32" s="5" t="s">
        <v>2410</v>
      </c>
      <c r="D32" s="6" t="s">
        <v>2325</v>
      </c>
      <c r="E32" s="6" t="s">
        <v>2325</v>
      </c>
      <c r="F32" s="5" t="b">
        <v>0</v>
      </c>
    </row>
    <row r="33">
      <c r="A33" s="5" t="s">
        <v>2411</v>
      </c>
      <c r="B33" s="5" t="s">
        <v>2412</v>
      </c>
      <c r="C33" s="5" t="s">
        <v>2413</v>
      </c>
      <c r="D33" s="5" t="s">
        <v>2414</v>
      </c>
      <c r="E33" s="5" t="s">
        <v>2325</v>
      </c>
      <c r="F33" s="5" t="b">
        <v>1</v>
      </c>
    </row>
    <row r="34">
      <c r="A34" s="6" t="s">
        <v>2325</v>
      </c>
      <c r="B34" s="5" t="s">
        <v>2415</v>
      </c>
      <c r="C34" s="5" t="s">
        <v>2416</v>
      </c>
      <c r="D34" s="6" t="s">
        <v>2325</v>
      </c>
      <c r="E34" s="6" t="s">
        <v>2325</v>
      </c>
      <c r="F34" s="5" t="b">
        <v>0</v>
      </c>
    </row>
    <row r="35">
      <c r="A35" s="5" t="s">
        <v>2417</v>
      </c>
      <c r="B35" s="5" t="s">
        <v>2418</v>
      </c>
      <c r="C35" s="5" t="s">
        <v>2419</v>
      </c>
      <c r="D35" s="6" t="s">
        <v>2325</v>
      </c>
      <c r="E35" s="6" t="s">
        <v>2325</v>
      </c>
      <c r="F35" s="6" t="b">
        <v>0</v>
      </c>
    </row>
    <row r="36">
      <c r="A36" s="6" t="s">
        <v>2325</v>
      </c>
      <c r="B36" s="5" t="s">
        <v>2420</v>
      </c>
      <c r="C36" s="5" t="s">
        <v>2421</v>
      </c>
      <c r="D36" s="6" t="s">
        <v>2325</v>
      </c>
      <c r="E36" s="6" t="s">
        <v>2325</v>
      </c>
      <c r="F36" s="6" t="b">
        <v>0</v>
      </c>
    </row>
    <row r="37">
      <c r="A37" s="5" t="s">
        <v>2422</v>
      </c>
      <c r="B37" s="5" t="s">
        <v>2423</v>
      </c>
      <c r="C37" s="5" t="s">
        <v>2424</v>
      </c>
      <c r="D37" s="5" t="s">
        <v>2380</v>
      </c>
      <c r="E37" s="5" t="s">
        <v>2325</v>
      </c>
      <c r="F37" s="5" t="b">
        <v>1</v>
      </c>
    </row>
    <row r="38">
      <c r="A38" s="6" t="s">
        <v>2325</v>
      </c>
      <c r="B38" s="5" t="s">
        <v>2425</v>
      </c>
      <c r="C38" s="5" t="s">
        <v>2426</v>
      </c>
      <c r="D38" s="5" t="s">
        <v>2373</v>
      </c>
      <c r="E38" s="5" t="s">
        <v>2325</v>
      </c>
      <c r="F38" s="5" t="b">
        <v>1</v>
      </c>
    </row>
    <row r="39">
      <c r="A39" s="6" t="s">
        <v>2325</v>
      </c>
      <c r="B39" s="5" t="s">
        <v>2427</v>
      </c>
      <c r="C39" s="5" t="s">
        <v>2428</v>
      </c>
      <c r="D39" s="6" t="s">
        <v>2325</v>
      </c>
      <c r="E39" s="6" t="s">
        <v>2325</v>
      </c>
      <c r="F39" s="6" t="b">
        <v>0</v>
      </c>
    </row>
    <row r="40">
      <c r="A40" s="5" t="s">
        <v>2429</v>
      </c>
      <c r="B40" s="5" t="s">
        <v>2430</v>
      </c>
      <c r="C40" s="5" t="s">
        <v>2431</v>
      </c>
      <c r="D40" s="5" t="s">
        <v>2331</v>
      </c>
      <c r="E40" s="5" t="s">
        <v>2325</v>
      </c>
      <c r="F40" s="5" t="b">
        <v>1</v>
      </c>
    </row>
    <row r="41">
      <c r="A41" s="6" t="s">
        <v>2325</v>
      </c>
      <c r="B41" s="5" t="s">
        <v>2432</v>
      </c>
      <c r="C41" s="5" t="s">
        <v>2433</v>
      </c>
      <c r="D41" s="5" t="s">
        <v>2434</v>
      </c>
      <c r="E41" s="5" t="s">
        <v>2325</v>
      </c>
      <c r="F41" s="5" t="b">
        <v>1</v>
      </c>
    </row>
    <row r="42">
      <c r="A42" s="5" t="s">
        <v>2435</v>
      </c>
      <c r="B42" s="5" t="s">
        <v>2436</v>
      </c>
      <c r="C42" s="5" t="s">
        <v>2437</v>
      </c>
      <c r="D42" s="5" t="s">
        <v>2331</v>
      </c>
      <c r="E42" s="5" t="s">
        <v>2325</v>
      </c>
      <c r="F42" s="5" t="b">
        <v>1</v>
      </c>
    </row>
    <row r="43">
      <c r="A43" s="6" t="s">
        <v>2325</v>
      </c>
      <c r="B43" s="5" t="s">
        <v>2438</v>
      </c>
      <c r="C43" s="5" t="s">
        <v>2439</v>
      </c>
      <c r="D43" s="5" t="s">
        <v>2440</v>
      </c>
      <c r="E43" s="5" t="s">
        <v>2325</v>
      </c>
      <c r="F43" s="6" t="b">
        <v>0</v>
      </c>
    </row>
    <row r="44">
      <c r="A44" s="6" t="s">
        <v>2325</v>
      </c>
      <c r="B44" s="5" t="s">
        <v>2441</v>
      </c>
      <c r="C44" s="5" t="s">
        <v>2442</v>
      </c>
      <c r="D44" s="6" t="s">
        <v>2325</v>
      </c>
      <c r="E44" s="6" t="s">
        <v>2325</v>
      </c>
      <c r="F44" s="6" t="b">
        <v>0</v>
      </c>
    </row>
    <row r="45">
      <c r="A45" s="5" t="s">
        <v>2443</v>
      </c>
      <c r="B45" s="5" t="s">
        <v>2444</v>
      </c>
      <c r="C45" s="5" t="s">
        <v>2445</v>
      </c>
      <c r="D45" s="5" t="s">
        <v>2331</v>
      </c>
      <c r="E45" s="5" t="s">
        <v>2325</v>
      </c>
      <c r="F45" s="5" t="b">
        <v>1</v>
      </c>
    </row>
    <row r="46">
      <c r="A46" s="6" t="s">
        <v>2325</v>
      </c>
      <c r="B46" s="5" t="s">
        <v>2446</v>
      </c>
      <c r="C46" s="5" t="s">
        <v>2447</v>
      </c>
      <c r="D46" s="6" t="s">
        <v>2325</v>
      </c>
      <c r="E46" s="6" t="s">
        <v>2325</v>
      </c>
      <c r="F46" s="5" t="b">
        <v>1</v>
      </c>
    </row>
    <row r="47">
      <c r="A47" s="6" t="s">
        <v>2325</v>
      </c>
      <c r="B47" s="5" t="s">
        <v>2448</v>
      </c>
      <c r="C47" s="5" t="s">
        <v>2449</v>
      </c>
      <c r="D47" s="5" t="s">
        <v>2331</v>
      </c>
      <c r="E47" s="5" t="s">
        <v>2325</v>
      </c>
      <c r="F47" s="5" t="b">
        <v>1</v>
      </c>
    </row>
    <row r="48">
      <c r="A48" s="6" t="s">
        <v>2325</v>
      </c>
      <c r="B48" s="5" t="s">
        <v>2450</v>
      </c>
      <c r="C48" s="5" t="s">
        <v>2451</v>
      </c>
      <c r="D48" s="6" t="s">
        <v>2325</v>
      </c>
      <c r="E48" s="6" t="s">
        <v>2325</v>
      </c>
      <c r="F48" s="6" t="b">
        <v>0</v>
      </c>
    </row>
    <row r="49">
      <c r="A49" s="6" t="s">
        <v>2325</v>
      </c>
      <c r="B49" s="5" t="s">
        <v>2452</v>
      </c>
      <c r="C49" s="5" t="s">
        <v>2453</v>
      </c>
      <c r="D49" s="5" t="s">
        <v>2363</v>
      </c>
      <c r="E49" s="5" t="s">
        <v>2325</v>
      </c>
      <c r="F49" s="5" t="b">
        <v>1</v>
      </c>
    </row>
    <row r="50">
      <c r="A50" s="6" t="s">
        <v>2325</v>
      </c>
      <c r="B50" s="5" t="s">
        <v>2454</v>
      </c>
      <c r="C50" s="5" t="s">
        <v>2455</v>
      </c>
      <c r="D50" s="6" t="s">
        <v>2325</v>
      </c>
      <c r="E50" s="6" t="s">
        <v>2325</v>
      </c>
      <c r="F50" s="5" t="b">
        <v>1</v>
      </c>
    </row>
    <row r="51">
      <c r="A51" s="6" t="s">
        <v>2325</v>
      </c>
      <c r="B51" s="5" t="s">
        <v>2456</v>
      </c>
      <c r="C51" s="5" t="s">
        <v>2457</v>
      </c>
      <c r="D51" s="6" t="s">
        <v>2325</v>
      </c>
      <c r="E51" s="6" t="s">
        <v>2325</v>
      </c>
      <c r="F51" s="6" t="b">
        <v>0</v>
      </c>
    </row>
    <row r="52">
      <c r="A52" s="6" t="s">
        <v>2325</v>
      </c>
      <c r="B52" s="5" t="s">
        <v>2458</v>
      </c>
      <c r="C52" s="5" t="s">
        <v>2459</v>
      </c>
      <c r="D52" s="5" t="s">
        <v>2331</v>
      </c>
      <c r="E52" s="5" t="s">
        <v>2325</v>
      </c>
      <c r="F52" s="5" t="b">
        <v>1</v>
      </c>
    </row>
    <row r="53">
      <c r="A53" s="5" t="s">
        <v>2460</v>
      </c>
      <c r="B53" s="5" t="s">
        <v>2461</v>
      </c>
      <c r="C53" s="5" t="s">
        <v>2462</v>
      </c>
      <c r="D53" s="6" t="s">
        <v>2331</v>
      </c>
      <c r="E53" s="6" t="s">
        <v>2325</v>
      </c>
      <c r="F53" s="5" t="b">
        <v>1</v>
      </c>
    </row>
    <row r="54">
      <c r="A54" s="6" t="s">
        <v>2325</v>
      </c>
      <c r="B54" s="5" t="s">
        <v>2463</v>
      </c>
      <c r="C54" s="5" t="s">
        <v>2464</v>
      </c>
      <c r="D54" s="6" t="s">
        <v>2331</v>
      </c>
      <c r="E54" s="6" t="s">
        <v>2325</v>
      </c>
      <c r="F54" s="5" t="b">
        <v>1</v>
      </c>
    </row>
    <row r="55">
      <c r="A55" s="6" t="s">
        <v>2325</v>
      </c>
      <c r="B55" s="5" t="s">
        <v>2465</v>
      </c>
      <c r="C55" s="5" t="s">
        <v>2466</v>
      </c>
      <c r="D55" s="6" t="s">
        <v>2331</v>
      </c>
      <c r="E55" s="6" t="s">
        <v>2325</v>
      </c>
      <c r="F55" s="5" t="b">
        <v>1</v>
      </c>
    </row>
    <row r="56">
      <c r="A56" s="5" t="s">
        <v>2467</v>
      </c>
      <c r="B56" s="5" t="s">
        <v>2468</v>
      </c>
      <c r="C56" s="5" t="s">
        <v>2469</v>
      </c>
      <c r="D56" s="5" t="s">
        <v>2470</v>
      </c>
      <c r="E56" s="5" t="s">
        <v>2325</v>
      </c>
      <c r="F56" s="5" t="b">
        <v>1</v>
      </c>
    </row>
    <row r="57">
      <c r="A57" s="6" t="s">
        <v>2325</v>
      </c>
      <c r="B57" s="5" t="s">
        <v>2471</v>
      </c>
      <c r="C57" s="5" t="s">
        <v>2472</v>
      </c>
      <c r="D57" s="5" t="s">
        <v>2380</v>
      </c>
      <c r="E57" s="5" t="s">
        <v>2325</v>
      </c>
      <c r="F57" s="5" t="b">
        <v>1</v>
      </c>
    </row>
    <row r="58">
      <c r="A58" s="5" t="s">
        <v>2473</v>
      </c>
      <c r="B58" s="5" t="s">
        <v>2474</v>
      </c>
      <c r="C58" s="5" t="s">
        <v>2475</v>
      </c>
      <c r="D58" s="5" t="s">
        <v>2476</v>
      </c>
      <c r="E58" s="5" t="s">
        <v>2325</v>
      </c>
      <c r="F58" s="6" t="b">
        <v>0</v>
      </c>
    </row>
    <row r="59">
      <c r="A59" s="6" t="s">
        <v>2325</v>
      </c>
      <c r="B59" s="5" t="s">
        <v>2477</v>
      </c>
      <c r="C59" s="5" t="s">
        <v>2478</v>
      </c>
      <c r="D59" s="5" t="s">
        <v>2479</v>
      </c>
      <c r="E59" s="5" t="s">
        <v>2325</v>
      </c>
      <c r="F59" s="5" t="b">
        <v>1</v>
      </c>
    </row>
    <row r="60">
      <c r="A60" s="5" t="s">
        <v>2480</v>
      </c>
      <c r="B60" s="5" t="s">
        <v>2481</v>
      </c>
      <c r="C60" s="5" t="s">
        <v>2482</v>
      </c>
      <c r="D60" s="5" t="s">
        <v>2331</v>
      </c>
      <c r="E60" s="5" t="s">
        <v>2325</v>
      </c>
      <c r="F60" s="6" t="b">
        <v>0</v>
      </c>
    </row>
    <row r="61">
      <c r="A61" s="5" t="s">
        <v>2483</v>
      </c>
      <c r="B61" s="5" t="s">
        <v>2484</v>
      </c>
      <c r="C61" s="5" t="s">
        <v>2485</v>
      </c>
      <c r="D61" s="5" t="s">
        <v>2331</v>
      </c>
      <c r="E61" s="5" t="s">
        <v>2325</v>
      </c>
      <c r="F61" s="5" t="b">
        <v>1</v>
      </c>
    </row>
    <row r="62">
      <c r="A62" s="5" t="s">
        <v>2486</v>
      </c>
      <c r="B62" s="5" t="s">
        <v>2487</v>
      </c>
      <c r="C62" s="5" t="s">
        <v>2488</v>
      </c>
      <c r="D62" s="6" t="s">
        <v>2325</v>
      </c>
      <c r="E62" s="6" t="s">
        <v>2325</v>
      </c>
      <c r="F62" s="5" t="b">
        <v>1</v>
      </c>
    </row>
    <row r="63">
      <c r="A63" s="5" t="s">
        <v>2489</v>
      </c>
      <c r="B63" s="5" t="s">
        <v>2490</v>
      </c>
      <c r="C63" s="5" t="s">
        <v>2491</v>
      </c>
      <c r="D63" s="6" t="s">
        <v>2325</v>
      </c>
      <c r="E63" s="6" t="s">
        <v>2325</v>
      </c>
      <c r="F63" s="5" t="b">
        <v>1</v>
      </c>
    </row>
    <row r="64">
      <c r="A64" s="6" t="s">
        <v>2325</v>
      </c>
      <c r="B64" s="5" t="s">
        <v>2492</v>
      </c>
      <c r="C64" s="5" t="s">
        <v>2493</v>
      </c>
      <c r="D64" s="5" t="s">
        <v>2494</v>
      </c>
      <c r="E64" s="5" t="s">
        <v>2325</v>
      </c>
      <c r="F64" s="5" t="b">
        <v>1</v>
      </c>
    </row>
    <row r="65">
      <c r="A65" s="6" t="s">
        <v>2325</v>
      </c>
      <c r="B65" s="5" t="s">
        <v>2495</v>
      </c>
      <c r="C65" s="5" t="s">
        <v>2496</v>
      </c>
      <c r="D65" s="5" t="s">
        <v>2373</v>
      </c>
      <c r="E65" s="5" t="s">
        <v>2325</v>
      </c>
      <c r="F65" s="5" t="b">
        <v>1</v>
      </c>
    </row>
    <row r="66">
      <c r="A66" s="6" t="s">
        <v>2325</v>
      </c>
      <c r="B66" s="5" t="s">
        <v>2497</v>
      </c>
      <c r="C66" s="5" t="s">
        <v>2498</v>
      </c>
      <c r="D66" s="5" t="s">
        <v>2499</v>
      </c>
      <c r="E66" s="5" t="s">
        <v>2325</v>
      </c>
      <c r="F66" s="6" t="b">
        <v>0</v>
      </c>
    </row>
    <row r="67">
      <c r="A67" s="6" t="s">
        <v>2325</v>
      </c>
      <c r="B67" s="5" t="s">
        <v>2500</v>
      </c>
      <c r="C67" s="5" t="s">
        <v>2501</v>
      </c>
      <c r="D67" s="6" t="s">
        <v>2325</v>
      </c>
      <c r="E67" s="6" t="s">
        <v>2325</v>
      </c>
      <c r="F67" s="5" t="b">
        <v>1</v>
      </c>
    </row>
    <row r="68">
      <c r="A68" s="6" t="s">
        <v>2325</v>
      </c>
      <c r="B68" s="5" t="s">
        <v>2502</v>
      </c>
      <c r="C68" s="5" t="s">
        <v>2503</v>
      </c>
      <c r="D68" s="5" t="s">
        <v>2331</v>
      </c>
      <c r="E68" s="5" t="s">
        <v>2325</v>
      </c>
      <c r="F68" s="5" t="b">
        <v>1</v>
      </c>
    </row>
    <row r="69">
      <c r="A69" s="5" t="s">
        <v>2504</v>
      </c>
      <c r="B69" s="5" t="s">
        <v>2505</v>
      </c>
      <c r="C69" s="5" t="s">
        <v>2506</v>
      </c>
      <c r="D69" s="5" t="s">
        <v>2507</v>
      </c>
      <c r="E69" s="5" t="s">
        <v>2325</v>
      </c>
      <c r="F69" s="5" t="b">
        <v>1</v>
      </c>
    </row>
    <row r="70">
      <c r="A70" s="6" t="s">
        <v>2325</v>
      </c>
      <c r="B70" s="5" t="s">
        <v>2508</v>
      </c>
      <c r="C70" s="5" t="s">
        <v>2509</v>
      </c>
      <c r="D70" s="6" t="s">
        <v>2325</v>
      </c>
      <c r="E70" s="6" t="s">
        <v>2325</v>
      </c>
      <c r="F70" s="5" t="b">
        <v>1</v>
      </c>
    </row>
    <row r="71">
      <c r="A71" s="6" t="s">
        <v>2325</v>
      </c>
      <c r="B71" s="5" t="s">
        <v>2510</v>
      </c>
      <c r="C71" s="5" t="s">
        <v>2511</v>
      </c>
      <c r="D71" s="6" t="s">
        <v>2325</v>
      </c>
      <c r="E71" s="6" t="s">
        <v>2325</v>
      </c>
      <c r="F71" s="6" t="b">
        <v>0</v>
      </c>
    </row>
    <row r="72">
      <c r="A72" s="6" t="s">
        <v>2325</v>
      </c>
      <c r="B72" s="5" t="s">
        <v>2512</v>
      </c>
      <c r="C72" s="5" t="s">
        <v>2513</v>
      </c>
      <c r="D72" s="5" t="s">
        <v>2331</v>
      </c>
      <c r="E72" s="5" t="s">
        <v>2325</v>
      </c>
      <c r="F72" s="5" t="b">
        <v>1</v>
      </c>
    </row>
    <row r="73">
      <c r="A73" s="6" t="s">
        <v>2325</v>
      </c>
      <c r="B73" s="5" t="s">
        <v>2514</v>
      </c>
      <c r="C73" s="5" t="s">
        <v>2515</v>
      </c>
      <c r="D73" s="5" t="s">
        <v>2331</v>
      </c>
      <c r="E73" s="5" t="s">
        <v>2325</v>
      </c>
      <c r="F73" s="5" t="b">
        <v>1</v>
      </c>
    </row>
    <row r="74">
      <c r="A74" s="5" t="s">
        <v>2516</v>
      </c>
      <c r="B74" s="5" t="s">
        <v>2517</v>
      </c>
      <c r="C74" s="5" t="s">
        <v>2518</v>
      </c>
      <c r="D74" s="5" t="s">
        <v>2331</v>
      </c>
      <c r="E74" s="5" t="s">
        <v>2325</v>
      </c>
      <c r="F74" s="6" t="b">
        <v>0</v>
      </c>
    </row>
    <row r="75">
      <c r="A75" s="5" t="s">
        <v>2519</v>
      </c>
      <c r="B75" s="5" t="s">
        <v>2520</v>
      </c>
      <c r="C75" s="5" t="s">
        <v>2521</v>
      </c>
      <c r="D75" s="5" t="s">
        <v>2331</v>
      </c>
      <c r="E75" s="5" t="s">
        <v>2325</v>
      </c>
      <c r="F75" s="6" t="b">
        <v>0</v>
      </c>
    </row>
    <row r="76">
      <c r="A76" s="6" t="s">
        <v>2325</v>
      </c>
      <c r="B76" s="5" t="s">
        <v>2522</v>
      </c>
      <c r="C76" s="5" t="s">
        <v>2523</v>
      </c>
      <c r="D76" s="5" t="s">
        <v>2524</v>
      </c>
      <c r="E76" s="5" t="s">
        <v>2325</v>
      </c>
      <c r="F76" s="6" t="b">
        <v>0</v>
      </c>
    </row>
    <row r="77">
      <c r="A77" s="5" t="s">
        <v>2525</v>
      </c>
      <c r="B77" s="5" t="s">
        <v>2526</v>
      </c>
      <c r="C77" s="5" t="s">
        <v>2527</v>
      </c>
      <c r="D77" s="5" t="s">
        <v>2331</v>
      </c>
      <c r="E77" s="5" t="s">
        <v>2325</v>
      </c>
      <c r="F77" s="5" t="b">
        <v>1</v>
      </c>
    </row>
    <row r="78">
      <c r="A78" s="6" t="s">
        <v>2325</v>
      </c>
      <c r="B78" s="5" t="s">
        <v>2528</v>
      </c>
      <c r="C78" s="5" t="s">
        <v>2354</v>
      </c>
      <c r="D78" s="5" t="s">
        <v>2331</v>
      </c>
      <c r="E78" s="5" t="s">
        <v>2325</v>
      </c>
      <c r="F78" s="5" t="b">
        <v>1</v>
      </c>
    </row>
    <row r="79">
      <c r="A79" s="6" t="s">
        <v>2325</v>
      </c>
      <c r="B79" s="5" t="s">
        <v>2529</v>
      </c>
      <c r="C79" s="5" t="s">
        <v>2530</v>
      </c>
      <c r="D79" s="6" t="s">
        <v>2325</v>
      </c>
      <c r="E79" s="6" t="s">
        <v>2325</v>
      </c>
      <c r="F79" s="5" t="b">
        <v>1</v>
      </c>
    </row>
    <row r="80">
      <c r="A80" s="6" t="s">
        <v>2325</v>
      </c>
      <c r="B80" s="5" t="s">
        <v>2531</v>
      </c>
      <c r="C80" s="5" t="s">
        <v>2532</v>
      </c>
      <c r="D80" s="6" t="s">
        <v>2325</v>
      </c>
      <c r="E80" s="6" t="s">
        <v>2325</v>
      </c>
      <c r="F80" s="6" t="b">
        <v>0</v>
      </c>
    </row>
    <row r="81">
      <c r="A81" s="5" t="s">
        <v>2533</v>
      </c>
      <c r="B81" s="5" t="s">
        <v>2534</v>
      </c>
      <c r="C81" s="5" t="s">
        <v>2535</v>
      </c>
      <c r="D81" s="6" t="s">
        <v>2325</v>
      </c>
      <c r="E81" s="6" t="s">
        <v>2325</v>
      </c>
      <c r="F81" s="6" t="b">
        <v>0</v>
      </c>
    </row>
    <row r="82">
      <c r="A82" s="6" t="s">
        <v>2325</v>
      </c>
      <c r="B82" s="5" t="s">
        <v>2536</v>
      </c>
      <c r="C82" s="5" t="s">
        <v>2537</v>
      </c>
      <c r="D82" s="5" t="s">
        <v>2331</v>
      </c>
      <c r="E82" s="5" t="s">
        <v>2325</v>
      </c>
      <c r="F82" s="6" t="b">
        <v>0</v>
      </c>
    </row>
    <row r="83">
      <c r="A83" s="6" t="s">
        <v>2325</v>
      </c>
      <c r="B83" s="5" t="s">
        <v>2538</v>
      </c>
      <c r="C83" s="5" t="s">
        <v>2539</v>
      </c>
      <c r="D83" s="5" t="s">
        <v>2540</v>
      </c>
      <c r="E83" s="5" t="s">
        <v>2325</v>
      </c>
      <c r="F83" s="5" t="b">
        <v>1</v>
      </c>
    </row>
    <row r="84">
      <c r="A84" s="6" t="s">
        <v>2325</v>
      </c>
      <c r="B84" s="5" t="s">
        <v>2541</v>
      </c>
      <c r="C84" s="5" t="s">
        <v>2542</v>
      </c>
      <c r="D84" s="6" t="s">
        <v>2325</v>
      </c>
      <c r="E84" s="6" t="s">
        <v>2325</v>
      </c>
      <c r="F84" s="5" t="b">
        <v>1</v>
      </c>
    </row>
    <row r="85">
      <c r="A85" s="5" t="s">
        <v>2543</v>
      </c>
      <c r="B85" s="5" t="s">
        <v>2544</v>
      </c>
      <c r="C85" s="5" t="s">
        <v>2545</v>
      </c>
      <c r="D85" s="5" t="s">
        <v>2546</v>
      </c>
      <c r="E85" s="5" t="s">
        <v>2325</v>
      </c>
      <c r="F85" s="5" t="b">
        <v>1</v>
      </c>
    </row>
    <row r="86">
      <c r="A86" s="6" t="s">
        <v>2325</v>
      </c>
      <c r="B86" s="5" t="s">
        <v>2547</v>
      </c>
      <c r="C86" s="5" t="s">
        <v>2548</v>
      </c>
      <c r="D86" s="5" t="s">
        <v>2331</v>
      </c>
      <c r="E86" s="5" t="s">
        <v>2325</v>
      </c>
      <c r="F86" s="5" t="b">
        <v>1</v>
      </c>
    </row>
    <row r="87">
      <c r="A87" s="6" t="s">
        <v>2325</v>
      </c>
      <c r="B87" s="5" t="s">
        <v>2549</v>
      </c>
      <c r="C87" s="5" t="s">
        <v>2550</v>
      </c>
      <c r="D87" s="5" t="s">
        <v>2551</v>
      </c>
      <c r="E87" s="5" t="s">
        <v>2325</v>
      </c>
      <c r="F87" s="5" t="b">
        <v>1</v>
      </c>
    </row>
    <row r="88">
      <c r="A88" s="6" t="s">
        <v>2325</v>
      </c>
      <c r="B88" s="5" t="s">
        <v>2552</v>
      </c>
      <c r="C88" s="5" t="s">
        <v>2553</v>
      </c>
      <c r="D88" s="6" t="s">
        <v>2325</v>
      </c>
      <c r="E88" s="6" t="s">
        <v>2325</v>
      </c>
      <c r="F88" s="5" t="b">
        <v>1</v>
      </c>
    </row>
    <row r="89">
      <c r="A89" s="6" t="s">
        <v>2325</v>
      </c>
      <c r="B89" s="5" t="s">
        <v>2554</v>
      </c>
      <c r="C89" s="5" t="s">
        <v>2555</v>
      </c>
      <c r="D89" s="5" t="s">
        <v>2556</v>
      </c>
      <c r="E89" s="5" t="s">
        <v>2325</v>
      </c>
      <c r="F89" s="5" t="b">
        <v>1</v>
      </c>
    </row>
    <row r="90">
      <c r="A90" s="6" t="s">
        <v>2325</v>
      </c>
      <c r="B90" s="5" t="s">
        <v>2557</v>
      </c>
      <c r="C90" s="5" t="s">
        <v>2558</v>
      </c>
      <c r="D90" s="5" t="s">
        <v>2559</v>
      </c>
      <c r="E90" s="5" t="s">
        <v>2325</v>
      </c>
      <c r="F90" s="5" t="b">
        <v>1</v>
      </c>
    </row>
    <row r="91">
      <c r="A91" s="6" t="s">
        <v>2325</v>
      </c>
      <c r="B91" s="5" t="s">
        <v>2560</v>
      </c>
      <c r="C91" s="5" t="s">
        <v>2561</v>
      </c>
      <c r="D91" s="5" t="s">
        <v>2562</v>
      </c>
      <c r="E91" s="5" t="s">
        <v>2325</v>
      </c>
      <c r="F91" s="5" t="b">
        <v>0</v>
      </c>
    </row>
    <row r="92">
      <c r="A92" s="6" t="s">
        <v>2325</v>
      </c>
      <c r="B92" s="5" t="s">
        <v>2420</v>
      </c>
      <c r="C92" s="5" t="s">
        <v>2518</v>
      </c>
      <c r="D92" s="5" t="s">
        <v>2380</v>
      </c>
      <c r="E92" s="5" t="s">
        <v>2325</v>
      </c>
      <c r="F92" s="5" t="b">
        <v>0</v>
      </c>
    </row>
    <row r="93">
      <c r="A93" s="6" t="s">
        <v>2325</v>
      </c>
      <c r="B93" s="5" t="s">
        <v>2538</v>
      </c>
      <c r="C93" s="5" t="s">
        <v>2539</v>
      </c>
      <c r="D93" s="5" t="s">
        <v>2352</v>
      </c>
      <c r="E93" s="5" t="s">
        <v>2325</v>
      </c>
      <c r="F93" s="5" t="b">
        <v>1</v>
      </c>
    </row>
    <row r="94">
      <c r="A94" s="5" t="s">
        <v>2563</v>
      </c>
      <c r="B94" s="5" t="s">
        <v>2564</v>
      </c>
      <c r="C94" s="5" t="s">
        <v>2565</v>
      </c>
      <c r="D94" s="5" t="s">
        <v>2566</v>
      </c>
      <c r="E94" s="5" t="s">
        <v>2325</v>
      </c>
      <c r="F94" s="5" t="b">
        <v>1</v>
      </c>
    </row>
    <row r="95">
      <c r="A95" s="6" t="s">
        <v>2325</v>
      </c>
      <c r="B95" s="5" t="s">
        <v>2567</v>
      </c>
      <c r="C95" s="5" t="s">
        <v>2568</v>
      </c>
      <c r="D95" s="5" t="s">
        <v>2363</v>
      </c>
      <c r="E95" s="5" t="s">
        <v>2325</v>
      </c>
      <c r="F95" s="5" t="b">
        <v>1</v>
      </c>
    </row>
    <row r="96">
      <c r="A96" s="5" t="s">
        <v>2569</v>
      </c>
      <c r="B96" s="5" t="s">
        <v>2570</v>
      </c>
      <c r="C96" s="5" t="s">
        <v>2571</v>
      </c>
      <c r="D96" s="5" t="s">
        <v>2331</v>
      </c>
      <c r="E96" s="5" t="s">
        <v>2325</v>
      </c>
      <c r="F96" s="5" t="b">
        <v>1</v>
      </c>
    </row>
    <row r="97">
      <c r="A97" s="6" t="s">
        <v>2325</v>
      </c>
      <c r="B97" s="5" t="s">
        <v>2572</v>
      </c>
      <c r="C97" s="5" t="s">
        <v>2573</v>
      </c>
      <c r="D97" s="5" t="s">
        <v>2331</v>
      </c>
      <c r="E97" s="5" t="s">
        <v>2325</v>
      </c>
      <c r="F97" s="5" t="b">
        <v>0</v>
      </c>
    </row>
    <row r="98">
      <c r="A98" s="5" t="s">
        <v>2574</v>
      </c>
      <c r="B98" s="5" t="s">
        <v>2495</v>
      </c>
      <c r="C98" s="5" t="s">
        <v>2496</v>
      </c>
      <c r="D98" s="5" t="s">
        <v>2373</v>
      </c>
      <c r="E98" s="5" t="s">
        <v>2325</v>
      </c>
      <c r="F98" s="5" t="b">
        <v>1</v>
      </c>
    </row>
    <row r="99">
      <c r="A99" s="5" t="s">
        <v>2575</v>
      </c>
      <c r="B99" s="5" t="s">
        <v>2576</v>
      </c>
      <c r="C99" s="5" t="s">
        <v>2577</v>
      </c>
      <c r="D99" s="5" t="s">
        <v>2331</v>
      </c>
      <c r="E99" s="5" t="s">
        <v>2325</v>
      </c>
      <c r="F99" s="5" t="b">
        <v>1</v>
      </c>
    </row>
    <row r="100">
      <c r="A100" s="5" t="s">
        <v>2578</v>
      </c>
      <c r="B100" s="5" t="s">
        <v>2579</v>
      </c>
      <c r="C100" s="5" t="s">
        <v>2325</v>
      </c>
      <c r="D100" s="6" t="s">
        <v>2325</v>
      </c>
      <c r="E100" s="6" t="s">
        <v>2325</v>
      </c>
      <c r="F100" s="5" t="b">
        <v>0</v>
      </c>
    </row>
    <row r="101">
      <c r="A101" s="5" t="s">
        <v>2580</v>
      </c>
      <c r="B101" s="5" t="s">
        <v>2581</v>
      </c>
      <c r="C101" s="5" t="s">
        <v>2582</v>
      </c>
      <c r="D101" s="5" t="s">
        <v>2331</v>
      </c>
      <c r="E101" s="5" t="s">
        <v>2325</v>
      </c>
      <c r="F101" s="5" t="b">
        <v>0</v>
      </c>
    </row>
    <row r="102">
      <c r="A102" s="6" t="s">
        <v>2325</v>
      </c>
      <c r="B102" s="5" t="s">
        <v>2583</v>
      </c>
      <c r="C102" s="5" t="s">
        <v>2584</v>
      </c>
      <c r="D102" s="5" t="s">
        <v>2585</v>
      </c>
      <c r="E102" s="5" t="s">
        <v>2325</v>
      </c>
      <c r="F102" s="5" t="b">
        <v>0</v>
      </c>
    </row>
    <row r="103">
      <c r="A103" s="5" t="s">
        <v>2586</v>
      </c>
      <c r="B103" s="5" t="s">
        <v>2587</v>
      </c>
      <c r="C103" s="5" t="s">
        <v>2588</v>
      </c>
      <c r="D103" s="5" t="s">
        <v>2589</v>
      </c>
      <c r="E103" s="5" t="s">
        <v>2325</v>
      </c>
      <c r="F103" s="5" t="b">
        <v>1</v>
      </c>
    </row>
    <row r="104">
      <c r="A104" s="5" t="s">
        <v>2590</v>
      </c>
      <c r="B104" s="5" t="s">
        <v>2591</v>
      </c>
      <c r="C104" s="5" t="s">
        <v>2592</v>
      </c>
      <c r="D104" s="6" t="s">
        <v>2325</v>
      </c>
      <c r="E104" s="6" t="s">
        <v>2325</v>
      </c>
      <c r="F104" s="5" t="b">
        <v>0</v>
      </c>
    </row>
    <row r="105">
      <c r="A105" s="6" t="s">
        <v>2325</v>
      </c>
      <c r="B105" s="5" t="s">
        <v>2593</v>
      </c>
      <c r="C105" s="5" t="s">
        <v>2594</v>
      </c>
      <c r="D105" s="5" t="s">
        <v>2331</v>
      </c>
      <c r="E105" s="5" t="s">
        <v>2325</v>
      </c>
      <c r="F105" s="5" t="b">
        <v>1</v>
      </c>
    </row>
    <row r="106">
      <c r="A106" s="5" t="s">
        <v>2595</v>
      </c>
      <c r="B106" s="5" t="s">
        <v>2596</v>
      </c>
      <c r="C106" s="5" t="s">
        <v>2433</v>
      </c>
      <c r="D106" s="5" t="s">
        <v>2331</v>
      </c>
      <c r="E106" s="5" t="s">
        <v>2325</v>
      </c>
      <c r="F106" s="5" t="b">
        <v>1</v>
      </c>
    </row>
    <row r="107">
      <c r="A107" s="6" t="s">
        <v>2325</v>
      </c>
      <c r="B107" s="5" t="s">
        <v>2597</v>
      </c>
      <c r="C107" s="5" t="s">
        <v>2598</v>
      </c>
      <c r="D107" s="5" t="s">
        <v>2599</v>
      </c>
      <c r="E107" s="5" t="s">
        <v>2325</v>
      </c>
      <c r="F107" s="5" t="b">
        <v>0</v>
      </c>
    </row>
    <row r="108">
      <c r="A108" s="5" t="s">
        <v>2600</v>
      </c>
      <c r="B108" s="5" t="s">
        <v>2601</v>
      </c>
      <c r="C108" s="5" t="s">
        <v>2325</v>
      </c>
      <c r="D108" s="6" t="s">
        <v>2325</v>
      </c>
      <c r="E108" s="6" t="s">
        <v>2325</v>
      </c>
      <c r="F108" s="5" t="b">
        <v>0</v>
      </c>
    </row>
    <row r="109">
      <c r="A109" s="6" t="s">
        <v>2325</v>
      </c>
      <c r="B109" s="5" t="s">
        <v>2602</v>
      </c>
      <c r="C109" s="5" t="s">
        <v>2603</v>
      </c>
      <c r="D109" s="5" t="s">
        <v>2331</v>
      </c>
      <c r="E109" s="5" t="s">
        <v>2325</v>
      </c>
      <c r="F109" s="5" t="b">
        <v>1</v>
      </c>
    </row>
    <row r="110">
      <c r="A110" s="5" t="s">
        <v>2604</v>
      </c>
      <c r="B110" s="5" t="s">
        <v>2605</v>
      </c>
      <c r="C110" s="5" t="s">
        <v>2606</v>
      </c>
      <c r="D110" s="6" t="s">
        <v>2325</v>
      </c>
      <c r="E110" s="6" t="s">
        <v>2325</v>
      </c>
      <c r="F110" s="5" t="b">
        <v>0</v>
      </c>
    </row>
    <row r="111">
      <c r="A111" s="5" t="s">
        <v>2607</v>
      </c>
      <c r="B111" s="5" t="s">
        <v>2608</v>
      </c>
      <c r="C111" s="5" t="s">
        <v>2609</v>
      </c>
      <c r="D111" s="5" t="s">
        <v>2610</v>
      </c>
      <c r="E111" s="5" t="s">
        <v>2325</v>
      </c>
      <c r="F111" s="5" t="b">
        <v>0</v>
      </c>
    </row>
    <row r="112">
      <c r="A112" s="6" t="s">
        <v>2325</v>
      </c>
      <c r="B112" s="5" t="s">
        <v>2611</v>
      </c>
      <c r="C112" s="5" t="s">
        <v>2325</v>
      </c>
      <c r="D112" s="6" t="s">
        <v>2325</v>
      </c>
      <c r="E112" s="6" t="s">
        <v>2325</v>
      </c>
      <c r="F112" s="5" t="b">
        <v>0</v>
      </c>
    </row>
    <row r="113">
      <c r="A113" s="5" t="s">
        <v>2612</v>
      </c>
      <c r="B113" s="5" t="s">
        <v>2613</v>
      </c>
      <c r="C113" s="5" t="s">
        <v>2614</v>
      </c>
      <c r="D113" s="5" t="s">
        <v>2615</v>
      </c>
      <c r="E113" s="5" t="s">
        <v>2325</v>
      </c>
      <c r="F113" s="5" t="b">
        <v>1</v>
      </c>
    </row>
    <row r="114">
      <c r="A114" s="6" t="s">
        <v>2325</v>
      </c>
      <c r="B114" s="5" t="s">
        <v>2616</v>
      </c>
      <c r="C114" s="5" t="s">
        <v>2617</v>
      </c>
      <c r="D114" s="6" t="s">
        <v>2325</v>
      </c>
      <c r="E114" s="6" t="s">
        <v>2325</v>
      </c>
      <c r="F114" s="5" t="b">
        <v>0</v>
      </c>
    </row>
    <row r="115">
      <c r="A115" s="6" t="s">
        <v>2325</v>
      </c>
      <c r="B115" s="5" t="s">
        <v>2618</v>
      </c>
      <c r="C115" s="5" t="s">
        <v>2619</v>
      </c>
      <c r="D115" s="5" t="s">
        <v>2363</v>
      </c>
      <c r="E115" s="5" t="s">
        <v>2325</v>
      </c>
      <c r="F115" s="5" t="b">
        <v>1</v>
      </c>
    </row>
    <row r="116">
      <c r="A116" s="6" t="s">
        <v>2325</v>
      </c>
      <c r="B116" s="5" t="s">
        <v>2620</v>
      </c>
      <c r="C116" s="5" t="s">
        <v>2621</v>
      </c>
      <c r="D116" s="5" t="s">
        <v>2622</v>
      </c>
      <c r="E116" s="5" t="s">
        <v>2325</v>
      </c>
      <c r="F116" s="5" t="b">
        <v>0</v>
      </c>
    </row>
    <row r="117">
      <c r="A117" s="6" t="s">
        <v>2325</v>
      </c>
      <c r="B117" s="5" t="s">
        <v>2623</v>
      </c>
      <c r="C117" s="5" t="s">
        <v>2362</v>
      </c>
      <c r="D117" s="5" t="s">
        <v>2331</v>
      </c>
      <c r="E117" s="5" t="s">
        <v>2325</v>
      </c>
      <c r="F117" s="5" t="b">
        <v>1</v>
      </c>
    </row>
    <row r="118">
      <c r="A118" s="6" t="s">
        <v>2325</v>
      </c>
      <c r="B118" s="5" t="s">
        <v>2624</v>
      </c>
      <c r="C118" s="5" t="s">
        <v>2625</v>
      </c>
      <c r="D118" s="5" t="s">
        <v>2399</v>
      </c>
      <c r="E118" s="5" t="s">
        <v>2325</v>
      </c>
      <c r="F118" s="5" t="b">
        <v>1</v>
      </c>
    </row>
    <row r="119">
      <c r="A119" s="5" t="s">
        <v>2626</v>
      </c>
      <c r="B119" s="5" t="s">
        <v>2627</v>
      </c>
      <c r="C119" s="5" t="s">
        <v>2628</v>
      </c>
      <c r="D119" s="5" t="s">
        <v>2380</v>
      </c>
      <c r="E119" s="5" t="s">
        <v>2325</v>
      </c>
      <c r="F119" s="5" t="b">
        <v>0</v>
      </c>
    </row>
    <row r="120">
      <c r="A120" s="5" t="s">
        <v>2629</v>
      </c>
      <c r="B120" s="5" t="s">
        <v>2630</v>
      </c>
      <c r="C120" s="5" t="s">
        <v>2568</v>
      </c>
      <c r="D120" s="5" t="s">
        <v>2363</v>
      </c>
      <c r="E120" s="5" t="s">
        <v>2325</v>
      </c>
      <c r="F120" s="5" t="b">
        <v>1</v>
      </c>
    </row>
    <row r="121">
      <c r="A121" s="5" t="s">
        <v>2631</v>
      </c>
      <c r="B121" s="5" t="s">
        <v>2632</v>
      </c>
      <c r="C121" s="5" t="s">
        <v>2325</v>
      </c>
      <c r="D121" s="6" t="s">
        <v>2325</v>
      </c>
      <c r="E121" s="6" t="s">
        <v>2325</v>
      </c>
      <c r="F121" s="5" t="b">
        <v>0</v>
      </c>
    </row>
    <row r="122">
      <c r="A122" s="5" t="s">
        <v>2633</v>
      </c>
      <c r="B122" s="5" t="s">
        <v>2634</v>
      </c>
      <c r="C122" s="5" t="s">
        <v>2325</v>
      </c>
      <c r="D122" s="6" t="s">
        <v>2325</v>
      </c>
      <c r="E122" s="6" t="s">
        <v>2325</v>
      </c>
      <c r="F122" s="5" t="b">
        <v>0</v>
      </c>
    </row>
    <row r="123">
      <c r="A123" s="5" t="s">
        <v>2635</v>
      </c>
      <c r="B123" s="5" t="s">
        <v>2636</v>
      </c>
      <c r="C123" s="5" t="s">
        <v>2568</v>
      </c>
      <c r="D123" s="5" t="s">
        <v>2331</v>
      </c>
      <c r="E123" s="5" t="s">
        <v>2325</v>
      </c>
      <c r="F123" s="5" t="b">
        <v>1</v>
      </c>
    </row>
    <row r="124">
      <c r="A124" s="5" t="s">
        <v>2637</v>
      </c>
      <c r="B124" s="5" t="s">
        <v>2638</v>
      </c>
      <c r="C124" s="5" t="s">
        <v>2639</v>
      </c>
      <c r="D124" s="5" t="s">
        <v>2331</v>
      </c>
      <c r="E124" s="5" t="s">
        <v>2325</v>
      </c>
      <c r="F124" s="5" t="b">
        <v>1</v>
      </c>
    </row>
    <row r="125">
      <c r="A125" s="6" t="s">
        <v>2325</v>
      </c>
      <c r="B125" s="5" t="s">
        <v>2640</v>
      </c>
      <c r="C125" s="5" t="s">
        <v>2641</v>
      </c>
      <c r="D125" s="5" t="s">
        <v>2642</v>
      </c>
      <c r="E125" s="5" t="s">
        <v>2325</v>
      </c>
      <c r="F125" s="5" t="b">
        <v>0</v>
      </c>
    </row>
    <row r="126">
      <c r="A126" s="5" t="s">
        <v>2643</v>
      </c>
      <c r="B126" s="5" t="s">
        <v>2644</v>
      </c>
      <c r="C126" s="5" t="s">
        <v>2645</v>
      </c>
      <c r="D126" s="5" t="s">
        <v>2331</v>
      </c>
      <c r="E126" s="5" t="s">
        <v>2325</v>
      </c>
      <c r="F126" s="5" t="b">
        <v>0</v>
      </c>
    </row>
    <row r="127">
      <c r="A127" s="6" t="s">
        <v>2325</v>
      </c>
      <c r="B127" s="5" t="s">
        <v>2646</v>
      </c>
      <c r="C127" s="5" t="s">
        <v>2647</v>
      </c>
      <c r="D127" s="5" t="s">
        <v>2648</v>
      </c>
      <c r="E127" s="5" t="s">
        <v>2325</v>
      </c>
      <c r="F127" s="5" t="b">
        <v>1</v>
      </c>
    </row>
    <row r="128">
      <c r="A128" s="6" t="s">
        <v>2325</v>
      </c>
      <c r="B128" s="5" t="s">
        <v>2649</v>
      </c>
      <c r="C128" s="5" t="s">
        <v>2325</v>
      </c>
      <c r="D128" s="5" t="s">
        <v>2650</v>
      </c>
      <c r="E128" s="5" t="s">
        <v>2325</v>
      </c>
      <c r="F128" s="5" t="b">
        <v>0</v>
      </c>
    </row>
    <row r="129">
      <c r="A129" s="6" t="s">
        <v>2325</v>
      </c>
      <c r="B129" s="5" t="s">
        <v>2651</v>
      </c>
      <c r="C129" s="5" t="s">
        <v>2652</v>
      </c>
      <c r="D129" s="5" t="s">
        <v>2653</v>
      </c>
      <c r="E129" s="5" t="s">
        <v>2325</v>
      </c>
      <c r="F129" s="5" t="b">
        <v>0</v>
      </c>
    </row>
    <row r="130">
      <c r="A130" s="5" t="s">
        <v>2654</v>
      </c>
      <c r="B130" s="5" t="s">
        <v>2655</v>
      </c>
      <c r="C130" s="5" t="s">
        <v>2656</v>
      </c>
      <c r="D130" s="6" t="s">
        <v>2331</v>
      </c>
      <c r="E130" s="6" t="s">
        <v>2325</v>
      </c>
      <c r="F130" s="5" t="b">
        <v>1</v>
      </c>
    </row>
    <row r="131">
      <c r="A131" s="6" t="s">
        <v>2325</v>
      </c>
      <c r="B131" s="5" t="s">
        <v>2657</v>
      </c>
      <c r="C131" s="5" t="s">
        <v>2658</v>
      </c>
      <c r="D131" s="6" t="s">
        <v>2331</v>
      </c>
      <c r="E131" s="6" t="s">
        <v>2325</v>
      </c>
      <c r="F131" s="5" t="b">
        <v>0</v>
      </c>
    </row>
    <row r="132">
      <c r="A132" s="6" t="s">
        <v>2325</v>
      </c>
      <c r="B132" s="5" t="s">
        <v>2659</v>
      </c>
      <c r="C132" s="5" t="s">
        <v>2660</v>
      </c>
      <c r="D132" s="5" t="s">
        <v>2661</v>
      </c>
      <c r="E132" s="5" t="s">
        <v>2325</v>
      </c>
      <c r="F132" s="5" t="b">
        <v>1</v>
      </c>
    </row>
    <row r="133">
      <c r="A133" s="5" t="s">
        <v>2662</v>
      </c>
      <c r="B133" s="5" t="s">
        <v>2663</v>
      </c>
      <c r="C133" s="5" t="s">
        <v>2383</v>
      </c>
      <c r="D133" s="6" t="s">
        <v>2325</v>
      </c>
      <c r="E133" s="6" t="s">
        <v>2325</v>
      </c>
      <c r="F133" s="5" t="b">
        <v>0</v>
      </c>
    </row>
    <row r="134">
      <c r="A134" s="5" t="s">
        <v>2664</v>
      </c>
      <c r="B134" s="5" t="s">
        <v>2436</v>
      </c>
      <c r="C134" s="5" t="s">
        <v>2437</v>
      </c>
      <c r="D134" s="5" t="s">
        <v>2331</v>
      </c>
      <c r="E134" s="5" t="s">
        <v>2325</v>
      </c>
      <c r="F134" s="5" t="b">
        <v>1</v>
      </c>
    </row>
    <row r="135">
      <c r="A135" s="5" t="s">
        <v>2665</v>
      </c>
      <c r="B135" s="5" t="s">
        <v>2666</v>
      </c>
      <c r="C135" s="5" t="s">
        <v>2667</v>
      </c>
      <c r="D135" s="5" t="s">
        <v>2668</v>
      </c>
      <c r="E135" s="5" t="s">
        <v>2325</v>
      </c>
      <c r="F135" s="5" t="b">
        <v>1</v>
      </c>
    </row>
    <row r="136">
      <c r="A136" s="5" t="s">
        <v>2669</v>
      </c>
      <c r="B136" s="5" t="s">
        <v>2670</v>
      </c>
      <c r="C136" s="5" t="s">
        <v>2488</v>
      </c>
      <c r="D136" s="6" t="s">
        <v>2325</v>
      </c>
      <c r="E136" s="6" t="s">
        <v>2325</v>
      </c>
      <c r="F136" s="5" t="b">
        <v>1</v>
      </c>
    </row>
    <row r="137">
      <c r="A137" s="6" t="s">
        <v>2325</v>
      </c>
      <c r="B137" s="5" t="s">
        <v>2671</v>
      </c>
      <c r="C137" s="5" t="s">
        <v>2672</v>
      </c>
      <c r="D137" s="5" t="s">
        <v>2325</v>
      </c>
      <c r="E137" s="5" t="s">
        <v>2325</v>
      </c>
      <c r="F137" s="5" t="b">
        <v>1</v>
      </c>
    </row>
    <row r="138">
      <c r="A138" s="6" t="s">
        <v>2325</v>
      </c>
      <c r="B138" s="5" t="s">
        <v>2673</v>
      </c>
      <c r="C138" s="5" t="s">
        <v>2674</v>
      </c>
      <c r="D138" s="5" t="s">
        <v>2675</v>
      </c>
      <c r="E138" s="5" t="s">
        <v>2325</v>
      </c>
      <c r="F138" s="5" t="b">
        <v>0</v>
      </c>
    </row>
    <row r="139">
      <c r="A139" s="5" t="s">
        <v>2676</v>
      </c>
      <c r="B139" s="5" t="s">
        <v>2325</v>
      </c>
      <c r="C139" s="5" t="s">
        <v>2325</v>
      </c>
      <c r="D139" s="5" t="s">
        <v>2677</v>
      </c>
      <c r="E139" s="5" t="s">
        <v>2325</v>
      </c>
      <c r="F139" s="5" t="b">
        <v>0</v>
      </c>
    </row>
    <row r="140">
      <c r="A140" s="5" t="s">
        <v>1179</v>
      </c>
      <c r="B140" s="5" t="s">
        <v>1081</v>
      </c>
      <c r="C140" s="5" t="s">
        <v>2678</v>
      </c>
      <c r="D140" s="6" t="s">
        <v>2325</v>
      </c>
      <c r="E140" s="6" t="s">
        <v>2325</v>
      </c>
      <c r="F140" s="5" t="b">
        <v>0</v>
      </c>
    </row>
    <row r="141">
      <c r="A141" s="5" t="s">
        <v>2679</v>
      </c>
      <c r="B141" s="5" t="s">
        <v>2680</v>
      </c>
      <c r="C141" s="5" t="s">
        <v>2537</v>
      </c>
      <c r="D141" s="5" t="s">
        <v>2363</v>
      </c>
      <c r="E141" s="5" t="s">
        <v>2325</v>
      </c>
      <c r="F141" s="5" t="b">
        <v>0</v>
      </c>
    </row>
    <row r="142">
      <c r="A142" s="6" t="s">
        <v>2325</v>
      </c>
      <c r="B142" s="5" t="s">
        <v>451</v>
      </c>
      <c r="C142" s="5" t="s">
        <v>2681</v>
      </c>
      <c r="D142" s="6" t="s">
        <v>2325</v>
      </c>
      <c r="E142" s="6" t="s">
        <v>2325</v>
      </c>
      <c r="F142" s="5" t="b">
        <v>0</v>
      </c>
    </row>
    <row r="143">
      <c r="A143" s="6" t="s">
        <v>2325</v>
      </c>
      <c r="B143" s="5" t="s">
        <v>2323</v>
      </c>
      <c r="C143" s="5" t="s">
        <v>2324</v>
      </c>
      <c r="D143" s="6" t="s">
        <v>2325</v>
      </c>
      <c r="E143" s="6" t="s">
        <v>2325</v>
      </c>
      <c r="F143" s="5" t="b">
        <v>0</v>
      </c>
    </row>
    <row r="144">
      <c r="A144" s="5" t="s">
        <v>2682</v>
      </c>
      <c r="B144" s="5" t="s">
        <v>2683</v>
      </c>
      <c r="C144" s="5" t="s">
        <v>2684</v>
      </c>
      <c r="D144" s="6" t="s">
        <v>2325</v>
      </c>
      <c r="E144" s="6" t="s">
        <v>2325</v>
      </c>
      <c r="F144" s="5" t="b">
        <v>0</v>
      </c>
    </row>
    <row r="145">
      <c r="A145" s="6" t="s">
        <v>2325</v>
      </c>
      <c r="B145" s="5" t="s">
        <v>2685</v>
      </c>
      <c r="C145" s="5" t="s">
        <v>2686</v>
      </c>
      <c r="D145" s="5" t="s">
        <v>2331</v>
      </c>
      <c r="E145" s="5" t="s">
        <v>2325</v>
      </c>
      <c r="F145" s="5" t="b">
        <v>1</v>
      </c>
    </row>
    <row r="146">
      <c r="A146" s="5" t="s">
        <v>2687</v>
      </c>
      <c r="B146" s="5" t="s">
        <v>2634</v>
      </c>
      <c r="C146" s="5" t="s">
        <v>2325</v>
      </c>
      <c r="D146" s="6" t="s">
        <v>2325</v>
      </c>
      <c r="E146" s="6" t="s">
        <v>2325</v>
      </c>
      <c r="F146" s="5" t="b">
        <v>0</v>
      </c>
    </row>
    <row r="147">
      <c r="A147" s="5" t="s">
        <v>2688</v>
      </c>
      <c r="B147" s="5" t="s">
        <v>2689</v>
      </c>
      <c r="C147" s="5" t="s">
        <v>2690</v>
      </c>
      <c r="D147" s="6" t="s">
        <v>2325</v>
      </c>
      <c r="E147" s="6" t="s">
        <v>2325</v>
      </c>
      <c r="F147" s="5" t="b">
        <v>0</v>
      </c>
    </row>
    <row r="148">
      <c r="A148" s="6" t="s">
        <v>2325</v>
      </c>
      <c r="B148" s="5" t="s">
        <v>2691</v>
      </c>
      <c r="C148" s="5" t="s">
        <v>2692</v>
      </c>
      <c r="D148" s="5" t="s">
        <v>2693</v>
      </c>
      <c r="E148" s="5" t="s">
        <v>2325</v>
      </c>
      <c r="F148" s="5" t="b">
        <v>0</v>
      </c>
    </row>
    <row r="149">
      <c r="A149" s="6" t="s">
        <v>2325</v>
      </c>
      <c r="B149" s="5" t="s">
        <v>2694</v>
      </c>
      <c r="C149" s="5" t="s">
        <v>2695</v>
      </c>
      <c r="D149" s="5" t="s">
        <v>2696</v>
      </c>
      <c r="E149" s="5" t="s">
        <v>2325</v>
      </c>
      <c r="F149" s="5" t="b">
        <v>0</v>
      </c>
    </row>
    <row r="150">
      <c r="A150" s="5" t="s">
        <v>2697</v>
      </c>
      <c r="B150" s="5" t="s">
        <v>2698</v>
      </c>
      <c r="C150" s="5" t="s">
        <v>2699</v>
      </c>
      <c r="D150" s="5" t="s">
        <v>2331</v>
      </c>
      <c r="E150" s="5" t="s">
        <v>2325</v>
      </c>
      <c r="F150" s="5" t="b">
        <v>1</v>
      </c>
    </row>
    <row r="151">
      <c r="A151" s="6" t="s">
        <v>2325</v>
      </c>
      <c r="B151" s="5" t="s">
        <v>2700</v>
      </c>
      <c r="C151" s="5" t="s">
        <v>2701</v>
      </c>
      <c r="D151" s="5" t="s">
        <v>2363</v>
      </c>
      <c r="E151" s="5" t="s">
        <v>2325</v>
      </c>
      <c r="F151" s="5" t="b">
        <v>1</v>
      </c>
    </row>
    <row r="152">
      <c r="A152" s="5" t="s">
        <v>2702</v>
      </c>
      <c r="B152" s="5" t="s">
        <v>2703</v>
      </c>
      <c r="C152" s="5" t="s">
        <v>2704</v>
      </c>
      <c r="D152" s="6" t="s">
        <v>2325</v>
      </c>
      <c r="E152" s="6" t="s">
        <v>2325</v>
      </c>
      <c r="F152" s="5" t="b">
        <v>1</v>
      </c>
    </row>
    <row r="153">
      <c r="A153" s="6" t="s">
        <v>2325</v>
      </c>
      <c r="B153" s="5" t="s">
        <v>2705</v>
      </c>
      <c r="C153" s="5" t="s">
        <v>2706</v>
      </c>
      <c r="D153" s="5" t="s">
        <v>2399</v>
      </c>
      <c r="E153" s="5" t="s">
        <v>2325</v>
      </c>
      <c r="F153" s="5" t="b">
        <v>1</v>
      </c>
    </row>
    <row r="154">
      <c r="A154" s="5" t="s">
        <v>2707</v>
      </c>
      <c r="B154" s="5" t="s">
        <v>2708</v>
      </c>
      <c r="C154" s="5" t="s">
        <v>2709</v>
      </c>
      <c r="D154" s="5" t="s">
        <v>2399</v>
      </c>
      <c r="E154" s="5" t="s">
        <v>2325</v>
      </c>
      <c r="F154" s="5" t="b">
        <v>0</v>
      </c>
    </row>
    <row r="155">
      <c r="A155" s="5" t="s">
        <v>2710</v>
      </c>
      <c r="B155" s="5" t="s">
        <v>2711</v>
      </c>
      <c r="C155" s="5" t="s">
        <v>2325</v>
      </c>
      <c r="D155" s="6" t="s">
        <v>2325</v>
      </c>
      <c r="E155" s="6" t="s">
        <v>2325</v>
      </c>
      <c r="F155" s="5" t="b">
        <v>0</v>
      </c>
    </row>
    <row r="156">
      <c r="A156" s="6" t="s">
        <v>2325</v>
      </c>
      <c r="B156" s="5" t="s">
        <v>2712</v>
      </c>
      <c r="C156" s="6" t="s">
        <v>2325</v>
      </c>
      <c r="D156" s="5" t="s">
        <v>2713</v>
      </c>
      <c r="E156" s="5" t="s">
        <v>2325</v>
      </c>
      <c r="F156" s="5" t="b">
        <v>0</v>
      </c>
    </row>
    <row r="157">
      <c r="A157" s="6" t="s">
        <v>2325</v>
      </c>
      <c r="B157" s="5" t="s">
        <v>2714</v>
      </c>
      <c r="C157" s="5" t="s">
        <v>2715</v>
      </c>
      <c r="D157" s="5" t="s">
        <v>2615</v>
      </c>
      <c r="E157" s="5" t="s">
        <v>2325</v>
      </c>
      <c r="F157" s="5" t="b">
        <v>1</v>
      </c>
    </row>
    <row r="158">
      <c r="A158" s="5" t="s">
        <v>2716</v>
      </c>
      <c r="B158" s="5" t="s">
        <v>2393</v>
      </c>
      <c r="C158" s="5" t="s">
        <v>2717</v>
      </c>
      <c r="D158" s="5" t="s">
        <v>2395</v>
      </c>
      <c r="E158" s="5" t="s">
        <v>2325</v>
      </c>
      <c r="F158" s="5" t="b">
        <v>0</v>
      </c>
    </row>
    <row r="159">
      <c r="A159" s="6" t="s">
        <v>2325</v>
      </c>
      <c r="B159" s="5" t="s">
        <v>2718</v>
      </c>
      <c r="C159" s="5" t="s">
        <v>2719</v>
      </c>
      <c r="D159" s="5" t="s">
        <v>2399</v>
      </c>
      <c r="E159" s="5" t="s">
        <v>2325</v>
      </c>
      <c r="F159" s="5" t="b">
        <v>1</v>
      </c>
    </row>
    <row r="160">
      <c r="A160" s="6" t="s">
        <v>2325</v>
      </c>
      <c r="B160" s="5" t="s">
        <v>2720</v>
      </c>
      <c r="C160" s="5" t="s">
        <v>2721</v>
      </c>
      <c r="D160" s="5" t="s">
        <v>2722</v>
      </c>
      <c r="E160" s="5" t="s">
        <v>2325</v>
      </c>
      <c r="F160" s="5" t="b">
        <v>1</v>
      </c>
    </row>
    <row r="161">
      <c r="A161" s="6" t="s">
        <v>2325</v>
      </c>
      <c r="B161" s="5" t="s">
        <v>2723</v>
      </c>
      <c r="C161" s="5" t="s">
        <v>2419</v>
      </c>
      <c r="D161" s="6" t="s">
        <v>2325</v>
      </c>
      <c r="E161" s="6" t="s">
        <v>2325</v>
      </c>
      <c r="F161" s="5" t="b">
        <v>0</v>
      </c>
    </row>
    <row r="162">
      <c r="A162" s="6" t="s">
        <v>2325</v>
      </c>
      <c r="B162" s="5" t="s">
        <v>2724</v>
      </c>
      <c r="C162" s="5" t="s">
        <v>2725</v>
      </c>
      <c r="D162" s="5" t="s">
        <v>2331</v>
      </c>
      <c r="E162" s="5" t="s">
        <v>2325</v>
      </c>
      <c r="F162" s="5" t="b">
        <v>1</v>
      </c>
    </row>
    <row r="163">
      <c r="A163" s="5" t="s">
        <v>2726</v>
      </c>
      <c r="B163" s="5" t="s">
        <v>2727</v>
      </c>
      <c r="C163" s="5" t="s">
        <v>2728</v>
      </c>
      <c r="D163" s="6" t="s">
        <v>2325</v>
      </c>
      <c r="E163" s="6" t="s">
        <v>2325</v>
      </c>
      <c r="F163" s="5" t="b">
        <v>0</v>
      </c>
    </row>
    <row r="164">
      <c r="A164" s="5" t="s">
        <v>2729</v>
      </c>
      <c r="B164" s="5" t="s">
        <v>2730</v>
      </c>
      <c r="C164" s="5" t="s">
        <v>2731</v>
      </c>
      <c r="D164" s="5" t="s">
        <v>2615</v>
      </c>
      <c r="E164" s="5" t="s">
        <v>2325</v>
      </c>
      <c r="F164" s="5" t="b">
        <v>1</v>
      </c>
    </row>
    <row r="165">
      <c r="A165" s="6" t="s">
        <v>2325</v>
      </c>
      <c r="B165" s="5" t="s">
        <v>2732</v>
      </c>
      <c r="C165" s="5" t="s">
        <v>2733</v>
      </c>
      <c r="D165" s="5" t="s">
        <v>2734</v>
      </c>
      <c r="E165" s="5" t="s">
        <v>2325</v>
      </c>
      <c r="F165" s="5" t="b">
        <v>0</v>
      </c>
    </row>
    <row r="166">
      <c r="A166" s="5" t="s">
        <v>2735</v>
      </c>
      <c r="B166" s="5" t="s">
        <v>2736</v>
      </c>
      <c r="C166" s="5" t="s">
        <v>2737</v>
      </c>
      <c r="D166" s="5" t="s">
        <v>2338</v>
      </c>
      <c r="E166" s="5" t="s">
        <v>2325</v>
      </c>
      <c r="F166" s="5" t="b">
        <v>0</v>
      </c>
    </row>
    <row r="167">
      <c r="A167" s="6" t="s">
        <v>2325</v>
      </c>
      <c r="B167" s="5" t="s">
        <v>2738</v>
      </c>
      <c r="C167" s="5" t="s">
        <v>2739</v>
      </c>
      <c r="D167" s="5" t="s">
        <v>2740</v>
      </c>
      <c r="E167" s="5" t="s">
        <v>2325</v>
      </c>
      <c r="F167" s="5" t="b">
        <v>1</v>
      </c>
    </row>
    <row r="168">
      <c r="A168" s="6" t="s">
        <v>2325</v>
      </c>
      <c r="B168" s="5" t="s">
        <v>2741</v>
      </c>
      <c r="C168" s="5" t="s">
        <v>2498</v>
      </c>
      <c r="D168" s="5" t="s">
        <v>2352</v>
      </c>
      <c r="E168" s="5" t="s">
        <v>2325</v>
      </c>
      <c r="F168" s="5" t="b">
        <v>1</v>
      </c>
    </row>
    <row r="169">
      <c r="A169" s="5" t="s">
        <v>2742</v>
      </c>
      <c r="B169" s="5" t="s">
        <v>2743</v>
      </c>
      <c r="C169" s="5" t="s">
        <v>2744</v>
      </c>
      <c r="D169" s="5" t="s">
        <v>2363</v>
      </c>
      <c r="E169" s="5" t="s">
        <v>2325</v>
      </c>
      <c r="F169" s="5" t="b">
        <v>1</v>
      </c>
    </row>
    <row r="170">
      <c r="A170" s="5" t="s">
        <v>2745</v>
      </c>
      <c r="B170" s="5" t="s">
        <v>2746</v>
      </c>
      <c r="C170" s="5" t="s">
        <v>2747</v>
      </c>
      <c r="D170" s="5" t="s">
        <v>2331</v>
      </c>
      <c r="E170" s="5" t="s">
        <v>2325</v>
      </c>
      <c r="F170" s="5" t="b">
        <v>1</v>
      </c>
    </row>
    <row r="171">
      <c r="A171" s="6" t="s">
        <v>2325</v>
      </c>
      <c r="B171" s="5" t="s">
        <v>2456</v>
      </c>
      <c r="C171" s="5" t="s">
        <v>2457</v>
      </c>
      <c r="D171" s="5" t="s">
        <v>2352</v>
      </c>
      <c r="E171" s="5" t="s">
        <v>2325</v>
      </c>
      <c r="F171" s="5" t="b">
        <v>0</v>
      </c>
    </row>
    <row r="172">
      <c r="A172" s="5" t="s">
        <v>2748</v>
      </c>
      <c r="B172" s="5" t="s">
        <v>2749</v>
      </c>
      <c r="C172" s="5" t="s">
        <v>2750</v>
      </c>
      <c r="D172" s="6" t="s">
        <v>2325</v>
      </c>
      <c r="E172" s="6" t="s">
        <v>2325</v>
      </c>
      <c r="F172" s="5" t="b">
        <v>0</v>
      </c>
    </row>
    <row r="173">
      <c r="A173" s="5" t="s">
        <v>2751</v>
      </c>
      <c r="B173" s="5" t="s">
        <v>2752</v>
      </c>
      <c r="C173" s="5" t="s">
        <v>2753</v>
      </c>
      <c r="D173" s="5" t="s">
        <v>2352</v>
      </c>
      <c r="E173" s="5" t="s">
        <v>2325</v>
      </c>
      <c r="F173" s="5" t="b">
        <v>0</v>
      </c>
    </row>
    <row r="174">
      <c r="A174" s="6" t="s">
        <v>2325</v>
      </c>
      <c r="B174" s="5" t="s">
        <v>2754</v>
      </c>
      <c r="C174" s="5" t="s">
        <v>2755</v>
      </c>
      <c r="D174" s="5" t="s">
        <v>2756</v>
      </c>
      <c r="E174" s="5" t="s">
        <v>2325</v>
      </c>
      <c r="F174" s="5" t="b">
        <v>0</v>
      </c>
    </row>
    <row r="175">
      <c r="A175" s="5" t="s">
        <v>2325</v>
      </c>
      <c r="B175" s="5" t="s">
        <v>2757</v>
      </c>
      <c r="C175" s="5" t="s">
        <v>2758</v>
      </c>
      <c r="D175" s="5" t="s">
        <v>2380</v>
      </c>
      <c r="E175" s="5" t="s">
        <v>2325</v>
      </c>
      <c r="F175" s="5" t="b">
        <v>1</v>
      </c>
    </row>
    <row r="176">
      <c r="A176" s="5" t="s">
        <v>2325</v>
      </c>
      <c r="B176" s="5" t="s">
        <v>2325</v>
      </c>
      <c r="C176" s="5" t="s">
        <v>2759</v>
      </c>
      <c r="D176" s="5" t="s">
        <v>2760</v>
      </c>
      <c r="E176" s="5" t="s">
        <v>2325</v>
      </c>
      <c r="F176" s="5" t="b">
        <v>0</v>
      </c>
    </row>
    <row r="177">
      <c r="A177" s="5" t="s">
        <v>2761</v>
      </c>
      <c r="B177" s="5" t="s">
        <v>2762</v>
      </c>
      <c r="C177" s="5" t="s">
        <v>2763</v>
      </c>
      <c r="D177" s="5" t="s">
        <v>2352</v>
      </c>
      <c r="E177" s="5" t="s">
        <v>2325</v>
      </c>
      <c r="F177" s="5" t="b">
        <v>1</v>
      </c>
    </row>
    <row r="178">
      <c r="A178" s="5" t="s">
        <v>2325</v>
      </c>
      <c r="B178" s="5" t="s">
        <v>2764</v>
      </c>
      <c r="C178" s="5" t="s">
        <v>2765</v>
      </c>
      <c r="D178" s="5" t="s">
        <v>2399</v>
      </c>
      <c r="E178" s="5" t="s">
        <v>2325</v>
      </c>
      <c r="F178" s="5" t="b">
        <v>1</v>
      </c>
    </row>
    <row r="179">
      <c r="A179" s="5" t="s">
        <v>2766</v>
      </c>
      <c r="B179" s="5" t="s">
        <v>2767</v>
      </c>
      <c r="C179" s="5" t="s">
        <v>2768</v>
      </c>
      <c r="D179" s="6" t="s">
        <v>2325</v>
      </c>
      <c r="E179" s="6" t="s">
        <v>2325</v>
      </c>
      <c r="F179" s="5" t="b">
        <v>0</v>
      </c>
    </row>
    <row r="180">
      <c r="A180" s="5" t="s">
        <v>2769</v>
      </c>
      <c r="B180" s="5" t="s">
        <v>2770</v>
      </c>
      <c r="C180" s="5" t="s">
        <v>2771</v>
      </c>
      <c r="D180" s="5" t="s">
        <v>2772</v>
      </c>
      <c r="E180" s="5" t="s">
        <v>2325</v>
      </c>
      <c r="F180" s="5" t="b">
        <v>1</v>
      </c>
    </row>
    <row r="181">
      <c r="A181" s="5" t="s">
        <v>2773</v>
      </c>
      <c r="B181" s="5" t="s">
        <v>2774</v>
      </c>
      <c r="C181" s="5" t="s">
        <v>2775</v>
      </c>
      <c r="D181" s="5" t="s">
        <v>2776</v>
      </c>
      <c r="E181" s="5" t="s">
        <v>2325</v>
      </c>
      <c r="F181" s="5" t="b">
        <v>1</v>
      </c>
    </row>
    <row r="182">
      <c r="A182" s="6" t="s">
        <v>2325</v>
      </c>
      <c r="B182" s="5" t="s">
        <v>2777</v>
      </c>
      <c r="C182" s="5" t="s">
        <v>2778</v>
      </c>
      <c r="D182" s="5" t="s">
        <v>2399</v>
      </c>
      <c r="E182" s="5" t="s">
        <v>2325</v>
      </c>
      <c r="F182" s="5" t="b">
        <v>1</v>
      </c>
    </row>
    <row r="183">
      <c r="A183" s="6" t="s">
        <v>2325</v>
      </c>
      <c r="B183" s="5" t="s">
        <v>2779</v>
      </c>
      <c r="C183" s="5" t="s">
        <v>2555</v>
      </c>
      <c r="D183" s="5" t="s">
        <v>2780</v>
      </c>
      <c r="E183" s="5" t="s">
        <v>2325</v>
      </c>
      <c r="F183" s="5" t="b">
        <v>1</v>
      </c>
    </row>
    <row r="184">
      <c r="A184" s="5" t="s">
        <v>2781</v>
      </c>
      <c r="B184" s="5" t="s">
        <v>2782</v>
      </c>
      <c r="C184" s="5" t="s">
        <v>2783</v>
      </c>
      <c r="D184" s="5" t="s">
        <v>2399</v>
      </c>
      <c r="E184" s="5" t="s">
        <v>2325</v>
      </c>
      <c r="F184" s="5" t="b">
        <v>0</v>
      </c>
    </row>
    <row r="185">
      <c r="A185" s="5" t="s">
        <v>2784</v>
      </c>
      <c r="B185" s="5" t="s">
        <v>2785</v>
      </c>
      <c r="C185" s="5" t="s">
        <v>2786</v>
      </c>
      <c r="D185" s="5" t="s">
        <v>2787</v>
      </c>
      <c r="E185" s="5" t="s">
        <v>2325</v>
      </c>
      <c r="F185" s="5" t="b">
        <v>1</v>
      </c>
    </row>
    <row r="186">
      <c r="A186" s="5" t="s">
        <v>2788</v>
      </c>
      <c r="B186" s="5" t="s">
        <v>2789</v>
      </c>
      <c r="C186" s="5" t="s">
        <v>2790</v>
      </c>
      <c r="D186" s="5" t="s">
        <v>2399</v>
      </c>
      <c r="E186" s="5" t="s">
        <v>2325</v>
      </c>
      <c r="F186" s="5" t="b">
        <v>0</v>
      </c>
    </row>
    <row r="187">
      <c r="A187" s="6" t="s">
        <v>2325</v>
      </c>
      <c r="B187" s="5" t="s">
        <v>2791</v>
      </c>
      <c r="C187" s="5" t="s">
        <v>2792</v>
      </c>
      <c r="D187" s="5" t="s">
        <v>2615</v>
      </c>
      <c r="E187" s="6" t="s">
        <v>2325</v>
      </c>
      <c r="F187" s="5" t="b">
        <v>1</v>
      </c>
    </row>
    <row r="188">
      <c r="A188" s="6" t="s">
        <v>2325</v>
      </c>
      <c r="B188" s="5" t="s">
        <v>2793</v>
      </c>
      <c r="C188" s="5" t="s">
        <v>2794</v>
      </c>
      <c r="D188" s="5" t="s">
        <v>2331</v>
      </c>
      <c r="E188" s="6" t="s">
        <v>2325</v>
      </c>
      <c r="F188" s="5" t="b">
        <v>1</v>
      </c>
    </row>
    <row r="189">
      <c r="A189" s="6" t="s">
        <v>2325</v>
      </c>
      <c r="B189" s="5" t="s">
        <v>2795</v>
      </c>
      <c r="C189" s="5" t="s">
        <v>2796</v>
      </c>
      <c r="D189" s="6" t="s">
        <v>2325</v>
      </c>
      <c r="E189" s="6" t="s">
        <v>2325</v>
      </c>
      <c r="F189" s="5" t="b">
        <v>1</v>
      </c>
    </row>
    <row r="190">
      <c r="A190" s="6" t="s">
        <v>2325</v>
      </c>
      <c r="B190" s="5" t="s">
        <v>2797</v>
      </c>
      <c r="C190" s="5" t="s">
        <v>2537</v>
      </c>
      <c r="D190" s="6" t="s">
        <v>2325</v>
      </c>
      <c r="E190" s="6" t="s">
        <v>2325</v>
      </c>
      <c r="F190" s="5" t="b">
        <v>1</v>
      </c>
    </row>
    <row r="191">
      <c r="A191" s="6" t="s">
        <v>2325</v>
      </c>
      <c r="B191" s="5" t="s">
        <v>2798</v>
      </c>
      <c r="C191" s="5" t="s">
        <v>2799</v>
      </c>
      <c r="D191" s="5" t="s">
        <v>2331</v>
      </c>
      <c r="E191" s="6" t="s">
        <v>2325</v>
      </c>
      <c r="F191" s="5" t="b">
        <v>0</v>
      </c>
    </row>
    <row r="192">
      <c r="A192" s="5" t="s">
        <v>2800</v>
      </c>
      <c r="B192" s="5" t="s">
        <v>2801</v>
      </c>
      <c r="C192" s="5" t="s">
        <v>2802</v>
      </c>
      <c r="D192" s="5" t="s">
        <v>2803</v>
      </c>
      <c r="E192" s="7" t="s">
        <v>2804</v>
      </c>
      <c r="F192" s="5" t="b">
        <v>0</v>
      </c>
    </row>
    <row r="193">
      <c r="A193" s="6" t="s">
        <v>2325</v>
      </c>
      <c r="B193" s="5" t="s">
        <v>2805</v>
      </c>
      <c r="C193" s="5" t="s">
        <v>2725</v>
      </c>
      <c r="D193" s="5" t="s">
        <v>2363</v>
      </c>
      <c r="E193" s="7" t="s">
        <v>2804</v>
      </c>
      <c r="F193" s="5" t="b">
        <v>1</v>
      </c>
    </row>
    <row r="194">
      <c r="A194" s="6" t="s">
        <v>2325</v>
      </c>
      <c r="B194" s="8" t="s">
        <v>2806</v>
      </c>
      <c r="C194" s="5" t="s">
        <v>2325</v>
      </c>
      <c r="D194" s="5" t="s">
        <v>2807</v>
      </c>
      <c r="E194" s="7" t="s">
        <v>2808</v>
      </c>
      <c r="F194" s="5" t="b">
        <v>0</v>
      </c>
    </row>
    <row r="195">
      <c r="A195" s="6" t="s">
        <v>2325</v>
      </c>
      <c r="B195" s="8" t="s">
        <v>2809</v>
      </c>
      <c r="C195" s="5" t="s">
        <v>2325</v>
      </c>
      <c r="D195" s="5" t="s">
        <v>2810</v>
      </c>
      <c r="E195" s="7" t="s">
        <v>2808</v>
      </c>
      <c r="F195" s="5" t="b">
        <v>0</v>
      </c>
    </row>
    <row r="196">
      <c r="A196" s="5" t="s">
        <v>2811</v>
      </c>
      <c r="B196" s="8" t="s">
        <v>2812</v>
      </c>
      <c r="C196" s="5" t="s">
        <v>2813</v>
      </c>
      <c r="D196" s="5" t="s">
        <v>2331</v>
      </c>
      <c r="E196" s="7" t="s">
        <v>2808</v>
      </c>
      <c r="F196" s="5" t="b">
        <v>1</v>
      </c>
    </row>
    <row r="197">
      <c r="A197" s="6" t="s">
        <v>2325</v>
      </c>
      <c r="B197" s="5" t="s">
        <v>2814</v>
      </c>
      <c r="C197" s="5" t="s">
        <v>2815</v>
      </c>
      <c r="D197" s="6" t="s">
        <v>2325</v>
      </c>
      <c r="E197" s="7" t="s">
        <v>2816</v>
      </c>
      <c r="F197" s="5" t="b">
        <v>0</v>
      </c>
    </row>
    <row r="198">
      <c r="A198" s="5" t="s">
        <v>2817</v>
      </c>
      <c r="B198" s="5" t="s">
        <v>2818</v>
      </c>
      <c r="C198" s="5" t="s">
        <v>2819</v>
      </c>
      <c r="D198" s="5" t="s">
        <v>2331</v>
      </c>
      <c r="E198" s="7" t="s">
        <v>2816</v>
      </c>
      <c r="F198" s="5" t="b">
        <v>1</v>
      </c>
    </row>
    <row r="199">
      <c r="A199" s="5" t="s">
        <v>2820</v>
      </c>
      <c r="B199" s="5" t="s">
        <v>2325</v>
      </c>
      <c r="C199" s="5" t="s">
        <v>2821</v>
      </c>
      <c r="D199" s="6" t="s">
        <v>2325</v>
      </c>
      <c r="E199" s="7" t="s">
        <v>2816</v>
      </c>
      <c r="F199" s="5" t="b">
        <v>0</v>
      </c>
    </row>
    <row r="200">
      <c r="A200" s="6" t="s">
        <v>2325</v>
      </c>
      <c r="B200" s="5" t="s">
        <v>2822</v>
      </c>
      <c r="C200" s="5" t="s">
        <v>2354</v>
      </c>
      <c r="D200" s="5" t="s">
        <v>2331</v>
      </c>
      <c r="E200" s="7" t="s">
        <v>2816</v>
      </c>
      <c r="F200" s="5" t="b">
        <v>1</v>
      </c>
    </row>
    <row r="201">
      <c r="A201" s="6" t="s">
        <v>2325</v>
      </c>
      <c r="B201" s="5" t="s">
        <v>259</v>
      </c>
      <c r="C201" s="5" t="s">
        <v>2823</v>
      </c>
      <c r="D201" s="6" t="s">
        <v>2325</v>
      </c>
      <c r="E201" s="7" t="s">
        <v>2816</v>
      </c>
      <c r="F201" s="5" t="b">
        <v>0</v>
      </c>
    </row>
    <row r="202">
      <c r="A202" s="5" t="s">
        <v>2824</v>
      </c>
      <c r="B202" s="5" t="s">
        <v>2825</v>
      </c>
      <c r="C202" s="5" t="s">
        <v>2826</v>
      </c>
      <c r="D202" s="5" t="s">
        <v>2827</v>
      </c>
      <c r="E202" s="7" t="s">
        <v>2828</v>
      </c>
      <c r="F202" s="5" t="b">
        <v>1</v>
      </c>
    </row>
    <row r="203">
      <c r="A203" s="6" t="s">
        <v>2325</v>
      </c>
      <c r="B203" s="5" t="s">
        <v>2829</v>
      </c>
      <c r="C203" s="5" t="s">
        <v>2830</v>
      </c>
      <c r="D203" s="5" t="s">
        <v>2331</v>
      </c>
      <c r="E203" s="7" t="s">
        <v>2828</v>
      </c>
      <c r="F203" s="5" t="b">
        <v>1</v>
      </c>
    </row>
    <row r="204">
      <c r="A204" s="5" t="s">
        <v>2831</v>
      </c>
      <c r="B204" s="5" t="s">
        <v>2832</v>
      </c>
      <c r="C204" s="5" t="s">
        <v>2833</v>
      </c>
      <c r="D204" s="6" t="s">
        <v>2325</v>
      </c>
      <c r="E204" s="7" t="s">
        <v>2834</v>
      </c>
      <c r="F204" s="5" t="b">
        <v>1</v>
      </c>
    </row>
    <row r="205">
      <c r="A205" s="5" t="s">
        <v>2835</v>
      </c>
      <c r="B205" s="5" t="s">
        <v>2836</v>
      </c>
      <c r="C205" s="5" t="s">
        <v>2837</v>
      </c>
      <c r="D205" s="5" t="s">
        <v>2787</v>
      </c>
      <c r="E205" s="7" t="s">
        <v>2834</v>
      </c>
      <c r="F205" s="5" t="b">
        <v>1</v>
      </c>
    </row>
    <row r="206">
      <c r="A206" s="6" t="s">
        <v>2325</v>
      </c>
      <c r="B206" s="5" t="s">
        <v>2838</v>
      </c>
      <c r="C206" s="5" t="s">
        <v>2839</v>
      </c>
      <c r="D206" s="5" t="s">
        <v>2380</v>
      </c>
      <c r="E206" s="7" t="s">
        <v>2840</v>
      </c>
      <c r="F206" s="5" t="b">
        <v>1</v>
      </c>
    </row>
    <row r="207">
      <c r="A207" s="6" t="s">
        <v>2325</v>
      </c>
      <c r="B207" s="5" t="s">
        <v>2841</v>
      </c>
      <c r="C207" s="5" t="s">
        <v>2842</v>
      </c>
      <c r="D207" s="5" t="s">
        <v>2363</v>
      </c>
      <c r="E207" s="7" t="s">
        <v>2840</v>
      </c>
      <c r="F207" s="5" t="b">
        <v>1</v>
      </c>
    </row>
    <row r="208">
      <c r="A208" s="6" t="s">
        <v>2325</v>
      </c>
      <c r="B208" s="5" t="s">
        <v>451</v>
      </c>
      <c r="C208" s="5" t="s">
        <v>2681</v>
      </c>
      <c r="D208" s="6" t="s">
        <v>2325</v>
      </c>
      <c r="E208" s="7" t="s">
        <v>2843</v>
      </c>
      <c r="F208" s="5" t="b">
        <v>0</v>
      </c>
    </row>
    <row r="209">
      <c r="A209" s="6" t="s">
        <v>2325</v>
      </c>
      <c r="B209" s="5" t="s">
        <v>2844</v>
      </c>
      <c r="C209" s="5" t="s">
        <v>2845</v>
      </c>
      <c r="D209" s="6" t="s">
        <v>2325</v>
      </c>
      <c r="E209" s="7" t="s">
        <v>2846</v>
      </c>
      <c r="F209" s="5" t="b">
        <v>0</v>
      </c>
    </row>
    <row r="210">
      <c r="A210" s="5" t="s">
        <v>2847</v>
      </c>
      <c r="B210" s="5" t="s">
        <v>2848</v>
      </c>
      <c r="C210" s="5" t="s">
        <v>2550</v>
      </c>
      <c r="D210" s="5" t="s">
        <v>2551</v>
      </c>
      <c r="E210" s="7" t="s">
        <v>2846</v>
      </c>
      <c r="F210" s="5" t="b">
        <v>1</v>
      </c>
    </row>
    <row r="211">
      <c r="A211" s="5" t="s">
        <v>2849</v>
      </c>
      <c r="B211" s="5" t="s">
        <v>2850</v>
      </c>
      <c r="C211" s="5" t="s">
        <v>2851</v>
      </c>
      <c r="D211" s="5" t="s">
        <v>2852</v>
      </c>
      <c r="E211" s="7" t="s">
        <v>2853</v>
      </c>
      <c r="F211" s="5" t="b">
        <v>1</v>
      </c>
    </row>
    <row r="212">
      <c r="A212" s="5" t="s">
        <v>2854</v>
      </c>
      <c r="B212" s="5" t="s">
        <v>2855</v>
      </c>
      <c r="C212" s="5" t="s">
        <v>2582</v>
      </c>
      <c r="D212" s="5" t="s">
        <v>2331</v>
      </c>
      <c r="E212" s="7" t="s">
        <v>2856</v>
      </c>
      <c r="F212" s="5" t="b">
        <v>0</v>
      </c>
    </row>
    <row r="213">
      <c r="A213" s="6" t="s">
        <v>2325</v>
      </c>
      <c r="B213" s="5" t="s">
        <v>2857</v>
      </c>
      <c r="C213" s="5" t="s">
        <v>2858</v>
      </c>
      <c r="D213" s="5" t="s">
        <v>2380</v>
      </c>
      <c r="E213" s="7" t="s">
        <v>2856</v>
      </c>
      <c r="F213" s="5" t="b">
        <v>1</v>
      </c>
    </row>
    <row r="214">
      <c r="A214" s="6" t="s">
        <v>2325</v>
      </c>
      <c r="B214" s="5" t="s">
        <v>2859</v>
      </c>
      <c r="C214" s="5" t="s">
        <v>2860</v>
      </c>
      <c r="D214" s="5" t="s">
        <v>2861</v>
      </c>
      <c r="E214" s="7" t="s">
        <v>2856</v>
      </c>
      <c r="F214" s="5" t="b">
        <v>0</v>
      </c>
    </row>
    <row r="215">
      <c r="A215" s="5" t="s">
        <v>2862</v>
      </c>
      <c r="B215" s="5" t="s">
        <v>2863</v>
      </c>
      <c r="C215" s="5" t="s">
        <v>2864</v>
      </c>
      <c r="D215" s="5" t="s">
        <v>2865</v>
      </c>
      <c r="E215" s="7" t="s">
        <v>2856</v>
      </c>
      <c r="F215" s="5" t="b">
        <v>0</v>
      </c>
    </row>
    <row r="216">
      <c r="A216" s="5" t="s">
        <v>2866</v>
      </c>
      <c r="B216" s="5" t="s">
        <v>2867</v>
      </c>
      <c r="C216" s="5" t="s">
        <v>2868</v>
      </c>
      <c r="D216" s="5" t="s">
        <v>2363</v>
      </c>
      <c r="E216" s="7" t="s">
        <v>2856</v>
      </c>
      <c r="F216" s="5" t="b">
        <v>1</v>
      </c>
    </row>
    <row r="217">
      <c r="A217" s="5" t="s">
        <v>2869</v>
      </c>
      <c r="B217" s="5" t="s">
        <v>2708</v>
      </c>
      <c r="C217" s="5" t="s">
        <v>2709</v>
      </c>
      <c r="D217" s="5" t="s">
        <v>2352</v>
      </c>
      <c r="E217" s="7" t="s">
        <v>2856</v>
      </c>
      <c r="F217" s="5" t="b">
        <v>0</v>
      </c>
    </row>
    <row r="218">
      <c r="A218" s="5" t="s">
        <v>2870</v>
      </c>
      <c r="B218" s="5" t="s">
        <v>2522</v>
      </c>
      <c r="C218" s="5" t="s">
        <v>2871</v>
      </c>
      <c r="D218" s="5" t="s">
        <v>2559</v>
      </c>
      <c r="E218" s="7" t="s">
        <v>2872</v>
      </c>
      <c r="F218" s="5" t="b">
        <v>1</v>
      </c>
    </row>
    <row r="219">
      <c r="A219" s="5" t="s">
        <v>2873</v>
      </c>
      <c r="B219" s="5" t="s">
        <v>2874</v>
      </c>
      <c r="C219" s="5" t="s">
        <v>2875</v>
      </c>
      <c r="D219" s="5" t="s">
        <v>2331</v>
      </c>
      <c r="E219" s="7" t="s">
        <v>2872</v>
      </c>
      <c r="F219" s="5" t="b">
        <v>0</v>
      </c>
    </row>
    <row r="220">
      <c r="A220" s="5" t="s">
        <v>2876</v>
      </c>
      <c r="B220" s="5" t="s">
        <v>2877</v>
      </c>
      <c r="C220" s="5" t="s">
        <v>2878</v>
      </c>
      <c r="D220" s="5" t="s">
        <v>2879</v>
      </c>
      <c r="E220" s="7" t="s">
        <v>2872</v>
      </c>
      <c r="F220" s="5" t="b">
        <v>0</v>
      </c>
    </row>
    <row r="221">
      <c r="A221" s="5" t="s">
        <v>2880</v>
      </c>
      <c r="B221" s="5" t="s">
        <v>2881</v>
      </c>
      <c r="C221" s="5" t="s">
        <v>2882</v>
      </c>
      <c r="D221" s="5" t="s">
        <v>2331</v>
      </c>
      <c r="E221" s="7" t="s">
        <v>2872</v>
      </c>
      <c r="F221" s="5" t="b">
        <v>1</v>
      </c>
    </row>
    <row r="222">
      <c r="A222" s="6" t="s">
        <v>2325</v>
      </c>
      <c r="B222" s="5" t="s">
        <v>2883</v>
      </c>
      <c r="C222" s="5" t="s">
        <v>2884</v>
      </c>
      <c r="D222" s="5" t="s">
        <v>2885</v>
      </c>
      <c r="E222" s="7" t="s">
        <v>2886</v>
      </c>
      <c r="F222" s="5" t="b">
        <v>1</v>
      </c>
    </row>
    <row r="223">
      <c r="A223" s="6" t="s">
        <v>2325</v>
      </c>
      <c r="B223" s="5" t="s">
        <v>2531</v>
      </c>
      <c r="C223" s="5" t="s">
        <v>2532</v>
      </c>
      <c r="D223" s="6" t="s">
        <v>2325</v>
      </c>
      <c r="E223" s="7" t="s">
        <v>2887</v>
      </c>
      <c r="F223" s="5" t="b">
        <v>0</v>
      </c>
    </row>
    <row r="224">
      <c r="A224" s="5" t="s">
        <v>2831</v>
      </c>
      <c r="B224" s="5" t="s">
        <v>2832</v>
      </c>
      <c r="C224" s="5" t="s">
        <v>2833</v>
      </c>
      <c r="D224" s="6" t="s">
        <v>2325</v>
      </c>
      <c r="E224" s="7" t="s">
        <v>2888</v>
      </c>
      <c r="F224" s="5" t="b">
        <v>1</v>
      </c>
    </row>
    <row r="225">
      <c r="A225" s="5" t="s">
        <v>2889</v>
      </c>
      <c r="B225" s="5" t="s">
        <v>2890</v>
      </c>
      <c r="C225" s="5" t="s">
        <v>2891</v>
      </c>
      <c r="D225" s="5" t="s">
        <v>2352</v>
      </c>
      <c r="E225" s="7" t="s">
        <v>2892</v>
      </c>
      <c r="F225" s="5" t="b">
        <v>1</v>
      </c>
    </row>
    <row r="226">
      <c r="A226" s="5" t="s">
        <v>2893</v>
      </c>
      <c r="B226" s="5" t="s">
        <v>2894</v>
      </c>
      <c r="C226" s="5" t="s">
        <v>2895</v>
      </c>
      <c r="D226" s="5" t="s">
        <v>2352</v>
      </c>
      <c r="E226" s="7" t="s">
        <v>2896</v>
      </c>
      <c r="F226" s="5" t="b">
        <v>0</v>
      </c>
    </row>
    <row r="227">
      <c r="A227" s="6" t="s">
        <v>2325</v>
      </c>
      <c r="B227" s="5" t="s">
        <v>2897</v>
      </c>
      <c r="C227" s="5" t="s">
        <v>2898</v>
      </c>
      <c r="D227" s="5" t="s">
        <v>2352</v>
      </c>
      <c r="E227" s="7" t="s">
        <v>2896</v>
      </c>
      <c r="F227" s="5" t="b">
        <v>1</v>
      </c>
    </row>
    <row r="228">
      <c r="A228" s="5" t="s">
        <v>2899</v>
      </c>
      <c r="B228" s="5" t="s">
        <v>2900</v>
      </c>
      <c r="C228" s="5" t="s">
        <v>2901</v>
      </c>
      <c r="D228" s="5" t="s">
        <v>2331</v>
      </c>
      <c r="E228" s="7" t="s">
        <v>2902</v>
      </c>
      <c r="F228" s="5" t="b">
        <v>1</v>
      </c>
    </row>
    <row r="229">
      <c r="A229" s="6" t="s">
        <v>2325</v>
      </c>
      <c r="B229" s="5" t="s">
        <v>2903</v>
      </c>
      <c r="C229" s="5" t="s">
        <v>2904</v>
      </c>
      <c r="D229" s="6" t="s">
        <v>2325</v>
      </c>
      <c r="E229" s="7" t="s">
        <v>2905</v>
      </c>
      <c r="F229" s="5" t="b">
        <v>0</v>
      </c>
    </row>
    <row r="230">
      <c r="A230" s="6" t="s">
        <v>2325</v>
      </c>
      <c r="B230" s="5" t="s">
        <v>2325</v>
      </c>
      <c r="C230" s="5" t="s">
        <v>2906</v>
      </c>
      <c r="D230" s="6" t="s">
        <v>2325</v>
      </c>
      <c r="E230" s="7" t="s">
        <v>2907</v>
      </c>
      <c r="F230" s="5" t="b">
        <v>0</v>
      </c>
    </row>
    <row r="231">
      <c r="A231" s="6" t="s">
        <v>2325</v>
      </c>
      <c r="B231" s="5" t="s">
        <v>2908</v>
      </c>
      <c r="C231" s="5" t="s">
        <v>2909</v>
      </c>
      <c r="D231" s="5" t="s">
        <v>2910</v>
      </c>
      <c r="E231" s="7" t="s">
        <v>2911</v>
      </c>
      <c r="F231" s="5" t="b">
        <v>1</v>
      </c>
    </row>
    <row r="232">
      <c r="A232" s="6" t="s">
        <v>2325</v>
      </c>
      <c r="B232" s="5" t="s">
        <v>2912</v>
      </c>
      <c r="C232" s="5" t="s">
        <v>2913</v>
      </c>
      <c r="D232" s="5" t="s">
        <v>2325</v>
      </c>
      <c r="E232" s="7" t="s">
        <v>2911</v>
      </c>
      <c r="F232" s="5" t="b">
        <v>1</v>
      </c>
    </row>
    <row r="233">
      <c r="A233" s="5" t="s">
        <v>2332</v>
      </c>
      <c r="B233" s="5" t="s">
        <v>2333</v>
      </c>
      <c r="C233" s="5" t="s">
        <v>2334</v>
      </c>
      <c r="D233" s="5" t="s">
        <v>2914</v>
      </c>
      <c r="E233" s="7" t="s">
        <v>2915</v>
      </c>
      <c r="F233" s="5" t="b">
        <v>1</v>
      </c>
    </row>
    <row r="234">
      <c r="A234" s="6" t="s">
        <v>2325</v>
      </c>
      <c r="B234" s="5" t="s">
        <v>2916</v>
      </c>
      <c r="C234" s="5" t="s">
        <v>2917</v>
      </c>
      <c r="D234" s="5" t="s">
        <v>2918</v>
      </c>
      <c r="E234" s="7" t="s">
        <v>2919</v>
      </c>
      <c r="F234" s="5" t="b">
        <v>0</v>
      </c>
    </row>
    <row r="235">
      <c r="A235" s="6" t="s">
        <v>2325</v>
      </c>
      <c r="B235" s="5" t="s">
        <v>2920</v>
      </c>
      <c r="C235" s="5" t="s">
        <v>2921</v>
      </c>
      <c r="D235" s="5" t="s">
        <v>2922</v>
      </c>
      <c r="E235" s="7" t="s">
        <v>2919</v>
      </c>
      <c r="F235" s="5" t="b">
        <v>1</v>
      </c>
    </row>
    <row r="236">
      <c r="A236" s="5" t="s">
        <v>2702</v>
      </c>
      <c r="B236" s="5" t="s">
        <v>2923</v>
      </c>
      <c r="C236" s="5" t="s">
        <v>2704</v>
      </c>
      <c r="D236" s="5" t="s">
        <v>2325</v>
      </c>
      <c r="E236" s="7" t="s">
        <v>2919</v>
      </c>
      <c r="F236" s="5" t="b">
        <v>1</v>
      </c>
    </row>
    <row r="237">
      <c r="A237" s="5" t="s">
        <v>2924</v>
      </c>
      <c r="B237" s="5" t="s">
        <v>2325</v>
      </c>
      <c r="C237" s="5" t="s">
        <v>2925</v>
      </c>
      <c r="D237" s="5" t="s">
        <v>2352</v>
      </c>
      <c r="E237" s="7" t="s">
        <v>2919</v>
      </c>
      <c r="F237" s="5" t="b">
        <v>0</v>
      </c>
    </row>
    <row r="238">
      <c r="A238" s="6" t="s">
        <v>2325</v>
      </c>
      <c r="B238" s="5" t="s">
        <v>2926</v>
      </c>
      <c r="C238" s="5" t="s">
        <v>2927</v>
      </c>
      <c r="D238" s="5" t="s">
        <v>2928</v>
      </c>
      <c r="E238" s="7" t="s">
        <v>2919</v>
      </c>
      <c r="F238" s="5" t="b">
        <v>0</v>
      </c>
    </row>
    <row r="239">
      <c r="A239" s="5" t="s">
        <v>2929</v>
      </c>
      <c r="B239" s="5" t="s">
        <v>2930</v>
      </c>
      <c r="C239" s="5" t="s">
        <v>2931</v>
      </c>
      <c r="D239" s="5" t="s">
        <v>2932</v>
      </c>
      <c r="E239" s="7" t="s">
        <v>2919</v>
      </c>
      <c r="F239" s="5" t="b">
        <v>0</v>
      </c>
    </row>
    <row r="240">
      <c r="A240" s="5" t="s">
        <v>2933</v>
      </c>
      <c r="B240" s="5" t="s">
        <v>2934</v>
      </c>
      <c r="C240" s="5" t="s">
        <v>2935</v>
      </c>
      <c r="D240" s="5" t="s">
        <v>2936</v>
      </c>
      <c r="E240" s="7" t="s">
        <v>2919</v>
      </c>
      <c r="F240" s="5" t="b">
        <v>1</v>
      </c>
    </row>
    <row r="241">
      <c r="A241" s="6" t="s">
        <v>2325</v>
      </c>
      <c r="B241" s="5" t="s">
        <v>2937</v>
      </c>
      <c r="C241" s="5" t="s">
        <v>2938</v>
      </c>
      <c r="D241" s="5" t="s">
        <v>2936</v>
      </c>
      <c r="E241" s="7" t="s">
        <v>2939</v>
      </c>
      <c r="F241" s="5" t="b">
        <v>0</v>
      </c>
    </row>
    <row r="242">
      <c r="A242" s="6" t="s">
        <v>2325</v>
      </c>
      <c r="B242" s="5" t="s">
        <v>2940</v>
      </c>
      <c r="C242" s="5" t="s">
        <v>2941</v>
      </c>
      <c r="D242" s="5" t="s">
        <v>2942</v>
      </c>
      <c r="E242" s="7" t="s">
        <v>2943</v>
      </c>
      <c r="F242" s="5" t="b">
        <v>0</v>
      </c>
    </row>
    <row r="243">
      <c r="A243" s="6" t="s">
        <v>2325</v>
      </c>
      <c r="B243" s="5" t="s">
        <v>2793</v>
      </c>
      <c r="C243" s="5" t="s">
        <v>2794</v>
      </c>
      <c r="D243" s="5" t="s">
        <v>2918</v>
      </c>
      <c r="E243" s="7" t="s">
        <v>2943</v>
      </c>
      <c r="F243" s="5" t="b">
        <v>0</v>
      </c>
    </row>
    <row r="244">
      <c r="A244" s="6" t="s">
        <v>2325</v>
      </c>
      <c r="B244" s="5" t="s">
        <v>2393</v>
      </c>
      <c r="C244" s="5" t="s">
        <v>2717</v>
      </c>
      <c r="D244" s="5" t="s">
        <v>2395</v>
      </c>
      <c r="E244" s="7" t="s">
        <v>2943</v>
      </c>
      <c r="F244" s="5" t="b">
        <v>0</v>
      </c>
    </row>
    <row r="245">
      <c r="A245" s="5" t="s">
        <v>2944</v>
      </c>
      <c r="B245" s="5" t="s">
        <v>2945</v>
      </c>
      <c r="C245" s="5" t="s">
        <v>2946</v>
      </c>
      <c r="D245" s="5" t="s">
        <v>2918</v>
      </c>
      <c r="E245" s="7" t="s">
        <v>2943</v>
      </c>
      <c r="F245" s="5" t="b">
        <v>0</v>
      </c>
    </row>
    <row r="246">
      <c r="A246" s="5" t="s">
        <v>2947</v>
      </c>
      <c r="B246" s="5" t="s">
        <v>2948</v>
      </c>
      <c r="C246" s="5" t="s">
        <v>2949</v>
      </c>
      <c r="D246" s="5" t="s">
        <v>2918</v>
      </c>
      <c r="E246" s="7" t="s">
        <v>2950</v>
      </c>
      <c r="F246" s="5" t="b">
        <v>0</v>
      </c>
    </row>
    <row r="247">
      <c r="A247" s="5" t="s">
        <v>2325</v>
      </c>
      <c r="B247" s="5" t="s">
        <v>2951</v>
      </c>
      <c r="C247" s="5" t="s">
        <v>2952</v>
      </c>
      <c r="D247" s="5" t="s">
        <v>2352</v>
      </c>
      <c r="E247" s="7" t="s">
        <v>2950</v>
      </c>
      <c r="F247" s="5" t="b">
        <v>0</v>
      </c>
    </row>
    <row r="248">
      <c r="A248" s="5" t="s">
        <v>2325</v>
      </c>
      <c r="B248" s="5" t="s">
        <v>2560</v>
      </c>
      <c r="C248" s="5" t="s">
        <v>2561</v>
      </c>
      <c r="D248" s="5" t="s">
        <v>2953</v>
      </c>
      <c r="E248" s="7" t="s">
        <v>2954</v>
      </c>
      <c r="F248" s="5" t="b">
        <v>0</v>
      </c>
    </row>
    <row r="249">
      <c r="A249" s="5" t="s">
        <v>2325</v>
      </c>
      <c r="B249" s="5" t="s">
        <v>2955</v>
      </c>
      <c r="C249" s="5" t="s">
        <v>2956</v>
      </c>
      <c r="D249" s="5" t="s">
        <v>2918</v>
      </c>
      <c r="E249" s="7" t="s">
        <v>2957</v>
      </c>
      <c r="F249" s="5" t="b">
        <v>0</v>
      </c>
    </row>
    <row r="250">
      <c r="A250" s="5" t="s">
        <v>2958</v>
      </c>
      <c r="B250" s="5" t="s">
        <v>2959</v>
      </c>
      <c r="C250" s="5" t="s">
        <v>2960</v>
      </c>
      <c r="D250" s="5" t="s">
        <v>2918</v>
      </c>
      <c r="E250" s="7" t="s">
        <v>2957</v>
      </c>
      <c r="F250" s="5" t="b">
        <v>0</v>
      </c>
    </row>
    <row r="251">
      <c r="A251" s="5" t="s">
        <v>2325</v>
      </c>
      <c r="B251" s="5" t="s">
        <v>2961</v>
      </c>
      <c r="C251" s="5" t="s">
        <v>2962</v>
      </c>
      <c r="D251" s="5" t="s">
        <v>2928</v>
      </c>
      <c r="E251" s="7" t="s">
        <v>2963</v>
      </c>
      <c r="F251" s="5" t="b">
        <v>0</v>
      </c>
    </row>
    <row r="252">
      <c r="A252" s="5" t="s">
        <v>2325</v>
      </c>
      <c r="B252" s="5" t="s">
        <v>2471</v>
      </c>
      <c r="C252" s="5" t="s">
        <v>2964</v>
      </c>
      <c r="D252" s="5" t="s">
        <v>2928</v>
      </c>
      <c r="E252" s="7" t="s">
        <v>2963</v>
      </c>
      <c r="F252" s="5" t="b">
        <v>0</v>
      </c>
    </row>
    <row r="253">
      <c r="A253" s="5" t="s">
        <v>2965</v>
      </c>
      <c r="B253" s="5" t="s">
        <v>2966</v>
      </c>
      <c r="C253" s="5" t="s">
        <v>2967</v>
      </c>
      <c r="D253" s="5" t="s">
        <v>2968</v>
      </c>
      <c r="E253" s="7" t="s">
        <v>2969</v>
      </c>
      <c r="F253" s="5" t="b">
        <v>0</v>
      </c>
    </row>
    <row r="254">
      <c r="A254" s="5" t="s">
        <v>2970</v>
      </c>
      <c r="B254" s="5" t="s">
        <v>2971</v>
      </c>
      <c r="C254" s="5" t="s">
        <v>2972</v>
      </c>
      <c r="D254" s="5" t="s">
        <v>2918</v>
      </c>
      <c r="E254" s="7" t="s">
        <v>2969</v>
      </c>
      <c r="F254" s="5" t="b">
        <v>0</v>
      </c>
    </row>
    <row r="255">
      <c r="A255" s="5" t="s">
        <v>2973</v>
      </c>
      <c r="B255" s="5" t="s">
        <v>2974</v>
      </c>
      <c r="C255" s="5" t="s">
        <v>2975</v>
      </c>
      <c r="D255" s="5" t="s">
        <v>2976</v>
      </c>
      <c r="E255" s="7" t="s">
        <v>2969</v>
      </c>
      <c r="F255" s="5" t="b">
        <v>0</v>
      </c>
    </row>
    <row r="256">
      <c r="A256" s="5" t="s">
        <v>2977</v>
      </c>
      <c r="B256" s="5" t="s">
        <v>2978</v>
      </c>
      <c r="C256" s="5" t="s">
        <v>2979</v>
      </c>
      <c r="D256" s="5" t="s">
        <v>2918</v>
      </c>
      <c r="E256" s="7" t="s">
        <v>2980</v>
      </c>
      <c r="F256" s="5" t="b">
        <v>0</v>
      </c>
    </row>
    <row r="257">
      <c r="A257" s="5" t="s">
        <v>2325</v>
      </c>
      <c r="B257" s="5" t="s">
        <v>2393</v>
      </c>
      <c r="C257" s="5" t="s">
        <v>2717</v>
      </c>
      <c r="D257" s="5" t="s">
        <v>2395</v>
      </c>
      <c r="E257" s="7" t="s">
        <v>2980</v>
      </c>
      <c r="F257" s="5" t="b">
        <v>0</v>
      </c>
    </row>
    <row r="258">
      <c r="A258" s="5" t="s">
        <v>2325</v>
      </c>
      <c r="B258" s="5" t="s">
        <v>2981</v>
      </c>
      <c r="C258" s="5" t="s">
        <v>2982</v>
      </c>
      <c r="D258" s="5" t="s">
        <v>2352</v>
      </c>
      <c r="E258" s="7" t="s">
        <v>2980</v>
      </c>
      <c r="F258" s="5" t="b">
        <v>0</v>
      </c>
    </row>
    <row r="259">
      <c r="A259" s="5" t="s">
        <v>2983</v>
      </c>
      <c r="B259" s="5" t="s">
        <v>2567</v>
      </c>
      <c r="C259" s="5" t="s">
        <v>2568</v>
      </c>
      <c r="D259" s="5" t="s">
        <v>2942</v>
      </c>
      <c r="E259" s="7" t="s">
        <v>2980</v>
      </c>
      <c r="F259" s="5" t="b">
        <v>0</v>
      </c>
    </row>
    <row r="260">
      <c r="A260" s="5" t="s">
        <v>2325</v>
      </c>
      <c r="B260" s="5" t="s">
        <v>2844</v>
      </c>
      <c r="C260" s="5" t="s">
        <v>2845</v>
      </c>
      <c r="D260" s="5" t="s">
        <v>2325</v>
      </c>
      <c r="E260" s="7" t="s">
        <v>2984</v>
      </c>
      <c r="F260" s="5" t="b">
        <v>0</v>
      </c>
    </row>
    <row r="261">
      <c r="A261" s="5" t="s">
        <v>2985</v>
      </c>
      <c r="B261" s="5" t="s">
        <v>2986</v>
      </c>
      <c r="C261" s="5" t="s">
        <v>2987</v>
      </c>
      <c r="D261" s="5" t="s">
        <v>2325</v>
      </c>
      <c r="E261" s="7" t="s">
        <v>2988</v>
      </c>
      <c r="F261" s="5" t="b">
        <v>0</v>
      </c>
    </row>
    <row r="262">
      <c r="A262" s="5" t="s">
        <v>2989</v>
      </c>
      <c r="B262" s="5" t="s">
        <v>2990</v>
      </c>
      <c r="C262" s="5" t="s">
        <v>2991</v>
      </c>
      <c r="D262" s="5" t="s">
        <v>2399</v>
      </c>
      <c r="E262" s="7" t="s">
        <v>2988</v>
      </c>
      <c r="F262" s="5" t="b">
        <v>0</v>
      </c>
    </row>
    <row r="263">
      <c r="A263" s="5" t="s">
        <v>2325</v>
      </c>
      <c r="B263" s="5" t="s">
        <v>2992</v>
      </c>
      <c r="C263" s="5" t="s">
        <v>2993</v>
      </c>
      <c r="D263" s="5" t="s">
        <v>2325</v>
      </c>
      <c r="E263" s="7" t="s">
        <v>2994</v>
      </c>
      <c r="F263" s="5" t="b">
        <v>0</v>
      </c>
    </row>
    <row r="264">
      <c r="A264" s="5" t="s">
        <v>2995</v>
      </c>
      <c r="B264" s="5" t="s">
        <v>2996</v>
      </c>
      <c r="C264" s="5" t="s">
        <v>2997</v>
      </c>
      <c r="D264" s="5" t="s">
        <v>2936</v>
      </c>
      <c r="E264" s="7" t="s">
        <v>2994</v>
      </c>
      <c r="F264" s="5" t="b">
        <v>0</v>
      </c>
    </row>
    <row r="265">
      <c r="A265" s="5" t="s">
        <v>2998</v>
      </c>
      <c r="B265" s="5" t="s">
        <v>2999</v>
      </c>
      <c r="C265" s="5" t="s">
        <v>3000</v>
      </c>
      <c r="D265" s="5" t="s">
        <v>3001</v>
      </c>
      <c r="E265" s="7" t="s">
        <v>2994</v>
      </c>
      <c r="F265" s="5" t="b">
        <v>0</v>
      </c>
    </row>
    <row r="266">
      <c r="A266" s="5" t="s">
        <v>2325</v>
      </c>
      <c r="B266" s="5" t="s">
        <v>3002</v>
      </c>
      <c r="C266" s="5" t="s">
        <v>3003</v>
      </c>
      <c r="D266" s="5" t="s">
        <v>2352</v>
      </c>
      <c r="E266" s="7" t="s">
        <v>2994</v>
      </c>
      <c r="F266" s="5" t="b">
        <v>0</v>
      </c>
    </row>
    <row r="267">
      <c r="A267" s="5" t="s">
        <v>2325</v>
      </c>
      <c r="B267" s="5" t="s">
        <v>3004</v>
      </c>
      <c r="C267" s="5" t="s">
        <v>3005</v>
      </c>
      <c r="D267" s="5" t="s">
        <v>2928</v>
      </c>
      <c r="E267" s="7" t="s">
        <v>3006</v>
      </c>
      <c r="F267" s="5" t="b">
        <v>0</v>
      </c>
    </row>
    <row r="268">
      <c r="A268" s="5" t="s">
        <v>3007</v>
      </c>
      <c r="B268" s="5" t="s">
        <v>3008</v>
      </c>
      <c r="C268" s="5" t="s">
        <v>3009</v>
      </c>
      <c r="D268" s="5" t="s">
        <v>2942</v>
      </c>
      <c r="E268" s="7" t="s">
        <v>3006</v>
      </c>
      <c r="F268" s="5" t="b">
        <v>0</v>
      </c>
    </row>
    <row r="269">
      <c r="A269" s="5" t="s">
        <v>3010</v>
      </c>
      <c r="B269" s="5" t="s">
        <v>3011</v>
      </c>
      <c r="C269" s="5" t="s">
        <v>3012</v>
      </c>
      <c r="D269" s="5" t="s">
        <v>2918</v>
      </c>
      <c r="E269" s="7" t="s">
        <v>3006</v>
      </c>
      <c r="F269" s="5" t="b">
        <v>0</v>
      </c>
    </row>
    <row r="270">
      <c r="A270" s="5" t="s">
        <v>3013</v>
      </c>
      <c r="B270" s="5" t="s">
        <v>2782</v>
      </c>
      <c r="C270" s="5" t="s">
        <v>3014</v>
      </c>
      <c r="D270" s="5" t="s">
        <v>2352</v>
      </c>
      <c r="E270" s="7" t="s">
        <v>3015</v>
      </c>
      <c r="F270" s="5" t="b">
        <v>0</v>
      </c>
    </row>
    <row r="271">
      <c r="A271" s="5" t="s">
        <v>3016</v>
      </c>
      <c r="B271" s="5" t="s">
        <v>3017</v>
      </c>
      <c r="C271" s="5" t="s">
        <v>3018</v>
      </c>
      <c r="D271" s="5" t="s">
        <v>2380</v>
      </c>
      <c r="E271" s="7" t="s">
        <v>3015</v>
      </c>
      <c r="F271" s="5" t="b">
        <v>0</v>
      </c>
    </row>
    <row r="272">
      <c r="A272" s="5" t="s">
        <v>3019</v>
      </c>
      <c r="B272" s="5" t="s">
        <v>3020</v>
      </c>
      <c r="C272" s="5" t="s">
        <v>3021</v>
      </c>
      <c r="D272" s="5" t="s">
        <v>2976</v>
      </c>
      <c r="E272" s="7" t="s">
        <v>3015</v>
      </c>
      <c r="F272" s="5" t="b">
        <v>0</v>
      </c>
    </row>
    <row r="273">
      <c r="A273" s="5" t="s">
        <v>2325</v>
      </c>
      <c r="B273" s="5" t="s">
        <v>3022</v>
      </c>
      <c r="C273" s="5" t="s">
        <v>3023</v>
      </c>
      <c r="D273" s="5" t="s">
        <v>3024</v>
      </c>
      <c r="E273" s="7" t="s">
        <v>3025</v>
      </c>
      <c r="F273" s="5" t="b">
        <v>0</v>
      </c>
    </row>
    <row r="274">
      <c r="A274" s="5" t="s">
        <v>2325</v>
      </c>
      <c r="B274" s="5" t="s">
        <v>2407</v>
      </c>
      <c r="C274" s="5" t="s">
        <v>2408</v>
      </c>
      <c r="D274" s="5" t="s">
        <v>2325</v>
      </c>
      <c r="E274" s="7" t="s">
        <v>3025</v>
      </c>
      <c r="F274" s="5" t="b">
        <v>0</v>
      </c>
    </row>
    <row r="275">
      <c r="A275" s="5" t="s">
        <v>2325</v>
      </c>
      <c r="B275" s="5" t="s">
        <v>3026</v>
      </c>
      <c r="C275" s="5" t="s">
        <v>3027</v>
      </c>
      <c r="D275" s="5" t="s">
        <v>2546</v>
      </c>
      <c r="E275" s="7" t="s">
        <v>3025</v>
      </c>
      <c r="F275" s="5" t="b">
        <v>0</v>
      </c>
    </row>
    <row r="276">
      <c r="A276" s="5" t="s">
        <v>2325</v>
      </c>
      <c r="B276" s="5" t="s">
        <v>2795</v>
      </c>
      <c r="C276" s="5" t="s">
        <v>3028</v>
      </c>
      <c r="D276" s="5" t="s">
        <v>2325</v>
      </c>
      <c r="E276" s="7" t="s">
        <v>3025</v>
      </c>
      <c r="F276" s="5" t="b">
        <v>0</v>
      </c>
    </row>
    <row r="277">
      <c r="A277" s="5" t="s">
        <v>3029</v>
      </c>
      <c r="B277" s="5" t="s">
        <v>2355</v>
      </c>
      <c r="C277" s="5" t="s">
        <v>2356</v>
      </c>
      <c r="D277" s="5" t="s">
        <v>2325</v>
      </c>
      <c r="E277" s="7" t="s">
        <v>3030</v>
      </c>
      <c r="F277" s="5" t="b">
        <v>0</v>
      </c>
    </row>
    <row r="278">
      <c r="A278" s="5" t="s">
        <v>2325</v>
      </c>
      <c r="B278" s="5" t="s">
        <v>3031</v>
      </c>
      <c r="C278" s="5" t="s">
        <v>3032</v>
      </c>
      <c r="D278" s="5" t="s">
        <v>2325</v>
      </c>
      <c r="E278" s="7" t="s">
        <v>3030</v>
      </c>
      <c r="F278" s="5" t="b">
        <v>0</v>
      </c>
    </row>
    <row r="279">
      <c r="A279" s="5" t="s">
        <v>2325</v>
      </c>
      <c r="B279" s="5" t="s">
        <v>3033</v>
      </c>
      <c r="C279" s="5" t="s">
        <v>3034</v>
      </c>
      <c r="D279" s="5" t="s">
        <v>2936</v>
      </c>
      <c r="E279" s="7" t="s">
        <v>3035</v>
      </c>
      <c r="F279" s="5" t="b">
        <v>0</v>
      </c>
    </row>
    <row r="280">
      <c r="A280" s="5" t="s">
        <v>2325</v>
      </c>
      <c r="B280" s="5" t="s">
        <v>3036</v>
      </c>
      <c r="C280" s="5" t="s">
        <v>3037</v>
      </c>
      <c r="D280" s="5" t="s">
        <v>2918</v>
      </c>
      <c r="E280" s="7" t="s">
        <v>3035</v>
      </c>
      <c r="F280" s="5" t="b">
        <v>0</v>
      </c>
    </row>
    <row r="281">
      <c r="A281" s="5" t="s">
        <v>2325</v>
      </c>
      <c r="B281" s="5" t="s">
        <v>3038</v>
      </c>
      <c r="C281" s="5" t="s">
        <v>3039</v>
      </c>
      <c r="D281" s="5" t="s">
        <v>2325</v>
      </c>
      <c r="E281" s="7" t="s">
        <v>3040</v>
      </c>
      <c r="F281" s="5" t="b">
        <v>0</v>
      </c>
    </row>
    <row r="282">
      <c r="A282" s="5" t="s">
        <v>3041</v>
      </c>
      <c r="B282" s="5" t="s">
        <v>3042</v>
      </c>
      <c r="C282" s="5" t="s">
        <v>3043</v>
      </c>
      <c r="D282" s="5" t="s">
        <v>2918</v>
      </c>
      <c r="E282" s="7" t="s">
        <v>3040</v>
      </c>
      <c r="F282" s="5" t="b">
        <v>0</v>
      </c>
    </row>
    <row r="283">
      <c r="A283" s="5" t="s">
        <v>2325</v>
      </c>
      <c r="B283" s="5" t="s">
        <v>2673</v>
      </c>
      <c r="C283" s="5" t="s">
        <v>2674</v>
      </c>
      <c r="D283" s="5" t="s">
        <v>2675</v>
      </c>
      <c r="E283" s="7" t="s">
        <v>3040</v>
      </c>
      <c r="F283" s="5" t="b">
        <v>0</v>
      </c>
    </row>
    <row r="284">
      <c r="A284" s="5" t="s">
        <v>2325</v>
      </c>
      <c r="B284" s="5" t="s">
        <v>3044</v>
      </c>
      <c r="C284" s="5" t="s">
        <v>3045</v>
      </c>
      <c r="D284" s="5" t="s">
        <v>2918</v>
      </c>
      <c r="E284" s="7" t="s">
        <v>3040</v>
      </c>
      <c r="F284" s="5" t="b">
        <v>0</v>
      </c>
    </row>
    <row r="285">
      <c r="A285" s="5" t="s">
        <v>2325</v>
      </c>
      <c r="B285" s="5" t="s">
        <v>3046</v>
      </c>
      <c r="C285" s="5" t="s">
        <v>3047</v>
      </c>
      <c r="D285" s="5" t="s">
        <v>2928</v>
      </c>
      <c r="E285" s="7" t="s">
        <v>3040</v>
      </c>
      <c r="F285" s="5" t="b">
        <v>0</v>
      </c>
    </row>
    <row r="286">
      <c r="A286" s="5" t="s">
        <v>2325</v>
      </c>
      <c r="B286" s="5" t="s">
        <v>2844</v>
      </c>
      <c r="C286" s="5" t="s">
        <v>2845</v>
      </c>
      <c r="D286" s="5" t="s">
        <v>2325</v>
      </c>
      <c r="E286" s="7" t="s">
        <v>3040</v>
      </c>
      <c r="F286" s="5" t="b">
        <v>0</v>
      </c>
    </row>
    <row r="287">
      <c r="A287" s="5" t="s">
        <v>3048</v>
      </c>
      <c r="B287" s="5" t="s">
        <v>3049</v>
      </c>
      <c r="C287" s="5" t="s">
        <v>3050</v>
      </c>
      <c r="D287" s="5" t="s">
        <v>2918</v>
      </c>
      <c r="E287" s="7" t="s">
        <v>3051</v>
      </c>
      <c r="F287" s="5" t="b">
        <v>0</v>
      </c>
    </row>
    <row r="288">
      <c r="A288" s="5" t="s">
        <v>2325</v>
      </c>
      <c r="B288" s="5" t="s">
        <v>3052</v>
      </c>
      <c r="C288" s="5" t="s">
        <v>3053</v>
      </c>
      <c r="D288" s="5" t="s">
        <v>3054</v>
      </c>
      <c r="E288" s="7" t="s">
        <v>3051</v>
      </c>
      <c r="F288" s="5" t="b">
        <v>0</v>
      </c>
    </row>
    <row r="289">
      <c r="A289" s="5" t="s">
        <v>3055</v>
      </c>
      <c r="B289" s="5" t="s">
        <v>3056</v>
      </c>
      <c r="C289" s="5" t="s">
        <v>3057</v>
      </c>
      <c r="D289" s="5" t="s">
        <v>3058</v>
      </c>
      <c r="E289" s="7" t="s">
        <v>3051</v>
      </c>
      <c r="F289" s="5" t="b">
        <v>0</v>
      </c>
    </row>
    <row r="290">
      <c r="A290" s="5" t="s">
        <v>2400</v>
      </c>
      <c r="B290" s="5" t="s">
        <v>2401</v>
      </c>
      <c r="C290" s="5" t="s">
        <v>2402</v>
      </c>
      <c r="D290" s="5" t="s">
        <v>3059</v>
      </c>
      <c r="E290" s="7" t="s">
        <v>3051</v>
      </c>
      <c r="F290" s="5" t="b">
        <v>0</v>
      </c>
    </row>
    <row r="291">
      <c r="A291" s="5" t="s">
        <v>2325</v>
      </c>
      <c r="B291" s="5" t="s">
        <v>2657</v>
      </c>
      <c r="C291" s="5" t="s">
        <v>3060</v>
      </c>
      <c r="D291" s="5" t="s">
        <v>2546</v>
      </c>
      <c r="E291" s="7" t="s">
        <v>3061</v>
      </c>
      <c r="F291" s="5" t="b">
        <v>0</v>
      </c>
    </row>
    <row r="292">
      <c r="A292" s="5" t="s">
        <v>2325</v>
      </c>
      <c r="B292" s="5" t="s">
        <v>2937</v>
      </c>
      <c r="C292" s="5" t="s">
        <v>2938</v>
      </c>
      <c r="D292" s="5" t="s">
        <v>2399</v>
      </c>
      <c r="E292" s="7" t="s">
        <v>3061</v>
      </c>
      <c r="F292" s="5" t="b">
        <v>0</v>
      </c>
    </row>
    <row r="293">
      <c r="A293" s="5" t="s">
        <v>3062</v>
      </c>
      <c r="B293" s="5" t="s">
        <v>3063</v>
      </c>
      <c r="C293" s="5" t="s">
        <v>3064</v>
      </c>
      <c r="D293" s="5" t="s">
        <v>2399</v>
      </c>
      <c r="E293" s="7" t="s">
        <v>3065</v>
      </c>
      <c r="F293" s="5" t="b">
        <v>0</v>
      </c>
    </row>
    <row r="294">
      <c r="A294" s="5" t="s">
        <v>2325</v>
      </c>
      <c r="B294" s="5" t="s">
        <v>3066</v>
      </c>
      <c r="C294" s="5" t="s">
        <v>3067</v>
      </c>
      <c r="D294" s="5" t="s">
        <v>2918</v>
      </c>
      <c r="E294" s="7" t="s">
        <v>3068</v>
      </c>
      <c r="F294" s="5" t="b">
        <v>0</v>
      </c>
    </row>
    <row r="295">
      <c r="A295" s="5" t="s">
        <v>3069</v>
      </c>
      <c r="B295" s="5" t="s">
        <v>3070</v>
      </c>
      <c r="C295" s="5" t="s">
        <v>2513</v>
      </c>
      <c r="D295" s="5" t="s">
        <v>2918</v>
      </c>
      <c r="E295" s="7" t="s">
        <v>3068</v>
      </c>
      <c r="F295" s="5" t="b">
        <v>0</v>
      </c>
    </row>
    <row r="296">
      <c r="A296" s="5" t="s">
        <v>2325</v>
      </c>
      <c r="B296" s="5" t="s">
        <v>3071</v>
      </c>
      <c r="C296" s="5" t="s">
        <v>3072</v>
      </c>
      <c r="D296" s="5" t="s">
        <v>3073</v>
      </c>
      <c r="E296" s="7" t="s">
        <v>3074</v>
      </c>
      <c r="F296" s="5" t="b">
        <v>0</v>
      </c>
    </row>
    <row r="297">
      <c r="A297" s="5" t="s">
        <v>3075</v>
      </c>
      <c r="B297" s="5" t="s">
        <v>3076</v>
      </c>
      <c r="C297" s="5" t="s">
        <v>3077</v>
      </c>
      <c r="D297" s="5" t="s">
        <v>2325</v>
      </c>
      <c r="E297" s="7" t="s">
        <v>3074</v>
      </c>
      <c r="F297" s="5" t="b">
        <v>0</v>
      </c>
    </row>
    <row r="298">
      <c r="A298" s="5" t="s">
        <v>3078</v>
      </c>
      <c r="B298" s="5" t="s">
        <v>3079</v>
      </c>
      <c r="C298" s="5" t="s">
        <v>3080</v>
      </c>
      <c r="D298" s="5" t="s">
        <v>2325</v>
      </c>
      <c r="E298" s="7" t="s">
        <v>3074</v>
      </c>
      <c r="F298" s="5" t="b">
        <v>0</v>
      </c>
    </row>
    <row r="299">
      <c r="A299" s="5" t="s">
        <v>394</v>
      </c>
      <c r="B299" s="5" t="s">
        <v>2741</v>
      </c>
      <c r="C299" s="5" t="s">
        <v>2498</v>
      </c>
      <c r="D299" s="5" t="s">
        <v>3081</v>
      </c>
      <c r="E299" s="7" t="s">
        <v>3074</v>
      </c>
      <c r="F299" s="5" t="b">
        <v>0</v>
      </c>
    </row>
    <row r="300">
      <c r="A300" s="5" t="s">
        <v>2325</v>
      </c>
      <c r="B300" s="5" t="s">
        <v>3082</v>
      </c>
      <c r="C300" s="5" t="s">
        <v>3083</v>
      </c>
      <c r="D300" s="5" t="s">
        <v>2325</v>
      </c>
      <c r="E300" s="7" t="s">
        <v>3084</v>
      </c>
      <c r="F300" s="5" t="b">
        <v>0</v>
      </c>
    </row>
    <row r="301">
      <c r="A301" s="5" t="s">
        <v>2325</v>
      </c>
      <c r="B301" s="5" t="s">
        <v>3085</v>
      </c>
      <c r="C301" s="5" t="s">
        <v>3086</v>
      </c>
      <c r="D301" s="5" t="s">
        <v>2325</v>
      </c>
      <c r="E301" s="7" t="s">
        <v>3084</v>
      </c>
      <c r="F301" s="5" t="b">
        <v>0</v>
      </c>
    </row>
    <row r="302">
      <c r="A302" s="5" t="s">
        <v>3087</v>
      </c>
      <c r="B302" s="5" t="s">
        <v>3088</v>
      </c>
      <c r="C302" s="5" t="s">
        <v>3089</v>
      </c>
      <c r="D302" s="5" t="s">
        <v>2325</v>
      </c>
      <c r="E302" s="7" t="s">
        <v>3084</v>
      </c>
      <c r="F302" s="5" t="b">
        <v>0</v>
      </c>
    </row>
    <row r="303">
      <c r="A303" s="5" t="s">
        <v>2325</v>
      </c>
      <c r="B303" s="5" t="s">
        <v>3090</v>
      </c>
      <c r="C303" s="5" t="s">
        <v>3091</v>
      </c>
      <c r="D303" s="5" t="s">
        <v>3092</v>
      </c>
      <c r="E303" s="7" t="s">
        <v>3084</v>
      </c>
      <c r="F303" s="5" t="b">
        <v>0</v>
      </c>
    </row>
    <row r="304">
      <c r="A304" s="5" t="s">
        <v>2325</v>
      </c>
      <c r="B304" s="5" t="s">
        <v>3093</v>
      </c>
      <c r="C304" s="5" t="s">
        <v>3094</v>
      </c>
      <c r="D304" s="5" t="s">
        <v>2325</v>
      </c>
      <c r="E304" s="7" t="s">
        <v>3084</v>
      </c>
      <c r="F304" s="5" t="b">
        <v>0</v>
      </c>
    </row>
    <row r="305">
      <c r="A305" s="5" t="s">
        <v>3095</v>
      </c>
      <c r="B305" s="5" t="s">
        <v>3096</v>
      </c>
      <c r="C305" s="5" t="s">
        <v>2325</v>
      </c>
      <c r="D305" s="5" t="s">
        <v>2325</v>
      </c>
      <c r="E305" s="7" t="s">
        <v>3084</v>
      </c>
      <c r="F305" s="5" t="b">
        <v>0</v>
      </c>
    </row>
    <row r="306">
      <c r="A306" s="5" t="s">
        <v>2325</v>
      </c>
      <c r="B306" s="5" t="s">
        <v>3097</v>
      </c>
      <c r="C306" s="5" t="s">
        <v>3098</v>
      </c>
      <c r="D306" s="5" t="s">
        <v>2928</v>
      </c>
      <c r="E306" s="7" t="s">
        <v>3099</v>
      </c>
      <c r="F306" s="5" t="b">
        <v>0</v>
      </c>
    </row>
    <row r="307">
      <c r="A307" s="5" t="s">
        <v>3100</v>
      </c>
      <c r="B307" s="5" t="s">
        <v>3101</v>
      </c>
      <c r="C307" s="5" t="s">
        <v>3102</v>
      </c>
      <c r="D307" s="5" t="s">
        <v>3103</v>
      </c>
      <c r="E307" s="7" t="s">
        <v>3099</v>
      </c>
      <c r="F307" s="5" t="b">
        <v>0</v>
      </c>
    </row>
    <row r="308">
      <c r="A308" s="5" t="s">
        <v>2325</v>
      </c>
      <c r="B308" s="5" t="s">
        <v>3104</v>
      </c>
      <c r="C308" s="5" t="s">
        <v>2464</v>
      </c>
      <c r="D308" s="5" t="s">
        <v>2918</v>
      </c>
      <c r="E308" s="7" t="s">
        <v>3099</v>
      </c>
      <c r="F308" s="5" t="b">
        <v>0</v>
      </c>
    </row>
    <row r="309">
      <c r="A309" s="5" t="s">
        <v>3105</v>
      </c>
      <c r="B309" s="5" t="s">
        <v>3106</v>
      </c>
      <c r="C309" s="5" t="s">
        <v>3107</v>
      </c>
      <c r="D309" s="5" t="s">
        <v>2918</v>
      </c>
      <c r="E309" s="7" t="s">
        <v>3099</v>
      </c>
      <c r="F309" s="5" t="b">
        <v>0</v>
      </c>
    </row>
    <row r="310">
      <c r="A310" s="5" t="s">
        <v>2325</v>
      </c>
      <c r="B310" s="5" t="s">
        <v>3036</v>
      </c>
      <c r="C310" s="5" t="s">
        <v>3037</v>
      </c>
      <c r="D310" s="5" t="s">
        <v>2918</v>
      </c>
      <c r="E310" s="7" t="s">
        <v>3108</v>
      </c>
      <c r="F310" s="5" t="b">
        <v>0</v>
      </c>
    </row>
    <row r="311">
      <c r="A311" s="5" t="s">
        <v>2325</v>
      </c>
      <c r="B311" s="5" t="s">
        <v>3109</v>
      </c>
      <c r="C311" s="5" t="s">
        <v>3110</v>
      </c>
      <c r="D311" s="5" t="s">
        <v>2918</v>
      </c>
      <c r="E311" s="7" t="s">
        <v>3111</v>
      </c>
      <c r="F311" s="5" t="b">
        <v>0</v>
      </c>
    </row>
    <row r="312">
      <c r="A312" s="5" t="s">
        <v>3112</v>
      </c>
      <c r="B312" s="5" t="s">
        <v>3113</v>
      </c>
      <c r="C312" s="5" t="s">
        <v>3114</v>
      </c>
      <c r="D312" s="5" t="s">
        <v>3115</v>
      </c>
      <c r="E312" s="7" t="s">
        <v>3111</v>
      </c>
      <c r="F312" s="5" t="b">
        <v>0</v>
      </c>
    </row>
    <row r="313">
      <c r="A313" s="5" t="s">
        <v>2998</v>
      </c>
      <c r="B313" s="5" t="s">
        <v>2999</v>
      </c>
      <c r="C313" s="5" t="s">
        <v>3000</v>
      </c>
      <c r="D313" s="5" t="s">
        <v>3001</v>
      </c>
      <c r="E313" s="7" t="s">
        <v>3116</v>
      </c>
      <c r="F313" s="5" t="b">
        <v>0</v>
      </c>
    </row>
    <row r="314">
      <c r="A314" s="5" t="s">
        <v>3117</v>
      </c>
      <c r="B314" s="5" t="s">
        <v>3118</v>
      </c>
      <c r="C314" s="5" t="s">
        <v>2354</v>
      </c>
      <c r="D314" s="5" t="s">
        <v>2918</v>
      </c>
      <c r="E314" s="7" t="s">
        <v>3119</v>
      </c>
      <c r="F314" s="5" t="b">
        <v>0</v>
      </c>
    </row>
    <row r="315">
      <c r="A315" s="5" t="s">
        <v>2325</v>
      </c>
      <c r="B315" s="5" t="s">
        <v>3120</v>
      </c>
      <c r="C315" s="5" t="s">
        <v>3121</v>
      </c>
      <c r="D315" s="5" t="s">
        <v>3122</v>
      </c>
      <c r="E315" s="7" t="s">
        <v>3123</v>
      </c>
      <c r="F315" s="5" t="b">
        <v>0</v>
      </c>
    </row>
    <row r="316">
      <c r="A316" s="5" t="s">
        <v>3124</v>
      </c>
      <c r="B316" s="5" t="s">
        <v>3125</v>
      </c>
      <c r="C316" s="5" t="s">
        <v>3126</v>
      </c>
      <c r="D316" s="5" t="s">
        <v>2325</v>
      </c>
      <c r="E316" s="7" t="s">
        <v>3127</v>
      </c>
      <c r="F316" s="5" t="b">
        <v>0</v>
      </c>
    </row>
    <row r="317">
      <c r="A317" s="5" t="s">
        <v>3128</v>
      </c>
      <c r="B317" s="5" t="s">
        <v>3129</v>
      </c>
      <c r="C317" s="5" t="s">
        <v>3130</v>
      </c>
      <c r="D317" s="5" t="s">
        <v>2325</v>
      </c>
      <c r="E317" s="7" t="s">
        <v>3127</v>
      </c>
      <c r="F317" s="5" t="b">
        <v>0</v>
      </c>
    </row>
    <row r="318">
      <c r="A318" s="5" t="s">
        <v>3131</v>
      </c>
      <c r="B318" s="5" t="s">
        <v>3132</v>
      </c>
      <c r="C318" s="5" t="s">
        <v>3133</v>
      </c>
      <c r="D318" s="5" t="s">
        <v>2325</v>
      </c>
      <c r="E318" s="7" t="s">
        <v>3134</v>
      </c>
      <c r="F318" s="5" t="b">
        <v>0</v>
      </c>
    </row>
    <row r="319">
      <c r="A319" s="5" t="s">
        <v>1665</v>
      </c>
      <c r="B319" s="5" t="s">
        <v>3135</v>
      </c>
      <c r="C319" s="5" t="s">
        <v>2941</v>
      </c>
      <c r="D319" s="5" t="s">
        <v>2918</v>
      </c>
      <c r="E319" s="7" t="s">
        <v>3136</v>
      </c>
      <c r="F319" s="5" t="b">
        <v>0</v>
      </c>
    </row>
    <row r="320">
      <c r="A320" s="6" t="s">
        <v>2325</v>
      </c>
      <c r="B320" s="5" t="s">
        <v>3137</v>
      </c>
      <c r="C320" s="5" t="s">
        <v>3138</v>
      </c>
      <c r="D320" s="5" t="s">
        <v>3139</v>
      </c>
      <c r="E320" s="7" t="s">
        <v>3136</v>
      </c>
      <c r="F320" s="5" t="b">
        <v>0</v>
      </c>
    </row>
    <row r="321">
      <c r="A321" s="6" t="s">
        <v>2325</v>
      </c>
      <c r="B321" s="5" t="s">
        <v>3140</v>
      </c>
      <c r="C321" s="5" t="s">
        <v>3141</v>
      </c>
      <c r="D321" s="5" t="s">
        <v>2352</v>
      </c>
      <c r="E321" s="7" t="s">
        <v>3136</v>
      </c>
      <c r="F321" s="5" t="b">
        <v>0</v>
      </c>
    </row>
    <row r="322">
      <c r="A322" s="5" t="s">
        <v>2626</v>
      </c>
      <c r="B322" s="5" t="s">
        <v>2627</v>
      </c>
      <c r="C322" s="5" t="s">
        <v>3142</v>
      </c>
      <c r="D322" s="5" t="s">
        <v>2918</v>
      </c>
      <c r="E322" s="7" t="s">
        <v>3143</v>
      </c>
      <c r="F322" s="5" t="b">
        <v>0</v>
      </c>
    </row>
    <row r="323">
      <c r="A323" s="6" t="s">
        <v>2325</v>
      </c>
      <c r="B323" s="5" t="s">
        <v>3144</v>
      </c>
      <c r="C323" s="5" t="s">
        <v>3145</v>
      </c>
      <c r="D323" s="5" t="s">
        <v>2325</v>
      </c>
      <c r="E323" s="7" t="s">
        <v>3143</v>
      </c>
      <c r="F323" s="5" t="b">
        <v>0</v>
      </c>
    </row>
    <row r="324">
      <c r="A324" s="5" t="s">
        <v>2965</v>
      </c>
      <c r="B324" s="5" t="s">
        <v>2966</v>
      </c>
      <c r="C324" s="5" t="s">
        <v>3146</v>
      </c>
      <c r="D324" s="5" t="s">
        <v>2325</v>
      </c>
      <c r="E324" s="7" t="s">
        <v>3143</v>
      </c>
      <c r="F324" s="5" t="b">
        <v>0</v>
      </c>
    </row>
    <row r="325">
      <c r="A325" s="6" t="s">
        <v>2325</v>
      </c>
      <c r="B325" s="5" t="s">
        <v>3147</v>
      </c>
      <c r="C325" s="5" t="s">
        <v>3148</v>
      </c>
      <c r="D325" s="5" t="s">
        <v>2440</v>
      </c>
      <c r="E325" s="7" t="s">
        <v>3149</v>
      </c>
      <c r="F325" s="5" t="b">
        <v>0</v>
      </c>
    </row>
    <row r="326">
      <c r="A326" s="5" t="s">
        <v>3150</v>
      </c>
      <c r="B326" s="5" t="s">
        <v>3151</v>
      </c>
      <c r="C326" s="5" t="s">
        <v>3152</v>
      </c>
      <c r="D326" s="5" t="s">
        <v>3153</v>
      </c>
      <c r="E326" s="7" t="s">
        <v>3149</v>
      </c>
      <c r="F326" s="5" t="b">
        <v>0</v>
      </c>
    </row>
    <row r="327">
      <c r="A327" s="5" t="s">
        <v>3154</v>
      </c>
      <c r="B327" s="5" t="s">
        <v>3155</v>
      </c>
      <c r="C327" s="5" t="s">
        <v>3156</v>
      </c>
      <c r="D327" s="5" t="s">
        <v>3157</v>
      </c>
      <c r="E327" s="7" t="s">
        <v>3149</v>
      </c>
      <c r="F327" s="5" t="b">
        <v>0</v>
      </c>
    </row>
    <row r="328">
      <c r="A328" s="5" t="s">
        <v>3158</v>
      </c>
      <c r="B328" s="5" t="s">
        <v>3159</v>
      </c>
      <c r="C328" s="5" t="s">
        <v>2949</v>
      </c>
      <c r="D328" s="5" t="s">
        <v>3160</v>
      </c>
      <c r="E328" s="7" t="s">
        <v>3149</v>
      </c>
      <c r="F328" s="5" t="b">
        <v>0</v>
      </c>
    </row>
    <row r="329">
      <c r="A329" s="5" t="s">
        <v>3069</v>
      </c>
      <c r="B329" s="5" t="s">
        <v>3070</v>
      </c>
      <c r="C329" s="5" t="s">
        <v>2513</v>
      </c>
      <c r="D329" s="5" t="s">
        <v>2918</v>
      </c>
      <c r="E329" s="7" t="s">
        <v>3149</v>
      </c>
      <c r="F329" s="5" t="b">
        <v>0</v>
      </c>
    </row>
    <row r="330">
      <c r="A330" s="5" t="s">
        <v>3161</v>
      </c>
      <c r="B330" s="5" t="s">
        <v>3162</v>
      </c>
      <c r="C330" s="5" t="s">
        <v>3163</v>
      </c>
      <c r="D330" s="5" t="s">
        <v>2928</v>
      </c>
      <c r="E330" s="7" t="s">
        <v>3164</v>
      </c>
      <c r="F330" s="5" t="b">
        <v>0</v>
      </c>
    </row>
    <row r="331">
      <c r="A331" s="5" t="s">
        <v>3165</v>
      </c>
      <c r="B331" s="5" t="s">
        <v>3052</v>
      </c>
      <c r="C331" s="5" t="s">
        <v>3053</v>
      </c>
      <c r="D331" s="5" t="s">
        <v>3054</v>
      </c>
      <c r="E331" s="7" t="s">
        <v>3164</v>
      </c>
      <c r="F331" s="5" t="b">
        <v>0</v>
      </c>
    </row>
    <row r="332">
      <c r="A332" s="5" t="s">
        <v>3166</v>
      </c>
      <c r="B332" s="5" t="s">
        <v>3167</v>
      </c>
      <c r="C332" s="5" t="s">
        <v>3168</v>
      </c>
      <c r="D332" s="5" t="s">
        <v>3169</v>
      </c>
      <c r="E332" s="7" t="s">
        <v>3164</v>
      </c>
      <c r="F332" s="5" t="b">
        <v>0</v>
      </c>
    </row>
    <row r="333">
      <c r="A333" s="5" t="s">
        <v>3170</v>
      </c>
      <c r="B333" s="5" t="s">
        <v>3171</v>
      </c>
      <c r="C333" s="5" t="s">
        <v>3172</v>
      </c>
      <c r="D333" s="5" t="s">
        <v>2918</v>
      </c>
      <c r="E333" s="7" t="s">
        <v>3164</v>
      </c>
      <c r="F333" s="5" t="b">
        <v>0</v>
      </c>
    </row>
    <row r="334">
      <c r="A334" s="6" t="s">
        <v>2325</v>
      </c>
      <c r="B334" s="5" t="s">
        <v>3173</v>
      </c>
      <c r="C334" s="5" t="s">
        <v>3174</v>
      </c>
      <c r="D334" s="5" t="s">
        <v>3175</v>
      </c>
      <c r="E334" s="7" t="s">
        <v>3164</v>
      </c>
      <c r="F334" s="5" t="b">
        <v>0</v>
      </c>
    </row>
    <row r="335">
      <c r="A335" s="5" t="s">
        <v>1753</v>
      </c>
      <c r="B335" s="5" t="s">
        <v>3176</v>
      </c>
      <c r="C335" s="5" t="s">
        <v>3177</v>
      </c>
      <c r="D335" s="5" t="s">
        <v>2325</v>
      </c>
      <c r="E335" s="7" t="s">
        <v>3178</v>
      </c>
      <c r="F335" s="5" t="b">
        <v>0</v>
      </c>
    </row>
    <row r="336">
      <c r="A336" s="6" t="s">
        <v>2325</v>
      </c>
      <c r="B336" s="5" t="s">
        <v>3179</v>
      </c>
      <c r="C336" s="5" t="s">
        <v>3180</v>
      </c>
      <c r="D336" s="5" t="s">
        <v>2918</v>
      </c>
      <c r="E336" s="7" t="s">
        <v>3178</v>
      </c>
      <c r="F336" s="5" t="b">
        <v>0</v>
      </c>
    </row>
    <row r="337">
      <c r="A337" s="6" t="s">
        <v>2325</v>
      </c>
      <c r="B337" s="5" t="s">
        <v>3181</v>
      </c>
      <c r="C337" s="5" t="s">
        <v>3182</v>
      </c>
      <c r="D337" s="5" t="s">
        <v>2352</v>
      </c>
      <c r="E337" s="7" t="s">
        <v>3178</v>
      </c>
      <c r="F337" s="5" t="b">
        <v>0</v>
      </c>
    </row>
    <row r="338">
      <c r="A338" s="6" t="s">
        <v>2325</v>
      </c>
      <c r="B338" s="5" t="s">
        <v>3076</v>
      </c>
      <c r="C338" s="5" t="s">
        <v>3077</v>
      </c>
      <c r="D338" s="5" t="s">
        <v>2325</v>
      </c>
      <c r="E338" s="7" t="s">
        <v>3178</v>
      </c>
      <c r="F338" s="5" t="b">
        <v>0</v>
      </c>
    </row>
    <row r="339">
      <c r="A339" s="6" t="s">
        <v>2325</v>
      </c>
      <c r="B339" s="5" t="s">
        <v>3183</v>
      </c>
      <c r="C339" s="5" t="s">
        <v>2439</v>
      </c>
      <c r="D339" s="5" t="s">
        <v>2440</v>
      </c>
      <c r="E339" s="7" t="s">
        <v>3178</v>
      </c>
      <c r="F339" s="5" t="b">
        <v>0</v>
      </c>
    </row>
    <row r="340">
      <c r="A340" s="6" t="s">
        <v>2325</v>
      </c>
      <c r="B340" s="5" t="s">
        <v>2378</v>
      </c>
      <c r="C340" s="5" t="s">
        <v>3184</v>
      </c>
      <c r="D340" s="5" t="s">
        <v>3185</v>
      </c>
      <c r="E340" s="7" t="s">
        <v>3178</v>
      </c>
      <c r="F340" s="5" t="b">
        <v>0</v>
      </c>
    </row>
    <row r="341">
      <c r="A341" s="5" t="s">
        <v>3186</v>
      </c>
      <c r="B341" s="5" t="s">
        <v>3187</v>
      </c>
      <c r="C341" s="5" t="s">
        <v>3188</v>
      </c>
      <c r="D341" s="5" t="s">
        <v>2942</v>
      </c>
      <c r="E341" s="7" t="s">
        <v>3178</v>
      </c>
      <c r="F341" s="5" t="b">
        <v>0</v>
      </c>
    </row>
    <row r="342">
      <c r="A342" s="6" t="s">
        <v>2325</v>
      </c>
      <c r="B342" s="6" t="s">
        <v>2325</v>
      </c>
      <c r="C342" s="5" t="s">
        <v>2712</v>
      </c>
      <c r="D342" s="5" t="s">
        <v>3189</v>
      </c>
      <c r="E342" s="7" t="s">
        <v>3178</v>
      </c>
      <c r="F342" s="5" t="b">
        <v>0</v>
      </c>
    </row>
    <row r="343">
      <c r="A343" s="6" t="s">
        <v>2325</v>
      </c>
      <c r="B343" s="5" t="s">
        <v>2420</v>
      </c>
      <c r="C343" s="5" t="s">
        <v>2518</v>
      </c>
      <c r="D343" s="5" t="s">
        <v>3185</v>
      </c>
      <c r="E343" s="7" t="s">
        <v>3178</v>
      </c>
      <c r="F343" s="5" t="b">
        <v>0</v>
      </c>
    </row>
    <row r="344">
      <c r="A344" s="6" t="s">
        <v>2325</v>
      </c>
      <c r="B344" s="5" t="s">
        <v>3190</v>
      </c>
      <c r="C344" s="5" t="s">
        <v>2424</v>
      </c>
      <c r="D344" s="5" t="s">
        <v>3191</v>
      </c>
      <c r="E344" s="7" t="s">
        <v>3178</v>
      </c>
      <c r="F344" s="5" t="b">
        <v>0</v>
      </c>
    </row>
    <row r="345">
      <c r="A345" s="6" t="s">
        <v>2325</v>
      </c>
      <c r="B345" s="5" t="s">
        <v>3192</v>
      </c>
      <c r="C345" s="5" t="s">
        <v>3193</v>
      </c>
      <c r="D345" s="5" t="s">
        <v>3194</v>
      </c>
      <c r="E345" s="7" t="s">
        <v>3195</v>
      </c>
      <c r="F345" s="5" t="b">
        <v>0</v>
      </c>
    </row>
    <row r="346">
      <c r="A346" s="6" t="s">
        <v>2325</v>
      </c>
      <c r="B346" s="5" t="s">
        <v>3196</v>
      </c>
      <c r="C346" s="5" t="s">
        <v>3197</v>
      </c>
      <c r="D346" s="5" t="s">
        <v>2942</v>
      </c>
      <c r="E346" s="7" t="s">
        <v>3195</v>
      </c>
      <c r="F346" s="5" t="b">
        <v>0</v>
      </c>
    </row>
    <row r="347">
      <c r="A347" s="6" t="s">
        <v>2325</v>
      </c>
      <c r="B347" s="5" t="s">
        <v>2567</v>
      </c>
      <c r="C347" s="5" t="s">
        <v>2568</v>
      </c>
      <c r="D347" s="5" t="s">
        <v>2942</v>
      </c>
      <c r="E347" s="7" t="s">
        <v>3195</v>
      </c>
      <c r="F347" s="5" t="b">
        <v>0</v>
      </c>
    </row>
    <row r="348">
      <c r="A348" s="6" t="s">
        <v>2325</v>
      </c>
      <c r="B348" s="5" t="s">
        <v>2510</v>
      </c>
      <c r="C348" s="5" t="s">
        <v>2511</v>
      </c>
      <c r="D348" s="5" t="s">
        <v>2325</v>
      </c>
      <c r="E348" s="7" t="s">
        <v>3195</v>
      </c>
      <c r="F348" s="5" t="b">
        <v>0</v>
      </c>
    </row>
    <row r="349">
      <c r="A349" s="5" t="s">
        <v>2349</v>
      </c>
      <c r="B349" s="5" t="s">
        <v>2350</v>
      </c>
      <c r="C349" s="5" t="s">
        <v>3198</v>
      </c>
      <c r="D349" s="5" t="s">
        <v>2352</v>
      </c>
      <c r="E349" s="7" t="s">
        <v>3199</v>
      </c>
      <c r="F349" s="5" t="b">
        <v>0</v>
      </c>
    </row>
    <row r="350">
      <c r="A350" s="5" t="s">
        <v>2325</v>
      </c>
      <c r="B350" s="5" t="s">
        <v>3200</v>
      </c>
      <c r="C350" s="5" t="s">
        <v>3201</v>
      </c>
      <c r="D350" s="5" t="s">
        <v>2918</v>
      </c>
      <c r="E350" s="7" t="s">
        <v>3202</v>
      </c>
      <c r="F350" s="5" t="b">
        <v>0</v>
      </c>
    </row>
    <row r="351">
      <c r="A351" s="5" t="s">
        <v>2325</v>
      </c>
      <c r="B351" s="5" t="s">
        <v>3203</v>
      </c>
      <c r="C351" s="5" t="s">
        <v>3204</v>
      </c>
      <c r="D351" s="5" t="s">
        <v>3205</v>
      </c>
      <c r="E351" s="7" t="s">
        <v>3202</v>
      </c>
      <c r="F351" s="5" t="b">
        <v>0</v>
      </c>
    </row>
    <row r="352">
      <c r="A352" s="5" t="s">
        <v>3206</v>
      </c>
      <c r="B352" s="5" t="s">
        <v>3207</v>
      </c>
      <c r="C352" s="5" t="s">
        <v>2956</v>
      </c>
      <c r="D352" s="5" t="s">
        <v>2918</v>
      </c>
      <c r="E352" s="7" t="s">
        <v>3202</v>
      </c>
      <c r="F352" s="5" t="b">
        <v>0</v>
      </c>
    </row>
    <row r="353">
      <c r="A353" s="5" t="s">
        <v>3208</v>
      </c>
      <c r="B353" s="5" t="s">
        <v>3209</v>
      </c>
      <c r="C353" s="5" t="s">
        <v>2917</v>
      </c>
      <c r="D353" s="5" t="s">
        <v>2918</v>
      </c>
      <c r="E353" s="7" t="s">
        <v>3202</v>
      </c>
      <c r="F353" s="5" t="b">
        <v>0</v>
      </c>
    </row>
    <row r="354">
      <c r="A354" s="5" t="s">
        <v>3210</v>
      </c>
      <c r="B354" s="5" t="s">
        <v>2749</v>
      </c>
      <c r="C354" s="5" t="s">
        <v>3211</v>
      </c>
      <c r="D354" s="5" t="s">
        <v>2325</v>
      </c>
      <c r="E354" s="7" t="s">
        <v>3212</v>
      </c>
      <c r="F354" s="5" t="b">
        <v>0</v>
      </c>
    </row>
    <row r="355">
      <c r="A355" s="5" t="s">
        <v>3213</v>
      </c>
      <c r="B355" s="5" t="s">
        <v>3214</v>
      </c>
      <c r="C355" s="5" t="s">
        <v>3215</v>
      </c>
      <c r="D355" s="5" t="s">
        <v>2918</v>
      </c>
      <c r="E355" s="7" t="s">
        <v>3212</v>
      </c>
      <c r="F355" s="5" t="b">
        <v>0</v>
      </c>
    </row>
    <row r="356">
      <c r="A356" s="5" t="s">
        <v>3216</v>
      </c>
      <c r="B356" s="5" t="s">
        <v>3217</v>
      </c>
      <c r="C356" s="5" t="s">
        <v>3218</v>
      </c>
      <c r="D356" s="5" t="s">
        <v>2325</v>
      </c>
      <c r="E356" s="7" t="s">
        <v>3212</v>
      </c>
      <c r="F356" s="5" t="b">
        <v>0</v>
      </c>
    </row>
    <row r="357">
      <c r="A357" s="5" t="s">
        <v>2325</v>
      </c>
      <c r="B357" s="5" t="s">
        <v>3219</v>
      </c>
      <c r="C357" s="5" t="s">
        <v>3220</v>
      </c>
      <c r="D357" s="5" t="s">
        <v>2942</v>
      </c>
      <c r="E357" s="7" t="s">
        <v>3212</v>
      </c>
      <c r="F357" s="5" t="b">
        <v>0</v>
      </c>
    </row>
    <row r="358">
      <c r="A358" s="5" t="s">
        <v>2325</v>
      </c>
      <c r="B358" s="5" t="s">
        <v>3221</v>
      </c>
      <c r="C358" s="5" t="s">
        <v>3222</v>
      </c>
      <c r="D358" s="5" t="s">
        <v>3223</v>
      </c>
      <c r="E358" s="7" t="s">
        <v>3212</v>
      </c>
      <c r="F358" s="5" t="b">
        <v>0</v>
      </c>
    </row>
    <row r="359">
      <c r="A359" s="5" t="s">
        <v>2325</v>
      </c>
      <c r="B359" s="5" t="s">
        <v>3224</v>
      </c>
      <c r="C359" s="5" t="s">
        <v>3225</v>
      </c>
      <c r="D359" s="5" t="s">
        <v>3226</v>
      </c>
      <c r="E359" s="7" t="s">
        <v>3212</v>
      </c>
      <c r="F359" s="5" t="b">
        <v>0</v>
      </c>
    </row>
    <row r="360">
      <c r="A360" s="5" t="s">
        <v>2325</v>
      </c>
      <c r="B360" s="5" t="s">
        <v>3227</v>
      </c>
      <c r="C360" s="5" t="s">
        <v>2882</v>
      </c>
      <c r="D360" s="5" t="s">
        <v>2918</v>
      </c>
      <c r="E360" s="7" t="s">
        <v>3228</v>
      </c>
      <c r="F360" s="5" t="b">
        <v>0</v>
      </c>
    </row>
    <row r="361">
      <c r="A361" s="5" t="s">
        <v>2325</v>
      </c>
      <c r="B361" s="5" t="s">
        <v>451</v>
      </c>
      <c r="C361" s="5" t="s">
        <v>2681</v>
      </c>
      <c r="D361" s="5" t="s">
        <v>2325</v>
      </c>
      <c r="E361" s="7" t="s">
        <v>3228</v>
      </c>
      <c r="F361" s="5" t="b">
        <v>0</v>
      </c>
    </row>
    <row r="362">
      <c r="A362" s="5" t="s">
        <v>3229</v>
      </c>
      <c r="B362" s="5" t="s">
        <v>3230</v>
      </c>
      <c r="C362" s="5" t="s">
        <v>2445</v>
      </c>
      <c r="D362" s="5" t="s">
        <v>3231</v>
      </c>
      <c r="E362" s="7" t="s">
        <v>3228</v>
      </c>
      <c r="F362" s="5" t="b">
        <v>0</v>
      </c>
    </row>
    <row r="363">
      <c r="A363" s="6" t="s">
        <v>2325</v>
      </c>
      <c r="B363" s="5" t="s">
        <v>3232</v>
      </c>
      <c r="C363" s="5" t="s">
        <v>3233</v>
      </c>
      <c r="D363" s="5" t="s">
        <v>2918</v>
      </c>
      <c r="E363" s="7" t="s">
        <v>3228</v>
      </c>
      <c r="F363" s="5" t="b">
        <v>0</v>
      </c>
    </row>
    <row r="364">
      <c r="A364" s="5" t="s">
        <v>3234</v>
      </c>
      <c r="B364" s="5" t="s">
        <v>2996</v>
      </c>
      <c r="C364" s="5" t="s">
        <v>2997</v>
      </c>
      <c r="D364" s="5" t="s">
        <v>2936</v>
      </c>
      <c r="E364" s="7" t="s">
        <v>3235</v>
      </c>
      <c r="F364" s="5" t="b">
        <v>0</v>
      </c>
    </row>
    <row r="365">
      <c r="A365" s="6" t="s">
        <v>2325</v>
      </c>
      <c r="B365" s="5" t="s">
        <v>2326</v>
      </c>
      <c r="C365" s="5" t="s">
        <v>2327</v>
      </c>
      <c r="D365" s="5" t="s">
        <v>2328</v>
      </c>
      <c r="E365" s="7" t="s">
        <v>3235</v>
      </c>
      <c r="F365" s="5" t="b">
        <v>0</v>
      </c>
    </row>
    <row r="366">
      <c r="A366" s="6" t="s">
        <v>2325</v>
      </c>
      <c r="B366" s="5" t="s">
        <v>3236</v>
      </c>
      <c r="C366" s="5" t="s">
        <v>2383</v>
      </c>
      <c r="D366" s="5" t="s">
        <v>2325</v>
      </c>
      <c r="E366" s="7" t="s">
        <v>3235</v>
      </c>
      <c r="F366" s="5" t="b">
        <v>0</v>
      </c>
    </row>
    <row r="367">
      <c r="A367" s="6" t="s">
        <v>2325</v>
      </c>
      <c r="B367" s="5" t="s">
        <v>3237</v>
      </c>
      <c r="C367" s="5" t="s">
        <v>3238</v>
      </c>
      <c r="D367" s="5" t="s">
        <v>2325</v>
      </c>
      <c r="E367" s="7" t="s">
        <v>3239</v>
      </c>
      <c r="F367" s="5" t="b">
        <v>0</v>
      </c>
    </row>
    <row r="368">
      <c r="A368" s="5" t="s">
        <v>3240</v>
      </c>
      <c r="B368" s="5" t="s">
        <v>3241</v>
      </c>
      <c r="C368" s="5" t="s">
        <v>3242</v>
      </c>
      <c r="D368" s="5" t="s">
        <v>2918</v>
      </c>
      <c r="E368" s="7" t="s">
        <v>3239</v>
      </c>
      <c r="F368" s="5" t="b">
        <v>0</v>
      </c>
    </row>
    <row r="369">
      <c r="A369" s="5" t="s">
        <v>2325</v>
      </c>
      <c r="B369" s="5" t="s">
        <v>3243</v>
      </c>
      <c r="C369" s="5" t="s">
        <v>3244</v>
      </c>
      <c r="D369" s="5" t="s">
        <v>2918</v>
      </c>
      <c r="E369" s="7" t="s">
        <v>3245</v>
      </c>
      <c r="F369" s="5" t="b">
        <v>0</v>
      </c>
    </row>
    <row r="370">
      <c r="A370" s="5" t="s">
        <v>2788</v>
      </c>
      <c r="B370" s="5" t="s">
        <v>3246</v>
      </c>
      <c r="C370" s="5" t="s">
        <v>3247</v>
      </c>
      <c r="D370" s="5" t="s">
        <v>2325</v>
      </c>
      <c r="E370" s="7" t="s">
        <v>3245</v>
      </c>
      <c r="F370" s="5" t="b">
        <v>0</v>
      </c>
    </row>
    <row r="371">
      <c r="A371" s="5" t="s">
        <v>2325</v>
      </c>
      <c r="B371" s="5" t="s">
        <v>3248</v>
      </c>
      <c r="C371" s="5" t="s">
        <v>3249</v>
      </c>
      <c r="D371" s="5" t="s">
        <v>2325</v>
      </c>
      <c r="E371" s="7" t="s">
        <v>3245</v>
      </c>
      <c r="F371" s="5" t="b">
        <v>0</v>
      </c>
    </row>
    <row r="372">
      <c r="A372" s="5" t="s">
        <v>3250</v>
      </c>
      <c r="B372" s="5" t="s">
        <v>3251</v>
      </c>
      <c r="C372" s="5" t="s">
        <v>3252</v>
      </c>
      <c r="D372" s="5" t="s">
        <v>3253</v>
      </c>
      <c r="E372" s="7" t="s">
        <v>3254</v>
      </c>
      <c r="F372" s="5" t="b">
        <v>0</v>
      </c>
    </row>
    <row r="373">
      <c r="A373" s="5" t="s">
        <v>3255</v>
      </c>
      <c r="B373" s="5" t="s">
        <v>3256</v>
      </c>
      <c r="C373" s="5" t="s">
        <v>3257</v>
      </c>
      <c r="D373" s="5" t="s">
        <v>2918</v>
      </c>
      <c r="E373" s="7" t="s">
        <v>3258</v>
      </c>
      <c r="F373" s="5" t="b">
        <v>0</v>
      </c>
    </row>
    <row r="374">
      <c r="A374" s="5" t="s">
        <v>3259</v>
      </c>
      <c r="B374" s="5" t="s">
        <v>3260</v>
      </c>
      <c r="C374" s="5" t="s">
        <v>3261</v>
      </c>
      <c r="D374" s="5" t="s">
        <v>2918</v>
      </c>
      <c r="E374" s="7" t="s">
        <v>3262</v>
      </c>
      <c r="F374" s="5" t="b">
        <v>0</v>
      </c>
    </row>
    <row r="375">
      <c r="A375" s="5" t="s">
        <v>2325</v>
      </c>
      <c r="B375" s="5" t="s">
        <v>3263</v>
      </c>
      <c r="C375" s="5" t="s">
        <v>3264</v>
      </c>
      <c r="D375" s="5" t="s">
        <v>2325</v>
      </c>
      <c r="E375" s="7" t="s">
        <v>3262</v>
      </c>
      <c r="F375" s="5" t="b">
        <v>0</v>
      </c>
    </row>
    <row r="376">
      <c r="A376" s="5" t="s">
        <v>2325</v>
      </c>
      <c r="B376" s="5" t="s">
        <v>2510</v>
      </c>
      <c r="C376" s="5" t="s">
        <v>2511</v>
      </c>
      <c r="D376" s="5" t="s">
        <v>2325</v>
      </c>
      <c r="E376" s="7" t="s">
        <v>3265</v>
      </c>
      <c r="F376" s="5" t="b">
        <v>0</v>
      </c>
    </row>
    <row r="377">
      <c r="A377" s="5" t="s">
        <v>3069</v>
      </c>
      <c r="B377" s="5" t="s">
        <v>3070</v>
      </c>
      <c r="C377" s="5" t="s">
        <v>2513</v>
      </c>
      <c r="D377" s="5" t="s">
        <v>2918</v>
      </c>
      <c r="E377" s="7" t="s">
        <v>3265</v>
      </c>
      <c r="F377" s="5" t="b">
        <v>0</v>
      </c>
    </row>
    <row r="378">
      <c r="A378" s="5" t="s">
        <v>2325</v>
      </c>
      <c r="B378" s="5" t="s">
        <v>3266</v>
      </c>
      <c r="C378" s="5" t="s">
        <v>3267</v>
      </c>
      <c r="D378" s="5" t="s">
        <v>3268</v>
      </c>
      <c r="E378" s="7" t="s">
        <v>3265</v>
      </c>
      <c r="F378" s="5" t="b">
        <v>0</v>
      </c>
    </row>
    <row r="379">
      <c r="A379" s="5" t="s">
        <v>3269</v>
      </c>
      <c r="B379" s="5" t="s">
        <v>3096</v>
      </c>
      <c r="C379" s="5" t="s">
        <v>3094</v>
      </c>
      <c r="D379" s="5" t="s">
        <v>2325</v>
      </c>
      <c r="E379" s="7" t="s">
        <v>3265</v>
      </c>
      <c r="F379" s="5" t="b">
        <v>0</v>
      </c>
    </row>
    <row r="380">
      <c r="A380" s="5" t="s">
        <v>2325</v>
      </c>
      <c r="B380" s="5" t="s">
        <v>3052</v>
      </c>
      <c r="C380" s="5" t="s">
        <v>3270</v>
      </c>
      <c r="D380" s="5" t="s">
        <v>3054</v>
      </c>
      <c r="E380" s="7" t="s">
        <v>3265</v>
      </c>
      <c r="F380" s="5" t="b">
        <v>0</v>
      </c>
    </row>
    <row r="381">
      <c r="A381" s="5" t="s">
        <v>2325</v>
      </c>
      <c r="B381" s="5" t="s">
        <v>2376</v>
      </c>
      <c r="C381" s="5" t="s">
        <v>2377</v>
      </c>
      <c r="D381" s="5" t="s">
        <v>2352</v>
      </c>
      <c r="E381" s="7" t="s">
        <v>3271</v>
      </c>
      <c r="F381" s="5" t="b">
        <v>0</v>
      </c>
    </row>
    <row r="382">
      <c r="A382" s="5" t="s">
        <v>3272</v>
      </c>
      <c r="B382" s="5" t="s">
        <v>3273</v>
      </c>
      <c r="C382" s="5" t="s">
        <v>3274</v>
      </c>
      <c r="D382" s="5" t="s">
        <v>3275</v>
      </c>
      <c r="E382" s="7" t="s">
        <v>3271</v>
      </c>
      <c r="F382" s="5" t="b">
        <v>0</v>
      </c>
    </row>
    <row r="383">
      <c r="A383" s="5" t="s">
        <v>3276</v>
      </c>
      <c r="B383" s="5" t="s">
        <v>3277</v>
      </c>
      <c r="C383" s="5" t="s">
        <v>3278</v>
      </c>
      <c r="D383" s="5" t="s">
        <v>2325</v>
      </c>
      <c r="E383" s="7" t="s">
        <v>3271</v>
      </c>
      <c r="F383" s="5" t="b">
        <v>0</v>
      </c>
    </row>
    <row r="384">
      <c r="A384" s="5" t="s">
        <v>3279</v>
      </c>
      <c r="B384" s="5" t="s">
        <v>3280</v>
      </c>
      <c r="C384" s="5" t="s">
        <v>2725</v>
      </c>
      <c r="D384" s="5" t="s">
        <v>2918</v>
      </c>
      <c r="E384" s="7" t="s">
        <v>3271</v>
      </c>
      <c r="F384" s="5" t="b">
        <v>0</v>
      </c>
    </row>
    <row r="385">
      <c r="A385" s="5" t="s">
        <v>3281</v>
      </c>
      <c r="B385" s="5" t="s">
        <v>3282</v>
      </c>
      <c r="C385" s="5" t="s">
        <v>3283</v>
      </c>
      <c r="D385" s="5" t="s">
        <v>2325</v>
      </c>
      <c r="E385" s="7" t="s">
        <v>3271</v>
      </c>
      <c r="F385" s="5" t="b">
        <v>0</v>
      </c>
    </row>
    <row r="386">
      <c r="A386" s="5" t="s">
        <v>2325</v>
      </c>
      <c r="B386" s="5" t="s">
        <v>3284</v>
      </c>
      <c r="C386" s="5" t="s">
        <v>3285</v>
      </c>
      <c r="D386" s="5" t="s">
        <v>2325</v>
      </c>
      <c r="E386" s="7" t="s">
        <v>3271</v>
      </c>
      <c r="F386" s="5" t="b">
        <v>0</v>
      </c>
    </row>
    <row r="387">
      <c r="A387" s="5" t="s">
        <v>2325</v>
      </c>
      <c r="B387" s="5" t="s">
        <v>3286</v>
      </c>
      <c r="C387" s="5" t="s">
        <v>3287</v>
      </c>
      <c r="D387" s="5" t="s">
        <v>2942</v>
      </c>
      <c r="E387" s="7" t="s">
        <v>3271</v>
      </c>
      <c r="F387" s="5" t="b">
        <v>0</v>
      </c>
    </row>
    <row r="388">
      <c r="A388" s="5" t="s">
        <v>2325</v>
      </c>
      <c r="B388" s="5" t="s">
        <v>3288</v>
      </c>
      <c r="C388" s="5" t="s">
        <v>3289</v>
      </c>
      <c r="D388" s="5" t="s">
        <v>2325</v>
      </c>
      <c r="E388" s="7" t="s">
        <v>3271</v>
      </c>
      <c r="F388" s="5" t="b">
        <v>0</v>
      </c>
    </row>
    <row r="389">
      <c r="A389" s="5" t="s">
        <v>2325</v>
      </c>
      <c r="B389" s="5" t="s">
        <v>3290</v>
      </c>
      <c r="C389" s="5" t="s">
        <v>3291</v>
      </c>
      <c r="D389" s="5" t="s">
        <v>3292</v>
      </c>
      <c r="E389" s="7" t="s">
        <v>3293</v>
      </c>
      <c r="F389" s="5" t="b">
        <v>0</v>
      </c>
    </row>
    <row r="390">
      <c r="A390" s="5" t="s">
        <v>3069</v>
      </c>
      <c r="B390" s="5" t="s">
        <v>3070</v>
      </c>
      <c r="C390" s="5" t="s">
        <v>2513</v>
      </c>
      <c r="D390" s="5" t="s">
        <v>2918</v>
      </c>
      <c r="E390" s="7" t="s">
        <v>3294</v>
      </c>
      <c r="F390" s="5" t="b">
        <v>0</v>
      </c>
    </row>
    <row r="391">
      <c r="A391" s="5" t="s">
        <v>3295</v>
      </c>
      <c r="B391" s="5" t="s">
        <v>3296</v>
      </c>
      <c r="C391" s="5" t="s">
        <v>2537</v>
      </c>
      <c r="D391" s="5" t="s">
        <v>2942</v>
      </c>
      <c r="E391" s="7" t="s">
        <v>3294</v>
      </c>
      <c r="F391" s="5" t="b">
        <v>0</v>
      </c>
    </row>
    <row r="392">
      <c r="A392" s="5" t="s">
        <v>2325</v>
      </c>
      <c r="B392" s="5" t="s">
        <v>2531</v>
      </c>
      <c r="C392" s="5" t="s">
        <v>2532</v>
      </c>
      <c r="D392" s="5" t="s">
        <v>2325</v>
      </c>
      <c r="E392" s="7" t="s">
        <v>3294</v>
      </c>
      <c r="F392" s="5" t="b">
        <v>0</v>
      </c>
    </row>
    <row r="393">
      <c r="A393" s="5" t="s">
        <v>3297</v>
      </c>
      <c r="B393" s="5" t="s">
        <v>3298</v>
      </c>
      <c r="C393" s="5" t="s">
        <v>3299</v>
      </c>
      <c r="D393" s="5" t="s">
        <v>2352</v>
      </c>
      <c r="E393" s="7" t="s">
        <v>3300</v>
      </c>
      <c r="F393" s="5" t="b">
        <v>0</v>
      </c>
    </row>
    <row r="394">
      <c r="A394" s="5" t="s">
        <v>2325</v>
      </c>
      <c r="B394" s="5" t="s">
        <v>2336</v>
      </c>
      <c r="C394" s="5" t="s">
        <v>3301</v>
      </c>
      <c r="D394" s="5" t="s">
        <v>3081</v>
      </c>
      <c r="E394" s="7" t="s">
        <v>3300</v>
      </c>
      <c r="F394" s="5" t="b">
        <v>0</v>
      </c>
    </row>
    <row r="395">
      <c r="A395" s="5" t="s">
        <v>394</v>
      </c>
      <c r="B395" s="5" t="s">
        <v>2741</v>
      </c>
      <c r="C395" s="5" t="s">
        <v>2498</v>
      </c>
      <c r="D395" s="5" t="s">
        <v>3302</v>
      </c>
      <c r="E395" s="7" t="s">
        <v>3303</v>
      </c>
      <c r="F395" s="5" t="b">
        <v>0</v>
      </c>
    </row>
    <row r="396">
      <c r="A396" s="5" t="s">
        <v>261</v>
      </c>
      <c r="B396" s="5" t="s">
        <v>259</v>
      </c>
      <c r="C396" s="5" t="s">
        <v>3107</v>
      </c>
      <c r="D396" s="5" t="s">
        <v>2918</v>
      </c>
      <c r="E396" s="7" t="s">
        <v>3303</v>
      </c>
      <c r="F396" s="5" t="b">
        <v>0</v>
      </c>
    </row>
    <row r="397">
      <c r="A397" s="5" t="s">
        <v>2325</v>
      </c>
      <c r="B397" s="5" t="s">
        <v>3304</v>
      </c>
      <c r="C397" s="5" t="s">
        <v>2882</v>
      </c>
      <c r="D397" s="5" t="s">
        <v>2942</v>
      </c>
      <c r="E397" s="7" t="s">
        <v>3303</v>
      </c>
      <c r="F397" s="5" t="b">
        <v>0</v>
      </c>
    </row>
    <row r="398">
      <c r="A398" s="5" t="s">
        <v>2876</v>
      </c>
      <c r="B398" s="5" t="s">
        <v>2877</v>
      </c>
      <c r="C398" s="5" t="s">
        <v>2878</v>
      </c>
      <c r="D398" s="5" t="s">
        <v>3305</v>
      </c>
      <c r="E398" s="7" t="s">
        <v>3303</v>
      </c>
      <c r="F398" s="5" t="b">
        <v>0</v>
      </c>
    </row>
    <row r="399">
      <c r="A399" s="5" t="s">
        <v>2629</v>
      </c>
      <c r="B399" s="5" t="s">
        <v>2630</v>
      </c>
      <c r="C399" s="5" t="s">
        <v>2568</v>
      </c>
      <c r="D399" s="5" t="s">
        <v>2942</v>
      </c>
      <c r="E399" s="7" t="s">
        <v>3306</v>
      </c>
      <c r="F399" s="5" t="b">
        <v>0</v>
      </c>
    </row>
    <row r="400">
      <c r="A400" s="5" t="s">
        <v>2325</v>
      </c>
      <c r="B400" s="5" t="s">
        <v>3307</v>
      </c>
      <c r="C400" s="5" t="s">
        <v>3308</v>
      </c>
      <c r="D400" s="5" t="s">
        <v>2352</v>
      </c>
      <c r="E400" s="7" t="s">
        <v>3306</v>
      </c>
      <c r="F400" s="5" t="b">
        <v>0</v>
      </c>
    </row>
    <row r="401">
      <c r="A401" s="5" t="s">
        <v>2325</v>
      </c>
      <c r="B401" s="5" t="s">
        <v>3309</v>
      </c>
      <c r="C401" s="5" t="s">
        <v>3310</v>
      </c>
      <c r="D401" s="5" t="s">
        <v>2918</v>
      </c>
      <c r="E401" s="7" t="s">
        <v>3311</v>
      </c>
      <c r="F401" s="5" t="b">
        <v>0</v>
      </c>
    </row>
    <row r="402">
      <c r="A402" s="5" t="s">
        <v>2325</v>
      </c>
      <c r="B402" s="5" t="s">
        <v>3312</v>
      </c>
      <c r="C402" s="5" t="s">
        <v>2917</v>
      </c>
      <c r="D402" s="5" t="s">
        <v>3081</v>
      </c>
      <c r="E402" s="7" t="s">
        <v>3311</v>
      </c>
      <c r="F402" s="5" t="b">
        <v>0</v>
      </c>
    </row>
    <row r="403">
      <c r="A403" s="5" t="s">
        <v>2325</v>
      </c>
      <c r="B403" s="5" t="s">
        <v>3313</v>
      </c>
      <c r="C403" s="5" t="s">
        <v>3314</v>
      </c>
      <c r="D403" s="5" t="s">
        <v>3081</v>
      </c>
      <c r="E403" s="7" t="s">
        <v>3311</v>
      </c>
      <c r="F403" s="5" t="b">
        <v>0</v>
      </c>
    </row>
    <row r="404">
      <c r="A404" s="5" t="s">
        <v>2325</v>
      </c>
      <c r="B404" s="5" t="s">
        <v>3315</v>
      </c>
      <c r="C404" s="5" t="s">
        <v>3316</v>
      </c>
      <c r="D404" s="5" t="s">
        <v>2918</v>
      </c>
      <c r="E404" s="7" t="s">
        <v>3317</v>
      </c>
      <c r="F404" s="5" t="b">
        <v>0</v>
      </c>
    </row>
    <row r="405">
      <c r="A405" s="5" t="s">
        <v>2325</v>
      </c>
      <c r="B405" s="6" t="s">
        <v>2325</v>
      </c>
      <c r="C405" s="5" t="s">
        <v>3318</v>
      </c>
      <c r="D405" s="5" t="s">
        <v>2352</v>
      </c>
      <c r="E405" s="7" t="s">
        <v>3319</v>
      </c>
      <c r="F405" s="5" t="b">
        <v>0</v>
      </c>
    </row>
    <row r="406">
      <c r="A406" s="5" t="s">
        <v>3320</v>
      </c>
      <c r="B406" s="5" t="s">
        <v>3321</v>
      </c>
      <c r="C406" s="5" t="s">
        <v>3321</v>
      </c>
      <c r="D406" s="5" t="s">
        <v>3322</v>
      </c>
      <c r="E406" s="7" t="s">
        <v>3323</v>
      </c>
      <c r="F406" s="5" t="b">
        <v>0</v>
      </c>
    </row>
    <row r="407">
      <c r="A407" s="5" t="s">
        <v>2325</v>
      </c>
      <c r="B407" s="5" t="s">
        <v>3026</v>
      </c>
      <c r="C407" s="5" t="s">
        <v>3027</v>
      </c>
      <c r="D407" s="5" t="s">
        <v>2546</v>
      </c>
      <c r="E407" s="7" t="s">
        <v>3323</v>
      </c>
      <c r="F407" s="5" t="b">
        <v>0</v>
      </c>
    </row>
    <row r="408">
      <c r="A408" s="5" t="s">
        <v>2325</v>
      </c>
      <c r="B408" s="5" t="s">
        <v>2623</v>
      </c>
      <c r="C408" s="5" t="s">
        <v>2362</v>
      </c>
      <c r="D408" s="5" t="s">
        <v>2918</v>
      </c>
      <c r="E408" s="7" t="s">
        <v>3323</v>
      </c>
      <c r="F408" s="5" t="b">
        <v>0</v>
      </c>
    </row>
    <row r="409">
      <c r="A409" s="5" t="s">
        <v>2688</v>
      </c>
      <c r="B409" s="5" t="s">
        <v>2689</v>
      </c>
      <c r="C409" s="5" t="s">
        <v>3324</v>
      </c>
      <c r="D409" s="5" t="s">
        <v>2325</v>
      </c>
      <c r="E409" s="7" t="s">
        <v>3325</v>
      </c>
      <c r="F409" s="5" t="b">
        <v>0</v>
      </c>
    </row>
    <row r="410">
      <c r="A410" s="5" t="s">
        <v>2325</v>
      </c>
      <c r="B410" s="5" t="s">
        <v>3326</v>
      </c>
      <c r="C410" s="5" t="s">
        <v>3327</v>
      </c>
      <c r="D410" s="5" t="s">
        <v>2352</v>
      </c>
      <c r="E410" s="7" t="s">
        <v>3328</v>
      </c>
      <c r="F410" s="5" t="b">
        <v>0</v>
      </c>
    </row>
    <row r="411">
      <c r="A411" s="5" t="s">
        <v>2325</v>
      </c>
      <c r="B411" s="5" t="s">
        <v>3329</v>
      </c>
      <c r="C411" s="5" t="s">
        <v>3330</v>
      </c>
      <c r="D411" s="5" t="s">
        <v>2918</v>
      </c>
      <c r="E411" s="7" t="s">
        <v>3328</v>
      </c>
      <c r="F411" s="5" t="b">
        <v>0</v>
      </c>
    </row>
    <row r="412">
      <c r="A412" s="5" t="s">
        <v>2325</v>
      </c>
      <c r="B412" s="5" t="s">
        <v>10</v>
      </c>
      <c r="C412" s="5" t="s">
        <v>3331</v>
      </c>
      <c r="D412" s="5" t="s">
        <v>2918</v>
      </c>
      <c r="E412" s="7" t="s">
        <v>3328</v>
      </c>
      <c r="F412" s="5" t="b">
        <v>0</v>
      </c>
    </row>
    <row r="413">
      <c r="A413" s="5" t="s">
        <v>3332</v>
      </c>
      <c r="B413" s="5" t="s">
        <v>3333</v>
      </c>
      <c r="C413" s="5" t="s">
        <v>3334</v>
      </c>
      <c r="D413" s="5" t="s">
        <v>2918</v>
      </c>
      <c r="E413" s="7" t="s">
        <v>3328</v>
      </c>
      <c r="F413" s="5" t="b">
        <v>0</v>
      </c>
    </row>
    <row r="414">
      <c r="A414" s="5" t="s">
        <v>2325</v>
      </c>
      <c r="B414" s="5" t="s">
        <v>3335</v>
      </c>
      <c r="C414" s="5" t="s">
        <v>3336</v>
      </c>
      <c r="D414" s="5" t="s">
        <v>2936</v>
      </c>
      <c r="E414" s="7" t="s">
        <v>3337</v>
      </c>
      <c r="F414" s="5" t="b">
        <v>0</v>
      </c>
    </row>
    <row r="415">
      <c r="A415" s="5" t="s">
        <v>2325</v>
      </c>
      <c r="B415" s="5" t="s">
        <v>3338</v>
      </c>
      <c r="C415" s="5" t="s">
        <v>3339</v>
      </c>
      <c r="D415" s="5" t="s">
        <v>2331</v>
      </c>
      <c r="E415" s="7" t="s">
        <v>3340</v>
      </c>
      <c r="F415" s="5" t="b">
        <v>0</v>
      </c>
    </row>
    <row r="416">
      <c r="A416" s="5" t="s">
        <v>3341</v>
      </c>
      <c r="B416" s="5" t="s">
        <v>3342</v>
      </c>
      <c r="C416" s="5" t="s">
        <v>3343</v>
      </c>
      <c r="D416" s="5" t="s">
        <v>2918</v>
      </c>
      <c r="E416" s="7" t="s">
        <v>3344</v>
      </c>
      <c r="F416" s="5" t="b">
        <v>0</v>
      </c>
    </row>
    <row r="417">
      <c r="A417" s="5" t="s">
        <v>2325</v>
      </c>
      <c r="B417" s="5" t="s">
        <v>3345</v>
      </c>
      <c r="C417" s="5" t="s">
        <v>3346</v>
      </c>
      <c r="D417" s="5" t="s">
        <v>2331</v>
      </c>
      <c r="E417" s="7" t="s">
        <v>3344</v>
      </c>
      <c r="F417" s="5" t="b">
        <v>0</v>
      </c>
    </row>
    <row r="418">
      <c r="A418" s="5" t="s">
        <v>2325</v>
      </c>
      <c r="B418" s="5" t="s">
        <v>3347</v>
      </c>
      <c r="C418" s="5" t="s">
        <v>2686</v>
      </c>
      <c r="D418" s="5" t="s">
        <v>2325</v>
      </c>
      <c r="E418" s="7" t="s">
        <v>3344</v>
      </c>
      <c r="F418" s="5" t="b">
        <v>0</v>
      </c>
    </row>
    <row r="419">
      <c r="A419" s="5" t="s">
        <v>2325</v>
      </c>
      <c r="B419" s="5" t="s">
        <v>3348</v>
      </c>
      <c r="C419" s="5" t="s">
        <v>3349</v>
      </c>
      <c r="D419" s="5" t="s">
        <v>2352</v>
      </c>
      <c r="E419" s="7" t="s">
        <v>3344</v>
      </c>
      <c r="F419" s="5" t="b">
        <v>0</v>
      </c>
    </row>
    <row r="420">
      <c r="A420" s="5" t="s">
        <v>2325</v>
      </c>
      <c r="B420" s="5" t="s">
        <v>3350</v>
      </c>
      <c r="C420" s="5" t="s">
        <v>3351</v>
      </c>
      <c r="D420" s="5" t="s">
        <v>2918</v>
      </c>
      <c r="E420" s="7" t="s">
        <v>3352</v>
      </c>
      <c r="F420" s="5" t="b">
        <v>0</v>
      </c>
    </row>
    <row r="421">
      <c r="A421" s="5" t="s">
        <v>2325</v>
      </c>
      <c r="B421" s="5" t="s">
        <v>3353</v>
      </c>
      <c r="C421" s="5" t="s">
        <v>3354</v>
      </c>
      <c r="D421" s="5" t="s">
        <v>3355</v>
      </c>
      <c r="E421" s="7" t="s">
        <v>3352</v>
      </c>
      <c r="F421" s="5" t="b">
        <v>0</v>
      </c>
    </row>
    <row r="422">
      <c r="A422" s="5" t="s">
        <v>2325</v>
      </c>
      <c r="B422" s="5" t="s">
        <v>3356</v>
      </c>
      <c r="C422" s="5" t="s">
        <v>3357</v>
      </c>
      <c r="D422" s="5" t="s">
        <v>2325</v>
      </c>
      <c r="E422" s="7" t="s">
        <v>3358</v>
      </c>
      <c r="F422" s="5" t="b">
        <v>0</v>
      </c>
    </row>
    <row r="423">
      <c r="A423" s="5" t="s">
        <v>2325</v>
      </c>
      <c r="B423" s="5" t="s">
        <v>3359</v>
      </c>
      <c r="C423" s="5" t="s">
        <v>3360</v>
      </c>
      <c r="D423" s="5" t="s">
        <v>2352</v>
      </c>
      <c r="E423" s="7" t="s">
        <v>3358</v>
      </c>
      <c r="F423" s="5" t="b">
        <v>0</v>
      </c>
    </row>
    <row r="424">
      <c r="A424" s="5" t="s">
        <v>2325</v>
      </c>
      <c r="B424" s="5" t="s">
        <v>2441</v>
      </c>
      <c r="C424" s="5" t="s">
        <v>2442</v>
      </c>
      <c r="D424" s="5" t="s">
        <v>2325</v>
      </c>
      <c r="E424" s="7" t="s">
        <v>3358</v>
      </c>
      <c r="F424" s="5" t="b">
        <v>0</v>
      </c>
    </row>
    <row r="425">
      <c r="A425" s="5" t="s">
        <v>2325</v>
      </c>
      <c r="B425" s="5" t="s">
        <v>3361</v>
      </c>
      <c r="C425" s="5" t="s">
        <v>3362</v>
      </c>
      <c r="D425" s="5" t="s">
        <v>2918</v>
      </c>
      <c r="E425" s="7" t="s">
        <v>3358</v>
      </c>
      <c r="F425" s="5" t="b">
        <v>0</v>
      </c>
    </row>
    <row r="426">
      <c r="A426" s="5" t="s">
        <v>3363</v>
      </c>
      <c r="B426" s="5" t="s">
        <v>3364</v>
      </c>
      <c r="C426" s="5" t="s">
        <v>3365</v>
      </c>
      <c r="D426" s="5" t="s">
        <v>3366</v>
      </c>
      <c r="E426" s="7" t="s">
        <v>3367</v>
      </c>
      <c r="F426" s="5" t="b">
        <v>0</v>
      </c>
    </row>
    <row r="427">
      <c r="A427" s="5" t="s">
        <v>2325</v>
      </c>
      <c r="B427" s="5" t="s">
        <v>2657</v>
      </c>
      <c r="C427" s="5" t="s">
        <v>3368</v>
      </c>
      <c r="D427" s="5" t="s">
        <v>2325</v>
      </c>
      <c r="E427" s="7" t="s">
        <v>3369</v>
      </c>
      <c r="F427" s="5" t="b">
        <v>0</v>
      </c>
    </row>
    <row r="428">
      <c r="A428" s="5" t="s">
        <v>2325</v>
      </c>
      <c r="B428" s="5" t="s">
        <v>2838</v>
      </c>
      <c r="C428" s="5" t="s">
        <v>2839</v>
      </c>
      <c r="D428" s="5" t="s">
        <v>3185</v>
      </c>
      <c r="E428" s="7" t="s">
        <v>3370</v>
      </c>
      <c r="F428" s="5" t="b">
        <v>0</v>
      </c>
    </row>
    <row r="429">
      <c r="A429" s="5" t="s">
        <v>3371</v>
      </c>
      <c r="B429" s="5" t="s">
        <v>2694</v>
      </c>
      <c r="C429" s="5" t="s">
        <v>2695</v>
      </c>
      <c r="D429" s="5" t="s">
        <v>3372</v>
      </c>
      <c r="E429" s="7" t="s">
        <v>3370</v>
      </c>
      <c r="F429" s="5" t="b">
        <v>0</v>
      </c>
    </row>
    <row r="430">
      <c r="A430" s="5" t="s">
        <v>3373</v>
      </c>
      <c r="B430" s="5" t="s">
        <v>3374</v>
      </c>
      <c r="C430" s="5" t="s">
        <v>3375</v>
      </c>
      <c r="D430" s="5" t="s">
        <v>2942</v>
      </c>
      <c r="E430" s="7" t="s">
        <v>3376</v>
      </c>
      <c r="F430" s="5" t="b">
        <v>0</v>
      </c>
    </row>
    <row r="431">
      <c r="A431" s="5" t="s">
        <v>2325</v>
      </c>
      <c r="B431" s="5" t="s">
        <v>3377</v>
      </c>
      <c r="C431" s="5" t="s">
        <v>3378</v>
      </c>
      <c r="D431" s="5" t="s">
        <v>2325</v>
      </c>
      <c r="E431" s="7" t="s">
        <v>3376</v>
      </c>
      <c r="F431" s="5" t="b">
        <v>0</v>
      </c>
    </row>
    <row r="432">
      <c r="A432" s="5" t="s">
        <v>2325</v>
      </c>
      <c r="B432" s="5" t="s">
        <v>3379</v>
      </c>
      <c r="C432" s="5" t="s">
        <v>3380</v>
      </c>
      <c r="D432" s="5" t="s">
        <v>2325</v>
      </c>
      <c r="E432" s="7" t="s">
        <v>3376</v>
      </c>
      <c r="F432" s="5" t="b">
        <v>0</v>
      </c>
    </row>
    <row r="433">
      <c r="A433" s="5" t="s">
        <v>3381</v>
      </c>
      <c r="B433" s="5" t="s">
        <v>3382</v>
      </c>
      <c r="C433" s="5" t="s">
        <v>2424</v>
      </c>
      <c r="D433" s="5" t="s">
        <v>2942</v>
      </c>
      <c r="E433" s="7" t="s">
        <v>3383</v>
      </c>
      <c r="F433" s="5" t="b">
        <v>0</v>
      </c>
    </row>
    <row r="434">
      <c r="A434" s="5" t="s">
        <v>3384</v>
      </c>
      <c r="B434" s="5" t="s">
        <v>3385</v>
      </c>
      <c r="C434" s="5" t="s">
        <v>3386</v>
      </c>
      <c r="D434" s="5" t="s">
        <v>2325</v>
      </c>
      <c r="E434" s="7" t="s">
        <v>3383</v>
      </c>
      <c r="F434" s="5" t="b">
        <v>0</v>
      </c>
    </row>
    <row r="435">
      <c r="A435" s="5" t="s">
        <v>3387</v>
      </c>
      <c r="B435" s="5" t="s">
        <v>3388</v>
      </c>
      <c r="C435" s="5" t="s">
        <v>3389</v>
      </c>
      <c r="D435" s="5" t="s">
        <v>2399</v>
      </c>
      <c r="E435" s="7" t="s">
        <v>3390</v>
      </c>
      <c r="F435" s="5" t="b">
        <v>0</v>
      </c>
    </row>
    <row r="436">
      <c r="A436" s="5" t="s">
        <v>3391</v>
      </c>
      <c r="B436" s="5" t="s">
        <v>3392</v>
      </c>
      <c r="C436" s="5" t="s">
        <v>2868</v>
      </c>
      <c r="D436" s="5" t="s">
        <v>2942</v>
      </c>
      <c r="E436" s="7" t="s">
        <v>3390</v>
      </c>
      <c r="F436" s="5" t="b">
        <v>0</v>
      </c>
    </row>
    <row r="437">
      <c r="A437" s="5" t="s">
        <v>2325</v>
      </c>
      <c r="B437" s="5" t="s">
        <v>3393</v>
      </c>
      <c r="C437" s="5" t="s">
        <v>2917</v>
      </c>
      <c r="D437" s="5" t="s">
        <v>3185</v>
      </c>
      <c r="E437" s="7" t="s">
        <v>3390</v>
      </c>
      <c r="F437" s="5" t="b">
        <v>0</v>
      </c>
    </row>
    <row r="438">
      <c r="A438" s="5" t="s">
        <v>3394</v>
      </c>
      <c r="B438" s="5" t="s">
        <v>3395</v>
      </c>
      <c r="C438" s="5" t="s">
        <v>3339</v>
      </c>
      <c r="D438" s="5" t="s">
        <v>2331</v>
      </c>
      <c r="E438" s="7" t="s">
        <v>3396</v>
      </c>
      <c r="F438" s="5" t="b">
        <v>0</v>
      </c>
    </row>
    <row r="439">
      <c r="A439" s="5" t="s">
        <v>3397</v>
      </c>
      <c r="B439" s="5" t="s">
        <v>3398</v>
      </c>
      <c r="C439" s="5" t="s">
        <v>3399</v>
      </c>
      <c r="D439" s="5" t="s">
        <v>2918</v>
      </c>
      <c r="E439" s="7" t="s">
        <v>3396</v>
      </c>
      <c r="F439" s="5" t="b">
        <v>0</v>
      </c>
    </row>
    <row r="440">
      <c r="A440" s="5" t="s">
        <v>2325</v>
      </c>
      <c r="B440" s="5" t="s">
        <v>3400</v>
      </c>
      <c r="C440" s="5" t="s">
        <v>3401</v>
      </c>
      <c r="D440" s="5" t="s">
        <v>2918</v>
      </c>
      <c r="E440" s="7" t="s">
        <v>3396</v>
      </c>
      <c r="F440" s="5" t="b">
        <v>0</v>
      </c>
    </row>
    <row r="441">
      <c r="A441" s="5" t="s">
        <v>1179</v>
      </c>
      <c r="B441" s="5" t="s">
        <v>1081</v>
      </c>
      <c r="C441" s="5" t="s">
        <v>2678</v>
      </c>
      <c r="D441" s="5" t="s">
        <v>2325</v>
      </c>
      <c r="E441" s="7" t="s">
        <v>3402</v>
      </c>
      <c r="F441" s="5" t="b">
        <v>0</v>
      </c>
    </row>
    <row r="442">
      <c r="A442" s="5" t="s">
        <v>2325</v>
      </c>
      <c r="B442" s="5" t="s">
        <v>3403</v>
      </c>
      <c r="C442" s="5" t="s">
        <v>3404</v>
      </c>
      <c r="D442" s="5" t="s">
        <v>2325</v>
      </c>
      <c r="E442" s="7" t="s">
        <v>3402</v>
      </c>
      <c r="F442" s="5" t="b">
        <v>0</v>
      </c>
    </row>
    <row r="443">
      <c r="A443" s="5" t="s">
        <v>2325</v>
      </c>
      <c r="B443" s="5" t="s">
        <v>2450</v>
      </c>
      <c r="C443" s="5" t="s">
        <v>2451</v>
      </c>
      <c r="D443" s="5" t="s">
        <v>2325</v>
      </c>
      <c r="E443" s="7" t="s">
        <v>3402</v>
      </c>
      <c r="F443" s="5" t="b">
        <v>0</v>
      </c>
    </row>
    <row r="444">
      <c r="A444" s="5" t="s">
        <v>2325</v>
      </c>
      <c r="B444" s="5" t="s">
        <v>3405</v>
      </c>
      <c r="C444" s="5" t="s">
        <v>3406</v>
      </c>
      <c r="D444" s="5" t="s">
        <v>2399</v>
      </c>
      <c r="E444" s="7" t="s">
        <v>3402</v>
      </c>
      <c r="F444" s="5" t="b">
        <v>0</v>
      </c>
    </row>
    <row r="445">
      <c r="A445" s="5" t="s">
        <v>2325</v>
      </c>
      <c r="B445" s="5" t="s">
        <v>3407</v>
      </c>
      <c r="C445" s="5" t="s">
        <v>3408</v>
      </c>
      <c r="D445" s="5" t="s">
        <v>3409</v>
      </c>
      <c r="E445" s="7" t="s">
        <v>3410</v>
      </c>
      <c r="F445" s="5" t="b">
        <v>0</v>
      </c>
    </row>
    <row r="446">
      <c r="A446" s="5" t="s">
        <v>2325</v>
      </c>
      <c r="B446" s="5" t="s">
        <v>3411</v>
      </c>
      <c r="C446" s="5" t="s">
        <v>3412</v>
      </c>
      <c r="D446" s="5" t="s">
        <v>3413</v>
      </c>
      <c r="E446" s="7" t="s">
        <v>3410</v>
      </c>
      <c r="F446" s="5" t="b">
        <v>0</v>
      </c>
    </row>
    <row r="447">
      <c r="A447" s="5" t="s">
        <v>2325</v>
      </c>
      <c r="B447" s="5" t="s">
        <v>3414</v>
      </c>
      <c r="C447" s="5" t="s">
        <v>2625</v>
      </c>
      <c r="D447" s="5" t="s">
        <v>2918</v>
      </c>
      <c r="E447" s="7" t="s">
        <v>3415</v>
      </c>
      <c r="F447" s="5" t="b">
        <v>0</v>
      </c>
    </row>
    <row r="448">
      <c r="A448" s="5" t="s">
        <v>3416</v>
      </c>
      <c r="B448" s="5" t="s">
        <v>3417</v>
      </c>
      <c r="C448" s="5" t="s">
        <v>2354</v>
      </c>
      <c r="D448" s="5" t="s">
        <v>2918</v>
      </c>
      <c r="E448" s="7" t="s">
        <v>3415</v>
      </c>
      <c r="F448" s="5" t="b">
        <v>0</v>
      </c>
    </row>
    <row r="449">
      <c r="A449" s="5" t="s">
        <v>2325</v>
      </c>
      <c r="B449" s="5" t="s">
        <v>3243</v>
      </c>
      <c r="C449" s="5" t="s">
        <v>3244</v>
      </c>
      <c r="D449" s="5" t="s">
        <v>3024</v>
      </c>
      <c r="E449" s="7" t="s">
        <v>3415</v>
      </c>
      <c r="F449" s="5" t="b">
        <v>0</v>
      </c>
    </row>
    <row r="450">
      <c r="A450" s="5" t="s">
        <v>2325</v>
      </c>
      <c r="B450" s="5" t="s">
        <v>3418</v>
      </c>
      <c r="C450" s="5" t="s">
        <v>3419</v>
      </c>
      <c r="D450" s="5" t="s">
        <v>2918</v>
      </c>
      <c r="E450" s="7" t="s">
        <v>3420</v>
      </c>
      <c r="F450" s="5" t="b">
        <v>0</v>
      </c>
    </row>
    <row r="451">
      <c r="A451" s="5" t="s">
        <v>2325</v>
      </c>
      <c r="B451" s="5" t="s">
        <v>3421</v>
      </c>
      <c r="C451" s="5" t="s">
        <v>3422</v>
      </c>
      <c r="D451" s="5" t="s">
        <v>3160</v>
      </c>
      <c r="E451" s="7" t="s">
        <v>3420</v>
      </c>
      <c r="F451" s="5" t="b">
        <v>0</v>
      </c>
    </row>
    <row r="452">
      <c r="A452" s="5" t="s">
        <v>3423</v>
      </c>
      <c r="B452" s="5" t="s">
        <v>3424</v>
      </c>
      <c r="C452" s="5" t="s">
        <v>3425</v>
      </c>
      <c r="D452" s="5" t="s">
        <v>3160</v>
      </c>
      <c r="E452" s="7" t="s">
        <v>3420</v>
      </c>
      <c r="F452" s="5" t="b">
        <v>0</v>
      </c>
    </row>
    <row r="453">
      <c r="A453" s="5" t="s">
        <v>2325</v>
      </c>
      <c r="B453" s="5" t="s">
        <v>3426</v>
      </c>
      <c r="C453" s="5" t="s">
        <v>3427</v>
      </c>
      <c r="D453" s="5" t="s">
        <v>2325</v>
      </c>
      <c r="E453" s="7" t="s">
        <v>3420</v>
      </c>
      <c r="F453" s="5" t="b">
        <v>0</v>
      </c>
    </row>
    <row r="454">
      <c r="A454" s="5" t="s">
        <v>2325</v>
      </c>
      <c r="B454" s="5" t="s">
        <v>3428</v>
      </c>
      <c r="C454" s="5" t="s">
        <v>3429</v>
      </c>
      <c r="D454" s="5" t="s">
        <v>3430</v>
      </c>
      <c r="E454" s="7" t="s">
        <v>3420</v>
      </c>
      <c r="F454" s="5" t="b">
        <v>0</v>
      </c>
    </row>
    <row r="455">
      <c r="A455" s="5" t="s">
        <v>2325</v>
      </c>
      <c r="B455" s="5" t="s">
        <v>3431</v>
      </c>
      <c r="C455" s="5" t="s">
        <v>3432</v>
      </c>
      <c r="D455" s="5" t="s">
        <v>2325</v>
      </c>
      <c r="E455" s="7" t="s">
        <v>3433</v>
      </c>
      <c r="F455" s="5" t="b">
        <v>0</v>
      </c>
    </row>
    <row r="456">
      <c r="A456" s="5" t="s">
        <v>2325</v>
      </c>
      <c r="B456" s="5" t="s">
        <v>3434</v>
      </c>
      <c r="C456" s="5" t="s">
        <v>3435</v>
      </c>
      <c r="D456" s="5" t="s">
        <v>2325</v>
      </c>
      <c r="E456" s="7" t="s">
        <v>3436</v>
      </c>
      <c r="F456" s="5" t="b">
        <v>0</v>
      </c>
    </row>
    <row r="457">
      <c r="A457" s="5" t="s">
        <v>2325</v>
      </c>
      <c r="B457" s="5" t="s">
        <v>3437</v>
      </c>
      <c r="C457" s="5" t="s">
        <v>3438</v>
      </c>
      <c r="D457" s="5" t="s">
        <v>2325</v>
      </c>
      <c r="E457" s="7" t="s">
        <v>3436</v>
      </c>
      <c r="F457" s="5" t="b">
        <v>0</v>
      </c>
    </row>
    <row r="458">
      <c r="A458" s="5" t="s">
        <v>2325</v>
      </c>
      <c r="B458" s="5" t="s">
        <v>3439</v>
      </c>
      <c r="C458" s="5" t="s">
        <v>3440</v>
      </c>
      <c r="D458" s="5" t="s">
        <v>3160</v>
      </c>
      <c r="E458" s="7" t="s">
        <v>3441</v>
      </c>
      <c r="F458" s="5" t="b">
        <v>0</v>
      </c>
    </row>
    <row r="459">
      <c r="A459" s="5" t="s">
        <v>1179</v>
      </c>
      <c r="B459" s="5" t="s">
        <v>1081</v>
      </c>
      <c r="C459" s="5" t="s">
        <v>2678</v>
      </c>
      <c r="D459" s="5" t="s">
        <v>2325</v>
      </c>
      <c r="E459" s="7" t="s">
        <v>3441</v>
      </c>
      <c r="F459" s="5" t="b">
        <v>0</v>
      </c>
    </row>
    <row r="460">
      <c r="A460" s="5" t="s">
        <v>3442</v>
      </c>
      <c r="B460" s="5" t="s">
        <v>3443</v>
      </c>
      <c r="C460" s="5" t="s">
        <v>3444</v>
      </c>
      <c r="D460" s="5" t="s">
        <v>3445</v>
      </c>
      <c r="E460" s="7" t="s">
        <v>3441</v>
      </c>
      <c r="F460" s="5" t="b">
        <v>0</v>
      </c>
    </row>
    <row r="461">
      <c r="A461" s="6" t="s">
        <v>2325</v>
      </c>
      <c r="B461" s="5" t="s">
        <v>3446</v>
      </c>
      <c r="C461" s="5" t="s">
        <v>3447</v>
      </c>
      <c r="D461" s="5" t="s">
        <v>2918</v>
      </c>
      <c r="E461" s="7" t="s">
        <v>3441</v>
      </c>
      <c r="F461" s="5" t="b">
        <v>0</v>
      </c>
    </row>
    <row r="462">
      <c r="A462" s="5" t="s">
        <v>3448</v>
      </c>
      <c r="B462" s="5" t="s">
        <v>3449</v>
      </c>
      <c r="C462" s="5" t="s">
        <v>3450</v>
      </c>
      <c r="D462" s="5" t="s">
        <v>2942</v>
      </c>
      <c r="E462" s="7" t="s">
        <v>3451</v>
      </c>
      <c r="F462" s="5" t="b">
        <v>0</v>
      </c>
    </row>
    <row r="463">
      <c r="A463" s="5" t="s">
        <v>3452</v>
      </c>
      <c r="B463" s="5" t="s">
        <v>3453</v>
      </c>
      <c r="C463" s="5" t="s">
        <v>2325</v>
      </c>
      <c r="D463" s="5" t="s">
        <v>2325</v>
      </c>
      <c r="E463" s="7" t="s">
        <v>3451</v>
      </c>
      <c r="F463" s="5" t="b">
        <v>0</v>
      </c>
    </row>
    <row r="464">
      <c r="A464" s="5" t="s">
        <v>2325</v>
      </c>
      <c r="B464" s="5" t="s">
        <v>3190</v>
      </c>
      <c r="C464" s="5" t="s">
        <v>3454</v>
      </c>
      <c r="D464" s="5" t="s">
        <v>2918</v>
      </c>
      <c r="E464" s="7" t="s">
        <v>3451</v>
      </c>
      <c r="F464" s="5" t="b">
        <v>0</v>
      </c>
    </row>
    <row r="465">
      <c r="A465" s="5" t="s">
        <v>3455</v>
      </c>
      <c r="B465" s="5" t="s">
        <v>3113</v>
      </c>
      <c r="C465" s="5" t="s">
        <v>3114</v>
      </c>
      <c r="D465" s="5" t="s">
        <v>3456</v>
      </c>
      <c r="E465" s="7" t="s">
        <v>3457</v>
      </c>
      <c r="F465" s="5" t="b">
        <v>0</v>
      </c>
    </row>
    <row r="466">
      <c r="A466" s="5" t="s">
        <v>3458</v>
      </c>
      <c r="B466" s="5" t="s">
        <v>2767</v>
      </c>
      <c r="C466" s="5" t="s">
        <v>3459</v>
      </c>
      <c r="D466" s="5" t="s">
        <v>2325</v>
      </c>
      <c r="E466" s="7" t="s">
        <v>3460</v>
      </c>
      <c r="F466" s="5" t="b">
        <v>0</v>
      </c>
    </row>
    <row r="467">
      <c r="A467" s="5" t="s">
        <v>2325</v>
      </c>
      <c r="B467" s="5" t="s">
        <v>3461</v>
      </c>
      <c r="C467" s="5" t="s">
        <v>3462</v>
      </c>
      <c r="D467" s="5" t="s">
        <v>2373</v>
      </c>
      <c r="E467" s="7" t="s">
        <v>3460</v>
      </c>
      <c r="F467" s="5" t="b">
        <v>0</v>
      </c>
    </row>
    <row r="468">
      <c r="A468" s="5" t="s">
        <v>3463</v>
      </c>
      <c r="B468" s="5" t="s">
        <v>2937</v>
      </c>
      <c r="C468" s="5" t="s">
        <v>3464</v>
      </c>
      <c r="D468" s="5" t="s">
        <v>2325</v>
      </c>
      <c r="E468" s="7" t="s">
        <v>3460</v>
      </c>
      <c r="F468" s="5" t="b">
        <v>0</v>
      </c>
    </row>
    <row r="469">
      <c r="A469" s="5" t="s">
        <v>2317</v>
      </c>
      <c r="B469" s="5" t="s">
        <v>2249</v>
      </c>
      <c r="C469" s="5" t="s">
        <v>3465</v>
      </c>
      <c r="D469" s="5" t="s">
        <v>3466</v>
      </c>
      <c r="E469" s="7" t="s">
        <v>3467</v>
      </c>
      <c r="F469" s="5" t="b">
        <v>0</v>
      </c>
    </row>
    <row r="470">
      <c r="A470" s="5" t="s">
        <v>2325</v>
      </c>
      <c r="B470" s="5" t="s">
        <v>3190</v>
      </c>
      <c r="C470" s="5" t="s">
        <v>3454</v>
      </c>
      <c r="D470" s="5" t="s">
        <v>2918</v>
      </c>
      <c r="E470" s="7" t="s">
        <v>3467</v>
      </c>
      <c r="F470" s="5" t="b">
        <v>0</v>
      </c>
    </row>
    <row r="471">
      <c r="A471" s="5" t="s">
        <v>2325</v>
      </c>
      <c r="B471" s="6" t="s">
        <v>2325</v>
      </c>
      <c r="C471" s="5" t="s">
        <v>3468</v>
      </c>
      <c r="D471" s="5" t="s">
        <v>3469</v>
      </c>
      <c r="E471" s="7" t="s">
        <v>3467</v>
      </c>
      <c r="F471" s="5" t="b">
        <v>0</v>
      </c>
    </row>
    <row r="472">
      <c r="A472" s="5" t="s">
        <v>2226</v>
      </c>
      <c r="B472" s="5" t="s">
        <v>3470</v>
      </c>
      <c r="C472" s="5" t="s">
        <v>3471</v>
      </c>
      <c r="D472" s="5" t="s">
        <v>2325</v>
      </c>
      <c r="E472" s="7" t="s">
        <v>3472</v>
      </c>
      <c r="F472" s="5" t="b">
        <v>0</v>
      </c>
    </row>
    <row r="473">
      <c r="A473" s="5" t="s">
        <v>2325</v>
      </c>
      <c r="B473" s="5" t="s">
        <v>2844</v>
      </c>
      <c r="C473" s="5" t="s">
        <v>3473</v>
      </c>
      <c r="D473" s="5" t="s">
        <v>2325</v>
      </c>
      <c r="E473" s="7" t="s">
        <v>3472</v>
      </c>
      <c r="F473" s="5" t="b">
        <v>0</v>
      </c>
    </row>
    <row r="474">
      <c r="A474" s="5" t="s">
        <v>2325</v>
      </c>
      <c r="B474" s="5" t="s">
        <v>2597</v>
      </c>
      <c r="C474" s="5" t="s">
        <v>2598</v>
      </c>
      <c r="D474" s="5" t="s">
        <v>3474</v>
      </c>
      <c r="E474" s="7" t="s">
        <v>3472</v>
      </c>
      <c r="F474" s="5" t="b">
        <v>0</v>
      </c>
    </row>
    <row r="475">
      <c r="A475" s="5" t="s">
        <v>1753</v>
      </c>
      <c r="B475" s="5" t="s">
        <v>3176</v>
      </c>
      <c r="C475" s="5" t="s">
        <v>3475</v>
      </c>
      <c r="D475" s="5" t="s">
        <v>3476</v>
      </c>
      <c r="E475" s="7" t="s">
        <v>3472</v>
      </c>
      <c r="F475" s="5" t="b">
        <v>0</v>
      </c>
    </row>
    <row r="476">
      <c r="A476" s="5" t="s">
        <v>1752</v>
      </c>
      <c r="B476" s="5" t="s">
        <v>1667</v>
      </c>
      <c r="C476" s="5" t="s">
        <v>3477</v>
      </c>
      <c r="D476" s="5" t="s">
        <v>2936</v>
      </c>
      <c r="E476" s="7" t="s">
        <v>3472</v>
      </c>
      <c r="F476" s="5" t="b">
        <v>0</v>
      </c>
    </row>
    <row r="477">
      <c r="A477" s="5" t="s">
        <v>1665</v>
      </c>
      <c r="B477" s="5" t="s">
        <v>3135</v>
      </c>
      <c r="C477" s="5" t="s">
        <v>2941</v>
      </c>
      <c r="D477" s="5" t="s">
        <v>2918</v>
      </c>
      <c r="E477" s="7" t="s">
        <v>3472</v>
      </c>
      <c r="F477" s="5" t="b">
        <v>0</v>
      </c>
    </row>
    <row r="478">
      <c r="A478" s="5" t="s">
        <v>1661</v>
      </c>
      <c r="B478" s="5" t="s">
        <v>3478</v>
      </c>
      <c r="C478" s="5" t="s">
        <v>3479</v>
      </c>
      <c r="D478" s="5" t="s">
        <v>3480</v>
      </c>
      <c r="E478" s="7" t="s">
        <v>3481</v>
      </c>
      <c r="F478" s="5" t="b">
        <v>0</v>
      </c>
    </row>
    <row r="479">
      <c r="A479" s="5" t="s">
        <v>2325</v>
      </c>
      <c r="B479" s="5" t="s">
        <v>2339</v>
      </c>
      <c r="C479" s="5" t="s">
        <v>3482</v>
      </c>
      <c r="D479" s="5" t="s">
        <v>2325</v>
      </c>
      <c r="E479" s="7" t="s">
        <v>3481</v>
      </c>
      <c r="F479" s="5" t="b">
        <v>0</v>
      </c>
    </row>
    <row r="480">
      <c r="A480" s="5" t="s">
        <v>2325</v>
      </c>
      <c r="B480" s="5" t="s">
        <v>1562</v>
      </c>
      <c r="C480" s="5" t="s">
        <v>3310</v>
      </c>
      <c r="D480" s="5" t="s">
        <v>2942</v>
      </c>
      <c r="E480" s="7" t="s">
        <v>3481</v>
      </c>
      <c r="F480" s="5" t="b">
        <v>0</v>
      </c>
    </row>
    <row r="481">
      <c r="A481" s="5" t="s">
        <v>2325</v>
      </c>
      <c r="B481" s="5" t="s">
        <v>1181</v>
      </c>
      <c r="C481" s="5" t="s">
        <v>3483</v>
      </c>
      <c r="D481" s="5" t="s">
        <v>2918</v>
      </c>
      <c r="E481" s="7" t="s">
        <v>3481</v>
      </c>
      <c r="F481" s="5" t="b">
        <v>0</v>
      </c>
    </row>
    <row r="482">
      <c r="A482" s="5" t="s">
        <v>1179</v>
      </c>
      <c r="B482" s="5" t="s">
        <v>1081</v>
      </c>
      <c r="C482" s="5" t="s">
        <v>2678</v>
      </c>
      <c r="D482" s="5" t="s">
        <v>2325</v>
      </c>
      <c r="E482" s="7" t="s">
        <v>3484</v>
      </c>
      <c r="F482" s="5" t="b">
        <v>0</v>
      </c>
    </row>
    <row r="483">
      <c r="A483" s="5" t="s">
        <v>2325</v>
      </c>
      <c r="B483" s="5" t="s">
        <v>1079</v>
      </c>
      <c r="C483" s="5" t="s">
        <v>3287</v>
      </c>
      <c r="D483" s="5" t="s">
        <v>2918</v>
      </c>
      <c r="E483" s="7" t="s">
        <v>3484</v>
      </c>
      <c r="F483" s="5" t="b">
        <v>0</v>
      </c>
    </row>
    <row r="484">
      <c r="A484" s="5" t="s">
        <v>2989</v>
      </c>
      <c r="B484" s="5" t="s">
        <v>2990</v>
      </c>
      <c r="C484" s="5" t="s">
        <v>2991</v>
      </c>
      <c r="D484" s="5" t="s">
        <v>2399</v>
      </c>
      <c r="E484" s="7" t="s">
        <v>3485</v>
      </c>
      <c r="F484" s="5" t="b">
        <v>0</v>
      </c>
    </row>
    <row r="485">
      <c r="A485" s="5" t="s">
        <v>2325</v>
      </c>
      <c r="B485" s="5" t="s">
        <v>3486</v>
      </c>
      <c r="C485" s="5" t="s">
        <v>3487</v>
      </c>
      <c r="D485" s="5" t="s">
        <v>3488</v>
      </c>
      <c r="E485" s="7" t="s">
        <v>3489</v>
      </c>
      <c r="F485" s="5" t="b">
        <v>0</v>
      </c>
    </row>
    <row r="486">
      <c r="A486" s="5" t="s">
        <v>2325</v>
      </c>
      <c r="B486" s="5" t="s">
        <v>451</v>
      </c>
      <c r="C486" s="5" t="s">
        <v>3490</v>
      </c>
      <c r="D486" s="5" t="s">
        <v>2325</v>
      </c>
      <c r="E486" s="7" t="s">
        <v>3491</v>
      </c>
      <c r="F486" s="5" t="b">
        <v>0</v>
      </c>
    </row>
    <row r="487">
      <c r="A487" s="5" t="s">
        <v>394</v>
      </c>
      <c r="B487" s="5" t="s">
        <v>2741</v>
      </c>
      <c r="C487" s="5" t="s">
        <v>2498</v>
      </c>
      <c r="D487" s="5" t="s">
        <v>3492</v>
      </c>
      <c r="E487" s="7" t="s">
        <v>3493</v>
      </c>
      <c r="F487" s="5" t="b">
        <v>0</v>
      </c>
    </row>
    <row r="488">
      <c r="A488" s="5" t="s">
        <v>390</v>
      </c>
      <c r="B488" s="5" t="s">
        <v>3494</v>
      </c>
      <c r="C488" s="5" t="s">
        <v>3495</v>
      </c>
      <c r="D488" s="5" t="s">
        <v>3496</v>
      </c>
      <c r="E488" s="7" t="s">
        <v>3497</v>
      </c>
      <c r="F488" s="5" t="b">
        <v>0</v>
      </c>
    </row>
    <row r="489">
      <c r="A489" s="5" t="s">
        <v>261</v>
      </c>
      <c r="B489" s="5" t="s">
        <v>259</v>
      </c>
      <c r="C489" s="5" t="s">
        <v>3498</v>
      </c>
      <c r="D489" s="5" t="s">
        <v>2918</v>
      </c>
      <c r="E489" s="7" t="s">
        <v>3497</v>
      </c>
      <c r="F489" s="5" t="b">
        <v>0</v>
      </c>
    </row>
    <row r="490">
      <c r="A490" s="5" t="s">
        <v>2325</v>
      </c>
      <c r="B490" s="5" t="s">
        <v>3499</v>
      </c>
      <c r="C490" s="5" t="s">
        <v>3500</v>
      </c>
      <c r="D490" s="5" t="s">
        <v>2918</v>
      </c>
      <c r="E490" s="7" t="s">
        <v>3497</v>
      </c>
      <c r="F490" s="5" t="b">
        <v>0</v>
      </c>
    </row>
    <row r="491">
      <c r="A491" s="5" t="s">
        <v>2325</v>
      </c>
      <c r="B491" s="5" t="s">
        <v>3501</v>
      </c>
      <c r="C491" s="5" t="s">
        <v>3502</v>
      </c>
      <c r="D491" s="5" t="s">
        <v>2918</v>
      </c>
      <c r="E491" s="7" t="s">
        <v>3503</v>
      </c>
      <c r="F491" s="5" t="b">
        <v>0</v>
      </c>
    </row>
    <row r="492">
      <c r="A492" s="5" t="s">
        <v>2325</v>
      </c>
      <c r="B492" s="5" t="s">
        <v>3504</v>
      </c>
      <c r="C492" s="5" t="s">
        <v>3505</v>
      </c>
      <c r="D492" s="5" t="s">
        <v>3506</v>
      </c>
      <c r="E492" s="7" t="s">
        <v>3507</v>
      </c>
      <c r="F492" s="5" t="b">
        <v>0</v>
      </c>
    </row>
    <row r="493">
      <c r="A493" s="5" t="s">
        <v>2600</v>
      </c>
      <c r="B493" s="5" t="s">
        <v>3508</v>
      </c>
      <c r="C493" s="5" t="s">
        <v>3509</v>
      </c>
      <c r="D493" s="5" t="s">
        <v>2325</v>
      </c>
      <c r="E493" s="7" t="s">
        <v>3510</v>
      </c>
      <c r="F493" s="5" t="b">
        <v>0</v>
      </c>
    </row>
    <row r="494">
      <c r="A494" s="5" t="s">
        <v>2970</v>
      </c>
      <c r="B494" s="5" t="s">
        <v>2971</v>
      </c>
      <c r="C494" s="5" t="s">
        <v>2972</v>
      </c>
      <c r="D494" s="5" t="s">
        <v>2918</v>
      </c>
      <c r="E494" s="7" t="s">
        <v>3510</v>
      </c>
      <c r="F494" s="5" t="b">
        <v>0</v>
      </c>
    </row>
    <row r="495">
      <c r="A495" s="5" t="s">
        <v>2325</v>
      </c>
      <c r="B495" s="5" t="s">
        <v>3511</v>
      </c>
      <c r="C495" s="5" t="s">
        <v>3512</v>
      </c>
      <c r="D495" s="5" t="s">
        <v>2325</v>
      </c>
      <c r="E495" s="7" t="s">
        <v>3513</v>
      </c>
      <c r="F495" s="5" t="b">
        <v>0</v>
      </c>
    </row>
    <row r="496">
      <c r="A496" s="5" t="s">
        <v>3514</v>
      </c>
      <c r="B496" s="5" t="s">
        <v>3515</v>
      </c>
      <c r="C496" s="5" t="s">
        <v>3516</v>
      </c>
      <c r="D496" s="5" t="s">
        <v>3517</v>
      </c>
      <c r="E496" s="7" t="s">
        <v>3513</v>
      </c>
      <c r="F496" s="5" t="b">
        <v>0</v>
      </c>
    </row>
    <row r="497">
      <c r="A497" s="5" t="s">
        <v>3518</v>
      </c>
      <c r="B497" s="5" t="s">
        <v>3519</v>
      </c>
      <c r="C497" s="5" t="s">
        <v>3520</v>
      </c>
      <c r="D497" s="5" t="s">
        <v>2918</v>
      </c>
      <c r="E497" s="7" t="s">
        <v>3521</v>
      </c>
      <c r="F497" s="5" t="b">
        <v>0</v>
      </c>
    </row>
    <row r="498">
      <c r="A498" s="5" t="s">
        <v>2325</v>
      </c>
      <c r="B498" s="5" t="s">
        <v>2597</v>
      </c>
      <c r="C498" s="5" t="s">
        <v>2598</v>
      </c>
      <c r="D498" s="5" t="s">
        <v>3474</v>
      </c>
      <c r="E498" s="7" t="s">
        <v>3521</v>
      </c>
      <c r="F498" s="5" t="b">
        <v>0</v>
      </c>
    </row>
    <row r="499">
      <c r="A499" s="5" t="s">
        <v>2325</v>
      </c>
      <c r="B499" s="5" t="s">
        <v>3522</v>
      </c>
      <c r="C499" s="5" t="s">
        <v>3523</v>
      </c>
      <c r="D499" s="5" t="s">
        <v>2325</v>
      </c>
      <c r="E499" s="7" t="s">
        <v>3524</v>
      </c>
      <c r="F499" s="5" t="b">
        <v>0</v>
      </c>
    </row>
    <row r="500">
      <c r="A500" s="5" t="s">
        <v>3525</v>
      </c>
      <c r="B500" s="5" t="s">
        <v>3526</v>
      </c>
      <c r="C500" s="5" t="s">
        <v>3527</v>
      </c>
      <c r="D500" s="5" t="s">
        <v>3024</v>
      </c>
      <c r="E500" s="7" t="s">
        <v>3524</v>
      </c>
      <c r="F500" s="5" t="b">
        <v>0</v>
      </c>
    </row>
    <row r="501">
      <c r="A501" s="5" t="s">
        <v>3528</v>
      </c>
      <c r="B501" s="5" t="s">
        <v>3529</v>
      </c>
      <c r="C501" s="5" t="s">
        <v>3530</v>
      </c>
      <c r="D501" s="5" t="s">
        <v>2936</v>
      </c>
      <c r="E501" s="7" t="s">
        <v>3531</v>
      </c>
      <c r="F501" s="5" t="b">
        <v>0</v>
      </c>
    </row>
    <row r="502">
      <c r="A502" s="5" t="s">
        <v>2325</v>
      </c>
      <c r="B502" s="5" t="s">
        <v>3532</v>
      </c>
      <c r="C502" s="5" t="s">
        <v>3533</v>
      </c>
      <c r="D502" s="5" t="s">
        <v>2325</v>
      </c>
      <c r="E502" s="7" t="s">
        <v>3534</v>
      </c>
      <c r="F502" s="5" t="b">
        <v>0</v>
      </c>
    </row>
    <row r="503">
      <c r="A503" s="5" t="s">
        <v>3535</v>
      </c>
      <c r="B503" s="5" t="s">
        <v>3536</v>
      </c>
      <c r="C503" s="5" t="s">
        <v>3009</v>
      </c>
      <c r="D503" s="5" t="s">
        <v>3537</v>
      </c>
      <c r="E503" s="7" t="s">
        <v>3538</v>
      </c>
      <c r="F503" s="5" t="b">
        <v>0</v>
      </c>
    </row>
    <row r="504">
      <c r="A504" s="5" t="s">
        <v>2325</v>
      </c>
      <c r="B504" s="5" t="s">
        <v>3539</v>
      </c>
      <c r="C504" s="5" t="s">
        <v>3540</v>
      </c>
      <c r="D504" s="5" t="s">
        <v>2325</v>
      </c>
      <c r="E504" s="7" t="s">
        <v>3541</v>
      </c>
      <c r="F504" s="5" t="b">
        <v>0</v>
      </c>
    </row>
    <row r="505">
      <c r="A505" s="5" t="s">
        <v>2325</v>
      </c>
      <c r="B505" s="5" t="s">
        <v>3309</v>
      </c>
      <c r="C505" s="5" t="s">
        <v>3542</v>
      </c>
      <c r="D505" s="5" t="s">
        <v>2918</v>
      </c>
      <c r="E505" s="7" t="s">
        <v>3543</v>
      </c>
      <c r="F505" s="5" t="b">
        <v>0</v>
      </c>
    </row>
    <row r="506">
      <c r="A506" s="6" t="s">
        <v>2325</v>
      </c>
      <c r="B506" s="5" t="s">
        <v>3544</v>
      </c>
      <c r="C506" s="5" t="s">
        <v>3545</v>
      </c>
      <c r="D506" s="5" t="s">
        <v>3546</v>
      </c>
      <c r="E506" s="7" t="s">
        <v>3543</v>
      </c>
      <c r="F506" s="5" t="b">
        <v>0</v>
      </c>
    </row>
    <row r="507">
      <c r="A507" s="5" t="s">
        <v>3087</v>
      </c>
      <c r="B507" s="5" t="s">
        <v>3088</v>
      </c>
      <c r="C507" s="5" t="s">
        <v>3547</v>
      </c>
      <c r="D507" s="5" t="s">
        <v>2352</v>
      </c>
      <c r="E507" s="7" t="s">
        <v>3548</v>
      </c>
      <c r="F507" s="5" t="b">
        <v>0</v>
      </c>
    </row>
    <row r="508">
      <c r="A508" s="5" t="s">
        <v>2325</v>
      </c>
      <c r="B508" s="5" t="s">
        <v>3181</v>
      </c>
      <c r="C508" s="5" t="s">
        <v>3182</v>
      </c>
      <c r="D508" s="5" t="s">
        <v>2352</v>
      </c>
      <c r="E508" s="7" t="s">
        <v>3548</v>
      </c>
      <c r="F508" s="5" t="b">
        <v>0</v>
      </c>
    </row>
    <row r="509">
      <c r="A509" s="5" t="s">
        <v>2325</v>
      </c>
      <c r="B509" s="5" t="s">
        <v>2683</v>
      </c>
      <c r="C509" s="5" t="s">
        <v>3549</v>
      </c>
      <c r="D509" s="5" t="s">
        <v>3024</v>
      </c>
      <c r="E509" s="7" t="s">
        <v>3550</v>
      </c>
      <c r="F509" s="5" t="b">
        <v>0</v>
      </c>
    </row>
    <row r="510">
      <c r="A510" s="5" t="s">
        <v>2325</v>
      </c>
      <c r="B510" s="5" t="s">
        <v>3551</v>
      </c>
      <c r="C510" s="5" t="s">
        <v>3552</v>
      </c>
      <c r="D510" s="5" t="s">
        <v>2352</v>
      </c>
      <c r="E510" s="7" t="s">
        <v>3550</v>
      </c>
      <c r="F510" s="5" t="b">
        <v>0</v>
      </c>
    </row>
    <row r="511">
      <c r="A511" s="5" t="s">
        <v>2325</v>
      </c>
      <c r="B511" s="5" t="s">
        <v>3553</v>
      </c>
      <c r="C511" s="5" t="s">
        <v>3554</v>
      </c>
      <c r="D511" s="5" t="s">
        <v>2918</v>
      </c>
      <c r="E511" s="7" t="s">
        <v>3550</v>
      </c>
      <c r="F511" s="5" t="b">
        <v>0</v>
      </c>
    </row>
    <row r="512">
      <c r="A512" s="5" t="s">
        <v>2325</v>
      </c>
      <c r="B512" s="5" t="s">
        <v>3555</v>
      </c>
      <c r="C512" s="5" t="s">
        <v>3556</v>
      </c>
      <c r="D512" s="5" t="s">
        <v>2918</v>
      </c>
      <c r="E512" s="7" t="s">
        <v>3557</v>
      </c>
      <c r="F512" s="5" t="b">
        <v>0</v>
      </c>
    </row>
    <row r="513">
      <c r="A513" s="5" t="s">
        <v>3558</v>
      </c>
      <c r="B513" s="5" t="s">
        <v>3313</v>
      </c>
      <c r="C513" s="5" t="s">
        <v>3559</v>
      </c>
      <c r="D513" s="5" t="s">
        <v>2928</v>
      </c>
      <c r="E513" s="7" t="s">
        <v>3560</v>
      </c>
      <c r="F513" s="5" t="b">
        <v>0</v>
      </c>
    </row>
    <row r="514">
      <c r="A514" s="5" t="s">
        <v>3561</v>
      </c>
      <c r="B514" s="5" t="s">
        <v>3562</v>
      </c>
      <c r="C514" s="5" t="s">
        <v>3563</v>
      </c>
      <c r="D514" s="5" t="s">
        <v>2942</v>
      </c>
      <c r="E514" s="7" t="s">
        <v>3560</v>
      </c>
      <c r="F514" s="5" t="b">
        <v>0</v>
      </c>
    </row>
    <row r="515">
      <c r="A515" s="5" t="s">
        <v>3564</v>
      </c>
      <c r="B515" s="5" t="s">
        <v>3565</v>
      </c>
      <c r="C515" s="5" t="s">
        <v>2709</v>
      </c>
      <c r="D515" s="5" t="s">
        <v>2352</v>
      </c>
      <c r="E515" s="7" t="s">
        <v>3560</v>
      </c>
      <c r="F515" s="5" t="b">
        <v>0</v>
      </c>
    </row>
    <row r="516">
      <c r="A516" s="5" t="s">
        <v>2325</v>
      </c>
      <c r="B516" s="5" t="s">
        <v>3566</v>
      </c>
      <c r="C516" s="5" t="s">
        <v>3567</v>
      </c>
      <c r="D516" s="5" t="s">
        <v>2936</v>
      </c>
      <c r="E516" s="7" t="s">
        <v>3568</v>
      </c>
      <c r="F516" s="5" t="b">
        <v>0</v>
      </c>
    </row>
    <row r="517">
      <c r="A517" s="5" t="s">
        <v>3569</v>
      </c>
      <c r="B517" s="5" t="s">
        <v>3570</v>
      </c>
      <c r="C517" s="5" t="s">
        <v>3571</v>
      </c>
      <c r="D517" s="5" t="s">
        <v>2918</v>
      </c>
      <c r="E517" s="7" t="s">
        <v>3568</v>
      </c>
      <c r="F517" s="5" t="b">
        <v>0</v>
      </c>
    </row>
    <row r="518">
      <c r="A518" s="5" t="s">
        <v>2325</v>
      </c>
      <c r="B518" s="5" t="s">
        <v>3572</v>
      </c>
      <c r="C518" s="5" t="s">
        <v>3573</v>
      </c>
      <c r="D518" s="5" t="s">
        <v>2918</v>
      </c>
      <c r="E518" s="7" t="s">
        <v>3568</v>
      </c>
      <c r="F518" s="5" t="b">
        <v>0</v>
      </c>
    </row>
    <row r="519">
      <c r="A519" s="5" t="s">
        <v>3574</v>
      </c>
      <c r="B519" s="5" t="s">
        <v>3575</v>
      </c>
      <c r="C519" s="5" t="s">
        <v>3576</v>
      </c>
      <c r="D519" s="5" t="s">
        <v>2325</v>
      </c>
      <c r="E519" s="7" t="s">
        <v>3568</v>
      </c>
      <c r="F519" s="5" t="b">
        <v>0</v>
      </c>
    </row>
    <row r="520">
      <c r="A520" s="5" t="s">
        <v>3577</v>
      </c>
      <c r="B520" s="5" t="s">
        <v>3578</v>
      </c>
      <c r="C520" s="5" t="s">
        <v>3579</v>
      </c>
      <c r="D520" s="5" t="s">
        <v>3580</v>
      </c>
      <c r="E520" s="7" t="s">
        <v>3581</v>
      </c>
      <c r="F520" s="5" t="b">
        <v>0</v>
      </c>
    </row>
    <row r="521">
      <c r="A521" s="5" t="s">
        <v>3582</v>
      </c>
      <c r="B521" s="5" t="s">
        <v>3583</v>
      </c>
      <c r="C521" s="5" t="s">
        <v>3584</v>
      </c>
      <c r="D521" s="5" t="s">
        <v>2325</v>
      </c>
      <c r="E521" s="7" t="s">
        <v>3585</v>
      </c>
      <c r="F521" s="5" t="b">
        <v>0</v>
      </c>
    </row>
    <row r="522">
      <c r="A522" s="5"/>
      <c r="B522" s="5" t="s">
        <v>10</v>
      </c>
      <c r="C522" s="5" t="s">
        <v>3331</v>
      </c>
      <c r="D522" s="5" t="s">
        <v>3586</v>
      </c>
      <c r="E522" s="9">
        <v>45377.0</v>
      </c>
      <c r="F522" s="5" t="b">
        <v>0</v>
      </c>
    </row>
  </sheetData>
  <autoFilter ref="$A$1:$F$521"/>
  <hyperlinks>
    <hyperlink r:id="rId1" ref="B194"/>
    <hyperlink r:id="rId2" ref="B195"/>
    <hyperlink r:id="rId3" ref="B196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31.75"/>
    <col customWidth="1" min="3" max="3" width="9.5"/>
    <col customWidth="1" min="4" max="4" width="4.88"/>
    <col customWidth="1" min="5" max="5" width="8.38"/>
    <col customWidth="1" min="6" max="6" width="11.0"/>
    <col customWidth="1" min="7" max="7" width="4.75"/>
    <col customWidth="1" min="8" max="8" width="8.0"/>
    <col customWidth="1" min="9" max="9" width="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3587</v>
      </c>
      <c r="B2" s="1" t="s">
        <v>2752</v>
      </c>
    </row>
    <row r="3">
      <c r="A3" s="1" t="s">
        <v>3588</v>
      </c>
      <c r="B3" s="1" t="s">
        <v>2752</v>
      </c>
    </row>
    <row r="4">
      <c r="A4" s="1" t="s">
        <v>3589</v>
      </c>
      <c r="B4" s="1" t="s">
        <v>2752</v>
      </c>
    </row>
    <row r="5">
      <c r="A5" s="1" t="s">
        <v>3590</v>
      </c>
      <c r="B5" s="1" t="s">
        <v>2752</v>
      </c>
    </row>
    <row r="6">
      <c r="A6" s="1" t="s">
        <v>3591</v>
      </c>
      <c r="B6" s="1" t="s">
        <v>2752</v>
      </c>
    </row>
    <row r="7">
      <c r="A7" s="1" t="s">
        <v>3592</v>
      </c>
      <c r="B7" s="1" t="s">
        <v>2752</v>
      </c>
    </row>
    <row r="8">
      <c r="A8" s="1" t="s">
        <v>3593</v>
      </c>
      <c r="B8" s="1" t="s">
        <v>2752</v>
      </c>
    </row>
    <row r="9">
      <c r="A9" s="1" t="s">
        <v>3594</v>
      </c>
      <c r="B9" s="1" t="s">
        <v>2752</v>
      </c>
    </row>
    <row r="10">
      <c r="A10" s="1" t="s">
        <v>3595</v>
      </c>
      <c r="B10" s="1" t="s">
        <v>2752</v>
      </c>
    </row>
    <row r="11">
      <c r="A11" s="1" t="s">
        <v>3596</v>
      </c>
      <c r="B11" s="1" t="s">
        <v>2752</v>
      </c>
    </row>
    <row r="12">
      <c r="A12" s="1" t="s">
        <v>3597</v>
      </c>
      <c r="B12" s="1" t="s">
        <v>2752</v>
      </c>
    </row>
    <row r="13">
      <c r="A13" s="1" t="s">
        <v>3598</v>
      </c>
      <c r="B13" s="1" t="s">
        <v>2752</v>
      </c>
    </row>
    <row r="14">
      <c r="A14" s="1" t="s">
        <v>3599</v>
      </c>
      <c r="B14" s="1" t="s">
        <v>2752</v>
      </c>
    </row>
    <row r="15">
      <c r="A15" s="1" t="s">
        <v>3600</v>
      </c>
      <c r="B15" s="1" t="s">
        <v>2752</v>
      </c>
    </row>
    <row r="16">
      <c r="A16" s="1" t="s">
        <v>3601</v>
      </c>
      <c r="B16" s="1" t="s">
        <v>2752</v>
      </c>
    </row>
    <row r="17">
      <c r="A17" s="1" t="s">
        <v>3602</v>
      </c>
      <c r="B17" s="1" t="s">
        <v>2752</v>
      </c>
    </row>
    <row r="18">
      <c r="A18" s="1" t="s">
        <v>3603</v>
      </c>
      <c r="B18" s="1" t="s">
        <v>2752</v>
      </c>
    </row>
    <row r="19">
      <c r="A19" s="1" t="s">
        <v>3604</v>
      </c>
      <c r="B19" s="1" t="s">
        <v>2752</v>
      </c>
    </row>
    <row r="20">
      <c r="A20" s="1" t="s">
        <v>3605</v>
      </c>
      <c r="B20" s="1" t="s">
        <v>2752</v>
      </c>
    </row>
    <row r="21">
      <c r="A21" s="1" t="s">
        <v>3606</v>
      </c>
      <c r="B21" s="1" t="s">
        <v>2752</v>
      </c>
    </row>
    <row r="22">
      <c r="A22" s="1" t="s">
        <v>3607</v>
      </c>
      <c r="B22" s="1" t="s">
        <v>2752</v>
      </c>
    </row>
    <row r="23">
      <c r="A23" s="1" t="s">
        <v>3608</v>
      </c>
      <c r="B23" s="1" t="s">
        <v>2752</v>
      </c>
    </row>
    <row r="24">
      <c r="A24" s="1" t="s">
        <v>3609</v>
      </c>
      <c r="B24" s="1" t="s">
        <v>2752</v>
      </c>
    </row>
    <row r="25">
      <c r="A25" s="1" t="s">
        <v>3610</v>
      </c>
      <c r="B25" s="1" t="s">
        <v>2752</v>
      </c>
    </row>
    <row r="26">
      <c r="A26" s="1" t="s">
        <v>3611</v>
      </c>
      <c r="B26" s="1" t="s">
        <v>2752</v>
      </c>
    </row>
    <row r="27">
      <c r="A27" s="1" t="s">
        <v>3612</v>
      </c>
      <c r="B27" s="1" t="s">
        <v>2752</v>
      </c>
    </row>
    <row r="28">
      <c r="A28" s="1" t="s">
        <v>3613</v>
      </c>
      <c r="B28" s="1" t="s">
        <v>2752</v>
      </c>
    </row>
    <row r="29">
      <c r="A29" s="1" t="s">
        <v>3614</v>
      </c>
      <c r="B29" s="1" t="s">
        <v>2752</v>
      </c>
    </row>
    <row r="30">
      <c r="A30" s="1" t="s">
        <v>3615</v>
      </c>
      <c r="B30" s="1" t="s">
        <v>2752</v>
      </c>
    </row>
    <row r="31">
      <c r="A31" s="1" t="s">
        <v>3616</v>
      </c>
      <c r="B31" s="1" t="s">
        <v>2752</v>
      </c>
    </row>
    <row r="32">
      <c r="A32" s="1" t="s">
        <v>3617</v>
      </c>
      <c r="B32" s="1" t="s">
        <v>2752</v>
      </c>
    </row>
    <row r="33">
      <c r="A33" s="1" t="s">
        <v>3618</v>
      </c>
      <c r="B33" s="1" t="s">
        <v>2752</v>
      </c>
    </row>
    <row r="34">
      <c r="A34" s="1" t="s">
        <v>3619</v>
      </c>
      <c r="B34" s="1" t="s">
        <v>2752</v>
      </c>
    </row>
    <row r="35">
      <c r="A35" s="1" t="s">
        <v>3620</v>
      </c>
      <c r="B35" s="1" t="s">
        <v>2752</v>
      </c>
    </row>
    <row r="36">
      <c r="A36" s="1" t="s">
        <v>3621</v>
      </c>
      <c r="B36" s="1" t="s">
        <v>2752</v>
      </c>
    </row>
    <row r="37">
      <c r="A37" s="1" t="s">
        <v>3622</v>
      </c>
      <c r="B37" s="1" t="s">
        <v>2752</v>
      </c>
    </row>
    <row r="38">
      <c r="A38" s="1" t="s">
        <v>3623</v>
      </c>
      <c r="B38" s="1" t="s">
        <v>2752</v>
      </c>
    </row>
    <row r="39">
      <c r="A39" s="1" t="s">
        <v>3624</v>
      </c>
      <c r="B39" s="1" t="s">
        <v>2752</v>
      </c>
    </row>
    <row r="40">
      <c r="A40" s="1" t="s">
        <v>3625</v>
      </c>
      <c r="B40" s="1" t="s">
        <v>2752</v>
      </c>
    </row>
    <row r="41">
      <c r="A41" s="1" t="s">
        <v>3626</v>
      </c>
      <c r="B41" s="1" t="s">
        <v>2752</v>
      </c>
    </row>
    <row r="42">
      <c r="A42" s="1" t="s">
        <v>3627</v>
      </c>
      <c r="B42" s="1" t="s">
        <v>2752</v>
      </c>
    </row>
    <row r="43">
      <c r="A43" s="1" t="s">
        <v>3628</v>
      </c>
      <c r="B43" s="1" t="s">
        <v>2752</v>
      </c>
    </row>
    <row r="44">
      <c r="A44" s="1" t="s">
        <v>3629</v>
      </c>
      <c r="B44" s="1" t="s">
        <v>2752</v>
      </c>
    </row>
    <row r="45">
      <c r="A45" s="1" t="s">
        <v>3630</v>
      </c>
      <c r="B45" s="1" t="s">
        <v>2752</v>
      </c>
    </row>
    <row r="46">
      <c r="A46" s="1" t="s">
        <v>3631</v>
      </c>
      <c r="B46" s="1" t="s">
        <v>2752</v>
      </c>
    </row>
    <row r="47">
      <c r="A47" s="1" t="s">
        <v>3632</v>
      </c>
      <c r="B47" s="1" t="s">
        <v>2752</v>
      </c>
    </row>
    <row r="48">
      <c r="A48" s="1" t="s">
        <v>3633</v>
      </c>
      <c r="B48" s="1" t="s">
        <v>2752</v>
      </c>
    </row>
    <row r="49">
      <c r="A49" s="1" t="s">
        <v>3634</v>
      </c>
      <c r="B49" s="1" t="s">
        <v>2752</v>
      </c>
    </row>
    <row r="50">
      <c r="A50" s="1" t="s">
        <v>3635</v>
      </c>
      <c r="B50" s="1" t="s">
        <v>2752</v>
      </c>
    </row>
    <row r="51">
      <c r="A51" s="1" t="s">
        <v>3636</v>
      </c>
      <c r="B51" s="1" t="s">
        <v>2752</v>
      </c>
    </row>
    <row r="52">
      <c r="A52" s="1" t="s">
        <v>3637</v>
      </c>
      <c r="B52" s="1" t="s">
        <v>2752</v>
      </c>
    </row>
    <row r="53">
      <c r="A53" s="1" t="s">
        <v>3638</v>
      </c>
      <c r="B53" s="1" t="s">
        <v>2752</v>
      </c>
    </row>
    <row r="54">
      <c r="A54" s="1" t="s">
        <v>3639</v>
      </c>
      <c r="B54" s="1" t="s">
        <v>2752</v>
      </c>
    </row>
    <row r="55">
      <c r="A55" s="1" t="s">
        <v>3640</v>
      </c>
      <c r="B55" s="1" t="s">
        <v>2752</v>
      </c>
    </row>
    <row r="56">
      <c r="A56" s="1" t="s">
        <v>3641</v>
      </c>
      <c r="B56" s="1" t="s">
        <v>2752</v>
      </c>
    </row>
    <row r="57">
      <c r="A57" s="1" t="s">
        <v>3642</v>
      </c>
      <c r="B57" s="1" t="s">
        <v>2752</v>
      </c>
    </row>
    <row r="58">
      <c r="A58" s="1" t="s">
        <v>3643</v>
      </c>
      <c r="B58" s="1" t="s">
        <v>2752</v>
      </c>
    </row>
    <row r="59">
      <c r="A59" s="1" t="s">
        <v>3644</v>
      </c>
      <c r="B59" s="1" t="s">
        <v>2752</v>
      </c>
    </row>
    <row r="60">
      <c r="A60" s="1" t="s">
        <v>3645</v>
      </c>
      <c r="B60" s="1" t="s">
        <v>2752</v>
      </c>
    </row>
    <row r="61">
      <c r="A61" s="1" t="s">
        <v>3646</v>
      </c>
      <c r="B61" s="1" t="s">
        <v>2752</v>
      </c>
    </row>
    <row r="62">
      <c r="A62" s="1" t="s">
        <v>3647</v>
      </c>
      <c r="B62" s="1" t="s">
        <v>2752</v>
      </c>
    </row>
    <row r="63">
      <c r="A63" s="1" t="s">
        <v>3648</v>
      </c>
      <c r="B63" s="1" t="s">
        <v>2752</v>
      </c>
    </row>
    <row r="64">
      <c r="A64" s="1" t="s">
        <v>3649</v>
      </c>
      <c r="B64" s="1" t="s">
        <v>2752</v>
      </c>
    </row>
    <row r="65">
      <c r="A65" s="1" t="s">
        <v>3650</v>
      </c>
      <c r="B65" s="1" t="s">
        <v>2752</v>
      </c>
    </row>
    <row r="66">
      <c r="A66" s="1" t="s">
        <v>3651</v>
      </c>
      <c r="B66" s="1" t="s">
        <v>2752</v>
      </c>
    </row>
    <row r="67">
      <c r="A67" s="1" t="s">
        <v>3652</v>
      </c>
      <c r="B67" s="1" t="s">
        <v>2752</v>
      </c>
    </row>
    <row r="68">
      <c r="A68" s="1" t="s">
        <v>3653</v>
      </c>
      <c r="B68" s="1" t="s">
        <v>2752</v>
      </c>
    </row>
    <row r="69">
      <c r="A69" s="1" t="s">
        <v>3654</v>
      </c>
      <c r="B69" s="1" t="s">
        <v>2752</v>
      </c>
    </row>
    <row r="70">
      <c r="A70" s="1" t="s">
        <v>3655</v>
      </c>
      <c r="B70" s="1" t="s">
        <v>2752</v>
      </c>
    </row>
    <row r="71">
      <c r="A71" s="1" t="s">
        <v>3656</v>
      </c>
      <c r="B71" s="1" t="s">
        <v>2752</v>
      </c>
    </row>
    <row r="72">
      <c r="A72" s="1" t="s">
        <v>3657</v>
      </c>
      <c r="B72" s="1" t="s">
        <v>2752</v>
      </c>
    </row>
    <row r="73">
      <c r="A73" s="1" t="s">
        <v>3658</v>
      </c>
      <c r="B73" s="1" t="s">
        <v>2752</v>
      </c>
    </row>
    <row r="74">
      <c r="A74" s="1" t="s">
        <v>3659</v>
      </c>
      <c r="B74" s="1" t="s">
        <v>2752</v>
      </c>
    </row>
    <row r="75">
      <c r="A75" s="1" t="s">
        <v>3660</v>
      </c>
      <c r="B75" s="1" t="s">
        <v>2752</v>
      </c>
    </row>
    <row r="76">
      <c r="A76" s="1" t="s">
        <v>3661</v>
      </c>
      <c r="B76" s="1" t="s">
        <v>2752</v>
      </c>
    </row>
    <row r="77">
      <c r="A77" s="1" t="s">
        <v>3662</v>
      </c>
      <c r="B77" s="1" t="s">
        <v>2752</v>
      </c>
    </row>
    <row r="78">
      <c r="A78" s="1" t="s">
        <v>3663</v>
      </c>
      <c r="B78" s="1" t="s">
        <v>2752</v>
      </c>
    </row>
    <row r="79">
      <c r="A79" s="1" t="s">
        <v>3664</v>
      </c>
      <c r="B79" s="1" t="s">
        <v>2752</v>
      </c>
    </row>
    <row r="80">
      <c r="A80" s="1" t="s">
        <v>3665</v>
      </c>
      <c r="B80" s="1" t="s">
        <v>2752</v>
      </c>
    </row>
    <row r="81">
      <c r="A81" s="1" t="s">
        <v>3666</v>
      </c>
      <c r="B81" s="1" t="s">
        <v>2752</v>
      </c>
    </row>
    <row r="82">
      <c r="A82" s="1" t="s">
        <v>3667</v>
      </c>
      <c r="B82" s="1" t="s">
        <v>2752</v>
      </c>
    </row>
    <row r="83">
      <c r="A83" s="1" t="s">
        <v>3668</v>
      </c>
      <c r="B83" s="1" t="s">
        <v>2752</v>
      </c>
    </row>
    <row r="84">
      <c r="A84" s="1" t="s">
        <v>3669</v>
      </c>
      <c r="B84" s="1" t="s">
        <v>2752</v>
      </c>
    </row>
    <row r="85">
      <c r="A85" s="1" t="s">
        <v>3670</v>
      </c>
      <c r="B85" s="1" t="s">
        <v>2752</v>
      </c>
    </row>
    <row r="86">
      <c r="A86" s="1" t="s">
        <v>3671</v>
      </c>
      <c r="B86" s="1" t="s">
        <v>2752</v>
      </c>
    </row>
    <row r="87">
      <c r="A87" s="1" t="s">
        <v>3672</v>
      </c>
      <c r="B87" s="1" t="s">
        <v>2752</v>
      </c>
    </row>
    <row r="88">
      <c r="A88" s="1" t="s">
        <v>3673</v>
      </c>
      <c r="B88" s="1" t="s">
        <v>2752</v>
      </c>
    </row>
    <row r="89">
      <c r="A89" s="1" t="s">
        <v>3674</v>
      </c>
      <c r="B89" s="1" t="s">
        <v>2752</v>
      </c>
    </row>
    <row r="90">
      <c r="A90" s="1" t="s">
        <v>3675</v>
      </c>
      <c r="B90" s="1" t="s">
        <v>2752</v>
      </c>
    </row>
    <row r="91">
      <c r="A91" s="1" t="s">
        <v>3676</v>
      </c>
      <c r="B91" s="1" t="s">
        <v>2752</v>
      </c>
    </row>
    <row r="92">
      <c r="A92" s="1" t="s">
        <v>3677</v>
      </c>
      <c r="B92" s="1" t="s">
        <v>2752</v>
      </c>
    </row>
    <row r="93">
      <c r="A93" s="1" t="s">
        <v>3678</v>
      </c>
      <c r="B93" s="1" t="s">
        <v>2752</v>
      </c>
    </row>
    <row r="94">
      <c r="A94" s="1" t="s">
        <v>3679</v>
      </c>
      <c r="B94" s="1" t="s">
        <v>2752</v>
      </c>
    </row>
    <row r="95">
      <c r="A95" s="1" t="s">
        <v>3680</v>
      </c>
      <c r="B95" s="1" t="s">
        <v>2752</v>
      </c>
    </row>
    <row r="96">
      <c r="A96" s="1" t="s">
        <v>3681</v>
      </c>
      <c r="B96" s="1" t="s">
        <v>2752</v>
      </c>
    </row>
    <row r="97">
      <c r="A97" s="1" t="s">
        <v>3682</v>
      </c>
      <c r="B97" s="1" t="s">
        <v>2752</v>
      </c>
    </row>
    <row r="98">
      <c r="A98" s="1" t="s">
        <v>3683</v>
      </c>
      <c r="B98" s="1" t="s">
        <v>2752</v>
      </c>
    </row>
    <row r="99">
      <c r="A99" s="1" t="s">
        <v>3684</v>
      </c>
      <c r="B99" s="1" t="s">
        <v>2752</v>
      </c>
    </row>
    <row r="100">
      <c r="A100" s="1" t="s">
        <v>3685</v>
      </c>
      <c r="B100" s="1" t="s">
        <v>2752</v>
      </c>
    </row>
    <row r="101">
      <c r="A101" s="1" t="s">
        <v>3686</v>
      </c>
      <c r="B101" s="1" t="s">
        <v>2752</v>
      </c>
    </row>
    <row r="102">
      <c r="A102" s="1" t="s">
        <v>3687</v>
      </c>
      <c r="B102" s="1" t="s">
        <v>2752</v>
      </c>
    </row>
    <row r="103">
      <c r="A103" s="1" t="s">
        <v>3688</v>
      </c>
      <c r="B103" s="1" t="s">
        <v>2752</v>
      </c>
    </row>
    <row r="104">
      <c r="A104" s="1" t="s">
        <v>3689</v>
      </c>
      <c r="B104" s="1" t="s">
        <v>2752</v>
      </c>
    </row>
    <row r="105">
      <c r="A105" s="1" t="s">
        <v>3690</v>
      </c>
      <c r="B105" s="1" t="s">
        <v>2752</v>
      </c>
    </row>
    <row r="106">
      <c r="A106" s="1" t="s">
        <v>3691</v>
      </c>
      <c r="B106" s="1" t="s">
        <v>2752</v>
      </c>
    </row>
    <row r="107">
      <c r="A107" s="1" t="s">
        <v>3692</v>
      </c>
      <c r="B107" s="1" t="s">
        <v>2752</v>
      </c>
    </row>
    <row r="108">
      <c r="A108" s="1" t="s">
        <v>3693</v>
      </c>
      <c r="B108" s="1" t="s">
        <v>2752</v>
      </c>
    </row>
    <row r="109">
      <c r="A109" s="1" t="s">
        <v>3694</v>
      </c>
      <c r="B109" s="1" t="s">
        <v>2752</v>
      </c>
    </row>
    <row r="110">
      <c r="A110" s="1" t="s">
        <v>3695</v>
      </c>
      <c r="B110" s="1" t="s">
        <v>2752</v>
      </c>
    </row>
    <row r="111">
      <c r="A111" s="1" t="s">
        <v>3696</v>
      </c>
      <c r="B111" s="1" t="s">
        <v>2752</v>
      </c>
    </row>
    <row r="112">
      <c r="A112" s="1" t="s">
        <v>3697</v>
      </c>
      <c r="B112" s="1" t="s">
        <v>2752</v>
      </c>
    </row>
    <row r="113">
      <c r="A113" s="1" t="s">
        <v>3698</v>
      </c>
      <c r="B113" s="1" t="s">
        <v>2752</v>
      </c>
    </row>
    <row r="114">
      <c r="A114" s="1" t="s">
        <v>3699</v>
      </c>
      <c r="B114" s="1" t="s">
        <v>2752</v>
      </c>
    </row>
    <row r="115">
      <c r="A115" s="1" t="s">
        <v>3700</v>
      </c>
      <c r="B115" s="1" t="s">
        <v>2752</v>
      </c>
    </row>
    <row r="116">
      <c r="A116" s="1" t="s">
        <v>3701</v>
      </c>
      <c r="B116" s="1" t="s">
        <v>2752</v>
      </c>
    </row>
    <row r="117">
      <c r="A117" s="1" t="s">
        <v>3702</v>
      </c>
      <c r="B117" s="1" t="s">
        <v>2752</v>
      </c>
    </row>
    <row r="118">
      <c r="A118" s="1" t="s">
        <v>3703</v>
      </c>
      <c r="B118" s="1" t="s">
        <v>2752</v>
      </c>
    </row>
    <row r="119">
      <c r="A119" s="1" t="s">
        <v>3704</v>
      </c>
      <c r="B119" s="1" t="s">
        <v>2752</v>
      </c>
    </row>
    <row r="120">
      <c r="A120" s="1" t="s">
        <v>3705</v>
      </c>
      <c r="B120" s="1" t="s">
        <v>2752</v>
      </c>
    </row>
    <row r="121">
      <c r="A121" s="1" t="s">
        <v>3706</v>
      </c>
      <c r="B121" s="1" t="s">
        <v>2752</v>
      </c>
    </row>
    <row r="122">
      <c r="A122" s="1" t="s">
        <v>3707</v>
      </c>
      <c r="B122" s="1" t="s">
        <v>2752</v>
      </c>
    </row>
    <row r="123">
      <c r="A123" s="1" t="s">
        <v>3708</v>
      </c>
      <c r="B123" s="1" t="s">
        <v>2752</v>
      </c>
    </row>
    <row r="124">
      <c r="A124" s="1" t="s">
        <v>3709</v>
      </c>
      <c r="B124" s="1" t="s">
        <v>2752</v>
      </c>
    </row>
    <row r="125">
      <c r="A125" s="1" t="s">
        <v>3710</v>
      </c>
      <c r="B125" s="1" t="s">
        <v>2752</v>
      </c>
    </row>
    <row r="126">
      <c r="A126" s="1" t="s">
        <v>3711</v>
      </c>
      <c r="B126" s="1" t="s">
        <v>2752</v>
      </c>
    </row>
    <row r="127">
      <c r="A127" s="1" t="s">
        <v>3712</v>
      </c>
      <c r="B127" s="1" t="s">
        <v>2752</v>
      </c>
    </row>
    <row r="128">
      <c r="A128" s="10" t="s">
        <v>3713</v>
      </c>
      <c r="B128" s="1" t="s">
        <v>3714</v>
      </c>
    </row>
    <row r="129">
      <c r="A129" s="1" t="s">
        <v>3715</v>
      </c>
      <c r="B129" s="1" t="s">
        <v>3714</v>
      </c>
    </row>
    <row r="130">
      <c r="A130" s="1" t="s">
        <v>3716</v>
      </c>
      <c r="B130" s="1" t="s">
        <v>3714</v>
      </c>
    </row>
    <row r="131">
      <c r="A131" s="1" t="s">
        <v>3717</v>
      </c>
      <c r="B131" s="1" t="s">
        <v>3714</v>
      </c>
    </row>
    <row r="132">
      <c r="A132" s="1" t="s">
        <v>3718</v>
      </c>
      <c r="B132" s="1" t="s">
        <v>3714</v>
      </c>
    </row>
    <row r="133">
      <c r="A133" s="1" t="s">
        <v>3719</v>
      </c>
      <c r="B133" s="1" t="s">
        <v>3714</v>
      </c>
    </row>
    <row r="134">
      <c r="A134" s="1" t="s">
        <v>3720</v>
      </c>
      <c r="B134" s="1" t="s">
        <v>3714</v>
      </c>
    </row>
    <row r="135">
      <c r="A135" s="1" t="s">
        <v>3721</v>
      </c>
      <c r="B135" s="1" t="s">
        <v>3714</v>
      </c>
    </row>
    <row r="136">
      <c r="A136" s="1" t="s">
        <v>3722</v>
      </c>
      <c r="B136" s="1" t="s">
        <v>3714</v>
      </c>
    </row>
    <row r="137">
      <c r="A137" s="1" t="s">
        <v>3723</v>
      </c>
      <c r="B137" s="1" t="s">
        <v>3714</v>
      </c>
    </row>
    <row r="138">
      <c r="A138" s="1" t="s">
        <v>3724</v>
      </c>
      <c r="B138" s="1" t="s">
        <v>3714</v>
      </c>
    </row>
    <row r="139">
      <c r="A139" s="1" t="s">
        <v>3725</v>
      </c>
      <c r="B139" s="1" t="s">
        <v>3714</v>
      </c>
    </row>
    <row r="140">
      <c r="A140" s="1" t="s">
        <v>3726</v>
      </c>
      <c r="B140" s="1" t="s">
        <v>3714</v>
      </c>
    </row>
    <row r="141">
      <c r="A141" s="1" t="s">
        <v>3727</v>
      </c>
      <c r="B141" s="1" t="s">
        <v>3714</v>
      </c>
    </row>
    <row r="142">
      <c r="A142" s="1" t="s">
        <v>3728</v>
      </c>
      <c r="B142" s="1" t="s">
        <v>3714</v>
      </c>
    </row>
    <row r="143">
      <c r="A143" s="1" t="s">
        <v>3729</v>
      </c>
      <c r="B143" s="1" t="s">
        <v>3714</v>
      </c>
    </row>
    <row r="144">
      <c r="A144" s="1" t="s">
        <v>3730</v>
      </c>
      <c r="B144" s="1" t="s">
        <v>3714</v>
      </c>
    </row>
    <row r="145">
      <c r="A145" s="1" t="s">
        <v>3731</v>
      </c>
      <c r="B145" s="1" t="s">
        <v>3714</v>
      </c>
    </row>
    <row r="146">
      <c r="A146" s="1" t="s">
        <v>3732</v>
      </c>
      <c r="B146" s="1" t="s">
        <v>3714</v>
      </c>
    </row>
    <row r="147">
      <c r="A147" s="1" t="s">
        <v>3733</v>
      </c>
      <c r="B147" s="1" t="s">
        <v>3714</v>
      </c>
    </row>
    <row r="148">
      <c r="A148" s="1" t="s">
        <v>3734</v>
      </c>
      <c r="B148" s="1" t="s">
        <v>3714</v>
      </c>
    </row>
    <row r="149">
      <c r="A149" s="1" t="s">
        <v>3735</v>
      </c>
      <c r="B149" s="1" t="s">
        <v>3714</v>
      </c>
    </row>
    <row r="150">
      <c r="A150" s="1" t="s">
        <v>3736</v>
      </c>
      <c r="B150" s="1" t="s">
        <v>3714</v>
      </c>
    </row>
    <row r="151">
      <c r="A151" s="1" t="s">
        <v>3737</v>
      </c>
      <c r="B151" s="1" t="s">
        <v>3714</v>
      </c>
    </row>
    <row r="152">
      <c r="A152" s="1" t="s">
        <v>3738</v>
      </c>
      <c r="B152" s="1" t="s">
        <v>3714</v>
      </c>
    </row>
    <row r="153">
      <c r="A153" s="1" t="s">
        <v>3739</v>
      </c>
      <c r="B153" s="1" t="s">
        <v>3714</v>
      </c>
    </row>
    <row r="154">
      <c r="A154" s="1" t="s">
        <v>3740</v>
      </c>
      <c r="B154" s="1" t="s">
        <v>3714</v>
      </c>
    </row>
    <row r="155">
      <c r="A155" s="1" t="s">
        <v>3741</v>
      </c>
      <c r="B155" s="2" t="s">
        <v>3742</v>
      </c>
    </row>
    <row r="156">
      <c r="A156" s="1" t="s">
        <v>3743</v>
      </c>
      <c r="B156" s="2" t="s">
        <v>3742</v>
      </c>
    </row>
    <row r="157">
      <c r="A157" s="1" t="s">
        <v>3744</v>
      </c>
      <c r="B157" s="2" t="s">
        <v>3742</v>
      </c>
    </row>
    <row r="158">
      <c r="A158" s="1" t="s">
        <v>3745</v>
      </c>
      <c r="B158" s="2" t="s">
        <v>3742</v>
      </c>
    </row>
    <row r="159">
      <c r="A159" s="1" t="s">
        <v>3746</v>
      </c>
      <c r="B159" s="2" t="s">
        <v>3742</v>
      </c>
    </row>
    <row r="160">
      <c r="A160" s="1" t="s">
        <v>3747</v>
      </c>
      <c r="B160" s="2" t="s">
        <v>3742</v>
      </c>
    </row>
    <row r="161">
      <c r="A161" s="1" t="s">
        <v>3748</v>
      </c>
      <c r="B161" s="2" t="s">
        <v>3742</v>
      </c>
    </row>
    <row r="162">
      <c r="A162" s="1" t="s">
        <v>3749</v>
      </c>
      <c r="B162" s="2" t="s">
        <v>3742</v>
      </c>
    </row>
    <row r="163">
      <c r="A163" s="1" t="s">
        <v>3750</v>
      </c>
      <c r="B163" s="2" t="s">
        <v>3742</v>
      </c>
    </row>
    <row r="164">
      <c r="A164" s="1" t="s">
        <v>3582</v>
      </c>
      <c r="B164" s="2" t="s">
        <v>3742</v>
      </c>
    </row>
    <row r="165">
      <c r="A165" s="1" t="s">
        <v>3751</v>
      </c>
      <c r="B165" s="2" t="s">
        <v>3742</v>
      </c>
    </row>
    <row r="166">
      <c r="A166" s="1" t="s">
        <v>3752</v>
      </c>
      <c r="B166" s="2" t="s">
        <v>3742</v>
      </c>
    </row>
    <row r="167">
      <c r="A167" s="1" t="s">
        <v>3753</v>
      </c>
      <c r="B167" s="2" t="s">
        <v>3742</v>
      </c>
    </row>
    <row r="168">
      <c r="A168" s="1" t="s">
        <v>3754</v>
      </c>
      <c r="B168" s="2" t="s">
        <v>3742</v>
      </c>
    </row>
    <row r="169">
      <c r="A169" s="1" t="s">
        <v>3755</v>
      </c>
      <c r="B169" s="2" t="s">
        <v>3742</v>
      </c>
    </row>
    <row r="170">
      <c r="A170" s="1" t="s">
        <v>3756</v>
      </c>
      <c r="B170" s="2" t="s">
        <v>3742</v>
      </c>
    </row>
    <row r="171">
      <c r="A171" s="1" t="s">
        <v>3757</v>
      </c>
      <c r="B171" s="2" t="s">
        <v>3742</v>
      </c>
    </row>
    <row r="172">
      <c r="A172" s="1" t="s">
        <v>3758</v>
      </c>
      <c r="B172" s="2" t="s">
        <v>3742</v>
      </c>
    </row>
    <row r="173">
      <c r="A173" s="1" t="s">
        <v>3759</v>
      </c>
      <c r="B173" s="2" t="s">
        <v>3742</v>
      </c>
    </row>
    <row r="174">
      <c r="A174" s="2" t="s">
        <v>3760</v>
      </c>
      <c r="B174" s="2" t="s">
        <v>3761</v>
      </c>
    </row>
    <row r="175">
      <c r="A175" s="1" t="s">
        <v>3762</v>
      </c>
      <c r="B175" s="2" t="s">
        <v>3763</v>
      </c>
    </row>
    <row r="176">
      <c r="A176" s="1" t="s">
        <v>3764</v>
      </c>
      <c r="B176" s="2" t="s">
        <v>3763</v>
      </c>
    </row>
    <row r="177">
      <c r="A177" s="1" t="s">
        <v>3765</v>
      </c>
      <c r="B177" s="2" t="s">
        <v>3763</v>
      </c>
    </row>
    <row r="178">
      <c r="A178" s="1" t="s">
        <v>3766</v>
      </c>
      <c r="B178" s="2" t="s">
        <v>3763</v>
      </c>
    </row>
    <row r="179">
      <c r="A179" s="1" t="s">
        <v>3767</v>
      </c>
      <c r="B179" s="2" t="s">
        <v>3763</v>
      </c>
    </row>
    <row r="180">
      <c r="A180" s="1" t="s">
        <v>3768</v>
      </c>
      <c r="B180" s="2" t="s">
        <v>3763</v>
      </c>
    </row>
    <row r="181">
      <c r="A181" s="1" t="s">
        <v>3769</v>
      </c>
      <c r="B181" s="2" t="s">
        <v>3763</v>
      </c>
    </row>
    <row r="182">
      <c r="A182" s="1" t="s">
        <v>3770</v>
      </c>
      <c r="B182" s="2" t="s">
        <v>3763</v>
      </c>
    </row>
    <row r="183">
      <c r="A183" s="1" t="s">
        <v>3771</v>
      </c>
      <c r="B183" s="2" t="s">
        <v>3763</v>
      </c>
    </row>
    <row r="184">
      <c r="A184" s="1" t="s">
        <v>3772</v>
      </c>
      <c r="B184" s="2" t="s">
        <v>3763</v>
      </c>
    </row>
    <row r="185">
      <c r="A185" s="1" t="s">
        <v>3773</v>
      </c>
      <c r="B185" s="2" t="s">
        <v>3763</v>
      </c>
    </row>
    <row r="186">
      <c r="A186" s="1" t="s">
        <v>3774</v>
      </c>
      <c r="B186" s="2" t="s">
        <v>3763</v>
      </c>
    </row>
    <row r="187">
      <c r="A187" s="1" t="s">
        <v>3775</v>
      </c>
      <c r="B187" s="2" t="s">
        <v>3763</v>
      </c>
    </row>
    <row r="188">
      <c r="A188" s="1" t="s">
        <v>3776</v>
      </c>
      <c r="B188" s="2" t="s">
        <v>3763</v>
      </c>
    </row>
    <row r="189">
      <c r="A189" s="1" t="s">
        <v>3777</v>
      </c>
      <c r="B189" s="2" t="s">
        <v>3763</v>
      </c>
    </row>
    <row r="190">
      <c r="A190" s="1" t="s">
        <v>3778</v>
      </c>
      <c r="B190" s="2" t="s">
        <v>3763</v>
      </c>
    </row>
    <row r="191">
      <c r="A191" s="1" t="s">
        <v>3779</v>
      </c>
      <c r="B191" s="2" t="s">
        <v>3763</v>
      </c>
    </row>
    <row r="192">
      <c r="A192" s="1" t="s">
        <v>3780</v>
      </c>
      <c r="B192" s="2" t="s">
        <v>3763</v>
      </c>
    </row>
    <row r="193">
      <c r="A193" s="1" t="s">
        <v>3781</v>
      </c>
      <c r="B193" s="2" t="s">
        <v>3763</v>
      </c>
    </row>
    <row r="194">
      <c r="A194" s="1" t="s">
        <v>3782</v>
      </c>
      <c r="B194" s="2" t="s">
        <v>3763</v>
      </c>
    </row>
    <row r="195">
      <c r="A195" s="1" t="s">
        <v>3783</v>
      </c>
      <c r="B195" s="2" t="s">
        <v>3763</v>
      </c>
    </row>
    <row r="196">
      <c r="A196" s="1" t="s">
        <v>3784</v>
      </c>
      <c r="B196" s="2" t="s">
        <v>3763</v>
      </c>
    </row>
    <row r="197">
      <c r="A197" s="1" t="s">
        <v>3785</v>
      </c>
      <c r="B197" s="2" t="s">
        <v>3763</v>
      </c>
    </row>
    <row r="198">
      <c r="A198" s="1" t="s">
        <v>3786</v>
      </c>
      <c r="B198" s="2" t="s">
        <v>3763</v>
      </c>
    </row>
    <row r="199">
      <c r="A199" s="1" t="s">
        <v>3787</v>
      </c>
      <c r="B199" s="2" t="s">
        <v>3763</v>
      </c>
    </row>
    <row r="200">
      <c r="A200" s="1" t="s">
        <v>3788</v>
      </c>
      <c r="B200" s="2" t="s">
        <v>3763</v>
      </c>
    </row>
    <row r="201">
      <c r="A201" s="1" t="s">
        <v>3789</v>
      </c>
      <c r="B201" s="2" t="s">
        <v>3763</v>
      </c>
    </row>
    <row r="202">
      <c r="A202" s="1" t="s">
        <v>3790</v>
      </c>
      <c r="B202" s="2" t="s">
        <v>3763</v>
      </c>
    </row>
    <row r="203">
      <c r="A203" s="1" t="s">
        <v>3791</v>
      </c>
      <c r="B203" s="2" t="s">
        <v>3763</v>
      </c>
    </row>
    <row r="204">
      <c r="A204" s="1" t="s">
        <v>3792</v>
      </c>
      <c r="B204" s="2" t="s">
        <v>3763</v>
      </c>
    </row>
    <row r="205">
      <c r="A205" s="1" t="s">
        <v>3793</v>
      </c>
      <c r="B205" s="2" t="s">
        <v>3763</v>
      </c>
    </row>
    <row r="206">
      <c r="A206" s="1" t="s">
        <v>3794</v>
      </c>
      <c r="B206" s="2" t="s">
        <v>3763</v>
      </c>
    </row>
    <row r="207">
      <c r="A207" s="1" t="s">
        <v>3795</v>
      </c>
      <c r="B207" s="2" t="s">
        <v>3763</v>
      </c>
    </row>
    <row r="208">
      <c r="A208" s="1" t="s">
        <v>3796</v>
      </c>
      <c r="B208" s="2" t="s">
        <v>3763</v>
      </c>
    </row>
    <row r="209">
      <c r="A209" s="1" t="s">
        <v>3797</v>
      </c>
      <c r="B209" s="2" t="s">
        <v>3763</v>
      </c>
    </row>
    <row r="210">
      <c r="A210" s="1" t="s">
        <v>3798</v>
      </c>
      <c r="B210" s="2" t="s">
        <v>3763</v>
      </c>
    </row>
    <row r="211">
      <c r="A211" s="1" t="s">
        <v>3799</v>
      </c>
      <c r="B211" s="2" t="s">
        <v>3763</v>
      </c>
    </row>
    <row r="212">
      <c r="A212" s="1" t="s">
        <v>3800</v>
      </c>
      <c r="B212" s="2" t="s">
        <v>3763</v>
      </c>
    </row>
    <row r="213">
      <c r="A213" s="1" t="s">
        <v>3801</v>
      </c>
      <c r="B213" s="2" t="s">
        <v>3763</v>
      </c>
    </row>
    <row r="214">
      <c r="A214" s="1" t="s">
        <v>3802</v>
      </c>
      <c r="B214" s="2" t="s">
        <v>3763</v>
      </c>
    </row>
    <row r="215">
      <c r="A215" s="1" t="s">
        <v>3803</v>
      </c>
      <c r="B215" s="2" t="s">
        <v>3763</v>
      </c>
    </row>
    <row r="216">
      <c r="A216" s="1" t="s">
        <v>3804</v>
      </c>
      <c r="B216" s="2" t="s">
        <v>3763</v>
      </c>
    </row>
    <row r="217">
      <c r="A217" s="10" t="s">
        <v>3805</v>
      </c>
      <c r="B217" s="2" t="s">
        <v>3763</v>
      </c>
    </row>
    <row r="218">
      <c r="A218" s="1" t="s">
        <v>3806</v>
      </c>
      <c r="B218" s="2" t="s">
        <v>3763</v>
      </c>
    </row>
    <row r="219">
      <c r="A219" s="1" t="s">
        <v>3807</v>
      </c>
      <c r="B219" s="2" t="s">
        <v>3763</v>
      </c>
    </row>
    <row r="220">
      <c r="A220" s="1" t="s">
        <v>3808</v>
      </c>
      <c r="B220" s="2" t="s">
        <v>3763</v>
      </c>
    </row>
    <row r="221">
      <c r="A221" s="1" t="s">
        <v>3809</v>
      </c>
      <c r="B221" s="2" t="s">
        <v>3763</v>
      </c>
    </row>
    <row r="222">
      <c r="A222" s="1" t="s">
        <v>3810</v>
      </c>
      <c r="B222" s="2" t="s">
        <v>3763</v>
      </c>
    </row>
    <row r="223">
      <c r="A223" s="1" t="s">
        <v>3811</v>
      </c>
      <c r="B223" s="2" t="s">
        <v>3763</v>
      </c>
    </row>
    <row r="224">
      <c r="A224" s="1" t="s">
        <v>3812</v>
      </c>
      <c r="B224" s="2" t="s">
        <v>3763</v>
      </c>
    </row>
    <row r="225">
      <c r="A225" s="1" t="s">
        <v>3813</v>
      </c>
      <c r="B225" s="2" t="s">
        <v>3814</v>
      </c>
    </row>
    <row r="226">
      <c r="A226" s="1" t="s">
        <v>3815</v>
      </c>
      <c r="B226" s="2" t="s">
        <v>3814</v>
      </c>
    </row>
    <row r="227">
      <c r="A227" s="1" t="s">
        <v>3816</v>
      </c>
      <c r="B227" s="2" t="s">
        <v>3814</v>
      </c>
    </row>
    <row r="228">
      <c r="A228" s="1" t="s">
        <v>3817</v>
      </c>
      <c r="B228" s="2" t="s">
        <v>3814</v>
      </c>
    </row>
    <row r="229">
      <c r="A229" s="1" t="s">
        <v>3818</v>
      </c>
      <c r="B229" s="2" t="s">
        <v>3814</v>
      </c>
    </row>
    <row r="230">
      <c r="A230" s="1" t="s">
        <v>3819</v>
      </c>
      <c r="B230" s="2" t="s">
        <v>3814</v>
      </c>
    </row>
    <row r="231">
      <c r="A231" s="1" t="s">
        <v>3820</v>
      </c>
      <c r="B231" s="2" t="s">
        <v>3814</v>
      </c>
    </row>
    <row r="232">
      <c r="A232" s="1" t="s">
        <v>3821</v>
      </c>
      <c r="B232" s="2" t="s">
        <v>3814</v>
      </c>
    </row>
    <row r="233">
      <c r="A233" s="1" t="s">
        <v>3822</v>
      </c>
      <c r="B233" s="2" t="s">
        <v>3814</v>
      </c>
    </row>
    <row r="234">
      <c r="A234" s="1" t="s">
        <v>3823</v>
      </c>
      <c r="B234" s="2" t="s">
        <v>3814</v>
      </c>
    </row>
    <row r="235">
      <c r="A235" s="1" t="s">
        <v>3824</v>
      </c>
      <c r="B235" s="2" t="s">
        <v>3814</v>
      </c>
    </row>
    <row r="236">
      <c r="A236" s="1" t="s">
        <v>3825</v>
      </c>
      <c r="B236" s="2" t="s">
        <v>3814</v>
      </c>
    </row>
    <row r="237">
      <c r="A237" s="1" t="s">
        <v>3826</v>
      </c>
      <c r="B237" s="2" t="s">
        <v>3814</v>
      </c>
    </row>
    <row r="238">
      <c r="A238" s="1" t="s">
        <v>3827</v>
      </c>
      <c r="B238" s="2" t="s">
        <v>3814</v>
      </c>
    </row>
    <row r="239">
      <c r="A239" s="1" t="s">
        <v>3828</v>
      </c>
      <c r="B239" s="2" t="s">
        <v>3814</v>
      </c>
    </row>
    <row r="240">
      <c r="A240" s="1" t="s">
        <v>3829</v>
      </c>
      <c r="B240" s="2" t="s">
        <v>3814</v>
      </c>
    </row>
    <row r="241">
      <c r="A241" s="10" t="s">
        <v>3830</v>
      </c>
      <c r="B241" s="2" t="s">
        <v>3814</v>
      </c>
    </row>
    <row r="242">
      <c r="A242" s="1" t="s">
        <v>3831</v>
      </c>
      <c r="B242" s="2" t="s">
        <v>3814</v>
      </c>
    </row>
    <row r="243">
      <c r="A243" s="1" t="s">
        <v>3832</v>
      </c>
      <c r="B243" s="2" t="s">
        <v>3814</v>
      </c>
    </row>
    <row r="244">
      <c r="A244" s="1" t="s">
        <v>3833</v>
      </c>
      <c r="B244" s="2" t="s">
        <v>3814</v>
      </c>
    </row>
    <row r="245">
      <c r="A245" s="1" t="s">
        <v>3834</v>
      </c>
      <c r="B245" s="2" t="s">
        <v>3814</v>
      </c>
    </row>
    <row r="246">
      <c r="A246" s="1" t="s">
        <v>3835</v>
      </c>
      <c r="B246" s="2" t="s">
        <v>3814</v>
      </c>
    </row>
    <row r="247">
      <c r="A247" s="1" t="s">
        <v>3836</v>
      </c>
      <c r="B247" s="2" t="s">
        <v>3814</v>
      </c>
    </row>
    <row r="248">
      <c r="A248" s="1" t="s">
        <v>3837</v>
      </c>
      <c r="B248" s="2" t="s">
        <v>3814</v>
      </c>
    </row>
    <row r="249">
      <c r="A249" s="1" t="s">
        <v>3838</v>
      </c>
      <c r="B249" s="2" t="s">
        <v>3814</v>
      </c>
    </row>
    <row r="250">
      <c r="A250" s="1" t="s">
        <v>3839</v>
      </c>
      <c r="B250" s="2" t="s">
        <v>3814</v>
      </c>
    </row>
    <row r="251">
      <c r="A251" s="1" t="s">
        <v>3840</v>
      </c>
      <c r="B251" s="2" t="s">
        <v>3814</v>
      </c>
    </row>
    <row r="252">
      <c r="A252" s="1" t="s">
        <v>3841</v>
      </c>
      <c r="B252" s="2" t="s">
        <v>3814</v>
      </c>
    </row>
    <row r="253">
      <c r="A253" s="1" t="s">
        <v>3842</v>
      </c>
      <c r="B253" s="2" t="s">
        <v>3814</v>
      </c>
    </row>
    <row r="254">
      <c r="A254" s="1" t="s">
        <v>3843</v>
      </c>
      <c r="B254" s="2" t="s">
        <v>3814</v>
      </c>
    </row>
    <row r="255">
      <c r="A255" s="1" t="s">
        <v>3844</v>
      </c>
      <c r="B255" s="2" t="s">
        <v>3814</v>
      </c>
    </row>
    <row r="256">
      <c r="A256" s="1" t="s">
        <v>3845</v>
      </c>
      <c r="B256" s="2" t="s">
        <v>3814</v>
      </c>
    </row>
    <row r="257">
      <c r="A257" s="1" t="s">
        <v>3846</v>
      </c>
      <c r="B257" s="2" t="s">
        <v>3814</v>
      </c>
    </row>
    <row r="258">
      <c r="A258" s="1" t="s">
        <v>3847</v>
      </c>
      <c r="B258" s="2" t="s">
        <v>3814</v>
      </c>
    </row>
    <row r="259">
      <c r="A259" s="1" t="s">
        <v>3848</v>
      </c>
      <c r="B259" s="2" t="s">
        <v>3570</v>
      </c>
    </row>
    <row r="260">
      <c r="A260" s="1" t="s">
        <v>3849</v>
      </c>
      <c r="B260" s="2" t="s">
        <v>3570</v>
      </c>
    </row>
    <row r="261">
      <c r="A261" s="1" t="s">
        <v>3850</v>
      </c>
      <c r="B261" s="2" t="s">
        <v>3570</v>
      </c>
    </row>
    <row r="262">
      <c r="A262" s="10" t="s">
        <v>3851</v>
      </c>
      <c r="B262" s="2" t="s">
        <v>3570</v>
      </c>
    </row>
    <row r="263">
      <c r="A263" s="1" t="s">
        <v>3852</v>
      </c>
      <c r="B263" s="2" t="s">
        <v>3570</v>
      </c>
    </row>
    <row r="264">
      <c r="A264" s="1" t="s">
        <v>3853</v>
      </c>
      <c r="B264" s="2" t="s">
        <v>3570</v>
      </c>
    </row>
    <row r="265">
      <c r="A265" s="1" t="s">
        <v>3854</v>
      </c>
      <c r="B265" s="2" t="s">
        <v>3570</v>
      </c>
    </row>
    <row r="266">
      <c r="A266" s="10" t="s">
        <v>3855</v>
      </c>
      <c r="B266" s="2" t="s">
        <v>3570</v>
      </c>
    </row>
    <row r="267">
      <c r="A267" s="1" t="s">
        <v>3856</v>
      </c>
      <c r="B267" s="2" t="s">
        <v>3570</v>
      </c>
    </row>
    <row r="268">
      <c r="A268" s="1" t="s">
        <v>3857</v>
      </c>
      <c r="B268" s="2" t="s">
        <v>3570</v>
      </c>
    </row>
    <row r="269">
      <c r="A269" s="1" t="s">
        <v>3858</v>
      </c>
      <c r="B269" s="2" t="s">
        <v>3570</v>
      </c>
    </row>
    <row r="270">
      <c r="A270" s="1" t="s">
        <v>3859</v>
      </c>
      <c r="B270" s="2" t="s">
        <v>3570</v>
      </c>
    </row>
    <row r="271">
      <c r="A271" s="1" t="s">
        <v>3860</v>
      </c>
      <c r="B271" s="2" t="s">
        <v>3570</v>
      </c>
    </row>
    <row r="272">
      <c r="A272" s="1" t="s">
        <v>3861</v>
      </c>
      <c r="B272" s="2" t="s">
        <v>3570</v>
      </c>
    </row>
    <row r="273">
      <c r="A273" s="1" t="s">
        <v>3862</v>
      </c>
      <c r="B273" s="2" t="s">
        <v>3570</v>
      </c>
    </row>
    <row r="274">
      <c r="A274" s="1" t="s">
        <v>3863</v>
      </c>
      <c r="B274" s="2" t="s">
        <v>3570</v>
      </c>
    </row>
    <row r="275">
      <c r="A275" s="1" t="s">
        <v>3864</v>
      </c>
      <c r="B275" s="2" t="s">
        <v>3570</v>
      </c>
    </row>
    <row r="276">
      <c r="A276" s="1" t="s">
        <v>3865</v>
      </c>
      <c r="B276" s="2" t="s">
        <v>3570</v>
      </c>
    </row>
    <row r="277">
      <c r="A277" s="1" t="s">
        <v>3866</v>
      </c>
      <c r="B277" s="2" t="s">
        <v>3570</v>
      </c>
    </row>
    <row r="278">
      <c r="A278" s="1" t="s">
        <v>3867</v>
      </c>
      <c r="B278" s="2" t="s">
        <v>3570</v>
      </c>
    </row>
    <row r="279">
      <c r="A279" s="1" t="s">
        <v>3868</v>
      </c>
      <c r="B279" s="2" t="s">
        <v>3570</v>
      </c>
    </row>
    <row r="280">
      <c r="A280" s="1" t="s">
        <v>3869</v>
      </c>
      <c r="B280" s="2" t="s">
        <v>3570</v>
      </c>
    </row>
    <row r="281">
      <c r="A281" s="1" t="s">
        <v>3870</v>
      </c>
      <c r="B281" s="2" t="s">
        <v>3570</v>
      </c>
    </row>
    <row r="282">
      <c r="A282" s="1" t="s">
        <v>3871</v>
      </c>
      <c r="B282" s="2" t="s">
        <v>3570</v>
      </c>
    </row>
    <row r="283">
      <c r="A283" s="1" t="s">
        <v>3872</v>
      </c>
      <c r="B283" s="2" t="s">
        <v>3570</v>
      </c>
    </row>
    <row r="284">
      <c r="A284" s="1" t="s">
        <v>3873</v>
      </c>
      <c r="B284" s="2" t="s">
        <v>3570</v>
      </c>
    </row>
    <row r="285">
      <c r="A285" s="10" t="s">
        <v>3874</v>
      </c>
      <c r="B285" s="2" t="s">
        <v>3570</v>
      </c>
    </row>
    <row r="286">
      <c r="A286" s="1" t="s">
        <v>3875</v>
      </c>
      <c r="B286" s="2" t="s">
        <v>3570</v>
      </c>
    </row>
    <row r="287">
      <c r="A287" s="1" t="s">
        <v>3876</v>
      </c>
      <c r="B287" s="2" t="s">
        <v>3570</v>
      </c>
    </row>
    <row r="288">
      <c r="A288" s="1" t="s">
        <v>3877</v>
      </c>
      <c r="B288" s="2" t="s">
        <v>3570</v>
      </c>
    </row>
    <row r="289">
      <c r="A289" s="1" t="s">
        <v>3878</v>
      </c>
      <c r="B289" s="2" t="s">
        <v>3570</v>
      </c>
    </row>
    <row r="290">
      <c r="A290" s="1" t="s">
        <v>3879</v>
      </c>
      <c r="B290" s="2" t="s">
        <v>3570</v>
      </c>
    </row>
    <row r="291">
      <c r="A291" s="1" t="s">
        <v>3880</v>
      </c>
      <c r="B291" s="2" t="s">
        <v>3570</v>
      </c>
    </row>
    <row r="292">
      <c r="A292" s="1" t="s">
        <v>3881</v>
      </c>
      <c r="B292" s="2" t="s">
        <v>3570</v>
      </c>
    </row>
    <row r="293">
      <c r="A293" s="1" t="s">
        <v>3882</v>
      </c>
      <c r="B293" s="2" t="s">
        <v>3570</v>
      </c>
    </row>
    <row r="294">
      <c r="A294" s="1" t="s">
        <v>3883</v>
      </c>
      <c r="B294" s="2" t="s">
        <v>3570</v>
      </c>
    </row>
    <row r="295">
      <c r="A295" s="1" t="s">
        <v>3884</v>
      </c>
      <c r="B295" s="2" t="s">
        <v>3570</v>
      </c>
    </row>
    <row r="296">
      <c r="A296" s="1" t="s">
        <v>3885</v>
      </c>
      <c r="B296" s="2" t="s">
        <v>3570</v>
      </c>
    </row>
    <row r="297">
      <c r="A297" s="1" t="s">
        <v>3886</v>
      </c>
      <c r="B297" s="2" t="s">
        <v>3570</v>
      </c>
    </row>
    <row r="298">
      <c r="A298" s="1" t="s">
        <v>3887</v>
      </c>
      <c r="B298" s="2" t="s">
        <v>3570</v>
      </c>
    </row>
    <row r="299">
      <c r="A299" s="1" t="s">
        <v>3888</v>
      </c>
      <c r="B299" s="2" t="s">
        <v>3570</v>
      </c>
    </row>
    <row r="300">
      <c r="A300" s="1" t="s">
        <v>3889</v>
      </c>
      <c r="B300" s="2" t="s">
        <v>3570</v>
      </c>
    </row>
    <row r="301">
      <c r="A301" s="1" t="s">
        <v>3890</v>
      </c>
      <c r="B301" s="2" t="s">
        <v>3570</v>
      </c>
    </row>
    <row r="302">
      <c r="A302" s="1" t="s">
        <v>3891</v>
      </c>
      <c r="B302" s="2" t="s">
        <v>3570</v>
      </c>
    </row>
    <row r="303">
      <c r="A303" s="1" t="s">
        <v>3892</v>
      </c>
      <c r="B303" s="2" t="s">
        <v>3570</v>
      </c>
    </row>
    <row r="304">
      <c r="A304" s="1" t="s">
        <v>3893</v>
      </c>
      <c r="B304" s="2" t="s">
        <v>3570</v>
      </c>
    </row>
    <row r="305">
      <c r="A305" s="1" t="s">
        <v>3894</v>
      </c>
      <c r="B305" s="2" t="s">
        <v>3570</v>
      </c>
    </row>
    <row r="306">
      <c r="A306" s="1" t="s">
        <v>3895</v>
      </c>
      <c r="B306" s="2" t="s">
        <v>3570</v>
      </c>
    </row>
    <row r="307">
      <c r="A307" s="1" t="s">
        <v>3896</v>
      </c>
      <c r="B307" s="2" t="s">
        <v>3570</v>
      </c>
    </row>
    <row r="308">
      <c r="A308" s="1" t="s">
        <v>3897</v>
      </c>
      <c r="B308" s="2" t="s">
        <v>3570</v>
      </c>
    </row>
    <row r="309">
      <c r="A309" s="1" t="s">
        <v>3898</v>
      </c>
      <c r="B309" s="2" t="s">
        <v>3899</v>
      </c>
    </row>
    <row r="310">
      <c r="A310" s="1" t="s">
        <v>3900</v>
      </c>
      <c r="B310" s="2" t="s">
        <v>3899</v>
      </c>
    </row>
    <row r="311">
      <c r="A311" s="1" t="s">
        <v>3901</v>
      </c>
      <c r="B311" s="2" t="s">
        <v>3899</v>
      </c>
    </row>
    <row r="312">
      <c r="A312" s="1" t="s">
        <v>3902</v>
      </c>
      <c r="B312" s="2" t="s">
        <v>3899</v>
      </c>
    </row>
    <row r="313">
      <c r="A313" s="1" t="s">
        <v>3903</v>
      </c>
      <c r="B313" s="2" t="s">
        <v>3899</v>
      </c>
    </row>
    <row r="314">
      <c r="A314" s="1" t="s">
        <v>3904</v>
      </c>
      <c r="B314" s="2" t="s">
        <v>3899</v>
      </c>
    </row>
    <row r="315">
      <c r="A315" s="1" t="s">
        <v>3905</v>
      </c>
      <c r="B315" s="2" t="s">
        <v>3899</v>
      </c>
    </row>
    <row r="316">
      <c r="A316" s="1" t="s">
        <v>3906</v>
      </c>
      <c r="B316" s="2" t="s">
        <v>3899</v>
      </c>
    </row>
    <row r="317">
      <c r="A317" s="1" t="s">
        <v>3907</v>
      </c>
      <c r="B317" s="2" t="s">
        <v>3899</v>
      </c>
    </row>
    <row r="318">
      <c r="A318" s="1" t="s">
        <v>3908</v>
      </c>
      <c r="B318" s="2" t="s">
        <v>3899</v>
      </c>
    </row>
    <row r="319">
      <c r="A319" s="1" t="s">
        <v>3909</v>
      </c>
      <c r="B319" s="2" t="s">
        <v>3899</v>
      </c>
    </row>
    <row r="320">
      <c r="A320" s="1" t="s">
        <v>3910</v>
      </c>
      <c r="B320" s="2" t="s">
        <v>3899</v>
      </c>
    </row>
    <row r="321">
      <c r="A321" s="1" t="s">
        <v>3911</v>
      </c>
      <c r="B321" s="2" t="s">
        <v>3899</v>
      </c>
    </row>
    <row r="322">
      <c r="A322" s="1" t="s">
        <v>3912</v>
      </c>
      <c r="B322" s="2" t="s">
        <v>3899</v>
      </c>
    </row>
    <row r="323">
      <c r="A323" s="1" t="s">
        <v>3913</v>
      </c>
      <c r="B323" s="2" t="s">
        <v>3899</v>
      </c>
    </row>
    <row r="324">
      <c r="A324" s="1" t="s">
        <v>3914</v>
      </c>
      <c r="B324" s="2" t="s">
        <v>3899</v>
      </c>
    </row>
    <row r="325">
      <c r="A325" s="1" t="s">
        <v>3915</v>
      </c>
      <c r="B325" s="2" t="s">
        <v>3899</v>
      </c>
    </row>
    <row r="326">
      <c r="A326" s="1" t="s">
        <v>3916</v>
      </c>
      <c r="B326" s="2" t="s">
        <v>3899</v>
      </c>
    </row>
    <row r="327">
      <c r="A327" s="1" t="s">
        <v>3917</v>
      </c>
      <c r="B327" s="2" t="s">
        <v>3899</v>
      </c>
    </row>
    <row r="328">
      <c r="A328" s="1" t="s">
        <v>3918</v>
      </c>
      <c r="B328" s="2" t="s">
        <v>3899</v>
      </c>
    </row>
    <row r="329">
      <c r="A329" s="1" t="s">
        <v>3919</v>
      </c>
      <c r="B329" s="2" t="s">
        <v>3899</v>
      </c>
    </row>
    <row r="330">
      <c r="A330" s="1" t="s">
        <v>3920</v>
      </c>
      <c r="B330" s="2" t="s">
        <v>3899</v>
      </c>
    </row>
    <row r="331">
      <c r="A331" s="1" t="s">
        <v>3921</v>
      </c>
      <c r="B331" s="2" t="s">
        <v>3899</v>
      </c>
    </row>
    <row r="332">
      <c r="A332" s="1" t="s">
        <v>3922</v>
      </c>
      <c r="B332" s="2" t="s">
        <v>3899</v>
      </c>
    </row>
    <row r="333">
      <c r="A333" s="1" t="s">
        <v>3923</v>
      </c>
      <c r="B333" s="2" t="s">
        <v>3899</v>
      </c>
    </row>
    <row r="334">
      <c r="A334" s="1" t="s">
        <v>3924</v>
      </c>
      <c r="B334" s="2" t="s">
        <v>3899</v>
      </c>
    </row>
    <row r="335">
      <c r="A335" s="1" t="s">
        <v>3925</v>
      </c>
      <c r="B335" s="2" t="s">
        <v>3899</v>
      </c>
    </row>
    <row r="336">
      <c r="A336" s="1" t="s">
        <v>3926</v>
      </c>
      <c r="B336" s="2" t="s">
        <v>3899</v>
      </c>
    </row>
    <row r="337">
      <c r="A337" s="1" t="s">
        <v>3927</v>
      </c>
      <c r="B337" s="2" t="s">
        <v>3899</v>
      </c>
    </row>
    <row r="338">
      <c r="A338" s="1" t="s">
        <v>3928</v>
      </c>
      <c r="B338" s="2" t="s">
        <v>3899</v>
      </c>
    </row>
    <row r="339">
      <c r="A339" s="1" t="s">
        <v>3929</v>
      </c>
      <c r="B339" s="2" t="s">
        <v>3899</v>
      </c>
    </row>
    <row r="340">
      <c r="A340" s="1" t="s">
        <v>3930</v>
      </c>
      <c r="B340" s="2" t="s">
        <v>3899</v>
      </c>
    </row>
    <row r="341">
      <c r="A341" s="1" t="s">
        <v>3931</v>
      </c>
      <c r="B341" s="2" t="s">
        <v>3899</v>
      </c>
    </row>
    <row r="342">
      <c r="A342" s="1" t="s">
        <v>3932</v>
      </c>
      <c r="B342" s="2" t="s">
        <v>3899</v>
      </c>
    </row>
    <row r="343">
      <c r="A343" s="1" t="s">
        <v>3933</v>
      </c>
      <c r="B343" s="2" t="s">
        <v>3899</v>
      </c>
    </row>
    <row r="344">
      <c r="A344" s="1" t="s">
        <v>3934</v>
      </c>
      <c r="B344" s="2" t="s">
        <v>3899</v>
      </c>
    </row>
    <row r="345">
      <c r="A345" s="1" t="s">
        <v>3935</v>
      </c>
      <c r="B345" s="2" t="s">
        <v>3899</v>
      </c>
    </row>
    <row r="346">
      <c r="A346" s="1" t="s">
        <v>3936</v>
      </c>
      <c r="B346" s="2" t="s">
        <v>3899</v>
      </c>
    </row>
    <row r="347">
      <c r="A347" s="1" t="s">
        <v>3937</v>
      </c>
      <c r="B347" s="2" t="s">
        <v>3899</v>
      </c>
    </row>
    <row r="348">
      <c r="A348" s="1" t="s">
        <v>3938</v>
      </c>
      <c r="B348" s="2" t="s">
        <v>3899</v>
      </c>
    </row>
    <row r="349">
      <c r="A349" s="1" t="s">
        <v>3939</v>
      </c>
      <c r="B349" s="2" t="s">
        <v>3899</v>
      </c>
    </row>
    <row r="350">
      <c r="A350" s="1" t="s">
        <v>3940</v>
      </c>
      <c r="B350" s="2" t="s">
        <v>3899</v>
      </c>
    </row>
    <row r="351">
      <c r="A351" s="1" t="s">
        <v>3941</v>
      </c>
      <c r="B351" s="2" t="s">
        <v>2708</v>
      </c>
    </row>
    <row r="352">
      <c r="A352" s="1" t="s">
        <v>3942</v>
      </c>
      <c r="B352" s="2" t="s">
        <v>2708</v>
      </c>
    </row>
    <row r="353">
      <c r="A353" s="1" t="s">
        <v>3943</v>
      </c>
      <c r="B353" s="2" t="s">
        <v>2708</v>
      </c>
    </row>
    <row r="354">
      <c r="A354" s="1" t="s">
        <v>3944</v>
      </c>
      <c r="B354" s="2" t="s">
        <v>2708</v>
      </c>
    </row>
    <row r="355">
      <c r="A355" s="1" t="s">
        <v>3945</v>
      </c>
      <c r="B355" s="2" t="s">
        <v>2708</v>
      </c>
    </row>
    <row r="356">
      <c r="A356" s="1" t="s">
        <v>3946</v>
      </c>
      <c r="B356" s="2" t="s">
        <v>2708</v>
      </c>
    </row>
    <row r="357">
      <c r="A357" s="1" t="s">
        <v>3947</v>
      </c>
      <c r="B357" s="2" t="s">
        <v>2708</v>
      </c>
    </row>
    <row r="358">
      <c r="A358" s="1" t="s">
        <v>3948</v>
      </c>
      <c r="B358" s="2" t="s">
        <v>2708</v>
      </c>
    </row>
    <row r="359">
      <c r="A359" s="1" t="s">
        <v>3949</v>
      </c>
      <c r="B359" s="2" t="s">
        <v>2708</v>
      </c>
    </row>
    <row r="360">
      <c r="A360" s="1" t="s">
        <v>3950</v>
      </c>
      <c r="B360" s="2" t="s">
        <v>2708</v>
      </c>
    </row>
    <row r="361">
      <c r="A361" s="1" t="s">
        <v>3951</v>
      </c>
      <c r="B361" s="2" t="s">
        <v>2708</v>
      </c>
    </row>
    <row r="362">
      <c r="A362" s="1" t="s">
        <v>3952</v>
      </c>
      <c r="B362" s="2" t="s">
        <v>2708</v>
      </c>
    </row>
    <row r="363">
      <c r="A363" s="1" t="s">
        <v>3953</v>
      </c>
      <c r="B363" s="2" t="s">
        <v>2708</v>
      </c>
    </row>
    <row r="364">
      <c r="A364" s="1" t="s">
        <v>3954</v>
      </c>
      <c r="B364" s="2" t="s">
        <v>2708</v>
      </c>
    </row>
    <row r="365">
      <c r="A365" s="1" t="s">
        <v>3955</v>
      </c>
      <c r="B365" s="2" t="s">
        <v>2708</v>
      </c>
    </row>
    <row r="366">
      <c r="A366" s="1" t="s">
        <v>3956</v>
      </c>
      <c r="B366" s="2" t="s">
        <v>2708</v>
      </c>
    </row>
    <row r="367">
      <c r="A367" s="1" t="s">
        <v>3957</v>
      </c>
      <c r="B367" s="2" t="s">
        <v>2708</v>
      </c>
    </row>
    <row r="368">
      <c r="A368" s="1" t="s">
        <v>3958</v>
      </c>
      <c r="B368" s="2" t="s">
        <v>2708</v>
      </c>
    </row>
    <row r="369">
      <c r="A369" s="1" t="s">
        <v>3959</v>
      </c>
      <c r="B369" s="2" t="s">
        <v>2708</v>
      </c>
    </row>
    <row r="370">
      <c r="A370" s="1" t="s">
        <v>3960</v>
      </c>
      <c r="B370" s="2" t="s">
        <v>2708</v>
      </c>
    </row>
    <row r="371">
      <c r="A371" s="1" t="s">
        <v>3961</v>
      </c>
      <c r="B371" s="2" t="s">
        <v>2708</v>
      </c>
    </row>
    <row r="372">
      <c r="A372" s="1" t="s">
        <v>3962</v>
      </c>
      <c r="B372" s="2" t="s">
        <v>2708</v>
      </c>
    </row>
    <row r="373">
      <c r="A373" s="1" t="s">
        <v>3963</v>
      </c>
      <c r="B373" s="2" t="s">
        <v>2708</v>
      </c>
    </row>
    <row r="374">
      <c r="A374" s="1" t="s">
        <v>3964</v>
      </c>
      <c r="B374" s="2" t="s">
        <v>2708</v>
      </c>
    </row>
    <row r="375">
      <c r="A375" s="1" t="s">
        <v>3965</v>
      </c>
      <c r="B375" s="2" t="s">
        <v>2708</v>
      </c>
    </row>
    <row r="376">
      <c r="A376" s="1" t="s">
        <v>3966</v>
      </c>
      <c r="B376" s="2" t="s">
        <v>2708</v>
      </c>
    </row>
    <row r="377">
      <c r="A377" s="1" t="s">
        <v>3967</v>
      </c>
      <c r="B377" s="2" t="s">
        <v>2708</v>
      </c>
    </row>
    <row r="378">
      <c r="A378" s="1" t="s">
        <v>3968</v>
      </c>
      <c r="B378" s="2" t="s">
        <v>2708</v>
      </c>
    </row>
    <row r="379">
      <c r="A379" s="1" t="s">
        <v>3969</v>
      </c>
      <c r="B379" s="2" t="s">
        <v>2708</v>
      </c>
    </row>
    <row r="380">
      <c r="A380" s="1" t="s">
        <v>3970</v>
      </c>
      <c r="B380" s="2" t="s">
        <v>2708</v>
      </c>
    </row>
    <row r="381">
      <c r="A381" s="1" t="s">
        <v>3971</v>
      </c>
      <c r="B381" s="2" t="s">
        <v>2708</v>
      </c>
    </row>
    <row r="382">
      <c r="A382" s="1" t="s">
        <v>3972</v>
      </c>
      <c r="B382" s="2" t="s">
        <v>2708</v>
      </c>
    </row>
    <row r="383">
      <c r="A383" s="10" t="s">
        <v>3973</v>
      </c>
      <c r="B383" s="2" t="s">
        <v>2708</v>
      </c>
    </row>
    <row r="384">
      <c r="A384" s="1" t="s">
        <v>3974</v>
      </c>
      <c r="B384" s="2" t="s">
        <v>2708</v>
      </c>
    </row>
    <row r="385">
      <c r="A385" s="1" t="s">
        <v>3975</v>
      </c>
      <c r="B385" s="2" t="s">
        <v>2708</v>
      </c>
    </row>
    <row r="386">
      <c r="A386" s="1" t="s">
        <v>3976</v>
      </c>
      <c r="B386" s="2" t="s">
        <v>2708</v>
      </c>
    </row>
    <row r="387">
      <c r="A387" s="1" t="s">
        <v>3977</v>
      </c>
      <c r="B387" s="2" t="s">
        <v>2708</v>
      </c>
    </row>
    <row r="388">
      <c r="A388" s="1" t="s">
        <v>3978</v>
      </c>
      <c r="B388" s="2" t="s">
        <v>2708</v>
      </c>
    </row>
    <row r="389">
      <c r="A389" s="1" t="s">
        <v>3979</v>
      </c>
      <c r="B389" s="2" t="s">
        <v>2708</v>
      </c>
    </row>
    <row r="390">
      <c r="A390" s="1" t="s">
        <v>3980</v>
      </c>
      <c r="B390" s="2" t="s">
        <v>2708</v>
      </c>
    </row>
    <row r="391">
      <c r="A391" s="1" t="s">
        <v>3981</v>
      </c>
      <c r="B391" s="2" t="s">
        <v>2708</v>
      </c>
    </row>
    <row r="392">
      <c r="A392" s="1" t="s">
        <v>3982</v>
      </c>
      <c r="B392" s="2" t="s">
        <v>2708</v>
      </c>
    </row>
    <row r="393">
      <c r="A393" s="1" t="s">
        <v>3983</v>
      </c>
      <c r="B393" s="2" t="s">
        <v>2708</v>
      </c>
    </row>
    <row r="394">
      <c r="A394" s="1" t="s">
        <v>3984</v>
      </c>
      <c r="B394" s="2" t="s">
        <v>2708</v>
      </c>
    </row>
    <row r="395">
      <c r="A395" s="1" t="s">
        <v>3985</v>
      </c>
      <c r="B395" s="2" t="s">
        <v>2708</v>
      </c>
    </row>
    <row r="396">
      <c r="A396" s="1" t="s">
        <v>3986</v>
      </c>
      <c r="B396" s="2" t="s">
        <v>2708</v>
      </c>
    </row>
    <row r="397">
      <c r="A397" s="1" t="s">
        <v>3987</v>
      </c>
      <c r="B397" s="2" t="s">
        <v>2708</v>
      </c>
    </row>
    <row r="398">
      <c r="A398" s="1" t="s">
        <v>3988</v>
      </c>
      <c r="B398" s="2" t="s">
        <v>2708</v>
      </c>
    </row>
    <row r="399">
      <c r="A399" s="10" t="s">
        <v>3989</v>
      </c>
      <c r="B399" s="2" t="s">
        <v>2708</v>
      </c>
    </row>
    <row r="400">
      <c r="A400" s="1" t="s">
        <v>3990</v>
      </c>
      <c r="B400" s="2" t="s">
        <v>3991</v>
      </c>
    </row>
    <row r="401">
      <c r="A401" s="1" t="s">
        <v>3992</v>
      </c>
      <c r="B401" s="2" t="s">
        <v>3991</v>
      </c>
    </row>
    <row r="402">
      <c r="A402" s="1" t="s">
        <v>3993</v>
      </c>
      <c r="B402" s="2" t="s">
        <v>3991</v>
      </c>
    </row>
    <row r="403">
      <c r="A403" s="1" t="s">
        <v>3994</v>
      </c>
      <c r="B403" s="2" t="s">
        <v>3991</v>
      </c>
    </row>
    <row r="404">
      <c r="A404" s="1" t="s">
        <v>3995</v>
      </c>
      <c r="B404" s="2" t="s">
        <v>3991</v>
      </c>
    </row>
    <row r="405">
      <c r="A405" s="1" t="s">
        <v>3996</v>
      </c>
      <c r="B405" s="2" t="s">
        <v>3991</v>
      </c>
    </row>
    <row r="406">
      <c r="A406" s="1" t="s">
        <v>3997</v>
      </c>
      <c r="B406" s="2" t="s">
        <v>3991</v>
      </c>
    </row>
    <row r="407">
      <c r="A407" s="1" t="s">
        <v>3998</v>
      </c>
      <c r="B407" s="2" t="s">
        <v>3991</v>
      </c>
    </row>
    <row r="408">
      <c r="A408" s="1" t="s">
        <v>3999</v>
      </c>
      <c r="B408" s="2" t="s">
        <v>3991</v>
      </c>
    </row>
    <row r="409">
      <c r="A409" s="1" t="s">
        <v>4000</v>
      </c>
      <c r="B409" s="2" t="s">
        <v>3991</v>
      </c>
    </row>
    <row r="410">
      <c r="A410" s="1" t="s">
        <v>4001</v>
      </c>
      <c r="B410" s="2" t="s">
        <v>3991</v>
      </c>
    </row>
    <row r="411">
      <c r="A411" s="1" t="s">
        <v>4002</v>
      </c>
      <c r="B411" s="2" t="s">
        <v>3991</v>
      </c>
    </row>
    <row r="412">
      <c r="A412" s="1" t="s">
        <v>4003</v>
      </c>
      <c r="B412" s="2" t="s">
        <v>3991</v>
      </c>
    </row>
    <row r="413">
      <c r="A413" s="1" t="s">
        <v>4004</v>
      </c>
      <c r="B413" s="2" t="s">
        <v>3991</v>
      </c>
    </row>
    <row r="414">
      <c r="A414" s="1" t="s">
        <v>3561</v>
      </c>
      <c r="B414" s="2" t="s">
        <v>3991</v>
      </c>
    </row>
    <row r="415">
      <c r="A415" s="1" t="s">
        <v>4005</v>
      </c>
      <c r="B415" s="2" t="s">
        <v>4006</v>
      </c>
    </row>
    <row r="416">
      <c r="A416" s="1" t="s">
        <v>4007</v>
      </c>
      <c r="B416" s="2" t="s">
        <v>4006</v>
      </c>
    </row>
    <row r="417">
      <c r="A417" s="1" t="s">
        <v>4008</v>
      </c>
      <c r="B417" s="2" t="s">
        <v>4006</v>
      </c>
    </row>
    <row r="418">
      <c r="A418" s="1" t="s">
        <v>4009</v>
      </c>
      <c r="B418" s="2" t="s">
        <v>4006</v>
      </c>
    </row>
    <row r="419">
      <c r="A419" s="1" t="s">
        <v>4010</v>
      </c>
      <c r="B419" s="2" t="s">
        <v>4006</v>
      </c>
    </row>
    <row r="420">
      <c r="A420" s="1" t="s">
        <v>4011</v>
      </c>
      <c r="B420" s="2" t="s">
        <v>4006</v>
      </c>
    </row>
    <row r="421">
      <c r="A421" s="1" t="s">
        <v>4012</v>
      </c>
      <c r="B421" s="2" t="s">
        <v>4006</v>
      </c>
    </row>
    <row r="422">
      <c r="A422" s="1" t="s">
        <v>4013</v>
      </c>
      <c r="B422" s="2" t="s">
        <v>4006</v>
      </c>
    </row>
    <row r="423">
      <c r="A423" s="1" t="s">
        <v>4014</v>
      </c>
      <c r="B423" s="2" t="s">
        <v>4006</v>
      </c>
    </row>
    <row r="424">
      <c r="A424" s="1" t="s">
        <v>4015</v>
      </c>
      <c r="B424" s="2" t="s">
        <v>4006</v>
      </c>
    </row>
    <row r="425">
      <c r="A425" s="1" t="s">
        <v>4016</v>
      </c>
      <c r="B425" s="2" t="s">
        <v>4006</v>
      </c>
    </row>
    <row r="426">
      <c r="A426" s="1" t="s">
        <v>4017</v>
      </c>
      <c r="B426" s="2" t="s">
        <v>4006</v>
      </c>
    </row>
    <row r="427">
      <c r="A427" s="1" t="s">
        <v>4018</v>
      </c>
      <c r="B427" s="2" t="s">
        <v>4006</v>
      </c>
    </row>
    <row r="428">
      <c r="A428" s="1" t="s">
        <v>4019</v>
      </c>
      <c r="B428" s="2" t="s">
        <v>4006</v>
      </c>
    </row>
    <row r="429">
      <c r="A429" s="1" t="s">
        <v>4020</v>
      </c>
      <c r="B429" s="2" t="s">
        <v>4006</v>
      </c>
    </row>
    <row r="430">
      <c r="A430" s="1" t="s">
        <v>4021</v>
      </c>
      <c r="B430" s="2" t="s">
        <v>4006</v>
      </c>
    </row>
    <row r="431">
      <c r="A431" s="1" t="s">
        <v>4022</v>
      </c>
      <c r="B431" s="2" t="s">
        <v>4006</v>
      </c>
    </row>
    <row r="432">
      <c r="A432" s="1" t="s">
        <v>4023</v>
      </c>
      <c r="B432" s="2" t="s">
        <v>4006</v>
      </c>
    </row>
    <row r="433">
      <c r="A433" s="1" t="s">
        <v>4024</v>
      </c>
      <c r="B433" s="2" t="s">
        <v>4006</v>
      </c>
    </row>
    <row r="434">
      <c r="A434" s="1" t="s">
        <v>4025</v>
      </c>
      <c r="B434" s="2" t="s">
        <v>4006</v>
      </c>
    </row>
    <row r="435">
      <c r="A435" s="1" t="s">
        <v>4026</v>
      </c>
      <c r="B435" s="2" t="s">
        <v>4006</v>
      </c>
    </row>
    <row r="436">
      <c r="A436" s="1" t="s">
        <v>4027</v>
      </c>
      <c r="B436" s="2" t="s">
        <v>4006</v>
      </c>
    </row>
    <row r="437">
      <c r="A437" s="1" t="s">
        <v>4028</v>
      </c>
      <c r="B437" s="2" t="s">
        <v>4006</v>
      </c>
    </row>
    <row r="438">
      <c r="A438" s="10" t="s">
        <v>4029</v>
      </c>
      <c r="B438" s="2" t="s">
        <v>4006</v>
      </c>
    </row>
    <row r="439">
      <c r="A439" s="1" t="s">
        <v>4030</v>
      </c>
      <c r="B439" s="2" t="s">
        <v>4006</v>
      </c>
    </row>
    <row r="440">
      <c r="A440" s="1" t="s">
        <v>4031</v>
      </c>
      <c r="B440" s="2" t="s">
        <v>4006</v>
      </c>
    </row>
    <row r="441">
      <c r="A441" s="1" t="s">
        <v>4032</v>
      </c>
      <c r="B441" s="2" t="s">
        <v>4006</v>
      </c>
    </row>
    <row r="442">
      <c r="A442" s="1" t="s">
        <v>4033</v>
      </c>
      <c r="B442" s="2" t="s">
        <v>4006</v>
      </c>
    </row>
    <row r="443">
      <c r="A443" s="1" t="s">
        <v>4034</v>
      </c>
      <c r="B443" s="2" t="s">
        <v>4006</v>
      </c>
    </row>
    <row r="444">
      <c r="A444" s="1" t="s">
        <v>4035</v>
      </c>
      <c r="B444" s="2" t="s">
        <v>4006</v>
      </c>
    </row>
    <row r="445">
      <c r="A445" s="1" t="s">
        <v>4036</v>
      </c>
      <c r="B445" s="2" t="s">
        <v>4006</v>
      </c>
    </row>
    <row r="446">
      <c r="A446" s="1" t="s">
        <v>4037</v>
      </c>
      <c r="B446" s="2" t="s">
        <v>4006</v>
      </c>
    </row>
    <row r="447">
      <c r="A447" s="1" t="s">
        <v>4038</v>
      </c>
      <c r="B447" s="2" t="s">
        <v>4006</v>
      </c>
    </row>
    <row r="448">
      <c r="A448" s="1" t="s">
        <v>4039</v>
      </c>
      <c r="B448" s="2" t="s">
        <v>4006</v>
      </c>
    </row>
    <row r="449">
      <c r="A449" s="1" t="s">
        <v>4040</v>
      </c>
      <c r="B449" s="2" t="s">
        <v>4006</v>
      </c>
    </row>
    <row r="450">
      <c r="A450" s="1" t="s">
        <v>4041</v>
      </c>
      <c r="B450" s="2" t="s">
        <v>4006</v>
      </c>
    </row>
    <row r="451">
      <c r="A451" s="1" t="s">
        <v>4042</v>
      </c>
      <c r="B451" s="2" t="s">
        <v>4006</v>
      </c>
    </row>
    <row r="452">
      <c r="A452" s="10" t="s">
        <v>4043</v>
      </c>
      <c r="B452" s="2" t="s">
        <v>4006</v>
      </c>
    </row>
    <row r="453">
      <c r="A453" s="1" t="s">
        <v>4044</v>
      </c>
      <c r="B453" s="2" t="s">
        <v>4006</v>
      </c>
    </row>
    <row r="454">
      <c r="A454" s="1" t="s">
        <v>4045</v>
      </c>
      <c r="B454" s="2" t="s">
        <v>4006</v>
      </c>
    </row>
    <row r="455">
      <c r="A455" s="1" t="s">
        <v>4046</v>
      </c>
      <c r="B455" s="2" t="s">
        <v>4006</v>
      </c>
    </row>
    <row r="456">
      <c r="A456" s="1" t="s">
        <v>4047</v>
      </c>
      <c r="B456" s="2" t="s">
        <v>4006</v>
      </c>
    </row>
    <row r="457">
      <c r="A457" s="1" t="s">
        <v>4048</v>
      </c>
      <c r="B457" s="2" t="s">
        <v>4006</v>
      </c>
    </row>
    <row r="458">
      <c r="A458" s="1" t="s">
        <v>4049</v>
      </c>
      <c r="B458" s="2" t="s">
        <v>4006</v>
      </c>
    </row>
    <row r="459">
      <c r="A459" s="1" t="s">
        <v>4050</v>
      </c>
      <c r="B459" s="2" t="s">
        <v>4006</v>
      </c>
    </row>
    <row r="460">
      <c r="A460" s="1" t="s">
        <v>4051</v>
      </c>
      <c r="B460" s="2" t="s">
        <v>4006</v>
      </c>
    </row>
    <row r="461">
      <c r="A461" s="1" t="s">
        <v>4052</v>
      </c>
      <c r="B461" s="2" t="s">
        <v>4006</v>
      </c>
    </row>
    <row r="462">
      <c r="A462" s="1" t="s">
        <v>4053</v>
      </c>
      <c r="B462" s="2" t="s">
        <v>4006</v>
      </c>
    </row>
    <row r="463">
      <c r="A463" s="1" t="s">
        <v>4054</v>
      </c>
      <c r="B463" s="2" t="s">
        <v>4006</v>
      </c>
    </row>
    <row r="464">
      <c r="A464" s="1" t="s">
        <v>4055</v>
      </c>
      <c r="B464" s="2" t="s">
        <v>4006</v>
      </c>
    </row>
    <row r="465">
      <c r="A465" s="1" t="s">
        <v>3558</v>
      </c>
      <c r="B465" s="2" t="s">
        <v>4006</v>
      </c>
    </row>
    <row r="466">
      <c r="A466" s="1" t="s">
        <v>4056</v>
      </c>
      <c r="B466" s="2" t="s">
        <v>3555</v>
      </c>
    </row>
    <row r="467">
      <c r="A467" s="1" t="s">
        <v>4057</v>
      </c>
      <c r="B467" s="2" t="s">
        <v>3555</v>
      </c>
    </row>
    <row r="468">
      <c r="A468" s="1" t="s">
        <v>4058</v>
      </c>
      <c r="B468" s="2" t="s">
        <v>3555</v>
      </c>
    </row>
    <row r="469">
      <c r="A469" s="1" t="s">
        <v>4059</v>
      </c>
      <c r="B469" s="2" t="s">
        <v>4060</v>
      </c>
    </row>
    <row r="470">
      <c r="A470" s="1" t="s">
        <v>4061</v>
      </c>
      <c r="B470" s="2" t="s">
        <v>4060</v>
      </c>
    </row>
    <row r="471">
      <c r="A471" s="1" t="s">
        <v>4062</v>
      </c>
      <c r="B471" s="2" t="s">
        <v>4060</v>
      </c>
    </row>
    <row r="472">
      <c r="A472" s="1" t="s">
        <v>4063</v>
      </c>
      <c r="B472" s="2" t="s">
        <v>4060</v>
      </c>
    </row>
    <row r="473">
      <c r="A473" s="1" t="s">
        <v>4064</v>
      </c>
      <c r="B473" s="2" t="s">
        <v>4060</v>
      </c>
    </row>
    <row r="474">
      <c r="A474" s="1" t="s">
        <v>4065</v>
      </c>
      <c r="B474" s="2" t="s">
        <v>4060</v>
      </c>
    </row>
    <row r="475">
      <c r="A475" s="1" t="s">
        <v>4066</v>
      </c>
      <c r="B475" s="2" t="s">
        <v>4060</v>
      </c>
    </row>
    <row r="476">
      <c r="A476" s="1" t="s">
        <v>4067</v>
      </c>
      <c r="B476" s="2" t="s">
        <v>4060</v>
      </c>
    </row>
    <row r="477">
      <c r="A477" s="1" t="s">
        <v>4068</v>
      </c>
      <c r="B477" s="2" t="s">
        <v>4060</v>
      </c>
    </row>
    <row r="478">
      <c r="A478" s="1" t="s">
        <v>4069</v>
      </c>
      <c r="B478" s="2" t="s">
        <v>4060</v>
      </c>
    </row>
    <row r="479">
      <c r="A479" s="1" t="s">
        <v>4070</v>
      </c>
      <c r="B479" s="2" t="s">
        <v>4060</v>
      </c>
    </row>
    <row r="480">
      <c r="A480" s="1" t="s">
        <v>4071</v>
      </c>
      <c r="B480" s="2" t="s">
        <v>4060</v>
      </c>
    </row>
    <row r="481">
      <c r="A481" s="1" t="s">
        <v>4072</v>
      </c>
      <c r="B481" s="2" t="s">
        <v>4060</v>
      </c>
    </row>
    <row r="482">
      <c r="A482" s="1" t="s">
        <v>4073</v>
      </c>
      <c r="B482" s="2" t="s">
        <v>4060</v>
      </c>
    </row>
    <row r="483">
      <c r="A483" s="1" t="s">
        <v>4074</v>
      </c>
      <c r="B483" s="2" t="s">
        <v>4060</v>
      </c>
    </row>
    <row r="484">
      <c r="A484" s="1" t="s">
        <v>4075</v>
      </c>
      <c r="B484" s="2" t="s">
        <v>4060</v>
      </c>
    </row>
    <row r="485">
      <c r="A485" s="1" t="s">
        <v>4076</v>
      </c>
      <c r="B485" s="2" t="s">
        <v>4060</v>
      </c>
    </row>
    <row r="486">
      <c r="A486" s="1" t="s">
        <v>4077</v>
      </c>
      <c r="B486" s="2" t="s">
        <v>4060</v>
      </c>
    </row>
    <row r="487">
      <c r="A487" s="1" t="s">
        <v>4078</v>
      </c>
      <c r="B487" s="2" t="s">
        <v>4060</v>
      </c>
    </row>
    <row r="488">
      <c r="A488" s="1" t="s">
        <v>4079</v>
      </c>
      <c r="B488" s="2" t="s">
        <v>4060</v>
      </c>
    </row>
    <row r="489">
      <c r="A489" s="1" t="s">
        <v>4080</v>
      </c>
      <c r="B489" s="2" t="s">
        <v>4060</v>
      </c>
    </row>
    <row r="490">
      <c r="A490" s="1" t="s">
        <v>4081</v>
      </c>
      <c r="B490" s="2" t="s">
        <v>4060</v>
      </c>
    </row>
    <row r="491">
      <c r="A491" s="1" t="s">
        <v>4082</v>
      </c>
      <c r="B491" s="2" t="s">
        <v>4060</v>
      </c>
    </row>
    <row r="492">
      <c r="A492" s="1" t="s">
        <v>4083</v>
      </c>
      <c r="B492" s="2" t="s">
        <v>4060</v>
      </c>
    </row>
    <row r="493">
      <c r="A493" s="1" t="s">
        <v>4084</v>
      </c>
      <c r="B493" s="2" t="s">
        <v>4060</v>
      </c>
    </row>
    <row r="494">
      <c r="A494" s="1" t="s">
        <v>4085</v>
      </c>
      <c r="B494" s="2" t="s">
        <v>4060</v>
      </c>
    </row>
    <row r="495">
      <c r="A495" s="1" t="s">
        <v>4086</v>
      </c>
      <c r="B495" s="2" t="s">
        <v>4060</v>
      </c>
    </row>
    <row r="496">
      <c r="A496" s="1" t="s">
        <v>4087</v>
      </c>
      <c r="B496" s="2" t="s">
        <v>4060</v>
      </c>
    </row>
    <row r="497">
      <c r="A497" s="1" t="s">
        <v>4088</v>
      </c>
      <c r="B497" s="2" t="s">
        <v>4060</v>
      </c>
    </row>
    <row r="498">
      <c r="A498" s="1" t="s">
        <v>4089</v>
      </c>
      <c r="B498" s="2" t="s">
        <v>4060</v>
      </c>
    </row>
    <row r="499">
      <c r="A499" s="1" t="s">
        <v>4090</v>
      </c>
      <c r="B499" s="2" t="s">
        <v>4060</v>
      </c>
    </row>
    <row r="500">
      <c r="A500" s="1" t="s">
        <v>4091</v>
      </c>
      <c r="B500" s="2" t="s">
        <v>4060</v>
      </c>
    </row>
    <row r="501">
      <c r="A501" s="1" t="s">
        <v>4092</v>
      </c>
      <c r="B501" s="2" t="s">
        <v>4060</v>
      </c>
    </row>
    <row r="502">
      <c r="A502" s="1" t="s">
        <v>4093</v>
      </c>
      <c r="B502" s="2" t="s">
        <v>4060</v>
      </c>
    </row>
    <row r="503">
      <c r="A503" s="1" t="s">
        <v>4094</v>
      </c>
      <c r="B503" s="2" t="s">
        <v>4060</v>
      </c>
    </row>
    <row r="504">
      <c r="A504" s="1" t="s">
        <v>4095</v>
      </c>
      <c r="B504" s="2" t="s">
        <v>4060</v>
      </c>
    </row>
    <row r="505">
      <c r="A505" s="1" t="s">
        <v>4096</v>
      </c>
      <c r="B505" s="2" t="s">
        <v>4060</v>
      </c>
    </row>
    <row r="506">
      <c r="A506" s="1" t="s">
        <v>4097</v>
      </c>
      <c r="B506" s="2" t="s">
        <v>4060</v>
      </c>
    </row>
    <row r="507">
      <c r="A507" s="1" t="s">
        <v>4098</v>
      </c>
      <c r="B507" s="2" t="s">
        <v>4060</v>
      </c>
    </row>
    <row r="508">
      <c r="A508" s="1" t="s">
        <v>4099</v>
      </c>
      <c r="B508" s="2" t="s">
        <v>4060</v>
      </c>
    </row>
    <row r="509">
      <c r="A509" s="1" t="s">
        <v>4100</v>
      </c>
      <c r="B509" s="2" t="s">
        <v>4060</v>
      </c>
    </row>
    <row r="510">
      <c r="A510" s="1" t="s">
        <v>4101</v>
      </c>
      <c r="B510" s="2" t="s">
        <v>4060</v>
      </c>
    </row>
    <row r="511">
      <c r="A511" s="1" t="s">
        <v>4102</v>
      </c>
      <c r="B511" s="2" t="s">
        <v>4060</v>
      </c>
    </row>
    <row r="512">
      <c r="A512" s="1" t="s">
        <v>4103</v>
      </c>
      <c r="B512" s="2" t="s">
        <v>4060</v>
      </c>
    </row>
    <row r="513">
      <c r="A513" s="1" t="s">
        <v>4104</v>
      </c>
      <c r="B513" s="2" t="s">
        <v>4060</v>
      </c>
    </row>
    <row r="514">
      <c r="A514" s="1" t="s">
        <v>4105</v>
      </c>
      <c r="B514" s="2" t="s">
        <v>4060</v>
      </c>
    </row>
    <row r="515">
      <c r="A515" s="1" t="s">
        <v>4106</v>
      </c>
      <c r="B515" s="2" t="s">
        <v>4060</v>
      </c>
    </row>
    <row r="516">
      <c r="A516" s="1" t="s">
        <v>4107</v>
      </c>
      <c r="B516" s="2" t="s">
        <v>4060</v>
      </c>
    </row>
    <row r="517">
      <c r="A517" s="1" t="s">
        <v>4108</v>
      </c>
      <c r="B517" s="2" t="s">
        <v>4060</v>
      </c>
    </row>
    <row r="518">
      <c r="A518" s="1" t="s">
        <v>4109</v>
      </c>
      <c r="B518" s="2" t="s">
        <v>4060</v>
      </c>
    </row>
    <row r="519">
      <c r="A519" s="1" t="s">
        <v>4110</v>
      </c>
      <c r="B519" s="2" t="s">
        <v>4111</v>
      </c>
    </row>
    <row r="520">
      <c r="A520" s="1" t="s">
        <v>4112</v>
      </c>
      <c r="B520" s="2" t="s">
        <v>4111</v>
      </c>
    </row>
    <row r="521">
      <c r="A521" s="1" t="s">
        <v>4113</v>
      </c>
      <c r="B521" s="2" t="s">
        <v>4111</v>
      </c>
    </row>
    <row r="522">
      <c r="A522" s="1" t="s">
        <v>4114</v>
      </c>
      <c r="B522" s="2" t="s">
        <v>4111</v>
      </c>
    </row>
    <row r="523">
      <c r="A523" s="1" t="s">
        <v>4115</v>
      </c>
      <c r="B523" s="2" t="s">
        <v>4111</v>
      </c>
    </row>
    <row r="524">
      <c r="A524" s="1" t="s">
        <v>4116</v>
      </c>
      <c r="B524" s="2" t="s">
        <v>4111</v>
      </c>
    </row>
    <row r="525">
      <c r="A525" s="1" t="s">
        <v>4117</v>
      </c>
      <c r="B525" s="2" t="s">
        <v>4111</v>
      </c>
    </row>
    <row r="526">
      <c r="A526" s="1" t="s">
        <v>4118</v>
      </c>
      <c r="B526" s="2" t="s">
        <v>4111</v>
      </c>
    </row>
    <row r="527">
      <c r="A527" s="1" t="s">
        <v>4119</v>
      </c>
      <c r="B527" s="2" t="s">
        <v>4111</v>
      </c>
    </row>
    <row r="528">
      <c r="A528" s="1" t="s">
        <v>4120</v>
      </c>
      <c r="B528" s="2" t="s">
        <v>4111</v>
      </c>
    </row>
    <row r="529">
      <c r="A529" s="1" t="s">
        <v>4121</v>
      </c>
      <c r="B529" s="2" t="s">
        <v>4111</v>
      </c>
    </row>
    <row r="530">
      <c r="A530" s="1" t="s">
        <v>4122</v>
      </c>
      <c r="B530" s="2" t="s">
        <v>4111</v>
      </c>
    </row>
    <row r="531">
      <c r="A531" s="1" t="s">
        <v>4123</v>
      </c>
      <c r="B531" s="2" t="s">
        <v>4111</v>
      </c>
    </row>
    <row r="532">
      <c r="A532" s="1" t="s">
        <v>4124</v>
      </c>
      <c r="B532" s="2" t="s">
        <v>2683</v>
      </c>
    </row>
    <row r="533">
      <c r="A533" s="1" t="s">
        <v>4125</v>
      </c>
      <c r="B533" s="2" t="s">
        <v>2683</v>
      </c>
    </row>
    <row r="534">
      <c r="A534" s="1" t="s">
        <v>4126</v>
      </c>
      <c r="B534" s="2" t="s">
        <v>2683</v>
      </c>
    </row>
    <row r="535">
      <c r="A535" s="1" t="s">
        <v>4127</v>
      </c>
      <c r="B535" s="2" t="s">
        <v>2683</v>
      </c>
    </row>
    <row r="536">
      <c r="A536" s="1" t="s">
        <v>4128</v>
      </c>
      <c r="B536" s="2" t="s">
        <v>2683</v>
      </c>
    </row>
    <row r="537">
      <c r="A537" s="1" t="s">
        <v>4129</v>
      </c>
      <c r="B537" s="2" t="s">
        <v>2683</v>
      </c>
    </row>
    <row r="538">
      <c r="A538" s="1" t="s">
        <v>4130</v>
      </c>
      <c r="B538" s="2" t="s">
        <v>2683</v>
      </c>
    </row>
    <row r="539">
      <c r="A539" s="1" t="s">
        <v>4131</v>
      </c>
      <c r="B539" s="2" t="s">
        <v>2683</v>
      </c>
    </row>
    <row r="540">
      <c r="A540" s="1" t="s">
        <v>4132</v>
      </c>
      <c r="B540" s="2" t="s">
        <v>2683</v>
      </c>
    </row>
    <row r="541">
      <c r="A541" s="1" t="s">
        <v>4133</v>
      </c>
      <c r="B541" s="2" t="s">
        <v>2683</v>
      </c>
    </row>
    <row r="542">
      <c r="A542" s="1" t="s">
        <v>4134</v>
      </c>
      <c r="B542" s="2" t="s">
        <v>2683</v>
      </c>
    </row>
    <row r="543">
      <c r="A543" s="1" t="s">
        <v>4135</v>
      </c>
      <c r="B543" s="2" t="s">
        <v>2683</v>
      </c>
    </row>
    <row r="544">
      <c r="A544" s="1" t="s">
        <v>4136</v>
      </c>
      <c r="B544" s="2" t="s">
        <v>2683</v>
      </c>
    </row>
    <row r="545">
      <c r="A545" s="1" t="s">
        <v>4137</v>
      </c>
      <c r="B545" s="2" t="s">
        <v>2683</v>
      </c>
    </row>
    <row r="546">
      <c r="A546" s="1" t="s">
        <v>4138</v>
      </c>
      <c r="B546" s="2" t="s">
        <v>2683</v>
      </c>
    </row>
    <row r="547">
      <c r="A547" s="1" t="s">
        <v>4139</v>
      </c>
      <c r="B547" s="2" t="s">
        <v>2683</v>
      </c>
    </row>
    <row r="548">
      <c r="A548" s="1" t="s">
        <v>4140</v>
      </c>
      <c r="B548" s="2" t="s">
        <v>2683</v>
      </c>
    </row>
    <row r="549">
      <c r="A549" s="1" t="s">
        <v>4141</v>
      </c>
      <c r="B549" s="2" t="s">
        <v>2683</v>
      </c>
    </row>
    <row r="550">
      <c r="A550" s="1" t="s">
        <v>4142</v>
      </c>
      <c r="B550" s="2" t="s">
        <v>2683</v>
      </c>
    </row>
    <row r="551">
      <c r="A551" s="1" t="s">
        <v>4143</v>
      </c>
      <c r="B551" s="2" t="s">
        <v>2683</v>
      </c>
    </row>
    <row r="552">
      <c r="A552" s="10" t="s">
        <v>4144</v>
      </c>
      <c r="B552" s="2" t="s">
        <v>2683</v>
      </c>
    </row>
    <row r="553">
      <c r="A553" s="1" t="s">
        <v>4145</v>
      </c>
      <c r="B553" s="2" t="s">
        <v>2683</v>
      </c>
    </row>
    <row r="554">
      <c r="A554" s="1" t="s">
        <v>4146</v>
      </c>
      <c r="B554" s="2" t="s">
        <v>2683</v>
      </c>
    </row>
    <row r="555">
      <c r="A555" s="1" t="s">
        <v>4147</v>
      </c>
      <c r="B555" s="2" t="s">
        <v>2683</v>
      </c>
    </row>
    <row r="556">
      <c r="A556" s="1" t="s">
        <v>4148</v>
      </c>
      <c r="B556" s="2" t="s">
        <v>2683</v>
      </c>
    </row>
    <row r="557">
      <c r="A557" s="1" t="s">
        <v>4149</v>
      </c>
      <c r="B557" s="2" t="s">
        <v>2683</v>
      </c>
    </row>
    <row r="558">
      <c r="A558" s="10" t="s">
        <v>4150</v>
      </c>
      <c r="B558" s="2" t="s">
        <v>2683</v>
      </c>
    </row>
    <row r="559">
      <c r="A559" s="10" t="s">
        <v>4151</v>
      </c>
      <c r="B559" s="2" t="s">
        <v>2683</v>
      </c>
    </row>
    <row r="560">
      <c r="A560" s="1" t="s">
        <v>4152</v>
      </c>
      <c r="B560" s="2" t="s">
        <v>2683</v>
      </c>
    </row>
    <row r="561">
      <c r="A561" s="1" t="s">
        <v>4153</v>
      </c>
      <c r="B561" s="2" t="s">
        <v>2683</v>
      </c>
    </row>
    <row r="562">
      <c r="A562" s="1" t="s">
        <v>4154</v>
      </c>
      <c r="B562" s="2" t="s">
        <v>2683</v>
      </c>
    </row>
    <row r="563">
      <c r="A563" s="1" t="s">
        <v>4155</v>
      </c>
      <c r="B563" s="2" t="s">
        <v>2683</v>
      </c>
    </row>
    <row r="564">
      <c r="A564" s="1" t="s">
        <v>4156</v>
      </c>
      <c r="B564" s="2" t="s">
        <v>2683</v>
      </c>
    </row>
    <row r="565">
      <c r="A565" s="1" t="s">
        <v>4157</v>
      </c>
      <c r="B565" s="2" t="s">
        <v>2683</v>
      </c>
    </row>
    <row r="566">
      <c r="A566" s="1" t="s">
        <v>4158</v>
      </c>
      <c r="B566" s="2" t="s">
        <v>2683</v>
      </c>
    </row>
    <row r="567">
      <c r="A567" s="1" t="s">
        <v>4159</v>
      </c>
      <c r="B567" s="2" t="s">
        <v>2683</v>
      </c>
    </row>
    <row r="568">
      <c r="A568" s="1" t="s">
        <v>4160</v>
      </c>
      <c r="B568" s="2" t="s">
        <v>2683</v>
      </c>
    </row>
    <row r="569">
      <c r="A569" s="1" t="s">
        <v>4161</v>
      </c>
      <c r="B569" s="2" t="s">
        <v>2683</v>
      </c>
    </row>
    <row r="570">
      <c r="A570" s="1" t="s">
        <v>4162</v>
      </c>
      <c r="B570" s="2" t="s">
        <v>2683</v>
      </c>
    </row>
    <row r="571">
      <c r="A571" s="1" t="s">
        <v>4163</v>
      </c>
      <c r="B571" s="2" t="s">
        <v>2683</v>
      </c>
    </row>
    <row r="572">
      <c r="A572" s="1" t="s">
        <v>4164</v>
      </c>
      <c r="B572" s="2" t="s">
        <v>2683</v>
      </c>
    </row>
    <row r="573">
      <c r="A573" s="1" t="s">
        <v>4165</v>
      </c>
      <c r="B573" s="2" t="s">
        <v>2683</v>
      </c>
    </row>
    <row r="574">
      <c r="A574" s="1" t="s">
        <v>4166</v>
      </c>
      <c r="B574" s="2" t="s">
        <v>2683</v>
      </c>
    </row>
    <row r="575">
      <c r="A575" s="1" t="s">
        <v>4167</v>
      </c>
      <c r="B575" s="2" t="s">
        <v>2683</v>
      </c>
    </row>
    <row r="576">
      <c r="A576" s="1" t="s">
        <v>4168</v>
      </c>
      <c r="B576" s="2" t="s">
        <v>2683</v>
      </c>
    </row>
    <row r="577">
      <c r="A577" s="1" t="s">
        <v>4169</v>
      </c>
      <c r="B577" s="2" t="s">
        <v>2683</v>
      </c>
    </row>
    <row r="578">
      <c r="A578" s="1" t="s">
        <v>4170</v>
      </c>
      <c r="B578" s="2" t="s">
        <v>2683</v>
      </c>
    </row>
    <row r="579">
      <c r="A579" s="1" t="s">
        <v>4171</v>
      </c>
      <c r="B579" s="2" t="s">
        <v>2683</v>
      </c>
    </row>
    <row r="580">
      <c r="A580" s="1" t="s">
        <v>4172</v>
      </c>
      <c r="B580" s="2" t="s">
        <v>2683</v>
      </c>
    </row>
    <row r="581">
      <c r="A581" s="1" t="s">
        <v>4173</v>
      </c>
      <c r="B581" s="2" t="s">
        <v>2683</v>
      </c>
    </row>
    <row r="582">
      <c r="A582" s="10" t="s">
        <v>4174</v>
      </c>
      <c r="B582" s="2" t="s">
        <v>3181</v>
      </c>
    </row>
    <row r="583">
      <c r="A583" s="10" t="s">
        <v>4175</v>
      </c>
      <c r="B583" s="2" t="s">
        <v>3181</v>
      </c>
    </row>
    <row r="584">
      <c r="A584" s="10" t="s">
        <v>4176</v>
      </c>
      <c r="B584" s="2" t="s">
        <v>3181</v>
      </c>
    </row>
    <row r="585">
      <c r="A585" s="1" t="s">
        <v>4177</v>
      </c>
      <c r="B585" s="2" t="s">
        <v>3181</v>
      </c>
    </row>
    <row r="586">
      <c r="A586" s="10" t="s">
        <v>4178</v>
      </c>
      <c r="B586" s="2" t="s">
        <v>3181</v>
      </c>
    </row>
    <row r="587">
      <c r="A587" s="10" t="s">
        <v>4179</v>
      </c>
      <c r="B587" s="2" t="s">
        <v>3181</v>
      </c>
    </row>
    <row r="588">
      <c r="A588" s="1" t="s">
        <v>4180</v>
      </c>
      <c r="B588" s="2" t="s">
        <v>3181</v>
      </c>
    </row>
    <row r="589">
      <c r="A589" s="1" t="s">
        <v>4181</v>
      </c>
      <c r="B589" s="2" t="s">
        <v>3181</v>
      </c>
    </row>
    <row r="590">
      <c r="A590" s="1" t="s">
        <v>4182</v>
      </c>
      <c r="B590" s="2" t="s">
        <v>3181</v>
      </c>
    </row>
    <row r="591">
      <c r="A591" s="1" t="s">
        <v>4183</v>
      </c>
      <c r="B591" s="2" t="s">
        <v>3181</v>
      </c>
    </row>
    <row r="592">
      <c r="A592" s="1" t="s">
        <v>4184</v>
      </c>
      <c r="B592" s="2" t="s">
        <v>3181</v>
      </c>
    </row>
    <row r="593">
      <c r="A593" s="1" t="s">
        <v>4185</v>
      </c>
      <c r="B593" s="2" t="s">
        <v>3181</v>
      </c>
    </row>
    <row r="594">
      <c r="A594" s="10" t="s">
        <v>4186</v>
      </c>
      <c r="B594" s="2" t="s">
        <v>3181</v>
      </c>
    </row>
    <row r="595">
      <c r="A595" s="1" t="s">
        <v>4187</v>
      </c>
      <c r="B595" s="2" t="s">
        <v>3181</v>
      </c>
    </row>
    <row r="596">
      <c r="A596" s="10" t="s">
        <v>4188</v>
      </c>
      <c r="B596" s="2" t="s">
        <v>3181</v>
      </c>
    </row>
    <row r="597">
      <c r="A597" s="1" t="s">
        <v>4189</v>
      </c>
      <c r="B597" s="2" t="s">
        <v>3181</v>
      </c>
    </row>
    <row r="598">
      <c r="A598" s="1" t="s">
        <v>4190</v>
      </c>
      <c r="B598" s="2" t="s">
        <v>3181</v>
      </c>
    </row>
    <row r="599">
      <c r="A599" s="10" t="s">
        <v>4191</v>
      </c>
      <c r="B599" s="2" t="s">
        <v>3181</v>
      </c>
    </row>
    <row r="600">
      <c r="A600" s="10" t="s">
        <v>4192</v>
      </c>
      <c r="B600" s="2" t="s">
        <v>3181</v>
      </c>
    </row>
    <row r="601">
      <c r="A601" s="10" t="s">
        <v>4193</v>
      </c>
      <c r="B601" s="2" t="s">
        <v>3181</v>
      </c>
    </row>
    <row r="602">
      <c r="A602" s="10" t="s">
        <v>4194</v>
      </c>
      <c r="B602" s="2" t="s">
        <v>3181</v>
      </c>
    </row>
    <row r="603">
      <c r="A603" s="10" t="s">
        <v>4195</v>
      </c>
      <c r="B603" s="2" t="s">
        <v>3181</v>
      </c>
    </row>
    <row r="604">
      <c r="A604" s="10" t="s">
        <v>4196</v>
      </c>
      <c r="B604" s="2" t="s">
        <v>3181</v>
      </c>
    </row>
    <row r="605">
      <c r="A605" s="10" t="s">
        <v>4197</v>
      </c>
      <c r="B605" s="2" t="s">
        <v>3181</v>
      </c>
    </row>
    <row r="606">
      <c r="A606" s="10" t="s">
        <v>4198</v>
      </c>
      <c r="B606" s="2" t="s">
        <v>3181</v>
      </c>
    </row>
    <row r="607">
      <c r="A607" s="1" t="s">
        <v>4199</v>
      </c>
      <c r="B607" s="2" t="s">
        <v>3181</v>
      </c>
    </row>
    <row r="608">
      <c r="A608" s="10" t="s">
        <v>4200</v>
      </c>
      <c r="B608" s="2" t="s">
        <v>3181</v>
      </c>
    </row>
    <row r="609">
      <c r="A609" s="1" t="s">
        <v>4201</v>
      </c>
      <c r="B609" s="2" t="s">
        <v>3181</v>
      </c>
    </row>
    <row r="610">
      <c r="A610" s="1" t="s">
        <v>4202</v>
      </c>
      <c r="B610" s="2" t="s">
        <v>3181</v>
      </c>
    </row>
    <row r="611">
      <c r="A611" s="1" t="s">
        <v>4203</v>
      </c>
      <c r="B611" s="2" t="s">
        <v>3181</v>
      </c>
    </row>
    <row r="612">
      <c r="A612" s="1" t="s">
        <v>4204</v>
      </c>
      <c r="B612" s="2" t="s">
        <v>3181</v>
      </c>
    </row>
    <row r="613">
      <c r="A613" s="1" t="s">
        <v>4205</v>
      </c>
      <c r="B613" s="2" t="s">
        <v>3181</v>
      </c>
    </row>
    <row r="614">
      <c r="A614" s="1" t="s">
        <v>4206</v>
      </c>
      <c r="B614" s="2" t="s">
        <v>3181</v>
      </c>
    </row>
    <row r="615">
      <c r="A615" s="1" t="s">
        <v>4207</v>
      </c>
      <c r="B615" s="2" t="s">
        <v>3181</v>
      </c>
    </row>
    <row r="616">
      <c r="A616" s="1" t="s">
        <v>4208</v>
      </c>
      <c r="B616" s="2" t="s">
        <v>3181</v>
      </c>
    </row>
    <row r="617">
      <c r="A617" s="10" t="s">
        <v>4209</v>
      </c>
      <c r="B617" s="2" t="s">
        <v>3181</v>
      </c>
    </row>
    <row r="618">
      <c r="A618" s="1" t="s">
        <v>4210</v>
      </c>
      <c r="B618" s="2" t="s">
        <v>3181</v>
      </c>
    </row>
    <row r="619">
      <c r="A619" s="10" t="s">
        <v>4211</v>
      </c>
      <c r="B619" s="2" t="s">
        <v>3181</v>
      </c>
    </row>
    <row r="620">
      <c r="A620" s="10" t="s">
        <v>4212</v>
      </c>
      <c r="B620" s="2" t="s">
        <v>3181</v>
      </c>
    </row>
    <row r="621">
      <c r="A621" s="1" t="s">
        <v>4213</v>
      </c>
      <c r="B621" s="2" t="s">
        <v>3181</v>
      </c>
    </row>
    <row r="622">
      <c r="A622" s="1" t="s">
        <v>4214</v>
      </c>
      <c r="B622" s="2" t="s">
        <v>3181</v>
      </c>
    </row>
    <row r="623">
      <c r="A623" s="1" t="s">
        <v>4215</v>
      </c>
      <c r="B623" s="2" t="s">
        <v>3181</v>
      </c>
    </row>
    <row r="624">
      <c r="A624" s="1" t="s">
        <v>4216</v>
      </c>
      <c r="B624" s="2" t="s">
        <v>3181</v>
      </c>
    </row>
    <row r="625">
      <c r="A625" s="1" t="s">
        <v>4217</v>
      </c>
      <c r="B625" s="2" t="s">
        <v>3181</v>
      </c>
    </row>
    <row r="626">
      <c r="A626" s="10" t="s">
        <v>4218</v>
      </c>
      <c r="B626" s="2" t="s">
        <v>3181</v>
      </c>
    </row>
    <row r="627">
      <c r="A627" s="1" t="s">
        <v>4219</v>
      </c>
      <c r="B627" s="2" t="s">
        <v>3181</v>
      </c>
    </row>
    <row r="628">
      <c r="A628" s="1" t="s">
        <v>4220</v>
      </c>
      <c r="B628" s="2" t="s">
        <v>3181</v>
      </c>
    </row>
    <row r="629">
      <c r="A629" s="1" t="s">
        <v>4221</v>
      </c>
      <c r="B629" s="2" t="s">
        <v>3181</v>
      </c>
    </row>
    <row r="630">
      <c r="A630" s="1" t="s">
        <v>4222</v>
      </c>
      <c r="B630" s="2" t="s">
        <v>3181</v>
      </c>
    </row>
    <row r="631">
      <c r="A631" s="10" t="s">
        <v>4223</v>
      </c>
      <c r="B631" s="2" t="s">
        <v>3181</v>
      </c>
    </row>
    <row r="632">
      <c r="A632" s="1" t="s">
        <v>4224</v>
      </c>
      <c r="B632" s="2" t="s">
        <v>4225</v>
      </c>
    </row>
    <row r="633">
      <c r="A633" s="1" t="s">
        <v>4226</v>
      </c>
      <c r="B633" s="2" t="s">
        <v>4225</v>
      </c>
    </row>
    <row r="634">
      <c r="A634" s="1" t="s">
        <v>4227</v>
      </c>
      <c r="B634" s="2" t="s">
        <v>4225</v>
      </c>
    </row>
    <row r="635">
      <c r="A635" s="1" t="s">
        <v>4228</v>
      </c>
      <c r="B635" s="2" t="s">
        <v>4225</v>
      </c>
    </row>
    <row r="636">
      <c r="A636" s="1" t="s">
        <v>4229</v>
      </c>
      <c r="B636" s="2" t="s">
        <v>4225</v>
      </c>
    </row>
    <row r="637">
      <c r="A637" s="1" t="s">
        <v>4230</v>
      </c>
      <c r="B637" s="2" t="s">
        <v>4225</v>
      </c>
    </row>
    <row r="638">
      <c r="A638" s="1" t="s">
        <v>4231</v>
      </c>
      <c r="B638" s="2" t="s">
        <v>4225</v>
      </c>
    </row>
    <row r="639">
      <c r="A639" s="1" t="s">
        <v>4232</v>
      </c>
      <c r="B639" s="2" t="s">
        <v>4225</v>
      </c>
    </row>
    <row r="640">
      <c r="A640" s="1" t="s">
        <v>4233</v>
      </c>
      <c r="B640" s="2" t="s">
        <v>4225</v>
      </c>
    </row>
    <row r="641">
      <c r="A641" s="1" t="s">
        <v>4234</v>
      </c>
      <c r="B641" s="2" t="s">
        <v>4225</v>
      </c>
    </row>
    <row r="642">
      <c r="A642" s="1" t="s">
        <v>4235</v>
      </c>
      <c r="B642" s="2" t="s">
        <v>4225</v>
      </c>
    </row>
    <row r="643">
      <c r="A643" s="1" t="s">
        <v>4236</v>
      </c>
      <c r="B643" s="2" t="s">
        <v>4225</v>
      </c>
    </row>
    <row r="644">
      <c r="A644" s="1" t="s">
        <v>4237</v>
      </c>
      <c r="B644" s="2" t="s">
        <v>4225</v>
      </c>
    </row>
    <row r="645">
      <c r="A645" s="1" t="s">
        <v>4238</v>
      </c>
      <c r="B645" s="2" t="s">
        <v>4225</v>
      </c>
    </row>
    <row r="646">
      <c r="A646" s="1" t="s">
        <v>4239</v>
      </c>
      <c r="B646" s="2" t="s">
        <v>4225</v>
      </c>
    </row>
    <row r="647">
      <c r="A647" s="1" t="s">
        <v>4240</v>
      </c>
      <c r="B647" s="2" t="s">
        <v>4225</v>
      </c>
    </row>
    <row r="648">
      <c r="A648" s="1" t="s">
        <v>4241</v>
      </c>
      <c r="B648" s="2" t="s">
        <v>4225</v>
      </c>
    </row>
    <row r="649">
      <c r="A649" s="1" t="s">
        <v>4242</v>
      </c>
      <c r="B649" s="2" t="s">
        <v>4225</v>
      </c>
    </row>
    <row r="650">
      <c r="A650" s="1" t="s">
        <v>4243</v>
      </c>
      <c r="B650" s="2" t="s">
        <v>4225</v>
      </c>
    </row>
    <row r="651">
      <c r="A651" s="1" t="s">
        <v>4244</v>
      </c>
      <c r="B651" s="2" t="s">
        <v>4225</v>
      </c>
    </row>
    <row r="652">
      <c r="A652" s="1" t="s">
        <v>4245</v>
      </c>
      <c r="B652" s="2" t="s">
        <v>4225</v>
      </c>
    </row>
    <row r="653">
      <c r="A653" s="1" t="s">
        <v>4246</v>
      </c>
      <c r="B653" s="2" t="s">
        <v>4225</v>
      </c>
    </row>
    <row r="654">
      <c r="A654" s="1" t="s">
        <v>4247</v>
      </c>
      <c r="B654" s="2" t="s">
        <v>4225</v>
      </c>
    </row>
    <row r="655">
      <c r="A655" s="1" t="s">
        <v>4248</v>
      </c>
      <c r="B655" s="2" t="s">
        <v>4225</v>
      </c>
    </row>
    <row r="656">
      <c r="A656" s="1" t="s">
        <v>4249</v>
      </c>
      <c r="B656" s="2" t="s">
        <v>4225</v>
      </c>
    </row>
    <row r="657">
      <c r="A657" s="1" t="s">
        <v>4250</v>
      </c>
      <c r="B657" s="2" t="s">
        <v>4225</v>
      </c>
    </row>
    <row r="658">
      <c r="A658" s="1" t="s">
        <v>4251</v>
      </c>
      <c r="B658" s="2" t="s">
        <v>4225</v>
      </c>
    </row>
    <row r="659">
      <c r="A659" s="1" t="s">
        <v>4252</v>
      </c>
      <c r="B659" s="2" t="s">
        <v>4225</v>
      </c>
    </row>
    <row r="660">
      <c r="A660" s="1" t="s">
        <v>4253</v>
      </c>
      <c r="B660" s="2" t="s">
        <v>4225</v>
      </c>
    </row>
    <row r="661">
      <c r="A661" s="1" t="s">
        <v>4254</v>
      </c>
      <c r="B661" s="2" t="s">
        <v>4225</v>
      </c>
    </row>
    <row r="662">
      <c r="A662" s="1" t="s">
        <v>4255</v>
      </c>
      <c r="B662" s="2" t="s">
        <v>4225</v>
      </c>
    </row>
    <row r="663">
      <c r="A663" s="1" t="s">
        <v>4256</v>
      </c>
      <c r="B663" s="2" t="s">
        <v>4225</v>
      </c>
    </row>
    <row r="664">
      <c r="A664" s="1" t="s">
        <v>4257</v>
      </c>
      <c r="B664" s="2" t="s">
        <v>4225</v>
      </c>
    </row>
    <row r="665">
      <c r="A665" s="1" t="s">
        <v>4258</v>
      </c>
      <c r="B665" s="2" t="s">
        <v>4225</v>
      </c>
    </row>
    <row r="666">
      <c r="A666" s="1" t="s">
        <v>4259</v>
      </c>
      <c r="B666" s="2" t="s">
        <v>4225</v>
      </c>
    </row>
    <row r="667">
      <c r="A667" s="1" t="s">
        <v>4260</v>
      </c>
      <c r="B667" s="2" t="s">
        <v>4225</v>
      </c>
    </row>
    <row r="668">
      <c r="A668" s="1" t="s">
        <v>4261</v>
      </c>
      <c r="B668" s="2" t="s">
        <v>4225</v>
      </c>
    </row>
    <row r="669">
      <c r="A669" s="1" t="s">
        <v>4262</v>
      </c>
      <c r="B669" s="2" t="s">
        <v>4225</v>
      </c>
    </row>
    <row r="670">
      <c r="A670" s="1" t="s">
        <v>4263</v>
      </c>
      <c r="B670" s="2" t="s">
        <v>4225</v>
      </c>
    </row>
    <row r="671">
      <c r="A671" s="1" t="s">
        <v>4264</v>
      </c>
      <c r="B671" s="2" t="s">
        <v>4225</v>
      </c>
    </row>
    <row r="672">
      <c r="A672" s="1" t="s">
        <v>4265</v>
      </c>
      <c r="B672" s="2" t="s">
        <v>4225</v>
      </c>
    </row>
    <row r="673">
      <c r="A673" s="1" t="s">
        <v>4266</v>
      </c>
      <c r="B673" s="2" t="s">
        <v>4225</v>
      </c>
    </row>
    <row r="674">
      <c r="A674" s="1" t="s">
        <v>4267</v>
      </c>
      <c r="B674" s="2" t="s">
        <v>4225</v>
      </c>
    </row>
    <row r="675">
      <c r="A675" s="1" t="s">
        <v>4268</v>
      </c>
      <c r="B675" s="2" t="s">
        <v>4225</v>
      </c>
    </row>
    <row r="676">
      <c r="A676" s="1" t="s">
        <v>4269</v>
      </c>
      <c r="B676" s="2" t="s">
        <v>4225</v>
      </c>
    </row>
    <row r="677">
      <c r="A677" s="1" t="s">
        <v>4270</v>
      </c>
      <c r="B677" s="2" t="s">
        <v>4225</v>
      </c>
    </row>
    <row r="678">
      <c r="A678" s="1" t="s">
        <v>4271</v>
      </c>
      <c r="B678" s="2" t="s">
        <v>4225</v>
      </c>
    </row>
    <row r="679">
      <c r="A679" s="1" t="s">
        <v>4272</v>
      </c>
      <c r="B679" s="2" t="s">
        <v>4225</v>
      </c>
    </row>
    <row r="680">
      <c r="A680" s="1" t="s">
        <v>4273</v>
      </c>
      <c r="B680" s="2" t="s">
        <v>4225</v>
      </c>
    </row>
    <row r="681">
      <c r="A681" s="1" t="s">
        <v>4274</v>
      </c>
      <c r="B681" s="2" t="s">
        <v>4225</v>
      </c>
    </row>
    <row r="682">
      <c r="A682" s="1" t="s">
        <v>4275</v>
      </c>
      <c r="B682" s="2" t="s">
        <v>4276</v>
      </c>
    </row>
    <row r="683">
      <c r="A683" s="1" t="s">
        <v>4277</v>
      </c>
      <c r="B683" s="2" t="s">
        <v>4276</v>
      </c>
    </row>
    <row r="684">
      <c r="A684" s="1" t="s">
        <v>4278</v>
      </c>
      <c r="B684" s="2" t="s">
        <v>4276</v>
      </c>
    </row>
    <row r="685">
      <c r="A685" s="10" t="s">
        <v>4279</v>
      </c>
      <c r="B685" s="2" t="s">
        <v>4280</v>
      </c>
    </row>
    <row r="686">
      <c r="A686" s="2" t="s">
        <v>4281</v>
      </c>
      <c r="B686" s="2" t="s">
        <v>4280</v>
      </c>
    </row>
    <row r="687">
      <c r="A687" s="10" t="s">
        <v>4282</v>
      </c>
      <c r="B687" s="2" t="s">
        <v>4280</v>
      </c>
    </row>
    <row r="688">
      <c r="A688" s="2" t="s">
        <v>4283</v>
      </c>
      <c r="B688" s="2" t="s">
        <v>4280</v>
      </c>
    </row>
    <row r="689">
      <c r="A689" s="10" t="s">
        <v>4284</v>
      </c>
      <c r="B689" s="2" t="s">
        <v>4280</v>
      </c>
    </row>
    <row r="690">
      <c r="A690" s="10" t="s">
        <v>4285</v>
      </c>
      <c r="B690" s="2" t="s">
        <v>4280</v>
      </c>
    </row>
    <row r="691">
      <c r="A691" s="10" t="s">
        <v>4286</v>
      </c>
      <c r="B691" s="2" t="s">
        <v>4280</v>
      </c>
    </row>
    <row r="692">
      <c r="A692" s="10" t="s">
        <v>4287</v>
      </c>
      <c r="B692" s="2" t="s">
        <v>4280</v>
      </c>
    </row>
    <row r="693">
      <c r="A693" s="2" t="s">
        <v>4288</v>
      </c>
      <c r="B693" s="2" t="s">
        <v>4280</v>
      </c>
    </row>
    <row r="694">
      <c r="A694" s="10" t="s">
        <v>4289</v>
      </c>
      <c r="B694" s="2" t="s">
        <v>4280</v>
      </c>
    </row>
    <row r="695">
      <c r="A695" s="2" t="s">
        <v>4290</v>
      </c>
      <c r="B695" s="2" t="s">
        <v>4280</v>
      </c>
    </row>
    <row r="696">
      <c r="A696" s="1" t="s">
        <v>4291</v>
      </c>
      <c r="B696" s="2" t="s">
        <v>4292</v>
      </c>
    </row>
    <row r="697">
      <c r="A697" s="1" t="s">
        <v>4293</v>
      </c>
      <c r="B697" s="2" t="s">
        <v>4292</v>
      </c>
    </row>
    <row r="698">
      <c r="A698" s="1" t="s">
        <v>4294</v>
      </c>
      <c r="B698" s="2" t="s">
        <v>4292</v>
      </c>
    </row>
    <row r="699">
      <c r="A699" s="1" t="s">
        <v>4295</v>
      </c>
      <c r="B699" s="2" t="s">
        <v>4292</v>
      </c>
    </row>
    <row r="700">
      <c r="A700" s="10" t="s">
        <v>4296</v>
      </c>
      <c r="B700" s="2" t="s">
        <v>4292</v>
      </c>
    </row>
    <row r="701">
      <c r="A701" s="1" t="s">
        <v>4297</v>
      </c>
      <c r="B701" s="2" t="s">
        <v>4292</v>
      </c>
    </row>
    <row r="702">
      <c r="A702" s="1" t="s">
        <v>4298</v>
      </c>
      <c r="B702" s="2" t="s">
        <v>4292</v>
      </c>
    </row>
    <row r="703">
      <c r="A703" s="2" t="s">
        <v>4299</v>
      </c>
      <c r="B703" s="2" t="s">
        <v>3536</v>
      </c>
    </row>
    <row r="704">
      <c r="A704" s="1" t="s">
        <v>4300</v>
      </c>
      <c r="B704" s="2" t="s">
        <v>4301</v>
      </c>
    </row>
    <row r="705">
      <c r="A705" s="1" t="s">
        <v>4302</v>
      </c>
      <c r="B705" s="2" t="s">
        <v>4301</v>
      </c>
    </row>
    <row r="706">
      <c r="A706" s="1" t="s">
        <v>4303</v>
      </c>
      <c r="B706" s="2" t="s">
        <v>4301</v>
      </c>
    </row>
    <row r="707">
      <c r="A707" s="1" t="s">
        <v>4304</v>
      </c>
      <c r="B707" s="2" t="s">
        <v>3529</v>
      </c>
    </row>
    <row r="708">
      <c r="A708" s="1" t="s">
        <v>4305</v>
      </c>
      <c r="B708" s="2" t="s">
        <v>3529</v>
      </c>
    </row>
    <row r="709">
      <c r="A709" s="1" t="s">
        <v>4306</v>
      </c>
      <c r="B709" s="2" t="s">
        <v>3529</v>
      </c>
    </row>
    <row r="710">
      <c r="A710" s="1" t="s">
        <v>4307</v>
      </c>
      <c r="B710" s="2" t="s">
        <v>3529</v>
      </c>
    </row>
    <row r="711">
      <c r="A711" s="1" t="s">
        <v>4308</v>
      </c>
      <c r="B711" s="2" t="s">
        <v>3529</v>
      </c>
    </row>
    <row r="712">
      <c r="A712" s="1" t="s">
        <v>4309</v>
      </c>
      <c r="B712" s="2" t="s">
        <v>3529</v>
      </c>
    </row>
    <row r="713">
      <c r="A713" s="1" t="s">
        <v>4310</v>
      </c>
      <c r="B713" s="2" t="s">
        <v>3529</v>
      </c>
    </row>
    <row r="714">
      <c r="A714" s="1" t="s">
        <v>4311</v>
      </c>
      <c r="B714" s="2" t="s">
        <v>3529</v>
      </c>
    </row>
    <row r="715">
      <c r="A715" s="1" t="s">
        <v>4312</v>
      </c>
      <c r="B715" s="2" t="s">
        <v>3529</v>
      </c>
    </row>
    <row r="716">
      <c r="A716" s="1" t="s">
        <v>4313</v>
      </c>
      <c r="B716" s="2" t="s">
        <v>3529</v>
      </c>
    </row>
    <row r="717">
      <c r="A717" s="1" t="s">
        <v>4314</v>
      </c>
      <c r="B717" s="2" t="s">
        <v>3529</v>
      </c>
    </row>
    <row r="718">
      <c r="A718" s="1" t="s">
        <v>4315</v>
      </c>
      <c r="B718" s="2" t="s">
        <v>3529</v>
      </c>
    </row>
    <row r="719">
      <c r="A719" s="1" t="s">
        <v>4316</v>
      </c>
      <c r="B719" s="2" t="s">
        <v>3529</v>
      </c>
    </row>
    <row r="720">
      <c r="A720" s="1" t="s">
        <v>4317</v>
      </c>
      <c r="B720" s="2" t="s">
        <v>3529</v>
      </c>
    </row>
    <row r="721">
      <c r="A721" s="1" t="s">
        <v>4318</v>
      </c>
      <c r="B721" s="2" t="s">
        <v>3529</v>
      </c>
    </row>
    <row r="722">
      <c r="A722" s="1" t="s">
        <v>4319</v>
      </c>
      <c r="B722" s="2" t="s">
        <v>3529</v>
      </c>
    </row>
    <row r="723">
      <c r="A723" s="1" t="s">
        <v>4320</v>
      </c>
      <c r="B723" s="2" t="s">
        <v>3529</v>
      </c>
    </row>
    <row r="724">
      <c r="A724" s="1" t="s">
        <v>4321</v>
      </c>
      <c r="B724" s="2" t="s">
        <v>3529</v>
      </c>
    </row>
    <row r="725">
      <c r="A725" s="1" t="s">
        <v>4322</v>
      </c>
      <c r="B725" s="2" t="s">
        <v>3529</v>
      </c>
    </row>
    <row r="726">
      <c r="A726" s="1" t="s">
        <v>4323</v>
      </c>
      <c r="B726" s="2" t="s">
        <v>3529</v>
      </c>
    </row>
    <row r="727">
      <c r="A727" s="1" t="s">
        <v>4324</v>
      </c>
      <c r="B727" s="2" t="s">
        <v>3529</v>
      </c>
    </row>
    <row r="728">
      <c r="A728" s="1" t="s">
        <v>4325</v>
      </c>
      <c r="B728" s="2" t="s">
        <v>3529</v>
      </c>
    </row>
    <row r="729">
      <c r="A729" s="1" t="s">
        <v>4326</v>
      </c>
      <c r="B729" s="2" t="s">
        <v>3529</v>
      </c>
    </row>
    <row r="730">
      <c r="A730" s="1" t="s">
        <v>4327</v>
      </c>
      <c r="B730" s="2" t="s">
        <v>3529</v>
      </c>
    </row>
    <row r="731">
      <c r="A731" s="1" t="s">
        <v>4328</v>
      </c>
      <c r="B731" s="2" t="s">
        <v>3529</v>
      </c>
    </row>
    <row r="732">
      <c r="A732" s="1" t="s">
        <v>4329</v>
      </c>
      <c r="B732" s="2" t="s">
        <v>3529</v>
      </c>
    </row>
    <row r="733">
      <c r="A733" s="1" t="s">
        <v>4330</v>
      </c>
      <c r="B733" s="2" t="s">
        <v>3529</v>
      </c>
    </row>
    <row r="734">
      <c r="A734" s="10" t="s">
        <v>4331</v>
      </c>
      <c r="B734" s="2" t="s">
        <v>3529</v>
      </c>
    </row>
    <row r="735">
      <c r="A735" s="1" t="s">
        <v>4332</v>
      </c>
      <c r="B735" s="2" t="s">
        <v>3529</v>
      </c>
    </row>
    <row r="736">
      <c r="A736" s="1" t="s">
        <v>4333</v>
      </c>
      <c r="B736" s="2" t="s">
        <v>3529</v>
      </c>
    </row>
    <row r="737">
      <c r="A737" s="1" t="s">
        <v>4334</v>
      </c>
      <c r="B737" s="2" t="s">
        <v>3529</v>
      </c>
    </row>
    <row r="738">
      <c r="A738" s="1" t="s">
        <v>4335</v>
      </c>
      <c r="B738" s="2" t="s">
        <v>3529</v>
      </c>
    </row>
    <row r="739">
      <c r="A739" s="1" t="s">
        <v>4336</v>
      </c>
      <c r="B739" s="2" t="s">
        <v>3529</v>
      </c>
    </row>
    <row r="740">
      <c r="A740" s="1" t="s">
        <v>4337</v>
      </c>
      <c r="B740" s="2" t="s">
        <v>3529</v>
      </c>
    </row>
    <row r="741">
      <c r="A741" s="1" t="s">
        <v>4338</v>
      </c>
      <c r="B741" s="2" t="s">
        <v>3529</v>
      </c>
    </row>
    <row r="742">
      <c r="A742" s="1" t="s">
        <v>4339</v>
      </c>
      <c r="B742" s="2" t="s">
        <v>3529</v>
      </c>
    </row>
    <row r="743">
      <c r="A743" s="1" t="s">
        <v>4340</v>
      </c>
      <c r="B743" s="2" t="s">
        <v>3529</v>
      </c>
    </row>
    <row r="744">
      <c r="A744" s="1" t="s">
        <v>4341</v>
      </c>
      <c r="B744" s="2" t="s">
        <v>3529</v>
      </c>
    </row>
    <row r="745">
      <c r="A745" s="1" t="s">
        <v>4342</v>
      </c>
      <c r="B745" s="2" t="s">
        <v>3529</v>
      </c>
    </row>
    <row r="746">
      <c r="A746" s="1" t="s">
        <v>4343</v>
      </c>
      <c r="B746" s="2" t="s">
        <v>3529</v>
      </c>
    </row>
    <row r="747">
      <c r="A747" s="10" t="s">
        <v>4344</v>
      </c>
      <c r="B747" s="2" t="s">
        <v>3529</v>
      </c>
    </row>
    <row r="748">
      <c r="A748" s="10" t="s">
        <v>4345</v>
      </c>
      <c r="B748" s="2" t="s">
        <v>3529</v>
      </c>
    </row>
    <row r="749">
      <c r="A749" s="1" t="s">
        <v>4346</v>
      </c>
      <c r="B749" s="2" t="s">
        <v>3529</v>
      </c>
    </row>
    <row r="750">
      <c r="A750" s="1" t="s">
        <v>4347</v>
      </c>
      <c r="B750" s="2" t="s">
        <v>3529</v>
      </c>
    </row>
    <row r="751">
      <c r="A751" s="1" t="s">
        <v>4348</v>
      </c>
      <c r="B751" s="2" t="s">
        <v>3529</v>
      </c>
    </row>
    <row r="752">
      <c r="A752" s="1" t="s">
        <v>4349</v>
      </c>
      <c r="B752" s="2" t="s">
        <v>3529</v>
      </c>
    </row>
    <row r="753">
      <c r="A753" s="1" t="s">
        <v>4350</v>
      </c>
      <c r="B753" s="2" t="s">
        <v>3529</v>
      </c>
    </row>
    <row r="754">
      <c r="A754" s="1" t="s">
        <v>4351</v>
      </c>
      <c r="B754" s="2" t="s">
        <v>3529</v>
      </c>
    </row>
    <row r="755">
      <c r="A755" s="1" t="s">
        <v>4352</v>
      </c>
      <c r="B755" s="2" t="s">
        <v>3529</v>
      </c>
    </row>
    <row r="756">
      <c r="A756" s="1" t="s">
        <v>4353</v>
      </c>
      <c r="B756" s="2" t="s">
        <v>3529</v>
      </c>
    </row>
    <row r="757">
      <c r="A757" s="1" t="s">
        <v>4354</v>
      </c>
      <c r="B757" s="2" t="s">
        <v>4355</v>
      </c>
    </row>
    <row r="758">
      <c r="A758" s="1" t="s">
        <v>4356</v>
      </c>
      <c r="B758" s="2" t="s">
        <v>4355</v>
      </c>
    </row>
    <row r="759">
      <c r="A759" s="1" t="s">
        <v>4357</v>
      </c>
      <c r="B759" s="2" t="s">
        <v>4355</v>
      </c>
    </row>
    <row r="760">
      <c r="A760" s="1" t="s">
        <v>4358</v>
      </c>
      <c r="B760" s="2" t="s">
        <v>4355</v>
      </c>
    </row>
    <row r="761">
      <c r="A761" s="1" t="s">
        <v>4359</v>
      </c>
      <c r="B761" s="2" t="s">
        <v>4355</v>
      </c>
    </row>
    <row r="762">
      <c r="A762" s="1" t="s">
        <v>4360</v>
      </c>
      <c r="B762" s="2" t="s">
        <v>4361</v>
      </c>
    </row>
    <row r="763">
      <c r="A763" s="1" t="s">
        <v>4362</v>
      </c>
      <c r="B763" s="2" t="s">
        <v>4361</v>
      </c>
    </row>
    <row r="764">
      <c r="A764" s="1" t="s">
        <v>4363</v>
      </c>
      <c r="B764" s="2" t="s">
        <v>4361</v>
      </c>
    </row>
    <row r="765">
      <c r="A765" s="1" t="s">
        <v>4364</v>
      </c>
      <c r="B765" s="2" t="s">
        <v>4361</v>
      </c>
    </row>
    <row r="766">
      <c r="A766" s="1" t="s">
        <v>4365</v>
      </c>
      <c r="B766" s="2" t="s">
        <v>4361</v>
      </c>
    </row>
    <row r="767">
      <c r="A767" s="1" t="s">
        <v>4366</v>
      </c>
      <c r="B767" s="2" t="s">
        <v>4361</v>
      </c>
    </row>
    <row r="768">
      <c r="A768" s="1" t="s">
        <v>4367</v>
      </c>
      <c r="B768" s="2" t="s">
        <v>4361</v>
      </c>
    </row>
    <row r="769">
      <c r="A769" s="1" t="s">
        <v>4368</v>
      </c>
      <c r="B769" s="2" t="s">
        <v>4361</v>
      </c>
    </row>
    <row r="770">
      <c r="A770" s="1" t="s">
        <v>4369</v>
      </c>
      <c r="B770" s="2" t="s">
        <v>4361</v>
      </c>
    </row>
    <row r="771">
      <c r="A771" s="1" t="s">
        <v>4370</v>
      </c>
      <c r="B771" s="2" t="s">
        <v>4361</v>
      </c>
    </row>
    <row r="772">
      <c r="A772" s="1" t="s">
        <v>4371</v>
      </c>
      <c r="B772" s="2" t="s">
        <v>4361</v>
      </c>
    </row>
    <row r="773">
      <c r="A773" s="1" t="s">
        <v>4372</v>
      </c>
      <c r="B773" s="2" t="s">
        <v>4361</v>
      </c>
    </row>
    <row r="774">
      <c r="A774" s="1" t="s">
        <v>4373</v>
      </c>
      <c r="B774" s="2" t="s">
        <v>4361</v>
      </c>
    </row>
    <row r="775">
      <c r="A775" s="1" t="s">
        <v>4374</v>
      </c>
      <c r="B775" s="2" t="s">
        <v>4361</v>
      </c>
    </row>
    <row r="776">
      <c r="A776" s="1" t="s">
        <v>4375</v>
      </c>
      <c r="B776" s="2" t="s">
        <v>4361</v>
      </c>
    </row>
    <row r="777">
      <c r="A777" s="1" t="s">
        <v>4376</v>
      </c>
      <c r="B777" s="2" t="s">
        <v>4361</v>
      </c>
    </row>
    <row r="778">
      <c r="A778" s="1" t="s">
        <v>4377</v>
      </c>
      <c r="B778" s="2" t="s">
        <v>4361</v>
      </c>
    </row>
    <row r="779">
      <c r="A779" s="1" t="s">
        <v>4378</v>
      </c>
      <c r="B779" s="2" t="s">
        <v>4361</v>
      </c>
    </row>
    <row r="780">
      <c r="A780" s="1" t="s">
        <v>4379</v>
      </c>
      <c r="B780" s="2" t="s">
        <v>4361</v>
      </c>
    </row>
    <row r="781">
      <c r="A781" s="1" t="s">
        <v>4380</v>
      </c>
      <c r="B781" s="2" t="s">
        <v>4361</v>
      </c>
    </row>
    <row r="782">
      <c r="A782" s="1" t="s">
        <v>4381</v>
      </c>
      <c r="B782" s="2" t="s">
        <v>4361</v>
      </c>
    </row>
    <row r="783">
      <c r="A783" s="1" t="s">
        <v>4382</v>
      </c>
      <c r="B783" s="2" t="s">
        <v>4361</v>
      </c>
    </row>
    <row r="784">
      <c r="A784" s="1" t="s">
        <v>4383</v>
      </c>
      <c r="B784" s="2" t="s">
        <v>4361</v>
      </c>
    </row>
    <row r="785">
      <c r="A785" s="1" t="s">
        <v>4384</v>
      </c>
      <c r="B785" s="2" t="s">
        <v>4361</v>
      </c>
    </row>
    <row r="786">
      <c r="A786" s="1" t="s">
        <v>4385</v>
      </c>
      <c r="B786" s="2" t="s">
        <v>4361</v>
      </c>
    </row>
    <row r="787">
      <c r="A787" s="1" t="s">
        <v>4386</v>
      </c>
      <c r="B787" s="2" t="s">
        <v>4361</v>
      </c>
    </row>
    <row r="788">
      <c r="A788" s="1" t="s">
        <v>4387</v>
      </c>
      <c r="B788" s="2" t="s">
        <v>4361</v>
      </c>
    </row>
    <row r="789">
      <c r="A789" s="1" t="s">
        <v>4388</v>
      </c>
      <c r="B789" s="2" t="s">
        <v>4361</v>
      </c>
    </row>
    <row r="790">
      <c r="A790" s="1" t="s">
        <v>4389</v>
      </c>
      <c r="B790" s="2" t="s">
        <v>4361</v>
      </c>
    </row>
    <row r="791">
      <c r="A791" s="1" t="s">
        <v>4390</v>
      </c>
      <c r="B791" s="2" t="s">
        <v>4361</v>
      </c>
    </row>
    <row r="792">
      <c r="A792" s="1" t="s">
        <v>4391</v>
      </c>
      <c r="B792" s="2" t="s">
        <v>4361</v>
      </c>
    </row>
    <row r="793">
      <c r="A793" s="1" t="s">
        <v>4392</v>
      </c>
      <c r="B793" s="2" t="s">
        <v>4361</v>
      </c>
    </row>
    <row r="794">
      <c r="A794" s="1" t="s">
        <v>4393</v>
      </c>
      <c r="B794" s="2" t="s">
        <v>4361</v>
      </c>
    </row>
    <row r="795">
      <c r="A795" s="1" t="s">
        <v>4394</v>
      </c>
      <c r="B795" s="2" t="s">
        <v>4361</v>
      </c>
    </row>
    <row r="796">
      <c r="A796" s="1" t="s">
        <v>4395</v>
      </c>
      <c r="B796" s="2" t="s">
        <v>4361</v>
      </c>
    </row>
    <row r="797">
      <c r="A797" s="1" t="s">
        <v>4396</v>
      </c>
      <c r="B797" s="2" t="s">
        <v>4361</v>
      </c>
    </row>
    <row r="798">
      <c r="A798" s="1" t="s">
        <v>4397</v>
      </c>
      <c r="B798" s="2" t="s">
        <v>4361</v>
      </c>
    </row>
    <row r="799">
      <c r="A799" s="1" t="s">
        <v>4398</v>
      </c>
      <c r="B799" s="2" t="s">
        <v>4361</v>
      </c>
    </row>
    <row r="800">
      <c r="A800" s="1" t="s">
        <v>4399</v>
      </c>
      <c r="B800" s="2" t="s">
        <v>4361</v>
      </c>
    </row>
    <row r="801">
      <c r="A801" s="1" t="s">
        <v>4400</v>
      </c>
      <c r="B801" s="2" t="s">
        <v>4361</v>
      </c>
    </row>
    <row r="802">
      <c r="A802" s="1" t="s">
        <v>4401</v>
      </c>
      <c r="B802" s="2" t="s">
        <v>4361</v>
      </c>
    </row>
    <row r="803">
      <c r="A803" s="1" t="s">
        <v>4402</v>
      </c>
      <c r="B803" s="2" t="s">
        <v>4361</v>
      </c>
    </row>
    <row r="804">
      <c r="A804" s="1" t="s">
        <v>4403</v>
      </c>
      <c r="B804" s="2" t="s">
        <v>4361</v>
      </c>
    </row>
    <row r="805">
      <c r="A805" s="1" t="s">
        <v>4404</v>
      </c>
      <c r="B805" s="2" t="s">
        <v>4361</v>
      </c>
    </row>
    <row r="806">
      <c r="A806" s="1" t="s">
        <v>4405</v>
      </c>
      <c r="B806" s="2" t="s">
        <v>4361</v>
      </c>
    </row>
    <row r="807">
      <c r="A807" s="1" t="s">
        <v>4406</v>
      </c>
      <c r="B807" s="2" t="s">
        <v>4361</v>
      </c>
    </row>
    <row r="808">
      <c r="A808" s="1" t="s">
        <v>4407</v>
      </c>
      <c r="B808" s="2" t="s">
        <v>4361</v>
      </c>
    </row>
    <row r="809">
      <c r="A809" s="1" t="s">
        <v>4408</v>
      </c>
      <c r="B809" s="2" t="s">
        <v>4361</v>
      </c>
    </row>
    <row r="810">
      <c r="A810" s="1" t="s">
        <v>4409</v>
      </c>
      <c r="B810" s="2" t="s">
        <v>4361</v>
      </c>
    </row>
    <row r="811">
      <c r="A811" s="1" t="s">
        <v>4410</v>
      </c>
      <c r="B811" s="2" t="s">
        <v>4361</v>
      </c>
    </row>
    <row r="812">
      <c r="A812" s="1" t="s">
        <v>1783</v>
      </c>
      <c r="B812" s="2" t="s">
        <v>1784</v>
      </c>
    </row>
    <row r="813">
      <c r="A813" s="1" t="s">
        <v>1785</v>
      </c>
      <c r="B813" s="2" t="s">
        <v>1784</v>
      </c>
    </row>
    <row r="814">
      <c r="A814" s="1" t="s">
        <v>1786</v>
      </c>
      <c r="B814" s="2" t="s">
        <v>1784</v>
      </c>
    </row>
    <row r="815">
      <c r="A815" s="1" t="s">
        <v>1787</v>
      </c>
      <c r="B815" s="2" t="s">
        <v>1784</v>
      </c>
    </row>
    <row r="816">
      <c r="A816" s="1" t="s">
        <v>1788</v>
      </c>
      <c r="B816" s="2" t="s">
        <v>1784</v>
      </c>
    </row>
    <row r="817">
      <c r="A817" s="1" t="s">
        <v>1789</v>
      </c>
      <c r="B817" s="2" t="s">
        <v>1784</v>
      </c>
    </row>
    <row r="818">
      <c r="A818" s="1" t="s">
        <v>1790</v>
      </c>
      <c r="B818" s="2" t="s">
        <v>1784</v>
      </c>
    </row>
    <row r="819">
      <c r="A819" s="1" t="s">
        <v>1791</v>
      </c>
      <c r="B819" s="2" t="s">
        <v>1784</v>
      </c>
    </row>
    <row r="820">
      <c r="A820" s="1" t="s">
        <v>1792</v>
      </c>
      <c r="B820" s="2" t="s">
        <v>1784</v>
      </c>
    </row>
    <row r="821">
      <c r="A821" s="1" t="s">
        <v>1793</v>
      </c>
      <c r="B821" s="2" t="s">
        <v>1784</v>
      </c>
    </row>
    <row r="822">
      <c r="A822" s="1" t="s">
        <v>1794</v>
      </c>
      <c r="B822" s="2" t="s">
        <v>1784</v>
      </c>
    </row>
    <row r="823">
      <c r="A823" s="1" t="s">
        <v>1795</v>
      </c>
      <c r="B823" s="2" t="s">
        <v>1784</v>
      </c>
    </row>
    <row r="824">
      <c r="A824" s="1" t="s">
        <v>1796</v>
      </c>
      <c r="B824" s="2" t="s">
        <v>1784</v>
      </c>
    </row>
    <row r="825">
      <c r="A825" s="1" t="s">
        <v>1797</v>
      </c>
      <c r="B825" s="2" t="s">
        <v>1784</v>
      </c>
    </row>
    <row r="826">
      <c r="A826" s="1" t="s">
        <v>1798</v>
      </c>
      <c r="B826" s="2" t="s">
        <v>1784</v>
      </c>
    </row>
    <row r="827">
      <c r="A827" s="1" t="s">
        <v>1799</v>
      </c>
      <c r="B827" s="2" t="s">
        <v>1784</v>
      </c>
    </row>
    <row r="828">
      <c r="A828" s="1" t="s">
        <v>1800</v>
      </c>
      <c r="B828" s="2" t="s">
        <v>1784</v>
      </c>
    </row>
    <row r="829">
      <c r="A829" s="1" t="s">
        <v>1801</v>
      </c>
      <c r="B829" s="2" t="s">
        <v>1784</v>
      </c>
    </row>
    <row r="830">
      <c r="A830" s="1" t="s">
        <v>1802</v>
      </c>
      <c r="B830" s="2" t="s">
        <v>1784</v>
      </c>
    </row>
    <row r="831">
      <c r="A831" s="1" t="s">
        <v>1803</v>
      </c>
      <c r="B831" s="2" t="s">
        <v>1784</v>
      </c>
    </row>
    <row r="832">
      <c r="A832" s="1" t="s">
        <v>1804</v>
      </c>
      <c r="B832" s="2" t="s">
        <v>1784</v>
      </c>
    </row>
    <row r="833">
      <c r="A833" s="1" t="s">
        <v>1805</v>
      </c>
      <c r="B833" s="2" t="s">
        <v>1784</v>
      </c>
    </row>
    <row r="834">
      <c r="A834" s="1" t="s">
        <v>1806</v>
      </c>
      <c r="B834" s="2" t="s">
        <v>1784</v>
      </c>
    </row>
    <row r="835">
      <c r="A835" s="1" t="s">
        <v>1807</v>
      </c>
      <c r="B835" s="2" t="s">
        <v>1784</v>
      </c>
    </row>
    <row r="836">
      <c r="A836" s="1" t="s">
        <v>1808</v>
      </c>
      <c r="B836" s="2" t="s">
        <v>1784</v>
      </c>
    </row>
    <row r="837">
      <c r="A837" s="1" t="s">
        <v>1809</v>
      </c>
      <c r="B837" s="2" t="s">
        <v>1784</v>
      </c>
    </row>
    <row r="838">
      <c r="A838" s="1" t="s">
        <v>1810</v>
      </c>
      <c r="B838" s="2" t="s">
        <v>1784</v>
      </c>
    </row>
    <row r="839">
      <c r="A839" s="1" t="s">
        <v>1811</v>
      </c>
      <c r="B839" s="2" t="s">
        <v>1784</v>
      </c>
    </row>
    <row r="840">
      <c r="A840" s="1" t="s">
        <v>1812</v>
      </c>
      <c r="B840" s="2" t="s">
        <v>1784</v>
      </c>
    </row>
    <row r="841">
      <c r="A841" s="1" t="s">
        <v>1813</v>
      </c>
      <c r="B841" s="2" t="s">
        <v>1784</v>
      </c>
    </row>
    <row r="842">
      <c r="A842" s="1" t="s">
        <v>1814</v>
      </c>
      <c r="B842" s="2" t="s">
        <v>1784</v>
      </c>
    </row>
    <row r="843">
      <c r="A843" s="1" t="s">
        <v>1815</v>
      </c>
      <c r="B843" s="2" t="s">
        <v>1784</v>
      </c>
    </row>
    <row r="844">
      <c r="A844" s="1" t="s">
        <v>1816</v>
      </c>
      <c r="B844" s="2" t="s">
        <v>1784</v>
      </c>
    </row>
    <row r="845">
      <c r="A845" s="1" t="s">
        <v>1817</v>
      </c>
      <c r="B845" s="2" t="s">
        <v>1784</v>
      </c>
    </row>
    <row r="846">
      <c r="A846" s="1" t="s">
        <v>1818</v>
      </c>
      <c r="B846" s="2" t="s">
        <v>1784</v>
      </c>
    </row>
    <row r="847">
      <c r="A847" s="10" t="s">
        <v>1819</v>
      </c>
      <c r="B847" s="2" t="s">
        <v>1784</v>
      </c>
    </row>
    <row r="848">
      <c r="A848" s="1" t="s">
        <v>1820</v>
      </c>
      <c r="B848" s="2" t="s">
        <v>1784</v>
      </c>
    </row>
    <row r="849">
      <c r="A849" s="1" t="s">
        <v>1821</v>
      </c>
      <c r="B849" s="2" t="s">
        <v>1784</v>
      </c>
    </row>
    <row r="850">
      <c r="A850" s="1" t="s">
        <v>1822</v>
      </c>
      <c r="B850" s="2" t="s">
        <v>1784</v>
      </c>
    </row>
    <row r="851">
      <c r="A851" s="1" t="s">
        <v>1823</v>
      </c>
      <c r="B851" s="2" t="s">
        <v>1784</v>
      </c>
    </row>
    <row r="852">
      <c r="A852" s="1" t="s">
        <v>1824</v>
      </c>
      <c r="B852" s="2" t="s">
        <v>1784</v>
      </c>
    </row>
    <row r="853">
      <c r="A853" s="1" t="s">
        <v>1825</v>
      </c>
      <c r="B853" s="2" t="s">
        <v>1784</v>
      </c>
    </row>
    <row r="854">
      <c r="A854" s="1" t="s">
        <v>1826</v>
      </c>
      <c r="B854" s="2" t="s">
        <v>1784</v>
      </c>
    </row>
    <row r="855">
      <c r="A855" s="1" t="s">
        <v>1827</v>
      </c>
      <c r="B855" s="2" t="s">
        <v>1784</v>
      </c>
    </row>
    <row r="856">
      <c r="A856" s="1" t="s">
        <v>1828</v>
      </c>
      <c r="B856" s="2" t="s">
        <v>1784</v>
      </c>
    </row>
    <row r="857">
      <c r="A857" s="1" t="s">
        <v>1829</v>
      </c>
      <c r="B857" s="2" t="s">
        <v>1784</v>
      </c>
    </row>
    <row r="858">
      <c r="A858" s="1" t="s">
        <v>1830</v>
      </c>
      <c r="B858" s="2" t="s">
        <v>1784</v>
      </c>
    </row>
    <row r="859">
      <c r="A859" s="1" t="s">
        <v>1831</v>
      </c>
      <c r="B859" s="2" t="s">
        <v>1784</v>
      </c>
    </row>
    <row r="860">
      <c r="A860" s="1" t="s">
        <v>1832</v>
      </c>
      <c r="B860" s="2" t="s">
        <v>1784</v>
      </c>
    </row>
    <row r="861">
      <c r="A861" s="1" t="s">
        <v>1833</v>
      </c>
      <c r="B861" s="2" t="s">
        <v>1784</v>
      </c>
    </row>
    <row r="862">
      <c r="A862" s="1" t="s">
        <v>4411</v>
      </c>
      <c r="B862" s="2" t="s">
        <v>4412</v>
      </c>
    </row>
    <row r="863">
      <c r="A863" s="10" t="s">
        <v>4413</v>
      </c>
      <c r="B863" s="2" t="s">
        <v>4412</v>
      </c>
    </row>
    <row r="864">
      <c r="A864" s="10" t="s">
        <v>4414</v>
      </c>
      <c r="B864" s="2" t="s">
        <v>4412</v>
      </c>
    </row>
    <row r="865">
      <c r="A865" s="1" t="s">
        <v>4415</v>
      </c>
      <c r="B865" s="2" t="s">
        <v>4412</v>
      </c>
    </row>
    <row r="866">
      <c r="A866" s="1" t="s">
        <v>4416</v>
      </c>
      <c r="B866" s="2" t="s">
        <v>4412</v>
      </c>
    </row>
    <row r="867">
      <c r="A867" s="1" t="s">
        <v>4417</v>
      </c>
      <c r="B867" s="2" t="s">
        <v>4412</v>
      </c>
    </row>
    <row r="868">
      <c r="A868" s="1" t="s">
        <v>4418</v>
      </c>
      <c r="B868" s="2" t="s">
        <v>4412</v>
      </c>
    </row>
    <row r="869">
      <c r="A869" s="1" t="s">
        <v>4419</v>
      </c>
      <c r="B869" s="2" t="s">
        <v>4412</v>
      </c>
    </row>
    <row r="870">
      <c r="A870" s="10" t="s">
        <v>4420</v>
      </c>
      <c r="B870" s="2" t="s">
        <v>4412</v>
      </c>
    </row>
    <row r="871">
      <c r="A871" s="1" t="s">
        <v>4421</v>
      </c>
      <c r="B871" s="2" t="s">
        <v>4412</v>
      </c>
    </row>
    <row r="872">
      <c r="A872" s="1" t="s">
        <v>4422</v>
      </c>
      <c r="B872" s="2" t="s">
        <v>4412</v>
      </c>
    </row>
    <row r="873">
      <c r="A873" s="10" t="s">
        <v>4423</v>
      </c>
      <c r="B873" s="2" t="s">
        <v>4412</v>
      </c>
    </row>
    <row r="874">
      <c r="A874" s="1" t="s">
        <v>4424</v>
      </c>
      <c r="B874" s="2" t="s">
        <v>4412</v>
      </c>
    </row>
    <row r="875">
      <c r="A875" s="1" t="s">
        <v>4425</v>
      </c>
      <c r="B875" s="2" t="s">
        <v>4412</v>
      </c>
    </row>
    <row r="876">
      <c r="A876" s="1" t="s">
        <v>4426</v>
      </c>
      <c r="B876" s="2" t="s">
        <v>4412</v>
      </c>
    </row>
    <row r="877">
      <c r="A877" s="10" t="s">
        <v>4427</v>
      </c>
      <c r="B877" s="2" t="s">
        <v>4412</v>
      </c>
    </row>
    <row r="878">
      <c r="A878" s="10" t="s">
        <v>4428</v>
      </c>
      <c r="B878" s="2" t="s">
        <v>4412</v>
      </c>
    </row>
    <row r="879">
      <c r="A879" s="1" t="s">
        <v>4429</v>
      </c>
      <c r="B879" s="2" t="s">
        <v>4412</v>
      </c>
    </row>
    <row r="880">
      <c r="A880" s="1" t="s">
        <v>4430</v>
      </c>
      <c r="B880" s="2" t="s">
        <v>4412</v>
      </c>
    </row>
    <row r="881">
      <c r="A881" s="1" t="s">
        <v>4431</v>
      </c>
      <c r="B881" s="2" t="s">
        <v>4412</v>
      </c>
    </row>
    <row r="882">
      <c r="A882" s="1" t="s">
        <v>4432</v>
      </c>
      <c r="B882" s="2" t="s">
        <v>4412</v>
      </c>
    </row>
    <row r="883">
      <c r="A883" s="1" t="s">
        <v>4433</v>
      </c>
      <c r="B883" s="2" t="s">
        <v>4412</v>
      </c>
    </row>
    <row r="884">
      <c r="A884" s="1" t="s">
        <v>4434</v>
      </c>
      <c r="B884" s="2" t="s">
        <v>4412</v>
      </c>
    </row>
    <row r="885">
      <c r="A885" s="1" t="s">
        <v>4435</v>
      </c>
      <c r="B885" s="2" t="s">
        <v>4412</v>
      </c>
    </row>
    <row r="886">
      <c r="A886" s="1" t="s">
        <v>4436</v>
      </c>
      <c r="B886" s="2" t="s">
        <v>4412</v>
      </c>
    </row>
    <row r="887">
      <c r="A887" s="1" t="s">
        <v>4437</v>
      </c>
      <c r="B887" s="2" t="s">
        <v>4412</v>
      </c>
    </row>
    <row r="888">
      <c r="A888" s="1" t="s">
        <v>3518</v>
      </c>
      <c r="B888" s="2" t="s">
        <v>4412</v>
      </c>
    </row>
    <row r="889">
      <c r="A889" s="1" t="s">
        <v>4438</v>
      </c>
      <c r="B889" s="2" t="s">
        <v>4412</v>
      </c>
    </row>
    <row r="890">
      <c r="A890" s="1" t="s">
        <v>4439</v>
      </c>
      <c r="B890" s="2" t="s">
        <v>4412</v>
      </c>
    </row>
    <row r="891">
      <c r="A891" s="1" t="s">
        <v>4440</v>
      </c>
      <c r="B891" s="2" t="s">
        <v>4412</v>
      </c>
    </row>
    <row r="892">
      <c r="A892" s="1" t="s">
        <v>4441</v>
      </c>
      <c r="B892" s="2" t="s">
        <v>4412</v>
      </c>
    </row>
    <row r="893">
      <c r="A893" s="1" t="s">
        <v>4442</v>
      </c>
      <c r="B893" s="2" t="s">
        <v>4412</v>
      </c>
    </row>
    <row r="894">
      <c r="A894" s="1" t="s">
        <v>4443</v>
      </c>
      <c r="B894" s="2" t="s">
        <v>4412</v>
      </c>
    </row>
    <row r="895">
      <c r="A895" s="1" t="s">
        <v>4444</v>
      </c>
      <c r="B895" s="2" t="s">
        <v>4412</v>
      </c>
    </row>
    <row r="896">
      <c r="A896" s="1" t="s">
        <v>4445</v>
      </c>
      <c r="B896" s="2" t="s">
        <v>4412</v>
      </c>
    </row>
    <row r="897">
      <c r="A897" s="1" t="s">
        <v>4446</v>
      </c>
      <c r="B897" s="2" t="s">
        <v>4412</v>
      </c>
    </row>
    <row r="898">
      <c r="A898" s="1" t="s">
        <v>4447</v>
      </c>
      <c r="B898" s="2" t="s">
        <v>4412</v>
      </c>
    </row>
    <row r="899">
      <c r="A899" s="1" t="s">
        <v>4448</v>
      </c>
      <c r="B899" s="2" t="s">
        <v>4412</v>
      </c>
    </row>
    <row r="900">
      <c r="A900" s="1" t="s">
        <v>4449</v>
      </c>
      <c r="B900" s="2" t="s">
        <v>4412</v>
      </c>
    </row>
    <row r="901">
      <c r="A901" s="1" t="s">
        <v>4450</v>
      </c>
      <c r="B901" s="2" t="s">
        <v>4412</v>
      </c>
    </row>
    <row r="902">
      <c r="A902" s="1" t="s">
        <v>4451</v>
      </c>
      <c r="B902" s="2" t="s">
        <v>4412</v>
      </c>
    </row>
    <row r="903">
      <c r="A903" s="1" t="s">
        <v>4452</v>
      </c>
      <c r="B903" s="2" t="s">
        <v>4412</v>
      </c>
    </row>
    <row r="904">
      <c r="A904" s="1" t="s">
        <v>4453</v>
      </c>
      <c r="B904" s="2" t="s">
        <v>4412</v>
      </c>
    </row>
    <row r="905">
      <c r="A905" s="1" t="s">
        <v>4454</v>
      </c>
      <c r="B905" s="2" t="s">
        <v>4412</v>
      </c>
    </row>
    <row r="906">
      <c r="A906" s="1" t="s">
        <v>4455</v>
      </c>
      <c r="B906" s="2" t="s">
        <v>4412</v>
      </c>
    </row>
    <row r="907">
      <c r="A907" s="1" t="s">
        <v>4456</v>
      </c>
      <c r="B907" s="2" t="s">
        <v>4412</v>
      </c>
    </row>
    <row r="908">
      <c r="A908" s="1" t="s">
        <v>4457</v>
      </c>
      <c r="B908" s="2" t="s">
        <v>4412</v>
      </c>
    </row>
    <row r="909">
      <c r="A909" s="1" t="s">
        <v>4458</v>
      </c>
      <c r="B909" s="2" t="s">
        <v>4412</v>
      </c>
    </row>
    <row r="910">
      <c r="A910" s="1" t="s">
        <v>4459</v>
      </c>
      <c r="B910" s="2" t="s">
        <v>4412</v>
      </c>
    </row>
    <row r="911">
      <c r="A911" s="1" t="s">
        <v>3514</v>
      </c>
      <c r="B911" s="2" t="s">
        <v>4460</v>
      </c>
    </row>
    <row r="912">
      <c r="A912" s="1" t="s">
        <v>4461</v>
      </c>
      <c r="B912" s="2" t="s">
        <v>4462</v>
      </c>
    </row>
    <row r="913">
      <c r="A913" s="1" t="s">
        <v>4463</v>
      </c>
      <c r="B913" s="2" t="s">
        <v>4462</v>
      </c>
    </row>
    <row r="914">
      <c r="A914" s="1" t="s">
        <v>4464</v>
      </c>
      <c r="B914" s="2" t="s">
        <v>4462</v>
      </c>
    </row>
    <row r="915">
      <c r="A915" s="1" t="s">
        <v>4465</v>
      </c>
      <c r="B915" s="2" t="s">
        <v>4462</v>
      </c>
    </row>
    <row r="916">
      <c r="A916" s="1" t="s">
        <v>4466</v>
      </c>
      <c r="B916" s="2" t="s">
        <v>4462</v>
      </c>
    </row>
    <row r="917">
      <c r="A917" s="10" t="s">
        <v>4467</v>
      </c>
      <c r="B917" s="2" t="s">
        <v>4462</v>
      </c>
    </row>
    <row r="918">
      <c r="A918" s="1" t="s">
        <v>4468</v>
      </c>
      <c r="B918" s="2" t="s">
        <v>4462</v>
      </c>
    </row>
    <row r="919">
      <c r="A919" s="1" t="s">
        <v>4469</v>
      </c>
      <c r="B919" s="2" t="s">
        <v>4462</v>
      </c>
    </row>
    <row r="920">
      <c r="A920" s="1" t="s">
        <v>4470</v>
      </c>
      <c r="B920" s="2" t="s">
        <v>4462</v>
      </c>
    </row>
    <row r="921">
      <c r="A921" s="1" t="s">
        <v>4471</v>
      </c>
      <c r="B921" s="2" t="s">
        <v>4462</v>
      </c>
    </row>
    <row r="922">
      <c r="A922" s="10" t="s">
        <v>4472</v>
      </c>
      <c r="B922" s="2" t="s">
        <v>4462</v>
      </c>
    </row>
    <row r="923">
      <c r="A923" s="1" t="s">
        <v>4473</v>
      </c>
      <c r="B923" s="2" t="s">
        <v>4462</v>
      </c>
    </row>
    <row r="924">
      <c r="A924" s="1" t="s">
        <v>4474</v>
      </c>
      <c r="B924" s="2" t="s">
        <v>4462</v>
      </c>
    </row>
    <row r="925">
      <c r="A925" s="1" t="s">
        <v>4475</v>
      </c>
      <c r="B925" s="2" t="s">
        <v>4462</v>
      </c>
    </row>
    <row r="926">
      <c r="A926" s="10" t="s">
        <v>4476</v>
      </c>
      <c r="B926" s="2" t="s">
        <v>4462</v>
      </c>
    </row>
    <row r="927">
      <c r="A927" s="1" t="s">
        <v>4477</v>
      </c>
      <c r="B927" s="2" t="s">
        <v>4462</v>
      </c>
    </row>
    <row r="928">
      <c r="A928" s="10" t="s">
        <v>4478</v>
      </c>
      <c r="B928" s="2" t="s">
        <v>4462</v>
      </c>
    </row>
    <row r="929">
      <c r="A929" s="10" t="s">
        <v>4479</v>
      </c>
      <c r="B929" s="2" t="s">
        <v>4462</v>
      </c>
    </row>
    <row r="930">
      <c r="A930" s="1" t="s">
        <v>4480</v>
      </c>
      <c r="B930" s="2" t="s">
        <v>4462</v>
      </c>
    </row>
    <row r="931">
      <c r="A931" s="1" t="s">
        <v>4481</v>
      </c>
      <c r="B931" s="2" t="s">
        <v>4462</v>
      </c>
    </row>
    <row r="932">
      <c r="A932" s="1" t="s">
        <v>4482</v>
      </c>
      <c r="B932" s="2" t="s">
        <v>4462</v>
      </c>
    </row>
    <row r="933">
      <c r="A933" s="1" t="s">
        <v>4483</v>
      </c>
      <c r="B933" s="2" t="s">
        <v>4462</v>
      </c>
    </row>
    <row r="934">
      <c r="A934" s="1" t="s">
        <v>4484</v>
      </c>
      <c r="B934" s="2" t="s">
        <v>4462</v>
      </c>
    </row>
    <row r="935">
      <c r="A935" s="1" t="s">
        <v>4485</v>
      </c>
      <c r="B935" s="2" t="s">
        <v>4462</v>
      </c>
    </row>
    <row r="936">
      <c r="A936" s="1" t="s">
        <v>4486</v>
      </c>
      <c r="B936" s="2" t="s">
        <v>4462</v>
      </c>
    </row>
    <row r="937">
      <c r="A937" s="1" t="s">
        <v>4487</v>
      </c>
      <c r="B937" s="2" t="s">
        <v>4462</v>
      </c>
    </row>
    <row r="938">
      <c r="A938" s="10" t="s">
        <v>4488</v>
      </c>
      <c r="B938" s="2" t="s">
        <v>4462</v>
      </c>
    </row>
    <row r="939">
      <c r="A939" s="1" t="s">
        <v>4489</v>
      </c>
      <c r="B939" s="2" t="s">
        <v>4462</v>
      </c>
    </row>
    <row r="940">
      <c r="A940" s="1" t="s">
        <v>4490</v>
      </c>
      <c r="B940" s="2" t="s">
        <v>4462</v>
      </c>
    </row>
    <row r="941">
      <c r="A941" s="1" t="s">
        <v>4491</v>
      </c>
      <c r="B941" s="2" t="s">
        <v>4462</v>
      </c>
    </row>
    <row r="942">
      <c r="A942" s="1" t="s">
        <v>4492</v>
      </c>
      <c r="B942" s="2" t="s">
        <v>4462</v>
      </c>
    </row>
    <row r="943">
      <c r="A943" s="1" t="s">
        <v>4493</v>
      </c>
      <c r="B943" s="2" t="s">
        <v>4462</v>
      </c>
    </row>
    <row r="944">
      <c r="A944" s="1" t="s">
        <v>4494</v>
      </c>
      <c r="B944" s="2" t="s">
        <v>4462</v>
      </c>
    </row>
    <row r="945">
      <c r="A945" s="1" t="s">
        <v>4495</v>
      </c>
      <c r="B945" s="2" t="s">
        <v>4462</v>
      </c>
    </row>
    <row r="946">
      <c r="A946" s="1" t="s">
        <v>4496</v>
      </c>
      <c r="B946" s="2" t="s">
        <v>4462</v>
      </c>
    </row>
    <row r="947">
      <c r="A947" s="1" t="s">
        <v>4497</v>
      </c>
      <c r="B947" s="2" t="s">
        <v>4462</v>
      </c>
    </row>
    <row r="948">
      <c r="A948" s="1" t="s">
        <v>4498</v>
      </c>
      <c r="B948" s="2" t="s">
        <v>4462</v>
      </c>
    </row>
    <row r="949">
      <c r="A949" s="1" t="s">
        <v>4499</v>
      </c>
      <c r="B949" s="2" t="s">
        <v>4462</v>
      </c>
    </row>
    <row r="950">
      <c r="A950" s="1" t="s">
        <v>4500</v>
      </c>
      <c r="B950" s="2" t="s">
        <v>4462</v>
      </c>
    </row>
    <row r="951">
      <c r="A951" s="1" t="s">
        <v>4501</v>
      </c>
      <c r="B951" s="2" t="s">
        <v>4462</v>
      </c>
    </row>
    <row r="952">
      <c r="A952" s="1" t="s">
        <v>4502</v>
      </c>
      <c r="B952" s="2" t="s">
        <v>4462</v>
      </c>
    </row>
    <row r="953">
      <c r="A953" s="1" t="s">
        <v>4503</v>
      </c>
      <c r="B953" s="2" t="s">
        <v>4462</v>
      </c>
    </row>
    <row r="954">
      <c r="A954" s="1" t="s">
        <v>4504</v>
      </c>
      <c r="B954" s="2" t="s">
        <v>4462</v>
      </c>
    </row>
    <row r="955">
      <c r="A955" s="1" t="s">
        <v>4505</v>
      </c>
      <c r="B955" s="2" t="s">
        <v>4462</v>
      </c>
    </row>
    <row r="956">
      <c r="A956" s="1" t="s">
        <v>4506</v>
      </c>
      <c r="B956" s="2" t="s">
        <v>4462</v>
      </c>
    </row>
    <row r="957">
      <c r="A957" s="10" t="s">
        <v>4507</v>
      </c>
      <c r="B957" s="2" t="s">
        <v>4462</v>
      </c>
    </row>
    <row r="958">
      <c r="A958" s="1" t="s">
        <v>4508</v>
      </c>
      <c r="B958" s="2" t="s">
        <v>4462</v>
      </c>
    </row>
    <row r="959">
      <c r="A959" s="10" t="s">
        <v>4509</v>
      </c>
      <c r="B959" s="2" t="s">
        <v>4462</v>
      </c>
    </row>
    <row r="960">
      <c r="A960" s="1" t="s">
        <v>4510</v>
      </c>
      <c r="B960" s="2" t="s">
        <v>2971</v>
      </c>
    </row>
    <row r="961">
      <c r="A961" s="1" t="s">
        <v>4511</v>
      </c>
      <c r="B961" s="2" t="s">
        <v>2971</v>
      </c>
    </row>
    <row r="962">
      <c r="A962" s="1" t="s">
        <v>4512</v>
      </c>
      <c r="B962" s="2" t="s">
        <v>2971</v>
      </c>
    </row>
    <row r="963">
      <c r="A963" s="1" t="s">
        <v>4513</v>
      </c>
      <c r="B963" s="2" t="s">
        <v>2971</v>
      </c>
    </row>
    <row r="964">
      <c r="A964" s="1" t="s">
        <v>2600</v>
      </c>
      <c r="B964" s="1" t="s">
        <v>3508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25"/>
    <col customWidth="1" min="2" max="2" width="37.13"/>
    <col customWidth="1" min="3" max="3" width="32.13"/>
  </cols>
  <sheetData>
    <row r="1" ht="16.5" customHeight="1">
      <c r="A1" s="1" t="s">
        <v>4514</v>
      </c>
      <c r="B1" s="1" t="s">
        <v>1</v>
      </c>
      <c r="H1" s="3" t="str">
        <f>IFERROR(__xludf.DUMMYFUNCTION("IMPORTRANGE(""https://docs.google.com/spreadsheets/d/13fmL9rbANJuexGHEpy4hkZt2UNEZTVzm-819RIp1fCQ"",""Cities!a4:a"")"),"3 CUBE HEALTHCARE")</f>
        <v>3 CUBE HEALTHCARE</v>
      </c>
    </row>
    <row r="2" ht="16.5" customHeight="1">
      <c r="A2" s="1">
        <v>126.0</v>
      </c>
      <c r="B2" s="1" t="s">
        <v>2752</v>
      </c>
      <c r="C2" s="10" t="s">
        <v>2752</v>
      </c>
      <c r="H2" s="1" t="str">
        <f>IFERROR(__xludf.DUMMYFUNCTION("""COMPUTED_VALUE"""),"3M INDIA LTD")</f>
        <v>3M INDIA LTD</v>
      </c>
    </row>
    <row r="3" ht="16.5" customHeight="1">
      <c r="A3" s="1">
        <v>51.0</v>
      </c>
      <c r="B3" s="1" t="s">
        <v>4006</v>
      </c>
      <c r="C3" s="10" t="s">
        <v>4006</v>
      </c>
      <c r="H3" s="1" t="str">
        <f>IFERROR(__xludf.DUMMYFUNCTION("""COMPUTED_VALUE"""),"6IPAIN HEALTHCARE")</f>
        <v>6IPAIN HEALTHCARE</v>
      </c>
    </row>
    <row r="4" ht="16.5" customHeight="1">
      <c r="A4" s="1">
        <v>50.0</v>
      </c>
      <c r="B4" s="1" t="s">
        <v>4515</v>
      </c>
      <c r="C4" s="10" t="s">
        <v>4060</v>
      </c>
      <c r="H4" s="1" t="str">
        <f>IFERROR(__xludf.DUMMYFUNCTION("""COMPUTED_VALUE"""),"A3A PHARMACEUTICAL")</f>
        <v>A3A PHARMACEUTICAL</v>
      </c>
    </row>
    <row r="5" ht="16.5" customHeight="1">
      <c r="A5" s="1">
        <v>50.0</v>
      </c>
      <c r="B5" s="1" t="s">
        <v>4516</v>
      </c>
      <c r="C5" s="11" t="s">
        <v>4225</v>
      </c>
      <c r="H5" s="1" t="str">
        <f>IFERROR(__xludf.DUMMYFUNCTION("""COMPUTED_VALUE"""),"AAA PHARMATRADE PVT LTD")</f>
        <v>AAA PHARMATRADE PVT LTD</v>
      </c>
    </row>
    <row r="6" ht="16.5" customHeight="1">
      <c r="A6" s="1">
        <v>50.0</v>
      </c>
      <c r="B6" s="1" t="s">
        <v>4517</v>
      </c>
      <c r="C6" s="10" t="s">
        <v>3570</v>
      </c>
      <c r="H6" s="1" t="str">
        <f>IFERROR(__xludf.DUMMYFUNCTION("""COMPUTED_VALUE"""),"AACER HEALTHCARE")</f>
        <v>AACER HEALTHCARE</v>
      </c>
    </row>
    <row r="7" ht="16.5" customHeight="1">
      <c r="A7" s="1">
        <v>50.0</v>
      </c>
      <c r="B7" s="1" t="s">
        <v>4518</v>
      </c>
      <c r="C7" s="11" t="s">
        <v>3181</v>
      </c>
      <c r="H7" s="1" t="str">
        <f>IFERROR(__xludf.DUMMYFUNCTION("""COMPUTED_VALUE"""),"AAGATHA BIONLAB")</f>
        <v>AAGATHA BIONLAB</v>
      </c>
    </row>
    <row r="8" ht="16.5" customHeight="1">
      <c r="A8" s="1">
        <v>50.0</v>
      </c>
      <c r="B8" s="1" t="s">
        <v>4361</v>
      </c>
      <c r="C8" s="10" t="s">
        <v>4361</v>
      </c>
      <c r="H8" s="1" t="str">
        <f>IFERROR(__xludf.DUMMYFUNCTION("""COMPUTED_VALUE"""),"AALTRAMED HEALTH CARE LIMITED")</f>
        <v>AALTRAMED HEALTH CARE LIMITED</v>
      </c>
    </row>
    <row r="9" ht="16.5" customHeight="1">
      <c r="A9" s="1">
        <v>50.0</v>
      </c>
      <c r="B9" s="1" t="s">
        <v>4519</v>
      </c>
      <c r="C9" s="11" t="s">
        <v>2683</v>
      </c>
      <c r="H9" s="1" t="str">
        <f>IFERROR(__xludf.DUMMYFUNCTION("""COMPUTED_VALUE"""),"AARAV PHARMACEUTICALS")</f>
        <v>AARAV PHARMACEUTICALS</v>
      </c>
    </row>
    <row r="10" ht="16.5" customHeight="1">
      <c r="A10" s="1">
        <v>50.0</v>
      </c>
      <c r="B10" s="1" t="s">
        <v>4520</v>
      </c>
      <c r="C10" s="11" t="s">
        <v>3529</v>
      </c>
      <c r="H10" s="1" t="str">
        <f>IFERROR(__xludf.DUMMYFUNCTION("""COMPUTED_VALUE"""),"AARIN LIFE SCIENCE")</f>
        <v>AARIN LIFE SCIENCE</v>
      </c>
    </row>
    <row r="11" ht="16.5" customHeight="1">
      <c r="A11" s="1">
        <v>50.0</v>
      </c>
      <c r="B11" s="1" t="s">
        <v>4521</v>
      </c>
      <c r="C11" s="10" t="s">
        <v>3763</v>
      </c>
      <c r="H11" s="1" t="str">
        <f>IFERROR(__xludf.DUMMYFUNCTION("""COMPUTED_VALUE"""),"AARTI LIFESCIENCES")</f>
        <v>AARTI LIFESCIENCES</v>
      </c>
    </row>
    <row r="12" ht="16.5" customHeight="1">
      <c r="A12" s="1">
        <v>50.0</v>
      </c>
      <c r="B12" s="1" t="s">
        <v>4522</v>
      </c>
      <c r="C12" s="10" t="s">
        <v>1784</v>
      </c>
      <c r="H12" s="1" t="str">
        <f>IFERROR(__xludf.DUMMYFUNCTION("""COMPUTED_VALUE"""),"AASHI REMEDIES")</f>
        <v>AASHI REMEDIES</v>
      </c>
    </row>
    <row r="13" ht="16.5" customHeight="1">
      <c r="A13" s="1">
        <v>49.0</v>
      </c>
      <c r="B13" s="1" t="s">
        <v>4523</v>
      </c>
      <c r="C13" s="10" t="s">
        <v>3899</v>
      </c>
      <c r="H13" s="1" t="str">
        <f>IFERROR(__xludf.DUMMYFUNCTION("""COMPUTED_VALUE"""),"ABARIS HEALTHCARE")</f>
        <v>ABARIS HEALTHCARE</v>
      </c>
    </row>
    <row r="14" ht="16.5" customHeight="1">
      <c r="A14" s="1">
        <v>49.0</v>
      </c>
      <c r="B14" s="1" t="s">
        <v>4524</v>
      </c>
      <c r="C14" s="10" t="s">
        <v>4412</v>
      </c>
      <c r="H14" s="1" t="str">
        <f>IFERROR(__xludf.DUMMYFUNCTION("""COMPUTED_VALUE"""),"ABARIS HEALTHCARE
")</f>
        <v>ABARIS HEALTHCARE
</v>
      </c>
    </row>
    <row r="15" ht="16.5" customHeight="1">
      <c r="A15" s="1">
        <v>49.0</v>
      </c>
      <c r="B15" s="1" t="s">
        <v>4525</v>
      </c>
      <c r="C15" s="10" t="s">
        <v>2708</v>
      </c>
      <c r="H15" s="1" t="str">
        <f>IFERROR(__xludf.DUMMYFUNCTION("""COMPUTED_VALUE"""),"ABBEY DRUGS P LTD")</f>
        <v>ABBEY DRUGS P LTD</v>
      </c>
    </row>
    <row r="16" ht="16.5" customHeight="1">
      <c r="A16" s="1">
        <v>48.0</v>
      </c>
      <c r="B16" s="1" t="s">
        <v>4526</v>
      </c>
      <c r="C16" s="10" t="s">
        <v>4462</v>
      </c>
      <c r="H16" s="1" t="str">
        <f>IFERROR(__xludf.DUMMYFUNCTION("""COMPUTED_VALUE"""),"ABBOTT (CONSUMER)")</f>
        <v>ABBOTT (CONSUMER)</v>
      </c>
    </row>
    <row r="17" ht="16.5" customHeight="1">
      <c r="A17" s="1">
        <v>34.0</v>
      </c>
      <c r="B17" s="1" t="s">
        <v>4527</v>
      </c>
      <c r="C17" s="10" t="s">
        <v>3814</v>
      </c>
      <c r="H17" s="1" t="str">
        <f>IFERROR(__xludf.DUMMYFUNCTION("""COMPUTED_VALUE"""),"ABBOTT (COVID)")</f>
        <v>ABBOTT (COVID)</v>
      </c>
    </row>
    <row r="18" ht="16.5" customHeight="1">
      <c r="A18" s="1">
        <v>27.0</v>
      </c>
      <c r="B18" s="1" t="s">
        <v>4528</v>
      </c>
      <c r="C18" s="10" t="s">
        <v>3714</v>
      </c>
      <c r="H18" s="1" t="str">
        <f>IFERROR(__xludf.DUMMYFUNCTION("""COMPUTED_VALUE"""),"ABBOTT (CRITICAL CARE)")</f>
        <v>ABBOTT (CRITICAL CARE)</v>
      </c>
    </row>
    <row r="19" ht="16.5" customHeight="1">
      <c r="A19" s="1">
        <v>19.0</v>
      </c>
      <c r="B19" s="1" t="s">
        <v>4529</v>
      </c>
      <c r="C19" s="10" t="s">
        <v>3742</v>
      </c>
      <c r="H19" s="1" t="str">
        <f>IFERROR(__xludf.DUMMYFUNCTION("""COMPUTED_VALUE"""),"ABBOTT (DIABETES)")</f>
        <v>ABBOTT (DIABETES)</v>
      </c>
    </row>
    <row r="20" ht="16.5" customHeight="1">
      <c r="A20" s="1">
        <v>15.0</v>
      </c>
      <c r="B20" s="1" t="s">
        <v>4530</v>
      </c>
      <c r="C20" s="1" t="s">
        <v>3991</v>
      </c>
      <c r="H20" s="1" t="str">
        <f>IFERROR(__xludf.DUMMYFUNCTION("""COMPUTED_VALUE"""),"ABBOTT (FREE STYLE)")</f>
        <v>ABBOTT (FREE STYLE)</v>
      </c>
    </row>
    <row r="21" ht="16.5" customHeight="1">
      <c r="A21" s="1">
        <v>13.0</v>
      </c>
      <c r="B21" s="1" t="s">
        <v>4531</v>
      </c>
      <c r="C21" s="1" t="s">
        <v>4111</v>
      </c>
      <c r="H21" s="1" t="str">
        <f>IFERROR(__xludf.DUMMYFUNCTION("""COMPUTED_VALUE"""),"ABBOTT (GASTRO)")</f>
        <v>ABBOTT (GASTRO)</v>
      </c>
    </row>
    <row r="22" ht="16.5" customHeight="1">
      <c r="A22" s="1">
        <v>11.0</v>
      </c>
      <c r="B22" s="1" t="s">
        <v>4280</v>
      </c>
      <c r="C22" s="1" t="s">
        <v>4280</v>
      </c>
      <c r="H22" s="1" t="str">
        <f>IFERROR(__xludf.DUMMYFUNCTION("""COMPUTED_VALUE"""),"ABBOTT (GENERIC)")</f>
        <v>ABBOTT (GENERIC)</v>
      </c>
    </row>
    <row r="23" ht="16.5" customHeight="1">
      <c r="A23" s="1">
        <v>7.0</v>
      </c>
      <c r="B23" s="1" t="s">
        <v>4532</v>
      </c>
      <c r="C23" s="1" t="s">
        <v>4292</v>
      </c>
      <c r="H23" s="1" t="str">
        <f>IFERROR(__xludf.DUMMYFUNCTION("""COMPUTED_VALUE"""),"ABBOTT (GI ADVANCE)")</f>
        <v>ABBOTT (GI ADVANCE)</v>
      </c>
    </row>
    <row r="24" ht="16.5" customHeight="1">
      <c r="A24" s="1">
        <v>5.0</v>
      </c>
      <c r="B24" s="1" t="s">
        <v>4533</v>
      </c>
      <c r="C24" s="11" t="s">
        <v>4355</v>
      </c>
      <c r="H24" s="1" t="str">
        <f>IFERROR(__xludf.DUMMYFUNCTION("""COMPUTED_VALUE"""),"ABBOTT (MEDICAL OPTICS)")</f>
        <v>ABBOTT (MEDICAL OPTICS)</v>
      </c>
    </row>
    <row r="25" ht="16.5" customHeight="1">
      <c r="A25" s="1">
        <v>4.0</v>
      </c>
      <c r="B25" s="1" t="s">
        <v>4534</v>
      </c>
      <c r="C25" s="10" t="s">
        <v>2971</v>
      </c>
      <c r="H25" s="1" t="str">
        <f>IFERROR(__xludf.DUMMYFUNCTION("""COMPUTED_VALUE"""),"ABBOTT (METABOLIC)")</f>
        <v>ABBOTT (METABOLIC)</v>
      </c>
    </row>
    <row r="26" ht="16.5" customHeight="1">
      <c r="A26" s="1">
        <v>3.0</v>
      </c>
      <c r="B26" s="1" t="s">
        <v>3555</v>
      </c>
      <c r="C26" s="1" t="s">
        <v>3555</v>
      </c>
      <c r="H26" s="1" t="str">
        <f>IFERROR(__xludf.DUMMYFUNCTION("""COMPUTED_VALUE"""),"ABBOTT (NEURO PSYCHIATRY)")</f>
        <v>ABBOTT (NEURO PSYCHIATRY)</v>
      </c>
    </row>
    <row r="27" ht="16.5" customHeight="1">
      <c r="A27" s="1">
        <v>3.0</v>
      </c>
      <c r="B27" s="1" t="s">
        <v>4535</v>
      </c>
      <c r="C27" s="1" t="s">
        <v>4301</v>
      </c>
      <c r="H27" s="1" t="str">
        <f>IFERROR(__xludf.DUMMYFUNCTION("""COMPUTED_VALUE"""),"ABBOTT (NEUROLIFE)")</f>
        <v>ABBOTT (NEUROLIFE)</v>
      </c>
    </row>
    <row r="28" ht="16.5" customHeight="1">
      <c r="A28" s="1">
        <v>3.0</v>
      </c>
      <c r="B28" s="1" t="s">
        <v>4276</v>
      </c>
      <c r="C28" s="1" t="s">
        <v>4276</v>
      </c>
      <c r="H28" s="1" t="str">
        <f>IFERROR(__xludf.DUMMYFUNCTION("""COMPUTED_VALUE"""),"ABBOTT (ONCOLOGY)")</f>
        <v>ABBOTT (ONCOLOGY)</v>
      </c>
    </row>
    <row r="29" ht="16.5" customHeight="1">
      <c r="A29" s="1">
        <v>1.0</v>
      </c>
      <c r="B29" s="1" t="s">
        <v>4536</v>
      </c>
      <c r="C29" s="1" t="s">
        <v>3536</v>
      </c>
      <c r="H29" s="1" t="str">
        <f>IFERROR(__xludf.DUMMYFUNCTION("""COMPUTED_VALUE"""),"ABBOTT (PRIMARY CARE)")</f>
        <v>ABBOTT (PRIMARY CARE)</v>
      </c>
    </row>
    <row r="30" ht="16.5" customHeight="1">
      <c r="A30" s="1">
        <v>1.0</v>
      </c>
      <c r="B30" s="1" t="s">
        <v>4537</v>
      </c>
      <c r="C30" s="10" t="s">
        <v>4460</v>
      </c>
      <c r="H30" s="1" t="str">
        <f>IFERROR(__xludf.DUMMYFUNCTION("""COMPUTED_VALUE"""),"ABBOTT (WOMEN HEALTH)")</f>
        <v>ABBOTT (WOMEN HEALTH)</v>
      </c>
    </row>
    <row r="31" ht="16.5" customHeight="1">
      <c r="A31" s="1">
        <v>1.0</v>
      </c>
      <c r="B31" s="1" t="s">
        <v>3508</v>
      </c>
      <c r="C31" s="1" t="s">
        <v>3508</v>
      </c>
      <c r="D31" s="1" t="str">
        <f t="shared" ref="D31:D32" si="1">UPPER(B33)</f>
        <v/>
      </c>
      <c r="H31" s="1" t="str">
        <f>IFERROR(__xludf.DUMMYFUNCTION("""COMPUTED_VALUE"""),"ABBOTT (WOMEN HEALTHCARE FOSTERA)")</f>
        <v>ABBOTT (WOMEN HEALTHCARE FOSTERA)</v>
      </c>
    </row>
    <row r="32" ht="16.5" customHeight="1">
      <c r="A32" s="1">
        <v>1.0</v>
      </c>
      <c r="B32" s="1" t="s">
        <v>3761</v>
      </c>
      <c r="C32" s="1" t="s">
        <v>3761</v>
      </c>
      <c r="D32" s="1" t="str">
        <f t="shared" si="1"/>
        <v/>
      </c>
      <c r="H32" s="1" t="str">
        <f>IFERROR(__xludf.DUMMYFUNCTION("""COMPUTED_VALUE"""),"Abbott India Ltd")</f>
        <v>Abbott India Ltd</v>
      </c>
    </row>
    <row r="33" ht="16.5" customHeight="1">
      <c r="H33" s="1" t="str">
        <f>IFERROR(__xludf.DUMMYFUNCTION("""COMPUTED_VALUE"""),"ABBOTT INDIA LTD (OTC)")</f>
        <v>ABBOTT INDIA LTD (OTC)</v>
      </c>
    </row>
    <row r="34" ht="16.5" customHeight="1">
      <c r="H34" s="1" t="str">
        <f>IFERROR(__xludf.DUMMYFUNCTION("""COMPUTED_VALUE"""),"ABBOTT INDIA LTD (SOLVAY)")</f>
        <v>ABBOTT INDIA LTD (SOLVAY)</v>
      </c>
    </row>
    <row r="35" ht="16.5" customHeight="1">
      <c r="H35" s="1" t="str">
        <f>IFERROR(__xludf.DUMMYFUNCTION("""COMPUTED_VALUE"""),"Abbott India Ltd (SPECIALITY)")</f>
        <v>Abbott India Ltd (SPECIALITY)</v>
      </c>
    </row>
    <row r="36" ht="16.5" customHeight="1">
      <c r="H36" s="1" t="str">
        <f>IFERROR(__xludf.DUMMYFUNCTION("""COMPUTED_VALUE"""),"ABBOTT TRUECARE PHARMA")</f>
        <v>ABBOTT TRUECARE PHARMA</v>
      </c>
    </row>
    <row r="37" ht="16.5" customHeight="1">
      <c r="H37" s="1" t="str">
        <f>IFERROR(__xludf.DUMMYFUNCTION("""COMPUTED_VALUE"""),"ABHIJEET INDUSTRIES")</f>
        <v>ABHIJEET INDUSTRIES</v>
      </c>
    </row>
    <row r="38" ht="16.5" customHeight="1">
      <c r="H38" s="1" t="str">
        <f>IFERROR(__xludf.DUMMYFUNCTION("""COMPUTED_VALUE"""),"ABHILASHA AYURVEDIC PHARMACY")</f>
        <v>ABHILASHA AYURVEDIC PHARMACY</v>
      </c>
    </row>
    <row r="39" ht="16.5" customHeight="1">
      <c r="H39" s="1" t="str">
        <f>IFERROR(__xludf.DUMMYFUNCTION("""COMPUTED_VALUE"""),"ABIGAIL CARE PHARMACEUTICALS")</f>
        <v>ABIGAIL CARE PHARMACEUTICALS</v>
      </c>
    </row>
    <row r="40" ht="16.5" customHeight="1">
      <c r="H40" s="1" t="str">
        <f>IFERROR(__xludf.DUMMYFUNCTION("""COMPUTED_VALUE"""),"ABIL HEALTH CARE PVT LTD")</f>
        <v>ABIL HEALTH CARE PVT LTD</v>
      </c>
    </row>
    <row r="41" ht="16.5" customHeight="1">
      <c r="H41" s="1" t="str">
        <f>IFERROR(__xludf.DUMMYFUNCTION("""COMPUTED_VALUE"""),"ABL LIFECARE PVT LTD")</f>
        <v>ABL LIFECARE PVT LTD</v>
      </c>
    </row>
    <row r="42" ht="16.5" customHeight="1">
      <c r="H42" s="1" t="str">
        <f>IFERROR(__xludf.DUMMYFUNCTION("""COMPUTED_VALUE"""),"ABRIK REMEDIES")</f>
        <v>ABRIK REMEDIES</v>
      </c>
    </row>
    <row r="43" ht="16.5" customHeight="1">
      <c r="H43" s="1" t="str">
        <f>IFERROR(__xludf.DUMMYFUNCTION("""COMPUTED_VALUE"""),"ABROGATE HEALTHCARE P LTD")</f>
        <v>ABROGATE HEALTHCARE P LTD</v>
      </c>
    </row>
    <row r="44" ht="16.5" customHeight="1">
      <c r="H44" s="1" t="str">
        <f>IFERROR(__xludf.DUMMYFUNCTION("""COMPUTED_VALUE"""),"ACCORD PHARMACEUTICALS")</f>
        <v>ACCORD PHARMACEUTICALS</v>
      </c>
    </row>
    <row r="45" ht="16.5" customHeight="1">
      <c r="H45" s="1" t="str">
        <f>IFERROR(__xludf.DUMMYFUNCTION("""COMPUTED_VALUE"""),"ACCURIS HEALTHCARE")</f>
        <v>ACCURIS HEALTHCARE</v>
      </c>
    </row>
    <row r="46" ht="16.5" customHeight="1">
      <c r="H46" s="1" t="str">
        <f>IFERROR(__xludf.DUMMYFUNCTION("""COMPUTED_VALUE"""),"ACE BIOTECH")</f>
        <v>ACE BIOTECH</v>
      </c>
    </row>
    <row r="47" ht="16.5" customHeight="1">
      <c r="H47" s="1" t="str">
        <f>IFERROR(__xludf.DUMMYFUNCTION("""COMPUTED_VALUE"""),"ACELA HEALTHCARE PVT LTD")</f>
        <v>ACELA HEALTHCARE PVT LTD</v>
      </c>
    </row>
    <row r="48" ht="16.5" customHeight="1">
      <c r="H48" s="1" t="str">
        <f>IFERROR(__xludf.DUMMYFUNCTION("""COMPUTED_VALUE"""),"ACICHEM LABORATORIES")</f>
        <v>ACICHEM LABORATORIES</v>
      </c>
    </row>
    <row r="49" ht="16.5" customHeight="1">
      <c r="H49" s="1" t="str">
        <f>IFERROR(__xludf.DUMMYFUNCTION("""COMPUTED_VALUE"""),"ACINOM HEALTHCARE")</f>
        <v>ACINOM HEALTHCARE</v>
      </c>
    </row>
    <row r="50" ht="16.5" customHeight="1">
      <c r="H50" s="1" t="str">
        <f>IFERROR(__xludf.DUMMYFUNCTION("""COMPUTED_VALUE"""),"ACME PHARMACEUTICALS")</f>
        <v>ACME PHARMACEUTICALS</v>
      </c>
    </row>
    <row r="51" ht="16.5" customHeight="1">
      <c r="H51" s="1" t="str">
        <f>IFERROR(__xludf.DUMMYFUNCTION("""COMPUTED_VALUE"""),"ACROMAT PHARMA LAB")</f>
        <v>ACROMAT PHARMA LAB</v>
      </c>
    </row>
    <row r="52" ht="16.5" customHeight="1">
      <c r="H52" s="1" t="str">
        <f>IFERROR(__xludf.DUMMYFUNCTION("""COMPUTED_VALUE"""),"ACUELIFE HEALTHCARE")</f>
        <v>ACUELIFE HEALTHCARE</v>
      </c>
    </row>
    <row r="53" ht="16.5" customHeight="1">
      <c r="H53" s="1" t="str">
        <f>IFERROR(__xludf.DUMMYFUNCTION("""COMPUTED_VALUE"""),"ACULIFE HEALTHCARE PVT LTD")</f>
        <v>ACULIFE HEALTHCARE PVT LTD</v>
      </c>
    </row>
    <row r="54" ht="16.5" customHeight="1">
      <c r="H54" s="1" t="str">
        <f>IFERROR(__xludf.DUMMYFUNCTION("""COMPUTED_VALUE"""),"ACURAGLOBE LLP")</f>
        <v>ACURAGLOBE LLP</v>
      </c>
    </row>
    <row r="55" ht="16.5" customHeight="1">
      <c r="H55" s="1" t="str">
        <f>IFERROR(__xludf.DUMMYFUNCTION("""COMPUTED_VALUE"""),"AD-VIK LABORATORIES")</f>
        <v>AD-VIK LABORATORIES</v>
      </c>
    </row>
    <row r="56" ht="16.5" customHeight="1">
      <c r="H56" s="1" t="str">
        <f>IFERROR(__xludf.DUMMYFUNCTION("""COMPUTED_VALUE"""),"ADALBERT HEALTHCARE")</f>
        <v>ADALBERT HEALTHCARE</v>
      </c>
    </row>
    <row r="57" ht="16.5" customHeight="1">
      <c r="H57" s="1" t="str">
        <f>IFERROR(__xludf.DUMMYFUNCTION("""COMPUTED_VALUE"""),"ADARSH PHARMACEUTICAL WORKS")</f>
        <v>ADARSH PHARMACEUTICAL WORKS</v>
      </c>
    </row>
    <row r="58" ht="16.5" customHeight="1">
      <c r="H58" s="1" t="str">
        <f>IFERROR(__xludf.DUMMYFUNCTION("""COMPUTED_VALUE"""),"Adcock Ingram (CFL)")</f>
        <v>Adcock Ingram (CFL)</v>
      </c>
    </row>
    <row r="59" ht="16.5" customHeight="1">
      <c r="H59" s="1" t="str">
        <f>IFERROR(__xludf.DUMMYFUNCTION("""COMPUTED_VALUE"""),"Adcock Ingram (COSMO)")</f>
        <v>Adcock Ingram (COSMO)</v>
      </c>
    </row>
    <row r="60" ht="16.5" customHeight="1">
      <c r="H60" s="1" t="str">
        <f>IFERROR(__xludf.DUMMYFUNCTION("""COMPUTED_VALUE"""),"Adcock Ingram (DERMA SKINCARE)")</f>
        <v>Adcock Ingram (DERMA SKINCARE)</v>
      </c>
    </row>
    <row r="61" ht="16.5" customHeight="1">
      <c r="H61" s="1" t="str">
        <f>IFERROR(__xludf.DUMMYFUNCTION("""COMPUTED_VALUE"""),"Adcock Ingram Healthcare Pvt Ltd")</f>
        <v>Adcock Ingram Healthcare Pvt Ltd</v>
      </c>
    </row>
    <row r="62" ht="16.5" customHeight="1">
      <c r="H62" s="1" t="str">
        <f>IFERROR(__xludf.DUMMYFUNCTION("""COMPUTED_VALUE"""),"ADCON LABS")</f>
        <v>ADCON LABS</v>
      </c>
    </row>
    <row r="63" ht="16.5" customHeight="1">
      <c r="H63" s="1" t="str">
        <f>IFERROR(__xludf.DUMMYFUNCTION("""COMPUTED_VALUE"""),"ADDII BIOTECH (ADRIVE)")</f>
        <v>ADDII BIOTECH (ADRIVE)</v>
      </c>
    </row>
    <row r="64" ht="16.5" customHeight="1">
      <c r="H64" s="1" t="str">
        <f>IFERROR(__xludf.DUMMYFUNCTION("""COMPUTED_VALUE"""),"ADDIS PHARMA")</f>
        <v>ADDIS PHARMA</v>
      </c>
    </row>
    <row r="65" ht="16.5" customHeight="1">
      <c r="H65" s="1" t="str">
        <f>IFERROR(__xludf.DUMMYFUNCTION("""COMPUTED_VALUE"""),"ADEL - MADDUS")</f>
        <v>ADEL - MADDUS</v>
      </c>
    </row>
    <row r="66" ht="16.5" customHeight="1">
      <c r="H66" s="1" t="str">
        <f>IFERROR(__xludf.DUMMYFUNCTION("""COMPUTED_VALUE"""),"ADELEY")</f>
        <v>ADELEY</v>
      </c>
    </row>
    <row r="67" ht="16.5" customHeight="1">
      <c r="H67" s="1" t="str">
        <f>IFERROR(__xludf.DUMMYFUNCTION("""COMPUTED_VALUE"""),"ADIPS LABORATORIES LTD
")</f>
        <v>ADIPS LABORATORIES LTD
</v>
      </c>
    </row>
    <row r="68" ht="16.5" customHeight="1">
      <c r="H68" s="1" t="str">
        <f>IFERROR(__xludf.DUMMYFUNCTION("""COMPUTED_VALUE"""),"ADISTA HEALTHCARE INDIA P LTD")</f>
        <v>ADISTA HEALTHCARE INDIA P LTD</v>
      </c>
    </row>
    <row r="69" ht="16.5" customHeight="1">
      <c r="H69" s="1" t="str">
        <f>IFERROR(__xludf.DUMMYFUNCTION("""COMPUTED_VALUE"""),"ADITSA HEALTH CARE")</f>
        <v>ADITSA HEALTH CARE</v>
      </c>
    </row>
    <row r="70" ht="16.5" customHeight="1">
      <c r="H70" s="1" t="str">
        <f>IFERROR(__xludf.DUMMYFUNCTION("""COMPUTED_VALUE"""),"ADIVA PHARMA")</f>
        <v>ADIVA PHARMA</v>
      </c>
    </row>
    <row r="71" ht="16.5" customHeight="1">
      <c r="H71" s="1" t="str">
        <f>IFERROR(__xludf.DUMMYFUNCTION("""COMPUTED_VALUE"""),"ADLEY LAB")</f>
        <v>ADLEY LAB</v>
      </c>
    </row>
    <row r="72" ht="16.5" customHeight="1">
      <c r="H72" s="1" t="str">
        <f>IFERROR(__xludf.DUMMYFUNCTION("""COMPUTED_VALUE"""),"ADLEY LAB (SUPPORTIVE CARE)")</f>
        <v>ADLEY LAB (SUPPORTIVE CARE)</v>
      </c>
    </row>
    <row r="73" ht="16.5" customHeight="1">
      <c r="H73" s="1" t="str">
        <f>IFERROR(__xludf.DUMMYFUNCTION("""COMPUTED_VALUE"""),"ADMAC FORMULATIONS")</f>
        <v>ADMAC FORMULATIONS</v>
      </c>
    </row>
    <row r="74" ht="16.5" customHeight="1">
      <c r="H74" s="1" t="str">
        <f>IFERROR(__xludf.DUMMYFUNCTION("""COMPUTED_VALUE"""),"Admac Pharma Ltd")</f>
        <v>Admac Pharma Ltd</v>
      </c>
    </row>
    <row r="75" ht="16.5" customHeight="1">
      <c r="H75" s="1" t="str">
        <f>IFERROR(__xludf.DUMMYFUNCTION("""COMPUTED_VALUE"""),"ADMAN FORMULATION PVT LTD")</f>
        <v>ADMAN FORMULATION PVT LTD</v>
      </c>
    </row>
    <row r="76" ht="16.5" customHeight="1">
      <c r="H76" s="1" t="str">
        <f>IFERROR(__xludf.DUMMYFUNCTION("""COMPUTED_VALUE"""),"Adonis Laboratories Pvt Ltd")</f>
        <v>Adonis Laboratories Pvt Ltd</v>
      </c>
    </row>
    <row r="77" ht="16.5" customHeight="1">
      <c r="H77" s="1" t="str">
        <f>IFERROR(__xludf.DUMMYFUNCTION("""COMPUTED_VALUE"""),"Adroit Biomed Ltd")</f>
        <v>Adroit Biomed Ltd</v>
      </c>
    </row>
    <row r="78" ht="16.5" customHeight="1">
      <c r="H78" s="1" t="str">
        <f>IFERROR(__xludf.DUMMYFUNCTION("""COMPUTED_VALUE"""),"ADVEN")</f>
        <v>ADVEN</v>
      </c>
    </row>
    <row r="79" ht="16.5" customHeight="1">
      <c r="H79" s="1" t="str">
        <f>IFERROR(__xludf.DUMMYFUNCTION("""COMPUTED_VALUE"""),"AEGIS HEALTH SOLUTION")</f>
        <v>AEGIS HEALTH SOLUTION</v>
      </c>
    </row>
    <row r="80" ht="16.5" customHeight="1">
      <c r="H80" s="1" t="str">
        <f>IFERROR(__xludf.DUMMYFUNCTION("""COMPUTED_VALUE"""),"AEGIS LIFESCIENCES PVT LTD")</f>
        <v>AEGIS LIFESCIENCES PVT LTD</v>
      </c>
    </row>
    <row r="81" ht="16.5" customHeight="1">
      <c r="H81" s="1" t="str">
        <f>IFERROR(__xludf.DUMMYFUNCTION("""COMPUTED_VALUE"""),"AEQUITAS HEALTHCARE PVT LTD")</f>
        <v>AEQUITAS HEALTHCARE PVT LTD</v>
      </c>
    </row>
    <row r="82" ht="16.5" customHeight="1">
      <c r="H82" s="1" t="str">
        <f>IFERROR(__xludf.DUMMYFUNCTION("""COMPUTED_VALUE"""),"AERAN LAB INDIA PVT LTD")</f>
        <v>AERAN LAB INDIA PVT LTD</v>
      </c>
    </row>
    <row r="83" ht="16.5" customHeight="1">
      <c r="H83" s="1" t="str">
        <f>IFERROR(__xludf.DUMMYFUNCTION("""COMPUTED_VALUE"""),"AEROLIFE INDIA HEALTHCARE")</f>
        <v>AEROLIFE INDIA HEALTHCARE</v>
      </c>
    </row>
    <row r="84" ht="16.5" customHeight="1">
      <c r="H84" s="1" t="str">
        <f>IFERROR(__xludf.DUMMYFUNCTION("""COMPUTED_VALUE"""),"AESMIRA")</f>
        <v>AESMIRA</v>
      </c>
    </row>
    <row r="85" ht="16.5" customHeight="1">
      <c r="H85" s="1" t="str">
        <f>IFERROR(__xludf.DUMMYFUNCTION("""COMPUTED_VALUE"""),"AESPIRE FORMULATIONS PVT LTD")</f>
        <v>AESPIRE FORMULATIONS PVT LTD</v>
      </c>
    </row>
    <row r="86" ht="16.5" customHeight="1">
      <c r="H86" s="1" t="str">
        <f>IFERROR(__xludf.DUMMYFUNCTION("""COMPUTED_VALUE"""),"AESTHETIX COSMECEUTICALS")</f>
        <v>AESTHETIX COSMECEUTICALS</v>
      </c>
    </row>
    <row r="87" ht="16.5" customHeight="1">
      <c r="H87" s="1" t="str">
        <f>IFERROR(__xludf.DUMMYFUNCTION("""COMPUTED_VALUE"""),"AFEX PHARMACEUTICALS")</f>
        <v>AFEX PHARMACEUTICALS</v>
      </c>
    </row>
    <row r="88" ht="16.5" customHeight="1">
      <c r="H88" s="1" t="str">
        <f>IFERROR(__xludf.DUMMYFUNCTION("""COMPUTED_VALUE"""),"AFFINE FORMULATION P LTD SOLAN")</f>
        <v>AFFINE FORMULATION P LTD SOLAN</v>
      </c>
    </row>
    <row r="89" ht="16.5" customHeight="1">
      <c r="H89" s="1" t="str">
        <f>IFERROR(__xludf.DUMMYFUNCTION("""COMPUTED_VALUE"""),"AFFLATUS PHARMACEUTICALS PVT LTD")</f>
        <v>AFFLATUS PHARMACEUTICALS PVT LTD</v>
      </c>
    </row>
    <row r="90" ht="16.5" customHeight="1">
      <c r="H90" s="1" t="str">
        <f>IFERROR(__xludf.DUMMYFUNCTION("""COMPUTED_VALUE"""),"AFFY PARENTERALS BADDI")</f>
        <v>AFFY PARENTERALS BADDI</v>
      </c>
    </row>
    <row r="91" ht="16.5" customHeight="1">
      <c r="H91" s="1" t="str">
        <f>IFERROR(__xludf.DUMMYFUNCTION("""COMPUTED_VALUE"""),"AFFY PHARMA PVT LTD")</f>
        <v>AFFY PHARMA PVT LTD</v>
      </c>
    </row>
    <row r="92" ht="16.5" customHeight="1">
      <c r="H92" s="1" t="str">
        <f>IFERROR(__xludf.DUMMYFUNCTION("""COMPUTED_VALUE"""),"AFIVE PHARMACEUTICALS")</f>
        <v>AFIVE PHARMACEUTICALS</v>
      </c>
    </row>
    <row r="93" ht="16.5" customHeight="1">
      <c r="H93" s="1" t="str">
        <f>IFERROR(__xludf.DUMMYFUNCTION("""COMPUTED_VALUE"""),"AG BIOTECH")</f>
        <v>AG BIOTECH</v>
      </c>
    </row>
    <row r="94" ht="16.5" customHeight="1">
      <c r="H94" s="1" t="str">
        <f>IFERROR(__xludf.DUMMYFUNCTION("""COMPUTED_VALUE"""),"AGIO Pharmaceuticals Ltd")</f>
        <v>AGIO Pharmaceuticals Ltd</v>
      </c>
    </row>
    <row r="95" ht="16.5" customHeight="1">
      <c r="H95" s="1" t="str">
        <f>IFERROR(__xludf.DUMMYFUNCTION("""COMPUTED_VALUE"""),"Aglowmed Drugs Pvt   Ltd")</f>
        <v>Aglowmed Drugs Pvt   Ltd</v>
      </c>
    </row>
    <row r="96" ht="16.5" customHeight="1">
      <c r="H96" s="1" t="str">
        <f>IFERROR(__xludf.DUMMYFUNCTION("""COMPUTED_VALUE"""),"Aglowmed Drugs Pvt. Ltd.")</f>
        <v>Aglowmed Drugs Pvt. Ltd.</v>
      </c>
    </row>
    <row r="97" ht="16.5" customHeight="1">
      <c r="H97" s="1" t="str">
        <f>IFERROR(__xludf.DUMMYFUNCTION("""COMPUTED_VALUE"""),"AGM BIOTECH")</f>
        <v>AGM BIOTECH</v>
      </c>
    </row>
    <row r="98" ht="16.5" customHeight="1">
      <c r="H98" s="1" t="str">
        <f>IFERROR(__xludf.DUMMYFUNCTION("""COMPUTED_VALUE"""),"Agron India Ltd")</f>
        <v>Agron India Ltd</v>
      </c>
    </row>
    <row r="99" ht="16.5" customHeight="1">
      <c r="H99" s="1" t="str">
        <f>IFERROR(__xludf.DUMMYFUNCTION("""COMPUTED_VALUE"""),"Agron Remedies Pvt. Ltd")</f>
        <v>Agron Remedies Pvt. Ltd</v>
      </c>
    </row>
    <row r="100" ht="16.5" customHeight="1">
      <c r="H100" s="1" t="str">
        <f>IFERROR(__xludf.DUMMYFUNCTION("""COMPUTED_VALUE"""),"AGROSAFE PHARMACEUTICALS")</f>
        <v>AGROSAFE PHARMACEUTICALS</v>
      </c>
    </row>
    <row r="101" ht="16.5" customHeight="1">
      <c r="H101" s="1" t="str">
        <f>IFERROR(__xludf.DUMMYFUNCTION("""COMPUTED_VALUE"""),"AGROW PHARMA")</f>
        <v>AGROW PHARMA</v>
      </c>
    </row>
    <row r="102" ht="16.5" customHeight="1">
      <c r="H102" s="1" t="str">
        <f>IFERROR(__xludf.DUMMYFUNCTION("""COMPUTED_VALUE"""),"AGUS WORLD")</f>
        <v>AGUS WORLD</v>
      </c>
    </row>
    <row r="103" ht="16.5" customHeight="1">
      <c r="H103" s="1" t="str">
        <f>IFERROR(__xludf.DUMMYFUNCTION("""COMPUTED_VALUE"""),"AIMIL PHARMACEUTICALS")</f>
        <v>AIMIL PHARMACEUTICALS</v>
      </c>
    </row>
    <row r="104" ht="16.5" customHeight="1">
      <c r="H104" s="1" t="str">
        <f>IFERROR(__xludf.DUMMYFUNCTION("""COMPUTED_VALUE"""),"AIMIL PHARMACEUTICALS (XYLO)")</f>
        <v>AIMIL PHARMACEUTICALS (XYLO)</v>
      </c>
    </row>
    <row r="105" ht="16.5" customHeight="1">
      <c r="H105" s="1" t="str">
        <f>IFERROR(__xludf.DUMMYFUNCTION("""COMPUTED_VALUE"""),"AISHWARYA HEALTHCARE")</f>
        <v>AISHWARYA HEALTHCARE</v>
      </c>
    </row>
    <row r="106" ht="16.5" customHeight="1">
      <c r="H106" s="1" t="str">
        <f>IFERROR(__xludf.DUMMYFUNCTION("""COMPUTED_VALUE"""),"AISLIN FORMULATION PVT LTD")</f>
        <v>AISLIN FORMULATION PVT LTD</v>
      </c>
    </row>
    <row r="107" ht="16.5" customHeight="1">
      <c r="H107" s="1" t="str">
        <f>IFERROR(__xludf.DUMMYFUNCTION("""COMPUTED_VALUE"""),"AJANTA PHARMA (ALMIRON)")</f>
        <v>AJANTA PHARMA (ALMIRON)</v>
      </c>
    </row>
    <row r="108" ht="16.5" customHeight="1">
      <c r="H108" s="1" t="str">
        <f>IFERROR(__xludf.DUMMYFUNCTION("""COMPUTED_VALUE"""),"AJANTA PHARMA (ANVAXX)")</f>
        <v>AJANTA PHARMA (ANVAXX)</v>
      </c>
    </row>
    <row r="109" ht="16.5" customHeight="1">
      <c r="H109" s="1" t="str">
        <f>IFERROR(__xludf.DUMMYFUNCTION("""COMPUTED_VALUE"""),"AJANTA PHARMA (AUREUS)")</f>
        <v>AJANTA PHARMA (AUREUS)</v>
      </c>
    </row>
    <row r="110" ht="16.5" customHeight="1">
      <c r="H110" s="1" t="str">
        <f>IFERROR(__xludf.DUMMYFUNCTION("""COMPUTED_VALUE"""),"AJANTA PHARMA (AVECIA)")</f>
        <v>AJANTA PHARMA (AVECIA)</v>
      </c>
    </row>
    <row r="111" ht="16.5" customHeight="1">
      <c r="H111" s="1" t="str">
        <f>IFERROR(__xludf.DUMMYFUNCTION("""COMPUTED_VALUE"""),"AJANTA PHARMA (AXYS)")</f>
        <v>AJANTA PHARMA (AXYS)</v>
      </c>
    </row>
    <row r="112" ht="16.5" customHeight="1">
      <c r="H112" s="1" t="str">
        <f>IFERROR(__xludf.DUMMYFUNCTION("""COMPUTED_VALUE"""),"AJANTA PHARMA (CDC)")</f>
        <v>AJANTA PHARMA (CDC)</v>
      </c>
    </row>
    <row r="113" ht="16.5" customHeight="1">
      <c r="H113" s="1" t="str">
        <f>IFERROR(__xludf.DUMMYFUNCTION("""COMPUTED_VALUE"""),"AJANTA PHARMA (GENERIC)")</f>
        <v>AJANTA PHARMA (GENERIC)</v>
      </c>
    </row>
    <row r="114" ht="16.5" customHeight="1">
      <c r="H114" s="1" t="str">
        <f>IFERROR(__xludf.DUMMYFUNCTION("""COMPUTED_VALUE"""),"AJANTA PHARMA (ILLUMA)")</f>
        <v>AJANTA PHARMA (ILLUMA)</v>
      </c>
    </row>
    <row r="115" ht="16.5" customHeight="1">
      <c r="H115" s="1" t="str">
        <f>IFERROR(__xludf.DUMMYFUNCTION("""COMPUTED_VALUE"""),"AJANTA PHARMA (INYX)")</f>
        <v>AJANTA PHARMA (INYX)</v>
      </c>
    </row>
    <row r="116" ht="16.5" customHeight="1">
      <c r="H116" s="1" t="str">
        <f>IFERROR(__xludf.DUMMYFUNCTION("""COMPUTED_VALUE"""),"AJANTA PHARMA (MEXLON)")</f>
        <v>AJANTA PHARMA (MEXLON)</v>
      </c>
    </row>
    <row r="117" ht="16.5" customHeight="1">
      <c r="H117" s="1" t="str">
        <f>IFERROR(__xludf.DUMMYFUNCTION("""COMPUTED_VALUE"""),"AJANTA PHARMA (NUVENTA)")</f>
        <v>AJANTA PHARMA (NUVENTA)</v>
      </c>
    </row>
    <row r="118" ht="16.5" customHeight="1">
      <c r="H118" s="1" t="str">
        <f>IFERROR(__xludf.DUMMYFUNCTION("""COMPUTED_VALUE"""),"AJANTA PHARMA (PRISMA)")</f>
        <v>AJANTA PHARMA (PRISMA)</v>
      </c>
    </row>
    <row r="119" ht="16.5" customHeight="1">
      <c r="H119" s="1" t="str">
        <f>IFERROR(__xludf.DUMMYFUNCTION("""COMPUTED_VALUE"""),"AJANTA PHARMA (SOLESTA)")</f>
        <v>AJANTA PHARMA (SOLESTA)</v>
      </c>
    </row>
    <row r="120" ht="16.5" customHeight="1">
      <c r="H120" s="1" t="str">
        <f>IFERROR(__xludf.DUMMYFUNCTION("""COMPUTED_VALUE"""),"AJANTA PHARMA (ZILLION SPE)")</f>
        <v>AJANTA PHARMA (ZILLION SPE)</v>
      </c>
    </row>
    <row r="121" ht="16.5" customHeight="1">
      <c r="H121" s="1" t="str">
        <f>IFERROR(__xludf.DUMMYFUNCTION("""COMPUTED_VALUE"""),"AJANTA PHARMA (ZILLION)")</f>
        <v>AJANTA PHARMA (ZILLION)</v>
      </c>
    </row>
    <row r="122" ht="16.5" customHeight="1">
      <c r="H122" s="1" t="str">
        <f>IFERROR(__xludf.DUMMYFUNCTION("""COMPUTED_VALUE"""),"Ajanta Pharma Ltd")</f>
        <v>Ajanta Pharma Ltd</v>
      </c>
    </row>
    <row r="123" ht="16.5" customHeight="1">
      <c r="H123" s="1" t="str">
        <f>IFERROR(__xludf.DUMMYFUNCTION("""COMPUTED_VALUE"""),"AJES PHARMA")</f>
        <v>AJES PHARMA</v>
      </c>
    </row>
    <row r="124" ht="16.5" customHeight="1">
      <c r="H124" s="1" t="str">
        <f>IFERROR(__xludf.DUMMYFUNCTION("""COMPUTED_VALUE"""),"AJIT AYURVEDA")</f>
        <v>AJIT AYURVEDA</v>
      </c>
    </row>
    <row r="125" ht="16.5" customHeight="1">
      <c r="H125" s="1" t="str">
        <f>IFERROR(__xludf.DUMMYFUNCTION("""COMPUTED_VALUE"""),"AKOGNOS LIFE SCIENCES")</f>
        <v>AKOGNOS LIFE SCIENCES</v>
      </c>
    </row>
    <row r="126" ht="16.5" customHeight="1">
      <c r="H126" s="1" t="str">
        <f>IFERROR(__xludf.DUMMYFUNCTION("""COMPUTED_VALUE"""),"AKPASH PHARMA INDORE")</f>
        <v>AKPASH PHARMA INDORE</v>
      </c>
    </row>
    <row r="127" ht="16.5" customHeight="1">
      <c r="H127" s="1" t="str">
        <f>IFERROR(__xludf.DUMMYFUNCTION("""COMPUTED_VALUE"""),"AKSH PHARMA")</f>
        <v>AKSH PHARMA</v>
      </c>
    </row>
    <row r="128" ht="16.5" customHeight="1">
      <c r="H128" s="1" t="str">
        <f>IFERROR(__xludf.DUMMYFUNCTION("""COMPUTED_VALUE"""),"AKSHAY PHARMA")</f>
        <v>AKSHAY PHARMA</v>
      </c>
    </row>
    <row r="129" ht="16.5" customHeight="1">
      <c r="H129" s="1" t="str">
        <f>IFERROR(__xludf.DUMMYFUNCTION("""COMPUTED_VALUE"""),"Aksigen Hospital Care")</f>
        <v>Aksigen Hospital Care</v>
      </c>
    </row>
    <row r="130" ht="16.5" customHeight="1">
      <c r="H130" s="1" t="str">
        <f>IFERROR(__xludf.DUMMYFUNCTION("""COMPUTED_VALUE"""),"Akumentis Healthcare Ltd")</f>
        <v>Akumentis Healthcare Ltd</v>
      </c>
    </row>
    <row r="131" ht="16.5" customHeight="1">
      <c r="H131" s="1" t="str">
        <f>IFERROR(__xludf.DUMMYFUNCTION("""COMPUTED_VALUE"""),"AKUMENTIS HEALTHCARE LTD (CRETIS)")</f>
        <v>AKUMENTIS HEALTHCARE LTD (CRETIS)</v>
      </c>
    </row>
    <row r="132" ht="16.5" customHeight="1">
      <c r="H132" s="1" t="str">
        <f>IFERROR(__xludf.DUMMYFUNCTION("""COMPUTED_VALUE"""),"AKUMENTIS HEALTHCARE LTD (HARMONICA)")</f>
        <v>AKUMENTIS HEALTHCARE LTD (HARMONICA)</v>
      </c>
    </row>
    <row r="133" ht="16.5" customHeight="1">
      <c r="H133" s="1" t="str">
        <f>IFERROR(__xludf.DUMMYFUNCTION("""COMPUTED_VALUE"""),"AKUMENTIS HEALTHCARE LTD (OSTEON)")</f>
        <v>AKUMENTIS HEALTHCARE LTD (OSTEON)</v>
      </c>
    </row>
    <row r="134" ht="16.5" customHeight="1">
      <c r="H134" s="1" t="str">
        <f>IFERROR(__xludf.DUMMYFUNCTION("""COMPUTED_VALUE"""),"AKUMENTIS HEALTHCARE LTD (VIVIANA)")</f>
        <v>AKUMENTIS HEALTHCARE LTD (VIVIANA)</v>
      </c>
    </row>
    <row r="135" ht="16.5" customHeight="1">
      <c r="H135" s="1" t="str">
        <f>IFERROR(__xludf.DUMMYFUNCTION("""COMPUTED_VALUE"""),"Akums Drugs &amp; Pharmaceuticals Ltd")</f>
        <v>Akums Drugs &amp; Pharmaceuticals Ltd</v>
      </c>
    </row>
    <row r="136" ht="16.5" customHeight="1">
      <c r="H136" s="1" t="str">
        <f>IFERROR(__xludf.DUMMYFUNCTION("""COMPUTED_VALUE"""),"ALAKNANDA HERBAL")</f>
        <v>ALAKNANDA HERBAL</v>
      </c>
    </row>
    <row r="137" ht="16.5" customHeight="1">
      <c r="H137" s="1" t="str">
        <f>IFERROR(__xludf.DUMMYFUNCTION("""COMPUTED_VALUE"""),"Alarsin Pharmaceuticals")</f>
        <v>Alarsin Pharmaceuticals</v>
      </c>
    </row>
    <row r="138" ht="16.5" customHeight="1">
      <c r="H138" s="1" t="str">
        <f>IFERROR(__xludf.DUMMYFUNCTION("""COMPUTED_VALUE"""),"ALASTER HEALTH CARE")</f>
        <v>ALASTER HEALTH CARE</v>
      </c>
    </row>
    <row r="139" ht="16.5" customHeight="1">
      <c r="H139" s="1" t="str">
        <f>IFERROR(__xludf.DUMMYFUNCTION("""COMPUTED_VALUE"""),"ALBATROSS HEALTHCARE")</f>
        <v>ALBATROSS HEALTHCARE</v>
      </c>
    </row>
    <row r="140" ht="16.5" customHeight="1">
      <c r="H140" s="1" t="str">
        <f>IFERROR(__xludf.DUMMYFUNCTION("""COMPUTED_VALUE"""),"Albert David Ltd")</f>
        <v>Albert David Ltd</v>
      </c>
    </row>
    <row r="141" ht="16.5" customHeight="1">
      <c r="H141" s="1" t="str">
        <f>IFERROR(__xludf.DUMMYFUNCTION("""COMPUTED_VALUE"""),"ALBERTA MEDICARE P LTD")</f>
        <v>ALBERTA MEDICARE P LTD</v>
      </c>
    </row>
    <row r="142" ht="16.5" customHeight="1">
      <c r="H142" s="1" t="str">
        <f>IFERROR(__xludf.DUMMYFUNCTION("""COMPUTED_VALUE"""),"ALBINO PHARMACEUTICALS PVT LTD")</f>
        <v>ALBINO PHARMACEUTICALS PVT LTD</v>
      </c>
    </row>
    <row r="143" ht="16.5" customHeight="1">
      <c r="H143" s="1" t="str">
        <f>IFERROR(__xludf.DUMMYFUNCTION("""COMPUTED_VALUE"""),"ALBRIS HEALTHCARE &amp; BIOTECH PVT. LTD.")</f>
        <v>ALBRIS HEALTHCARE &amp; BIOTECH PVT. LTD.</v>
      </c>
    </row>
    <row r="144" ht="16.5" customHeight="1">
      <c r="H144" s="1" t="str">
        <f>IFERROR(__xludf.DUMMYFUNCTION("""COMPUTED_VALUE"""),"ALBRUS")</f>
        <v>ALBRUS</v>
      </c>
    </row>
    <row r="145" ht="16.5" customHeight="1">
      <c r="H145" s="1" t="str">
        <f>IFERROR(__xludf.DUMMYFUNCTION("""COMPUTED_VALUE"""),"ALCHEM PHYTOCEUTICAL")</f>
        <v>ALCHEM PHYTOCEUTICAL</v>
      </c>
    </row>
    <row r="146" ht="16.5" customHeight="1">
      <c r="H146" s="1" t="str">
        <f>IFERROR(__xludf.DUMMYFUNCTION("""COMPUTED_VALUE"""),"Alchemist Life Science")</f>
        <v>Alchemist Life Science</v>
      </c>
    </row>
    <row r="147" ht="16.5" customHeight="1">
      <c r="H147" s="1" t="str">
        <f>IFERROR(__xludf.DUMMYFUNCTION("""COMPUTED_VALUE"""),"ALCO LABS")</f>
        <v>ALCO LABS</v>
      </c>
    </row>
    <row r="148" ht="16.5" customHeight="1">
      <c r="H148" s="1" t="str">
        <f>IFERROR(__xludf.DUMMYFUNCTION("""COMPUTED_VALUE"""),"Alcon Laboratories")</f>
        <v>Alcon Laboratories</v>
      </c>
    </row>
    <row r="149" ht="16.5" customHeight="1">
      <c r="H149" s="1" t="str">
        <f>IFERROR(__xludf.DUMMYFUNCTION("""COMPUTED_VALUE"""),"ALDE VISION")</f>
        <v>ALDE VISION</v>
      </c>
    </row>
    <row r="150" ht="16.5" customHeight="1">
      <c r="H150" s="1" t="str">
        <f>IFERROR(__xludf.DUMMYFUNCTION("""COMPUTED_VALUE"""),"ALDER PHARMACEUTICAL")</f>
        <v>ALDER PHARMACEUTICAL</v>
      </c>
    </row>
    <row r="151" ht="16.5" customHeight="1">
      <c r="H151" s="1" t="str">
        <f>IFERROR(__xludf.DUMMYFUNCTION("""COMPUTED_VALUE"""),"ALEMBIC (CORAZON)")</f>
        <v>ALEMBIC (CORAZON)</v>
      </c>
    </row>
    <row r="152" ht="16.5" customHeight="1">
      <c r="H152" s="1" t="str">
        <f>IFERROR(__xludf.DUMMYFUNCTION("""COMPUTED_VALUE"""),"ALEMBIC (DERMA)")</f>
        <v>ALEMBIC (DERMA)</v>
      </c>
    </row>
    <row r="153" ht="16.5" customHeight="1">
      <c r="H153" s="1" t="str">
        <f>IFERROR(__xludf.DUMMYFUNCTION("""COMPUTED_VALUE"""),"ALEMBIC (ELENA)")</f>
        <v>ALEMBIC (ELENA)</v>
      </c>
    </row>
    <row r="154" ht="16.5" customHeight="1">
      <c r="H154" s="1" t="str">
        <f>IFERROR(__xludf.DUMMYFUNCTION("""COMPUTED_VALUE"""),"ALEMBIC (ENTERON)")</f>
        <v>ALEMBIC (ENTERON)</v>
      </c>
    </row>
    <row r="155" ht="16.5" customHeight="1">
      <c r="H155" s="1" t="str">
        <f>IFERROR(__xludf.DUMMYFUNCTION("""COMPUTED_VALUE"""),"ALEMBIC (GENERIC)")</f>
        <v>ALEMBIC (GENERIC)</v>
      </c>
    </row>
    <row r="156" ht="16.5" customHeight="1">
      <c r="H156" s="1" t="str">
        <f>IFERROR(__xludf.DUMMYFUNCTION("""COMPUTED_VALUE"""),"ALEMBIC (MAIN)")</f>
        <v>ALEMBIC (MAIN)</v>
      </c>
    </row>
    <row r="157" ht="16.5" customHeight="1">
      <c r="H157" s="1" t="str">
        <f>IFERROR(__xludf.DUMMYFUNCTION("""COMPUTED_VALUE"""),"ALEMBIC (MAXIS)")</f>
        <v>ALEMBIC (MAXIS)</v>
      </c>
    </row>
    <row r="158" ht="16.5" customHeight="1">
      <c r="H158" s="1" t="str">
        <f>IFERROR(__xludf.DUMMYFUNCTION("""COMPUTED_VALUE"""),"ALEMBIC (MEGACARE)")</f>
        <v>ALEMBIC (MEGACARE)</v>
      </c>
    </row>
    <row r="159" ht="16.5" customHeight="1">
      <c r="H159" s="1" t="str">
        <f>IFERROR(__xludf.DUMMYFUNCTION("""COMPUTED_VALUE"""),"ALEMBIC (MITON)")</f>
        <v>ALEMBIC (MITON)</v>
      </c>
    </row>
    <row r="160" ht="16.5" customHeight="1">
      <c r="H160" s="1" t="str">
        <f>IFERROR(__xludf.DUMMYFUNCTION("""COMPUTED_VALUE"""),"ALEMBIC (OSTOFIT)")</f>
        <v>ALEMBIC (OSTOFIT)</v>
      </c>
    </row>
    <row r="161" ht="16.5" customHeight="1">
      <c r="H161" s="1" t="str">
        <f>IFERROR(__xludf.DUMMYFUNCTION("""COMPUTED_VALUE"""),"ALEMBIC (OURON)")</f>
        <v>ALEMBIC (OURON)</v>
      </c>
    </row>
    <row r="162" ht="16.5" customHeight="1">
      <c r="H162" s="1" t="str">
        <f>IFERROR(__xludf.DUMMYFUNCTION("""COMPUTED_VALUE"""),"ALEMBIC (SPECIA)")</f>
        <v>ALEMBIC (SPECIA)</v>
      </c>
    </row>
    <row r="163" ht="16.5" customHeight="1">
      <c r="H163" s="1" t="str">
        <f>IFERROR(__xludf.DUMMYFUNCTION("""COMPUTED_VALUE"""),"ALEMBIC (SUMMIT)")</f>
        <v>ALEMBIC (SUMMIT)</v>
      </c>
    </row>
    <row r="164" ht="16.5" customHeight="1">
      <c r="H164" s="1" t="str">
        <f>IFERROR(__xludf.DUMMYFUNCTION("""COMPUTED_VALUE"""),"ALEMBIC (SUPRACARE)")</f>
        <v>ALEMBIC (SUPRACARE)</v>
      </c>
    </row>
    <row r="165" ht="16.5" customHeight="1">
      <c r="H165" s="1" t="str">
        <f>IFERROR(__xludf.DUMMYFUNCTION("""COMPUTED_VALUE"""),"ALEMBIC (ZENOVI)")</f>
        <v>ALEMBIC (ZENOVI)</v>
      </c>
    </row>
    <row r="166" ht="16.5" customHeight="1">
      <c r="H166" s="1" t="str">
        <f>IFERROR(__xludf.DUMMYFUNCTION("""COMPUTED_VALUE"""),"Alembic Pharmaceuticals Ltd")</f>
        <v>Alembic Pharmaceuticals Ltd</v>
      </c>
    </row>
    <row r="167" ht="16.5" customHeight="1">
      <c r="H167" s="1" t="str">
        <f>IFERROR(__xludf.DUMMYFUNCTION("""COMPUTED_VALUE"""),"Alencure Biotech P Ltd")</f>
        <v>Alencure Biotech P Ltd</v>
      </c>
    </row>
    <row r="168" ht="16.5" customHeight="1">
      <c r="H168" s="1" t="str">
        <f>IFERROR(__xludf.DUMMYFUNCTION("""COMPUTED_VALUE"""),"ALEXIA HEALTHCARE")</f>
        <v>ALEXIA HEALTHCARE</v>
      </c>
    </row>
    <row r="169" ht="16.5" customHeight="1">
      <c r="H169" s="1" t="str">
        <f>IFERROR(__xludf.DUMMYFUNCTION("""COMPUTED_VALUE"""),"ALIGENT COSMETOLOGY")</f>
        <v>ALIGENT COSMETOLOGY</v>
      </c>
    </row>
    <row r="170" ht="16.5" customHeight="1">
      <c r="H170" s="1" t="str">
        <f>IFERROR(__xludf.DUMMYFUNCTION("""COMPUTED_VALUE"""),"ALIO LIFESCIENCES")</f>
        <v>ALIO LIFESCIENCES</v>
      </c>
    </row>
    <row r="171" ht="16.5" customHeight="1">
      <c r="H171" s="1" t="str">
        <f>IFERROR(__xludf.DUMMYFUNCTION("""COMPUTED_VALUE"""),"ALISIER DRUGS")</f>
        <v>ALISIER DRUGS</v>
      </c>
    </row>
    <row r="172" ht="16.5" customHeight="1">
      <c r="H172" s="1" t="str">
        <f>IFERROR(__xludf.DUMMYFUNCTION("""COMPUTED_VALUE"""),"ALISTE HEALTHCARE PVT. LTD.")</f>
        <v>ALISTE HEALTHCARE PVT. LTD.</v>
      </c>
    </row>
    <row r="173" ht="16.5" customHeight="1">
      <c r="H173" s="1" t="str">
        <f>IFERROR(__xludf.DUMMYFUNCTION("""COMPUTED_VALUE"""),"ALIV HELTH CARE SOLAN")</f>
        <v>ALIV HELTH CARE SOLAN</v>
      </c>
    </row>
    <row r="174" ht="16.5" customHeight="1">
      <c r="H174" s="1" t="str">
        <f>IFERROR(__xludf.DUMMYFUNCTION("""COMPUTED_VALUE"""),"ALIXAR HEALTHCARE")</f>
        <v>ALIXAR HEALTHCARE</v>
      </c>
    </row>
    <row r="175" ht="16.5" customHeight="1">
      <c r="H175" s="1" t="str">
        <f>IFERROR(__xludf.DUMMYFUNCTION("""COMPUTED_VALUE"""),"ALKA CHEMICAL INDUSTRIES")</f>
        <v>ALKA CHEMICAL INDUSTRIES</v>
      </c>
    </row>
    <row r="176" ht="16.5" customHeight="1">
      <c r="H176" s="1" t="str">
        <f>IFERROR(__xludf.DUMMYFUNCTION("""COMPUTED_VALUE"""),"ALKA PHARMACEUTICALS")</f>
        <v>ALKA PHARMACEUTICALS</v>
      </c>
    </row>
    <row r="177" ht="16.5" customHeight="1">
      <c r="H177" s="1" t="str">
        <f>IFERROR(__xludf.DUMMYFUNCTION("""COMPUTED_VALUE"""),"ALKEM (ACE)")</f>
        <v>ALKEM (ACE)</v>
      </c>
    </row>
    <row r="178" ht="16.5" customHeight="1">
      <c r="H178" s="1" t="str">
        <f>IFERROR(__xludf.DUMMYFUNCTION("""COMPUTED_VALUE"""),"ALKEM (ALPHA)")</f>
        <v>ALKEM (ALPHA)</v>
      </c>
    </row>
    <row r="179" ht="16.5" customHeight="1">
      <c r="H179" s="1" t="str">
        <f>IFERROR(__xludf.DUMMYFUNCTION("""COMPUTED_VALUE"""),"ALKEM (ALPHAMAX)")</f>
        <v>ALKEM (ALPHAMAX)</v>
      </c>
    </row>
    <row r="180" ht="16.5" customHeight="1">
      <c r="H180" s="1" t="str">
        <f>IFERROR(__xludf.DUMMYFUNCTION("""COMPUTED_VALUE"""),"ALKEM (ALTIS)")</f>
        <v>ALKEM (ALTIS)</v>
      </c>
    </row>
    <row r="181" ht="16.5" customHeight="1">
      <c r="H181" s="1" t="str">
        <f>IFERROR(__xludf.DUMMYFUNCTION("""COMPUTED_VALUE"""),"ALKEM (BERGEN)")</f>
        <v>ALKEM (BERGEN)</v>
      </c>
    </row>
    <row r="182" ht="16.5" customHeight="1">
      <c r="H182" s="1" t="str">
        <f>IFERROR(__xludf.DUMMYFUNCTION("""COMPUTED_VALUE"""),"ALKEM (CARDIOLOGY)")</f>
        <v>ALKEM (CARDIOLOGY)</v>
      </c>
    </row>
    <row r="183" ht="16.5" customHeight="1">
      <c r="H183" s="1" t="str">
        <f>IFERROR(__xludf.DUMMYFUNCTION("""COMPUTED_VALUE"""),"ALKEM (DERMACARE)")</f>
        <v>ALKEM (DERMACARE)</v>
      </c>
    </row>
    <row r="184" ht="16.5" customHeight="1">
      <c r="H184" s="1" t="str">
        <f>IFERROR(__xludf.DUMMYFUNCTION("""COMPUTED_VALUE"""),"ALKEM (DERMAKEM)")</f>
        <v>ALKEM (DERMAKEM)</v>
      </c>
    </row>
    <row r="185" ht="16.5" customHeight="1">
      <c r="H185" s="1" t="str">
        <f>IFERROR(__xludf.DUMMYFUNCTION("""COMPUTED_VALUE"""),"ALKEM (DIABETOLOGY)")</f>
        <v>ALKEM (DIABETOLOGY)</v>
      </c>
    </row>
    <row r="186" ht="16.5" customHeight="1">
      <c r="H186" s="1" t="str">
        <f>IFERROR(__xludf.DUMMYFUNCTION("""COMPUTED_VALUE"""),"ALKEM (FERTICA)")</f>
        <v>ALKEM (FERTICA)</v>
      </c>
    </row>
    <row r="187" ht="16.5" customHeight="1">
      <c r="H187" s="1" t="str">
        <f>IFERROR(__xludf.DUMMYFUNCTION("""COMPUTED_VALUE"""),"ALKEM (GENERIC-FUTURA)")</f>
        <v>ALKEM (GENERIC-FUTURA)</v>
      </c>
    </row>
    <row r="188" ht="16.5" customHeight="1">
      <c r="H188" s="1" t="str">
        <f>IFERROR(__xludf.DUMMYFUNCTION("""COMPUTED_VALUE"""),"ALKEM (GENERIC-MAXXIO)")</f>
        <v>ALKEM (GENERIC-MAXXIO)</v>
      </c>
    </row>
    <row r="189" ht="16.5" customHeight="1">
      <c r="H189" s="1" t="str">
        <f>IFERROR(__xludf.DUMMYFUNCTION("""COMPUTED_VALUE"""),"ALKEM (GENERIC)")</f>
        <v>ALKEM (GENERIC)</v>
      </c>
    </row>
    <row r="190" ht="16.5" customHeight="1">
      <c r="H190" s="1" t="str">
        <f>IFERROR(__xludf.DUMMYFUNCTION("""COMPUTED_VALUE"""),"ALKEM (HEALTH CARE)")</f>
        <v>ALKEM (HEALTH CARE)</v>
      </c>
    </row>
    <row r="191" ht="16.5" customHeight="1">
      <c r="H191" s="1" t="str">
        <f>IFERROR(__xludf.DUMMYFUNCTION("""COMPUTED_VALUE"""),"ALKEM (IMPERIA)")</f>
        <v>ALKEM (IMPERIA)</v>
      </c>
    </row>
    <row r="192" ht="16.5" customHeight="1">
      <c r="H192" s="1" t="str">
        <f>IFERROR(__xludf.DUMMYFUNCTION("""COMPUTED_VALUE"""),"ALKEM (MAIN)")</f>
        <v>ALKEM (MAIN)</v>
      </c>
    </row>
    <row r="193" ht="16.5" customHeight="1">
      <c r="H193" s="1" t="str">
        <f>IFERROR(__xludf.DUMMYFUNCTION("""COMPUTED_VALUE"""),"ALKEM (METABOLICS)")</f>
        <v>ALKEM (METABOLICS)</v>
      </c>
    </row>
    <row r="194" ht="16.5" customHeight="1">
      <c r="H194" s="1" t="str">
        <f>IFERROR(__xludf.DUMMYFUNCTION("""COMPUTED_VALUE"""),"ALKEM (ONCOLOGY)")</f>
        <v>ALKEM (ONCOLOGY)</v>
      </c>
    </row>
    <row r="195" ht="16.5" customHeight="1">
      <c r="H195" s="1" t="str">
        <f>IFERROR(__xludf.DUMMYFUNCTION("""COMPUTED_VALUE"""),"ALKEM (OTC)")</f>
        <v>ALKEM (OTC)</v>
      </c>
    </row>
    <row r="196" ht="16.5" customHeight="1">
      <c r="H196" s="1" t="str">
        <f>IFERROR(__xludf.DUMMYFUNCTION("""COMPUTED_VALUE"""),"ALKEM (ULTICARE)")</f>
        <v>ALKEM (ULTICARE)</v>
      </c>
    </row>
    <row r="197" ht="16.5" customHeight="1">
      <c r="H197" s="1" t="str">
        <f>IFERROR(__xludf.DUMMYFUNCTION("""COMPUTED_VALUE"""),"ALKEM (UROLOGY)")</f>
        <v>ALKEM (UROLOGY)</v>
      </c>
    </row>
    <row r="198" ht="16.5" customHeight="1">
      <c r="H198" s="1" t="str">
        <f>IFERROR(__xludf.DUMMYFUNCTION("""COMPUTED_VALUE"""),"ALKEM (ZURIEVE)")</f>
        <v>ALKEM (ZURIEVE)</v>
      </c>
    </row>
    <row r="199" ht="16.5" customHeight="1">
      <c r="H199" s="1" t="str">
        <f>IFERROR(__xludf.DUMMYFUNCTION("""COMPUTED_VALUE"""),"Alkem Laboratories Ltd")</f>
        <v>Alkem Laboratories Ltd</v>
      </c>
    </row>
    <row r="200" ht="16.5" customHeight="1">
      <c r="H200" s="1" t="str">
        <f>IFERROR(__xludf.DUMMYFUNCTION("""COMPUTED_VALUE"""),"Alkem Laboratories Ltd (SPECIALITY)")</f>
        <v>Alkem Laboratories Ltd (SPECIALITY)</v>
      </c>
    </row>
    <row r="201" ht="16.5" customHeight="1">
      <c r="H201" s="1" t="str">
        <f>IFERROR(__xludf.DUMMYFUNCTION("""COMPUTED_VALUE"""),"ALLEN - INDORE")</f>
        <v>ALLEN - INDORE</v>
      </c>
    </row>
    <row r="202" ht="16.5" customHeight="1">
      <c r="H202" s="1" t="str">
        <f>IFERROR(__xludf.DUMMYFUNCTION("""COMPUTED_VALUE"""),"ALLEN - KOLKATA")</f>
        <v>ALLEN - KOLKATA</v>
      </c>
    </row>
    <row r="203" ht="16.5" customHeight="1">
      <c r="H203" s="1" t="str">
        <f>IFERROR(__xludf.DUMMYFUNCTION("""COMPUTED_VALUE"""),"Allen Dale Biosciences")</f>
        <v>Allen Dale Biosciences</v>
      </c>
    </row>
    <row r="204" ht="16.5" customHeight="1">
      <c r="H204" s="1" t="str">
        <f>IFERROR(__xludf.DUMMYFUNCTION("""COMPUTED_VALUE"""),"ALLEN LABORATORIES LTD")</f>
        <v>ALLEN LABORATORIES LTD</v>
      </c>
    </row>
    <row r="205" ht="16.5" customHeight="1">
      <c r="H205" s="1" t="str">
        <f>IFERROR(__xludf.DUMMYFUNCTION("""COMPUTED_VALUE"""),"ALLENTIS PHARMACEUTICALS PVT LTD")</f>
        <v>ALLENTIS PHARMACEUTICALS PVT LTD</v>
      </c>
    </row>
    <row r="206" ht="16.5" customHeight="1">
      <c r="H206" s="1" t="str">
        <f>IFERROR(__xludf.DUMMYFUNCTION("""COMPUTED_VALUE"""),"ALLERGAN INDIA (ALPHA)")</f>
        <v>ALLERGAN INDIA (ALPHA)</v>
      </c>
    </row>
    <row r="207" ht="16.5" customHeight="1">
      <c r="H207" s="1" t="str">
        <f>IFERROR(__xludf.DUMMYFUNCTION("""COMPUTED_VALUE"""),"ALLERGAN INDIA (BRAVO)")</f>
        <v>ALLERGAN INDIA (BRAVO)</v>
      </c>
    </row>
    <row r="208" ht="16.5" customHeight="1">
      <c r="H208" s="1" t="str">
        <f>IFERROR(__xludf.DUMMYFUNCTION("""COMPUTED_VALUE"""),"ALLERGAN INDIA (CHARLIF)")</f>
        <v>ALLERGAN INDIA (CHARLIF)</v>
      </c>
    </row>
    <row r="209" ht="16.5" customHeight="1">
      <c r="H209" s="1" t="str">
        <f>IFERROR(__xludf.DUMMYFUNCTION("""COMPUTED_VALUE"""),"ALLERGAN INDIA (DELTA)")</f>
        <v>ALLERGAN INDIA (DELTA)</v>
      </c>
    </row>
    <row r="210" ht="16.5" customHeight="1">
      <c r="H210" s="1" t="str">
        <f>IFERROR(__xludf.DUMMYFUNCTION("""COMPUTED_VALUE"""),"Allergan India Pvt Ltd")</f>
        <v>Allergan India Pvt Ltd</v>
      </c>
    </row>
    <row r="211" ht="16.5" customHeight="1">
      <c r="H211" s="1" t="str">
        <f>IFERROR(__xludf.DUMMYFUNCTION("""COMPUTED_VALUE"""),"ALLEX MEDICAL SYSTEM")</f>
        <v>ALLEX MEDICAL SYSTEM</v>
      </c>
    </row>
    <row r="212" ht="16.5" customHeight="1">
      <c r="H212" s="1" t="str">
        <f>IFERROR(__xludf.DUMMYFUNCTION("""COMPUTED_VALUE"""),"ALLIAANCE BIOTECH SOLAN")</f>
        <v>ALLIAANCE BIOTECH SOLAN</v>
      </c>
    </row>
    <row r="213" ht="16.5" customHeight="1">
      <c r="H213" s="1" t="str">
        <f>IFERROR(__xludf.DUMMYFUNCTION("""COMPUTED_VALUE"""),"ALLOTROPE LIFE SCIENCES P LTD")</f>
        <v>ALLOTROPE LIFE SCIENCES P LTD</v>
      </c>
    </row>
    <row r="214" ht="16.5" customHeight="1">
      <c r="H214" s="1" t="str">
        <f>IFERROR(__xludf.DUMMYFUNCTION("""COMPUTED_VALUE"""),"ALLURE REMEDIES PVT LTD")</f>
        <v>ALLURE REMEDIES PVT LTD</v>
      </c>
    </row>
    <row r="215" ht="16.5" customHeight="1">
      <c r="H215" s="1" t="str">
        <f>IFERROR(__xludf.DUMMYFUNCTION("""COMPUTED_VALUE"""),"ALLYSIA LIFESCIENCES P LTD")</f>
        <v>ALLYSIA LIFESCIENCES P LTD</v>
      </c>
    </row>
    <row r="216" ht="16.5" customHeight="1">
      <c r="H216" s="1" t="str">
        <f>IFERROR(__xludf.DUMMYFUNCTION("""COMPUTED_VALUE"""),"Almet Corporation Ltd")</f>
        <v>Almet Corporation Ltd</v>
      </c>
    </row>
    <row r="217" ht="16.5" customHeight="1">
      <c r="H217" s="1" t="str">
        <f>IFERROR(__xludf.DUMMYFUNCTION("""COMPUTED_VALUE"""),"ALNA BIOTECH PVT LTD")</f>
        <v>ALNA BIOTECH PVT LTD</v>
      </c>
    </row>
    <row r="218" ht="16.5" customHeight="1">
      <c r="H218" s="1" t="str">
        <f>IFERROR(__xludf.DUMMYFUNCTION("""COMPUTED_VALUE"""),"ALNICH (ENTERICO)")</f>
        <v>ALNICH (ENTERICO)</v>
      </c>
    </row>
    <row r="219" ht="16.5" customHeight="1">
      <c r="H219" s="1" t="str">
        <f>IFERROR(__xludf.DUMMYFUNCTION("""COMPUTED_VALUE"""),"ALNICHE LIFE SCIENCES PVT LTD")</f>
        <v>ALNICHE LIFE SCIENCES PVT LTD</v>
      </c>
    </row>
    <row r="220" ht="16.5" customHeight="1">
      <c r="H220" s="1" t="str">
        <f>IFERROR(__xludf.DUMMYFUNCTION("""COMPUTED_VALUE"""),"ALNICHE LIFESCIENCES (CRITICAL CARE)")</f>
        <v>ALNICHE LIFESCIENCES (CRITICAL CARE)</v>
      </c>
    </row>
    <row r="221" ht="16.5" customHeight="1">
      <c r="H221" s="1" t="str">
        <f>IFERROR(__xludf.DUMMYFUNCTION("""COMPUTED_VALUE"""),"ALNICHE LIFESCIENCES (GASTRO)")</f>
        <v>ALNICHE LIFESCIENCES (GASTRO)</v>
      </c>
    </row>
    <row r="222" ht="16.5" customHeight="1">
      <c r="H222" s="1" t="str">
        <f>IFERROR(__xludf.DUMMYFUNCTION("""COMPUTED_VALUE"""),"ALNICHE LIFESCIENCES (NEPHRO)")</f>
        <v>ALNICHE LIFESCIENCES (NEPHRO)</v>
      </c>
    </row>
    <row r="223" ht="16.5" customHeight="1">
      <c r="H223" s="1" t="str">
        <f>IFERROR(__xludf.DUMMYFUNCTION("""COMPUTED_VALUE"""),"ALNICHE LIFESCIENCES (ORAL SOLIDS)")</f>
        <v>ALNICHE LIFESCIENCES (ORAL SOLIDS)</v>
      </c>
    </row>
    <row r="224" ht="16.5" customHeight="1">
      <c r="H224" s="1" t="str">
        <f>IFERROR(__xludf.DUMMYFUNCTION("""COMPUTED_VALUE"""),"ALNICHE LIFESCIENCES (ORICO)")</f>
        <v>ALNICHE LIFESCIENCES (ORICO)</v>
      </c>
    </row>
    <row r="225" ht="16.5" customHeight="1">
      <c r="H225" s="1" t="str">
        <f>IFERROR(__xludf.DUMMYFUNCTION("""COMPUTED_VALUE"""),"ALPA LABORATORIES")</f>
        <v>ALPA LABORATORIES</v>
      </c>
    </row>
    <row r="226" ht="16.5" customHeight="1">
      <c r="H226" s="1" t="str">
        <f>IFERROR(__xludf.DUMMYFUNCTION("""COMPUTED_VALUE"""),"ALPIC BIOTECH")</f>
        <v>ALPIC BIOTECH</v>
      </c>
    </row>
    <row r="227" ht="16.5" customHeight="1">
      <c r="H227" s="1" t="str">
        <f>IFERROR(__xludf.DUMMYFUNCTION("""COMPUTED_VALUE"""),"ALSUN PHARMA")</f>
        <v>ALSUN PHARMA</v>
      </c>
    </row>
    <row r="228" ht="16.5" customHeight="1">
      <c r="H228" s="1" t="str">
        <f>IFERROR(__xludf.DUMMYFUNCTION("""COMPUTED_VALUE"""),"ALTEUS BIOGENICS")</f>
        <v>ALTEUS BIOGENICS</v>
      </c>
    </row>
    <row r="229" ht="16.5" customHeight="1">
      <c r="H229" s="1" t="str">
        <f>IFERROR(__xludf.DUMMYFUNCTION("""COMPUTED_VALUE"""),"ALTEZA EXIM")</f>
        <v>ALTEZA EXIM</v>
      </c>
    </row>
    <row r="230" ht="16.5" customHeight="1">
      <c r="H230" s="1" t="str">
        <f>IFERROR(__xludf.DUMMYFUNCTION("""COMPUTED_VALUE"""),"ALTIS PHARMA")</f>
        <v>ALTIS PHARMA</v>
      </c>
    </row>
    <row r="231" ht="16.5" customHeight="1">
      <c r="H231" s="1" t="str">
        <f>IFERROR(__xludf.DUMMYFUNCTION("""COMPUTED_VALUE"""),"ALTON BIOSCIENCES PVT LTD")</f>
        <v>ALTON BIOSCIENCES PVT LTD</v>
      </c>
    </row>
    <row r="232" ht="16.5" customHeight="1">
      <c r="H232" s="1" t="str">
        <f>IFERROR(__xludf.DUMMYFUNCTION("""COMPUTED_VALUE"""),"ALVIN WILLCURE")</f>
        <v>ALVIN WILLCURE</v>
      </c>
    </row>
    <row r="233" ht="16.5" customHeight="1">
      <c r="H233" s="1" t="str">
        <f>IFERROR(__xludf.DUMMYFUNCTION("""COMPUTED_VALUE"""),"ALVIO PHARMACEUTICALS")</f>
        <v>ALVIO PHARMACEUTICALS</v>
      </c>
    </row>
    <row r="234" ht="16.5" customHeight="1">
      <c r="H234" s="1" t="str">
        <f>IFERROR(__xludf.DUMMYFUNCTION("""COMPUTED_VALUE"""),"ALVIS MEDI  SYNTHESIS PVT LTD")</f>
        <v>ALVIS MEDI  SYNTHESIS PVT LTD</v>
      </c>
    </row>
    <row r="235" ht="16.5" customHeight="1">
      <c r="H235" s="1" t="str">
        <f>IFERROR(__xludf.DUMMYFUNCTION("""COMPUTED_VALUE"""),"ALVISTA BIOSCIENCES PVT LTD")</f>
        <v>ALVISTA BIOSCIENCES PVT LTD</v>
      </c>
    </row>
    <row r="236" ht="16.5" customHeight="1">
      <c r="H236" s="1" t="str">
        <f>IFERROR(__xludf.DUMMYFUNCTION("""COMPUTED_VALUE"""),"AMARANTHA AYURVEDA")</f>
        <v>AMARANTHA AYURVEDA</v>
      </c>
    </row>
    <row r="237" ht="16.5" customHeight="1">
      <c r="H237" s="1" t="str">
        <f>IFERROR(__xludf.DUMMYFUNCTION("""COMPUTED_VALUE"""),"AMAZEN PHARMACEUTICALS")</f>
        <v>AMAZEN PHARMACEUTICALS</v>
      </c>
    </row>
    <row r="238" ht="16.5" customHeight="1">
      <c r="H238" s="1" t="str">
        <f>IFERROR(__xludf.DUMMYFUNCTION("""COMPUTED_VALUE"""),"AMAZING RESEARCH LABORATORIES LTD")</f>
        <v>AMAZING RESEARCH LABORATORIES LTD</v>
      </c>
    </row>
    <row r="239" ht="16.5" customHeight="1">
      <c r="H239" s="1" t="str">
        <f>IFERROR(__xludf.DUMMYFUNCTION("""COMPUTED_VALUE"""),"AMBIC AAYURCHEM, ROORKE")</f>
        <v>AMBIC AAYURCHEM, ROORKE</v>
      </c>
    </row>
    <row r="240" ht="16.5" customHeight="1">
      <c r="H240" s="1" t="str">
        <f>IFERROR(__xludf.DUMMYFUNCTION("""COMPUTED_VALUE"""),"AMBIC AYURVED INDIA P LTD")</f>
        <v>AMBIC AYURVED INDIA P LTD</v>
      </c>
    </row>
    <row r="241" ht="16.5" customHeight="1">
      <c r="H241" s="1" t="str">
        <f>IFERROR(__xludf.DUMMYFUNCTION("""COMPUTED_VALUE"""),"AMBIT BIOMEDIX")</f>
        <v>AMBIT BIOMEDIX</v>
      </c>
    </row>
    <row r="242" ht="16.5" customHeight="1">
      <c r="H242" s="1" t="str">
        <f>IFERROR(__xludf.DUMMYFUNCTION("""COMPUTED_VALUE"""),"AMBROSIA DRUGS")</f>
        <v>AMBROSIA DRUGS</v>
      </c>
    </row>
    <row r="243" ht="16.5" customHeight="1">
      <c r="H243" s="1" t="str">
        <f>IFERROR(__xludf.DUMMYFUNCTION("""COMPUTED_VALUE"""),"AMCO HERBALS P LTD")</f>
        <v>AMCO HERBALS P LTD</v>
      </c>
    </row>
    <row r="244" ht="16.5" customHeight="1">
      <c r="H244" s="1" t="str">
        <f>IFERROR(__xludf.DUMMYFUNCTION("""COMPUTED_VALUE"""),"AMEND")</f>
        <v>AMEND</v>
      </c>
    </row>
    <row r="245" ht="16.5" customHeight="1">
      <c r="H245" s="1" t="str">
        <f>IFERROR(__xludf.DUMMYFUNCTION("""COMPUTED_VALUE"""),"AMENTUS HEALTHCARE")</f>
        <v>AMENTUS HEALTHCARE</v>
      </c>
    </row>
    <row r="246" ht="16.5" customHeight="1">
      <c r="H246" s="1" t="str">
        <f>IFERROR(__xludf.DUMMYFUNCTION("""COMPUTED_VALUE"""),"AMERICAN REMEDIES")</f>
        <v>AMERICAN REMEDIES</v>
      </c>
    </row>
    <row r="247" ht="16.5" customHeight="1">
      <c r="H247" s="1" t="str">
        <f>IFERROR(__xludf.DUMMYFUNCTION("""COMPUTED_VALUE"""),"AMI CARE PHARMACEUTICALS")</f>
        <v>AMI CARE PHARMACEUTICALS</v>
      </c>
    </row>
    <row r="248" ht="16.5" customHeight="1">
      <c r="H248" s="1" t="str">
        <f>IFERROR(__xludf.DUMMYFUNCTION("""COMPUTED_VALUE"""),"AMICURES RESEARCH PVT LTD")</f>
        <v>AMICURES RESEARCH PVT LTD</v>
      </c>
    </row>
    <row r="249" ht="16.5" customHeight="1">
      <c r="H249" s="1" t="str">
        <f>IFERROR(__xludf.DUMMYFUNCTION("""COMPUTED_VALUE"""),"AMORGOS HEALTHCARE PVT LTD")</f>
        <v>AMORGOS HEALTHCARE PVT LTD</v>
      </c>
    </row>
    <row r="250" ht="16.5" customHeight="1">
      <c r="H250" s="1" t="str">
        <f>IFERROR(__xludf.DUMMYFUNCTION("""COMPUTED_VALUE"""),"AMP ALLKEM MEDICAL PHARMACEUTICALS PVT LTD")</f>
        <v>AMP ALLKEM MEDICAL PHARMACEUTICALS PVT LTD</v>
      </c>
    </row>
    <row r="251" ht="16.5" customHeight="1">
      <c r="H251" s="1" t="str">
        <f>IFERROR(__xludf.DUMMYFUNCTION("""COMPUTED_VALUE"""),"AMPS BIOTECH")</f>
        <v>AMPS BIOTECH</v>
      </c>
    </row>
    <row r="252" ht="16.5" customHeight="1">
      <c r="H252" s="1" t="str">
        <f>IFERROR(__xludf.DUMMYFUNCTION("""COMPUTED_VALUE"""),"AMRA REMEDIES")</f>
        <v>AMRA REMEDIES</v>
      </c>
    </row>
    <row r="253" ht="16.5" customHeight="1">
      <c r="H253" s="1" t="str">
        <f>IFERROR(__xludf.DUMMYFUNCTION("""COMPUTED_VALUE"""),"AMRICON BIOTECH")</f>
        <v>AMRICON BIOTECH</v>
      </c>
    </row>
    <row r="254" ht="16.5" customHeight="1">
      <c r="H254" s="1" t="str">
        <f>IFERROR(__xludf.DUMMYFUNCTION("""COMPUTED_VALUE"""),"AMRITDHARA PHARMACY")</f>
        <v>AMRITDHARA PHARMACY</v>
      </c>
    </row>
    <row r="255" ht="16.5" customHeight="1">
      <c r="H255" s="1" t="str">
        <f>IFERROR(__xludf.DUMMYFUNCTION("""COMPUTED_VALUE"""),"AMRUT DRUG RESEARCH LAB")</f>
        <v>AMRUT DRUG RESEARCH LAB</v>
      </c>
    </row>
    <row r="256" ht="16.5" customHeight="1">
      <c r="H256" s="1" t="str">
        <f>IFERROR(__xludf.DUMMYFUNCTION("""COMPUTED_VALUE"""),"AMRUTANJAN HEALTH CARE LIMITED")</f>
        <v>AMRUTANJAN HEALTH CARE LIMITED</v>
      </c>
    </row>
    <row r="257" ht="16.5" customHeight="1">
      <c r="H257" s="1" t="str">
        <f>IFERROR(__xludf.DUMMYFUNCTION("""COMPUTED_VALUE"""),"ANANJAY PHARMACEUTICALS PVT LTD")</f>
        <v>ANANJAY PHARMACEUTICALS PVT LTD</v>
      </c>
    </row>
    <row r="258" ht="16.5" customHeight="1">
      <c r="H258" s="1" t="str">
        <f>IFERROR(__xludf.DUMMYFUNCTION("""COMPUTED_VALUE"""),"ANCHOR PHARMA PVT LTD")</f>
        <v>ANCHOR PHARMA PVT LTD</v>
      </c>
    </row>
    <row r="259" ht="16.5" customHeight="1">
      <c r="H259" s="1" t="str">
        <f>IFERROR(__xludf.DUMMYFUNCTION("""COMPUTED_VALUE"""),"ANDRE LABORATORIES")</f>
        <v>ANDRE LABORATORIES</v>
      </c>
    </row>
    <row r="260" ht="16.5" customHeight="1">
      <c r="H260" s="1" t="str">
        <f>IFERROR(__xludf.DUMMYFUNCTION("""COMPUTED_VALUE"""),"ANDROMEDA PHARMACEUTICALS")</f>
        <v>ANDROMEDA PHARMACEUTICALS</v>
      </c>
    </row>
    <row r="261" ht="16.5" customHeight="1">
      <c r="H261" s="1" t="str">
        <f>IFERROR(__xludf.DUMMYFUNCTION("""COMPUTED_VALUE"""),"ANDROMEDA PHARMACEUTICALS PVT LTD")</f>
        <v>ANDROMEDA PHARMACEUTICALS PVT LTD</v>
      </c>
    </row>
    <row r="262" ht="16.5" customHeight="1">
      <c r="H262" s="1" t="str">
        <f>IFERROR(__xludf.DUMMYFUNCTION("""COMPUTED_VALUE"""),"ANDY PHARMA")</f>
        <v>ANDY PHARMA</v>
      </c>
    </row>
    <row r="263" ht="16.5" customHeight="1">
      <c r="H263" s="1" t="str">
        <f>IFERROR(__xludf.DUMMYFUNCTION("""COMPUTED_VALUE"""),"ANG LIFESCIENCES INDIA LTD")</f>
        <v>ANG LIFESCIENCES INDIA LTD</v>
      </c>
    </row>
    <row r="264" ht="16.5" customHeight="1">
      <c r="H264" s="1" t="str">
        <f>IFERROR(__xludf.DUMMYFUNCTION("""COMPUTED_VALUE"""),"ANGIOLIFE HEALTHCARE PVT LTD")</f>
        <v>ANGIOLIFE HEALTHCARE PVT LTD</v>
      </c>
    </row>
    <row r="265" ht="16.5" customHeight="1">
      <c r="H265" s="1" t="str">
        <f>IFERROR(__xludf.DUMMYFUNCTION("""COMPUTED_VALUE"""),"Anglo French Drugs (BONA FIDA)")</f>
        <v>Anglo French Drugs (BONA FIDA)</v>
      </c>
    </row>
    <row r="266" ht="16.5" customHeight="1">
      <c r="H266" s="1" t="str">
        <f>IFERROR(__xludf.DUMMYFUNCTION("""COMPUTED_VALUE"""),"ANGLO FRENCH DRUGS (NUTRALOGICX)")</f>
        <v>ANGLO FRENCH DRUGS (NUTRALOGICX)</v>
      </c>
    </row>
    <row r="267" ht="16.5" customHeight="1">
      <c r="H267" s="1" t="str">
        <f>IFERROR(__xludf.DUMMYFUNCTION("""COMPUTED_VALUE"""),"ANGLO FRENCH DRUGS (TRUE CARE)")</f>
        <v>ANGLO FRENCH DRUGS (TRUE CARE)</v>
      </c>
    </row>
    <row r="268" ht="16.5" customHeight="1">
      <c r="H268" s="1" t="str">
        <f>IFERROR(__xludf.DUMMYFUNCTION("""COMPUTED_VALUE"""),"ANGLO SWIFT")</f>
        <v>ANGLO SWIFT</v>
      </c>
    </row>
    <row r="269" ht="16.5" customHeight="1">
      <c r="H269" s="1" t="str">
        <f>IFERROR(__xludf.DUMMYFUNCTION("""COMPUTED_VALUE"""),"Anglo-French Drugs &amp; Industries Ltd")</f>
        <v>Anglo-French Drugs &amp; Industries Ltd</v>
      </c>
    </row>
    <row r="270" ht="16.5" customHeight="1">
      <c r="H270" s="1" t="str">
        <f>IFERROR(__xludf.DUMMYFUNCTION("""COMPUTED_VALUE"""),"ANGLO-INDIAN PHARMACEUTICALS")</f>
        <v>ANGLO-INDIAN PHARMACEUTICALS</v>
      </c>
    </row>
    <row r="271" ht="16.5" customHeight="1">
      <c r="H271" s="1" t="str">
        <f>IFERROR(__xludf.DUMMYFUNCTION("""COMPUTED_VALUE"""),"ANIL AYURVED BHAWAN")</f>
        <v>ANIL AYURVED BHAWAN</v>
      </c>
    </row>
    <row r="272" ht="16.5" customHeight="1">
      <c r="H272" s="1" t="str">
        <f>IFERROR(__xludf.DUMMYFUNCTION("""COMPUTED_VALUE"""),"ANIYA PHARACEUTICAL PVT LTD")</f>
        <v>ANIYA PHARACEUTICAL PVT LTD</v>
      </c>
    </row>
    <row r="273" ht="16.5" customHeight="1">
      <c r="H273" s="1" t="str">
        <f>IFERROR(__xludf.DUMMYFUNCTION("""COMPUTED_VALUE"""),"ANJANI PHARMACEUTICALS")</f>
        <v>ANJANI PHARMACEUTICALS</v>
      </c>
    </row>
    <row r="274" ht="16.5" customHeight="1">
      <c r="H274" s="1" t="str">
        <f>IFERROR(__xludf.DUMMYFUNCTION("""COMPUTED_VALUE"""),"ANJU PHARMA")</f>
        <v>ANJU PHARMA</v>
      </c>
    </row>
    <row r="275" ht="16.5" customHeight="1">
      <c r="H275" s="1" t="str">
        <f>IFERROR(__xludf.DUMMYFUNCTION("""COMPUTED_VALUE"""),"ANKUR")</f>
        <v>ANKUR</v>
      </c>
    </row>
    <row r="276" ht="16.5" customHeight="1">
      <c r="H276" s="1" t="str">
        <f>IFERROR(__xludf.DUMMYFUNCTION("""COMPUTED_VALUE"""),"ANSELL LTD")</f>
        <v>ANSELL LTD</v>
      </c>
    </row>
    <row r="277" ht="16.5" customHeight="1">
      <c r="H277" s="1" t="str">
        <f>IFERROR(__xludf.DUMMYFUNCTION("""COMPUTED_VALUE"""),"ANSH HEALTHCARE")</f>
        <v>ANSH HEALTHCARE</v>
      </c>
    </row>
    <row r="278" ht="16.5" customHeight="1">
      <c r="H278" s="1" t="str">
        <f>IFERROR(__xludf.DUMMYFUNCTION("""COMPUTED_VALUE"""),"ANSIL PHARMA")</f>
        <v>ANSIL PHARMA</v>
      </c>
    </row>
    <row r="279" ht="16.5" customHeight="1">
      <c r="H279" s="1" t="str">
        <f>IFERROR(__xludf.DUMMYFUNCTION("""COMPUTED_VALUE"""),"ANTHEM BIOPHARMA")</f>
        <v>ANTHEM BIOPHARMA</v>
      </c>
    </row>
    <row r="280" ht="16.5" customHeight="1">
      <c r="H280" s="1" t="str">
        <f>IFERROR(__xludf.DUMMYFUNCTION("""COMPUTED_VALUE"""),"ANTILA")</f>
        <v>ANTILA</v>
      </c>
    </row>
    <row r="281" ht="16.5" customHeight="1">
      <c r="H281" s="1" t="str">
        <f>IFERROR(__xludf.DUMMYFUNCTION("""COMPUTED_VALUE"""),"ANVICURE DRUGS")</f>
        <v>ANVICURE DRUGS</v>
      </c>
    </row>
    <row r="282" ht="16.5" customHeight="1">
      <c r="H282" s="1" t="str">
        <f>IFERROR(__xludf.DUMMYFUNCTION("""COMPUTED_VALUE"""),"APEX FORMULATIONS PVT LTD")</f>
        <v>APEX FORMULATIONS PVT LTD</v>
      </c>
    </row>
    <row r="283" ht="16.5" customHeight="1">
      <c r="H283" s="1" t="str">
        <f>IFERROR(__xludf.DUMMYFUNCTION("""COMPUTED_VALUE"""),"APEX LABORATORIES (CIDIS)")</f>
        <v>APEX LABORATORIES (CIDIS)</v>
      </c>
    </row>
    <row r="284" ht="16.5" customHeight="1">
      <c r="H284" s="1" t="str">
        <f>IFERROR(__xludf.DUMMYFUNCTION("""COMPUTED_VALUE"""),"APEX LABORATORIES (DERMA)")</f>
        <v>APEX LABORATORIES (DERMA)</v>
      </c>
    </row>
    <row r="285" ht="16.5" customHeight="1">
      <c r="H285" s="1" t="str">
        <f>IFERROR(__xludf.DUMMYFUNCTION("""COMPUTED_VALUE"""),"APEX LABORATORIES (MAIN)")</f>
        <v>APEX LABORATORIES (MAIN)</v>
      </c>
    </row>
    <row r="286" ht="16.5" customHeight="1">
      <c r="H286" s="1" t="str">
        <f>IFERROR(__xludf.DUMMYFUNCTION("""COMPUTED_VALUE"""),"APEX LABORATORIES (SKINNOVA)")</f>
        <v>APEX LABORATORIES (SKINNOVA)</v>
      </c>
    </row>
    <row r="287" ht="16.5" customHeight="1">
      <c r="H287" s="1" t="str">
        <f>IFERROR(__xludf.DUMMYFUNCTION("""COMPUTED_VALUE"""),"Apex Laboratories Pvt Ltd")</f>
        <v>Apex Laboratories Pvt Ltd</v>
      </c>
    </row>
    <row r="288" ht="16.5" customHeight="1">
      <c r="H288" s="1" t="str">
        <f>IFERROR(__xludf.DUMMYFUNCTION("""COMPUTED_VALUE"""),"APHALI PHARMACEUTICALS LTD")</f>
        <v>APHALI PHARMACEUTICALS LTD</v>
      </c>
    </row>
    <row r="289" ht="16.5" customHeight="1">
      <c r="H289" s="1" t="str">
        <f>IFERROR(__xludf.DUMMYFUNCTION("""COMPUTED_VALUE"""),"APICAL HELTH CARE PVT LTD")</f>
        <v>APICAL HELTH CARE PVT LTD</v>
      </c>
    </row>
    <row r="290" ht="16.5" customHeight="1">
      <c r="H290" s="1" t="str">
        <f>IFERROR(__xludf.DUMMYFUNCTION("""COMPUTED_VALUE"""),"Apostle Remedies")</f>
        <v>Apostle Remedies</v>
      </c>
    </row>
    <row r="291" ht="16.5" customHeight="1">
      <c r="H291" s="1" t="str">
        <f>IFERROR(__xludf.DUMMYFUNCTION("""COMPUTED_VALUE"""),"APPASAMY OCULAR DEVICE PVT LTD")</f>
        <v>APPASAMY OCULAR DEVICE PVT LTD</v>
      </c>
    </row>
    <row r="292" ht="16.5" customHeight="1">
      <c r="H292" s="1" t="str">
        <f>IFERROR(__xludf.DUMMYFUNCTION("""COMPUTED_VALUE"""),"APPENA P LTD")</f>
        <v>APPENA P LTD</v>
      </c>
    </row>
    <row r="293" ht="16.5" customHeight="1">
      <c r="H293" s="1" t="str">
        <f>IFERROR(__xludf.DUMMYFUNCTION("""COMPUTED_VALUE"""),"APPLE BIOTECH")</f>
        <v>APPLE BIOTECH</v>
      </c>
    </row>
    <row r="294" ht="16.5" customHeight="1">
      <c r="H294" s="1" t="str">
        <f>IFERROR(__xludf.DUMMYFUNCTION("""COMPUTED_VALUE"""),"APPLE MEDICORP")</f>
        <v>APPLE MEDICORP</v>
      </c>
    </row>
    <row r="295" ht="16.5" customHeight="1">
      <c r="H295" s="1" t="str">
        <f>IFERROR(__xludf.DUMMYFUNCTION("""COMPUTED_VALUE"""),"APPLE THERAPEUTICS")</f>
        <v>APPLE THERAPEUTICS</v>
      </c>
    </row>
    <row r="296" ht="16.5" customHeight="1">
      <c r="H296" s="1" t="str">
        <f>IFERROR(__xludf.DUMMYFUNCTION("""COMPUTED_VALUE"""),"APPLIED PHARMA RESEARCH")</f>
        <v>APPLIED PHARMA RESEARCH</v>
      </c>
    </row>
    <row r="297" ht="16.5" customHeight="1">
      <c r="H297" s="1" t="str">
        <f>IFERROR(__xludf.DUMMYFUNCTION("""COMPUTED_VALUE"""),"APRICA (PULSE)")</f>
        <v>APRICA (PULSE)</v>
      </c>
    </row>
    <row r="298" ht="16.5" customHeight="1">
      <c r="H298" s="1" t="str">
        <f>IFERROR(__xludf.DUMMYFUNCTION("""COMPUTED_VALUE"""),"Aprica Pharmaceuticals Pvt Ltd")</f>
        <v>Aprica Pharmaceuticals Pvt Ltd</v>
      </c>
    </row>
    <row r="299" ht="16.5" customHeight="1">
      <c r="H299" s="1" t="str">
        <f>IFERROR(__xludf.DUMMYFUNCTION("""COMPUTED_VALUE"""),"AQUILA LABS")</f>
        <v>AQUILA LABS</v>
      </c>
    </row>
    <row r="300" ht="16.5" customHeight="1">
      <c r="H300" s="1" t="str">
        <f>IFERROR(__xludf.DUMMYFUNCTION("""COMPUTED_VALUE"""),"AQUINNOVA PHARMACEUTICAL PVT LTD")</f>
        <v>AQUINNOVA PHARMACEUTICAL PVT LTD</v>
      </c>
    </row>
    <row r="301" ht="16.5" customHeight="1">
      <c r="H301" s="1" t="str">
        <f>IFERROR(__xludf.DUMMYFUNCTION("""COMPUTED_VALUE"""),"AQUNOVA PHARMA PVT LTD")</f>
        <v>AQUNOVA PHARMA PVT LTD</v>
      </c>
    </row>
    <row r="302" ht="16.5" customHeight="1">
      <c r="H302" s="1" t="str">
        <f>IFERROR(__xludf.DUMMYFUNCTION("""COMPUTED_VALUE"""),"Ar-Ex Laboratories Pvt Ltd")</f>
        <v>Ar-Ex Laboratories Pvt Ltd</v>
      </c>
    </row>
    <row r="303" ht="16.5" customHeight="1">
      <c r="H303" s="1" t="str">
        <f>IFERROR(__xludf.DUMMYFUNCTION("""COMPUTED_VALUE"""),"ARBRO PHARMA")</f>
        <v>ARBRO PHARMA</v>
      </c>
    </row>
    <row r="304" ht="16.5" customHeight="1">
      <c r="H304" s="1" t="str">
        <f>IFERROR(__xludf.DUMMYFUNCTION("""COMPUTED_VALUE"""),"ARC PHARMACEUTICALS")</f>
        <v>ARC PHARMACEUTICALS</v>
      </c>
    </row>
    <row r="305" ht="16.5" customHeight="1">
      <c r="H305" s="1" t="str">
        <f>IFERROR(__xludf.DUMMYFUNCTION("""COMPUTED_VALUE"""),"ARCH LABORATORIES")</f>
        <v>ARCH LABORATORIES</v>
      </c>
    </row>
    <row r="306" ht="16.5" customHeight="1">
      <c r="H306" s="1" t="str">
        <f>IFERROR(__xludf.DUMMYFUNCTION("""COMPUTED_VALUE"""),"ARCHI CARE")</f>
        <v>ARCHI CARE</v>
      </c>
    </row>
    <row r="307" ht="16.5" customHeight="1">
      <c r="H307" s="1" t="str">
        <f>IFERROR(__xludf.DUMMYFUNCTION("""COMPUTED_VALUE"""),"ARCO PHARMA")</f>
        <v>ARCO PHARMA</v>
      </c>
    </row>
    <row r="308" ht="16.5" customHeight="1">
      <c r="H308" s="1" t="str">
        <f>IFERROR(__xludf.DUMMYFUNCTION("""COMPUTED_VALUE"""),"ARDENT LIFE SCIENCES")</f>
        <v>ARDENT LIFE SCIENCES</v>
      </c>
    </row>
    <row r="309" ht="16.5" customHeight="1">
      <c r="H309" s="1" t="str">
        <f>IFERROR(__xludf.DUMMYFUNCTION("""COMPUTED_VALUE"""),"ARINNA (ALANZA)")</f>
        <v>ARINNA (ALANZA)</v>
      </c>
    </row>
    <row r="310" ht="16.5" customHeight="1">
      <c r="H310" s="1" t="str">
        <f>IFERROR(__xludf.DUMMYFUNCTION("""COMPUTED_VALUE"""),"ARINNA (ALEXA)")</f>
        <v>ARINNA (ALEXA)</v>
      </c>
    </row>
    <row r="311" ht="16.5" customHeight="1">
      <c r="H311" s="1" t="str">
        <f>IFERROR(__xludf.DUMMYFUNCTION("""COMPUTED_VALUE"""),"ARINNA (ARISSA)")</f>
        <v>ARINNA (ARISSA)</v>
      </c>
    </row>
    <row r="312" ht="16.5" customHeight="1">
      <c r="H312" s="1" t="str">
        <f>IFERROR(__xludf.DUMMYFUNCTION("""COMPUTED_VALUE"""),"Arinna Lifescience Pvt Ltd")</f>
        <v>Arinna Lifescience Pvt Ltd</v>
      </c>
    </row>
    <row r="313" ht="16.5" customHeight="1">
      <c r="H313" s="1" t="str">
        <f>IFERROR(__xludf.DUMMYFUNCTION("""COMPUTED_VALUE"""),"ARION HEALTHCARE")</f>
        <v>ARION HEALTHCARE</v>
      </c>
    </row>
    <row r="314" ht="16.5" customHeight="1">
      <c r="H314" s="1" t="str">
        <f>IFERROR(__xludf.DUMMYFUNCTION("""COMPUTED_VALUE"""),"ARISTO (GENETICA)")</f>
        <v>ARISTO (GENETICA)</v>
      </c>
    </row>
    <row r="315" ht="16.5" customHeight="1">
      <c r="H315" s="1" t="str">
        <f>IFERROR(__xludf.DUMMYFUNCTION("""COMPUTED_VALUE"""),"ARISTO (MF1)")</f>
        <v>ARISTO (MF1)</v>
      </c>
    </row>
    <row r="316" ht="16.5" customHeight="1">
      <c r="H316" s="1" t="str">
        <f>IFERROR(__xludf.DUMMYFUNCTION("""COMPUTED_VALUE"""),"ARISTO (MF2)")</f>
        <v>ARISTO (MF2)</v>
      </c>
    </row>
    <row r="317" ht="16.5" customHeight="1">
      <c r="H317" s="1" t="str">
        <f>IFERROR(__xludf.DUMMYFUNCTION("""COMPUTED_VALUE"""),"ARISTO (MF3)")</f>
        <v>ARISTO (MF3)</v>
      </c>
    </row>
    <row r="318" ht="16.5" customHeight="1">
      <c r="H318" s="1" t="str">
        <f>IFERROR(__xludf.DUMMYFUNCTION("""COMPUTED_VALUE"""),"ARISTO (MF4)")</f>
        <v>ARISTO (MF4)</v>
      </c>
    </row>
    <row r="319" ht="16.5" customHeight="1">
      <c r="H319" s="1" t="str">
        <f>IFERROR(__xludf.DUMMYFUNCTION("""COMPUTED_VALUE"""),"ARISTO (OTSIRA)")</f>
        <v>ARISTO (OTSIRA)</v>
      </c>
    </row>
    <row r="320" ht="16.5" customHeight="1">
      <c r="H320" s="1" t="str">
        <f>IFERROR(__xludf.DUMMYFUNCTION("""COMPUTED_VALUE"""),"ARISTO (TF)")</f>
        <v>ARISTO (TF)</v>
      </c>
    </row>
    <row r="321" ht="16.5" customHeight="1">
      <c r="H321" s="1" t="str">
        <f>IFERROR(__xludf.DUMMYFUNCTION("""COMPUTED_VALUE"""),"Aristo Pharmaceuticals Pvt Ltd")</f>
        <v>Aristo Pharmaceuticals Pvt Ltd</v>
      </c>
    </row>
    <row r="322" ht="16.5" customHeight="1">
      <c r="H322" s="1" t="str">
        <f>IFERROR(__xludf.DUMMYFUNCTION("""COMPUTED_VALUE"""),"ARIUS HEALTHCARE")</f>
        <v>ARIUS HEALTHCARE</v>
      </c>
    </row>
    <row r="323" ht="16.5" customHeight="1">
      <c r="H323" s="1" t="str">
        <f>IFERROR(__xludf.DUMMYFUNCTION("""COMPUTED_VALUE"""),"ARMOUR FORMULATION")</f>
        <v>ARMOUR FORMULATION</v>
      </c>
    </row>
    <row r="324" ht="16.5" customHeight="1">
      <c r="H324" s="1" t="str">
        <f>IFERROR(__xludf.DUMMYFUNCTION("""COMPUTED_VALUE"""),"AROHAN PHARMACEUTICALS")</f>
        <v>AROHAN PHARMACEUTICALS</v>
      </c>
    </row>
    <row r="325" ht="16.5" customHeight="1">
      <c r="H325" s="1" t="str">
        <f>IFERROR(__xludf.DUMMYFUNCTION("""COMPUTED_VALUE"""),"ARONEX  LIFESCIENCES")</f>
        <v>ARONEX  LIFESCIENCES</v>
      </c>
    </row>
    <row r="326" ht="16.5" customHeight="1">
      <c r="H326" s="1" t="str">
        <f>IFERROR(__xludf.DUMMYFUNCTION("""COMPUTED_VALUE"""),"Aronex Life Sciences Pvt. Ltd.")</f>
        <v>Aronex Life Sciences Pvt. Ltd.</v>
      </c>
    </row>
    <row r="327" ht="16.5" customHeight="1">
      <c r="H327" s="1" t="str">
        <f>IFERROR(__xludf.DUMMYFUNCTION("""COMPUTED_VALUE"""),"ARRIENT (ORENDA)")</f>
        <v>ARRIENT (ORENDA)</v>
      </c>
    </row>
    <row r="328" ht="16.5" customHeight="1">
      <c r="H328" s="1" t="str">
        <f>IFERROR(__xludf.DUMMYFUNCTION("""COMPUTED_VALUE"""),"ARRIENT HEALTHCARE")</f>
        <v>ARRIENT HEALTHCARE</v>
      </c>
    </row>
    <row r="329" ht="16.5" customHeight="1">
      <c r="H329" s="1" t="str">
        <f>IFERROR(__xludf.DUMMYFUNCTION("""COMPUTED_VALUE"""),"ARROPHAR HEALTHCARE")</f>
        <v>ARROPHAR HEALTHCARE</v>
      </c>
    </row>
    <row r="330" ht="16.5" customHeight="1">
      <c r="H330" s="1" t="str">
        <f>IFERROR(__xludf.DUMMYFUNCTION("""COMPUTED_VALUE"""),"ARROW PHARMA")</f>
        <v>ARROW PHARMA</v>
      </c>
    </row>
    <row r="331" ht="16.5" customHeight="1">
      <c r="H331" s="1" t="str">
        <f>IFERROR(__xludf.DUMMYFUNCTION("""COMPUTED_VALUE"""),"ARROWIN PHARMACEUTICALS")</f>
        <v>ARROWIN PHARMACEUTICALS</v>
      </c>
    </row>
    <row r="332" ht="16.5" customHeight="1">
      <c r="H332" s="1" t="str">
        <f>IFERROR(__xludf.DUMMYFUNCTION("""COMPUTED_VALUE"""),"ARTHUS WELLNESS INDIA P LTD")</f>
        <v>ARTHUS WELLNESS INDIA P LTD</v>
      </c>
    </row>
    <row r="333" ht="16.5" customHeight="1">
      <c r="H333" s="1" t="str">
        <f>IFERROR(__xludf.DUMMYFUNCTION("""COMPUTED_VALUE"""),"ARTI PHARMACEUTICALS &amp; CHEMICALS")</f>
        <v>ARTI PHARMACEUTICALS &amp; CHEMICALS</v>
      </c>
    </row>
    <row r="334" ht="16.5" customHeight="1">
      <c r="H334" s="1" t="str">
        <f>IFERROR(__xludf.DUMMYFUNCTION("""COMPUTED_VALUE"""),"ARUL PHARMETA")</f>
        <v>ARUL PHARMETA</v>
      </c>
    </row>
    <row r="335" ht="16.5" customHeight="1">
      <c r="H335" s="1" t="str">
        <f>IFERROR(__xludf.DUMMYFUNCTION("""COMPUTED_VALUE"""),"ARVIND PHARMACEUTICALS")</f>
        <v>ARVIND PHARMACEUTICALS</v>
      </c>
    </row>
    <row r="336" ht="16.5" customHeight="1">
      <c r="H336" s="1" t="str">
        <f>IFERROR(__xludf.DUMMYFUNCTION("""COMPUTED_VALUE"""),"ARVIND REMEDIES")</f>
        <v>ARVIND REMEDIES</v>
      </c>
    </row>
    <row r="337" ht="16.5" customHeight="1">
      <c r="H337" s="1" t="str">
        <f>IFERROR(__xludf.DUMMYFUNCTION("""COMPUTED_VALUE"""),"ARYA AUSHADHI")</f>
        <v>ARYA AUSHADHI</v>
      </c>
    </row>
    <row r="338" ht="16.5" customHeight="1">
      <c r="H338" s="1" t="str">
        <f>IFERROR(__xludf.DUMMYFUNCTION("""COMPUTED_VALUE"""),"ARYAN LABORATORIES")</f>
        <v>ARYAN LABORATORIES</v>
      </c>
    </row>
    <row r="339" ht="16.5" customHeight="1">
      <c r="H339" s="1" t="str">
        <f>IFERROR(__xludf.DUMMYFUNCTION("""COMPUTED_VALUE"""),"Asclepius Pharmaceuticals Pvt Ltd")</f>
        <v>Asclepius Pharmaceuticals Pvt Ltd</v>
      </c>
    </row>
    <row r="340" ht="16.5" customHeight="1">
      <c r="H340" s="1" t="str">
        <f>IFERROR(__xludf.DUMMYFUNCTION("""COMPUTED_VALUE"""),"ASCORPUS HEALTHCARE")</f>
        <v>ASCORPUS HEALTHCARE</v>
      </c>
    </row>
    <row r="341" ht="16.5" customHeight="1">
      <c r="H341" s="1" t="str">
        <f>IFERROR(__xludf.DUMMYFUNCTION("""COMPUTED_VALUE"""),"ASGARD LABS")</f>
        <v>ASGARD LABS</v>
      </c>
    </row>
    <row r="342" ht="16.5" customHeight="1">
      <c r="H342" s="1" t="str">
        <f>IFERROR(__xludf.DUMMYFUNCTION("""COMPUTED_VALUE"""),"ASHWA HEALTHCARE")</f>
        <v>ASHWA HEALTHCARE</v>
      </c>
    </row>
    <row r="343" ht="16.5" customHeight="1">
      <c r="H343" s="1" t="str">
        <f>IFERROR(__xludf.DUMMYFUNCTION("""COMPUTED_VALUE"""),"ASIAN PHARMACEUTICALS P LTD")</f>
        <v>ASIAN PHARMACEUTICALS P LTD</v>
      </c>
    </row>
    <row r="344" ht="16.5" customHeight="1">
      <c r="H344" s="1" t="str">
        <f>IFERROR(__xludf.DUMMYFUNCTION("""COMPUTED_VALUE"""),"ASKON HEALTHCARE PVT LTD")</f>
        <v>ASKON HEALTHCARE PVT LTD</v>
      </c>
    </row>
    <row r="345" ht="16.5" customHeight="1">
      <c r="H345" s="1" t="str">
        <f>IFERROR(__xludf.DUMMYFUNCTION("""COMPUTED_VALUE"""),"ASOJ SOFT CAPS P LTD")</f>
        <v>ASOJ SOFT CAPS P LTD</v>
      </c>
    </row>
    <row r="346" ht="16.5" customHeight="1">
      <c r="H346" s="1" t="str">
        <f>IFERROR(__xludf.DUMMYFUNCTION("""COMPUTED_VALUE"""),"ASSOCIATED BIOTECH, NALAGAR")</f>
        <v>ASSOCIATED BIOTECH, NALAGAR</v>
      </c>
    </row>
    <row r="347" ht="16.5" customHeight="1">
      <c r="H347" s="1" t="str">
        <f>IFERROR(__xludf.DUMMYFUNCTION("""COMPUTED_VALUE"""),"ASSURE SURGICALS PVT LTD")</f>
        <v>ASSURE SURGICALS PVT LTD</v>
      </c>
    </row>
    <row r="348" ht="16.5" customHeight="1">
      <c r="H348" s="1" t="str">
        <f>IFERROR(__xludf.DUMMYFUNCTION("""COMPUTED_VALUE"""),"ASTALON PHARMA")</f>
        <v>ASTALON PHARMA</v>
      </c>
    </row>
    <row r="349" ht="16.5" customHeight="1">
      <c r="H349" s="1" t="str">
        <f>IFERROR(__xludf.DUMMYFUNCTION("""COMPUTED_VALUE"""),"ASTELLAS PHARMA INDIA")</f>
        <v>ASTELLAS PHARMA INDIA</v>
      </c>
    </row>
    <row r="350" ht="16.5" customHeight="1">
      <c r="H350" s="1" t="str">
        <f>IFERROR(__xludf.DUMMYFUNCTION("""COMPUTED_VALUE"""),"ASTEMAX BIOTECH")</f>
        <v>ASTEMAX BIOTECH</v>
      </c>
    </row>
    <row r="351" ht="16.5" customHeight="1">
      <c r="H351" s="1" t="str">
        <f>IFERROR(__xludf.DUMMYFUNCTION("""COMPUTED_VALUE"""),"ASTER MEDIPHARM P LTD")</f>
        <v>ASTER MEDIPHARM P LTD</v>
      </c>
    </row>
    <row r="352" ht="16.5" customHeight="1">
      <c r="H352" s="1" t="str">
        <f>IFERROR(__xludf.DUMMYFUNCTION("""COMPUTED_VALUE"""),"ASTERISK LABS PVT LTD")</f>
        <v>ASTERISK LABS PVT LTD</v>
      </c>
    </row>
    <row r="353" ht="16.5" customHeight="1">
      <c r="H353" s="1" t="str">
        <f>IFERROR(__xludf.DUMMYFUNCTION("""COMPUTED_VALUE"""),"ASTEROIDS PHARMA")</f>
        <v>ASTEROIDS PHARMA</v>
      </c>
    </row>
    <row r="354" ht="16.5" customHeight="1">
      <c r="H354" s="1" t="str">
        <f>IFERROR(__xludf.DUMMYFUNCTION("""COMPUTED_VALUE"""),"ASTON ORGANICS")</f>
        <v>ASTON ORGANICS</v>
      </c>
    </row>
    <row r="355" ht="16.5" customHeight="1">
      <c r="H355" s="1" t="str">
        <f>IFERROR(__xludf.DUMMYFUNCTION("""COMPUTED_VALUE"""),"Astra Zeneca")</f>
        <v>Astra Zeneca</v>
      </c>
    </row>
    <row r="356" ht="16.5" customHeight="1">
      <c r="H356" s="1" t="str">
        <f>IFERROR(__xludf.DUMMYFUNCTION("""COMPUTED_VALUE"""),"Astra Zeneca (ACS LIFE)")</f>
        <v>Astra Zeneca (ACS LIFE)</v>
      </c>
    </row>
    <row r="357" ht="16.5" customHeight="1">
      <c r="H357" s="1" t="str">
        <f>IFERROR(__xludf.DUMMYFUNCTION("""COMPUTED_VALUE"""),"Astra Zeneca (AZCENT)")</f>
        <v>Astra Zeneca (AZCENT)</v>
      </c>
    </row>
    <row r="358" ht="16.5" customHeight="1">
      <c r="H358" s="1" t="str">
        <f>IFERROR(__xludf.DUMMYFUNCTION("""COMPUTED_VALUE"""),"Astra Zeneca (AZPIRE)")</f>
        <v>Astra Zeneca (AZPIRE)</v>
      </c>
    </row>
    <row r="359" ht="16.5" customHeight="1">
      <c r="H359" s="1" t="str">
        <f>IFERROR(__xludf.DUMMYFUNCTION("""COMPUTED_VALUE"""),"Astra Zeneca (CRESCENT)")</f>
        <v>Astra Zeneca (CRESCENT)</v>
      </c>
    </row>
    <row r="360" ht="16.5" customHeight="1">
      <c r="H360" s="1" t="str">
        <f>IFERROR(__xludf.DUMMYFUNCTION("""COMPUTED_VALUE"""),"Astra Zeneca (DIABITIES)")</f>
        <v>Astra Zeneca (DIABITIES)</v>
      </c>
    </row>
    <row r="361" ht="16.5" customHeight="1">
      <c r="H361" s="1" t="str">
        <f>IFERROR(__xludf.DUMMYFUNCTION("""COMPUTED_VALUE"""),"Astra Zeneca (INFECTION)")</f>
        <v>Astra Zeneca (INFECTION)</v>
      </c>
    </row>
    <row r="362" ht="16.5" customHeight="1">
      <c r="H362" s="1" t="str">
        <f>IFERROR(__xludf.DUMMYFUNCTION("""COMPUTED_VALUE"""),"Astra Zeneca (MHC)")</f>
        <v>Astra Zeneca (MHC)</v>
      </c>
    </row>
    <row r="363" ht="16.5" customHeight="1">
      <c r="H363" s="1" t="str">
        <f>IFERROR(__xludf.DUMMYFUNCTION("""COMPUTED_VALUE"""),"ASTRA-IDL LIMITED")</f>
        <v>ASTRA-IDL LIMITED</v>
      </c>
    </row>
    <row r="364" ht="16.5" customHeight="1">
      <c r="H364" s="1" t="str">
        <f>IFERROR(__xludf.DUMMYFUNCTION("""COMPUTED_VALUE"""),"ASTRONIA LIFE SCIENCES")</f>
        <v>ASTRONIA LIFE SCIENCES</v>
      </c>
    </row>
    <row r="365" ht="16.5" customHeight="1">
      <c r="H365" s="1" t="str">
        <f>IFERROR(__xludf.DUMMYFUNCTION("""COMPUTED_VALUE"""),"ASTRUM HEALTHCARE PVT LTD")</f>
        <v>ASTRUM HEALTHCARE PVT LTD</v>
      </c>
    </row>
    <row r="366" ht="16.5" customHeight="1">
      <c r="H366" s="1" t="str">
        <f>IFERROR(__xludf.DUMMYFUNCTION("""COMPUTED_VALUE"""),"ASWINI HOMEO PHARMACY")</f>
        <v>ASWINI HOMEO PHARMACY</v>
      </c>
    </row>
    <row r="367" ht="16.5" customHeight="1">
      <c r="H367" s="1" t="str">
        <f>IFERROR(__xludf.DUMMYFUNCTION("""COMPUTED_VALUE"""),"ATHARVMEILLEUR HEALTH")</f>
        <v>ATHARVMEILLEUR HEALTH</v>
      </c>
    </row>
    <row r="368" ht="16.5" customHeight="1">
      <c r="H368" s="1" t="str">
        <f>IFERROR(__xludf.DUMMYFUNCTION("""COMPUTED_VALUE"""),"ATHENE LABORATORIES LTD")</f>
        <v>ATHENE LABORATORIES LTD</v>
      </c>
    </row>
    <row r="369" ht="16.5" customHeight="1">
      <c r="H369" s="1" t="str">
        <f>IFERROR(__xludf.DUMMYFUNCTION("""COMPUTED_VALUE"""),"ATHLON MEDIVENTURES")</f>
        <v>ATHLON MEDIVENTURES</v>
      </c>
    </row>
    <row r="370" ht="16.5" customHeight="1">
      <c r="H370" s="1" t="str">
        <f>IFERROR(__xludf.DUMMYFUNCTION("""COMPUTED_VALUE"""),"ATIT PHARMA")</f>
        <v>ATIT PHARMA</v>
      </c>
    </row>
    <row r="371" ht="16.5" customHeight="1">
      <c r="H371" s="1" t="str">
        <f>IFERROR(__xludf.DUMMYFUNCTION("""COMPUTED_VALUE"""),"ATLANTIC PHARMACEUTICALS")</f>
        <v>ATLANTIC PHARMACEUTICALS</v>
      </c>
    </row>
    <row r="372" ht="16.5" customHeight="1">
      <c r="H372" s="1" t="str">
        <f>IFERROR(__xludf.DUMMYFUNCTION("""COMPUTED_VALUE"""),"ATLINA LIFE SCIENCES PVT LTD")</f>
        <v>ATLINA LIFE SCIENCES PVT LTD</v>
      </c>
    </row>
    <row r="373" ht="16.5" customHeight="1">
      <c r="H373" s="1" t="str">
        <f>IFERROR(__xludf.DUMMYFUNCTION("""COMPUTED_VALUE"""),"ATON BIOTECH")</f>
        <v>ATON BIOTECH</v>
      </c>
    </row>
    <row r="374" ht="16.5" customHeight="1">
      <c r="H374" s="1" t="str">
        <f>IFERROR(__xludf.DUMMYFUNCTION("""COMPUTED_VALUE"""),"ATOPIC LABORATORIES PVT LTD")</f>
        <v>ATOPIC LABORATORIES PVT LTD</v>
      </c>
    </row>
    <row r="375" ht="16.5" customHeight="1">
      <c r="H375" s="1" t="str">
        <f>IFERROR(__xludf.DUMMYFUNCTION("""COMPUTED_VALUE"""),"ATOPIC LABS PVT LTD")</f>
        <v>ATOPIC LABS PVT LTD</v>
      </c>
    </row>
    <row r="376" ht="16.5" customHeight="1">
      <c r="H376" s="1" t="str">
        <f>IFERROR(__xludf.DUMMYFUNCTION("""COMPUTED_VALUE"""),"ATTAR PHARMACEUTICALS")</f>
        <v>ATTAR PHARMACEUTICALS</v>
      </c>
    </row>
    <row r="377" ht="16.5" customHeight="1">
      <c r="H377" s="1" t="str">
        <f>IFERROR(__xludf.DUMMYFUNCTION("""COMPUTED_VALUE"""),"ATTEMP HEALTHCARE")</f>
        <v>ATTEMP HEALTHCARE</v>
      </c>
    </row>
    <row r="378" ht="16.5" customHeight="1">
      <c r="H378" s="1" t="str">
        <f>IFERROR(__xludf.DUMMYFUNCTION("""COMPUTED_VALUE"""),"ATTEMPT LIFE")</f>
        <v>ATTEMPT LIFE</v>
      </c>
    </row>
    <row r="379" ht="16.5" customHeight="1">
      <c r="H379" s="1" t="str">
        <f>IFERROR(__xludf.DUMMYFUNCTION("""COMPUTED_VALUE"""),"AURA NUTRACEUTICALS LTD")</f>
        <v>AURA NUTRACEUTICALS LTD</v>
      </c>
    </row>
    <row r="380" ht="16.5" customHeight="1">
      <c r="H380" s="1" t="str">
        <f>IFERROR(__xludf.DUMMYFUNCTION("""COMPUTED_VALUE"""),"AURAM LIFESCIENCES P LTD")</f>
        <v>AURAM LIFESCIENCES P LTD</v>
      </c>
    </row>
    <row r="381" ht="16.5" customHeight="1">
      <c r="H381" s="1" t="str">
        <f>IFERROR(__xludf.DUMMYFUNCTION("""COMPUTED_VALUE"""),"AURAYA HEALTHCARE")</f>
        <v>AURAYA HEALTHCARE</v>
      </c>
    </row>
    <row r="382" ht="16.5" customHeight="1">
      <c r="H382" s="1" t="str">
        <f>IFERROR(__xludf.DUMMYFUNCTION("""COMPUTED_VALUE"""),"AUREATE HEALTHCARE")</f>
        <v>AUREATE HEALTHCARE</v>
      </c>
    </row>
    <row r="383" ht="16.5" customHeight="1">
      <c r="H383" s="1" t="str">
        <f>IFERROR(__xludf.DUMMYFUNCTION("""COMPUTED_VALUE"""),"AUREL DERMA")</f>
        <v>AUREL DERMA</v>
      </c>
    </row>
    <row r="384" ht="16.5" customHeight="1">
      <c r="H384" s="1" t="str">
        <f>IFERROR(__xludf.DUMMYFUNCTION("""COMPUTED_VALUE"""),"AURICARE LIFESCIENCES")</f>
        <v>AURICARE LIFESCIENCES</v>
      </c>
    </row>
    <row r="385" ht="16.5" customHeight="1">
      <c r="H385" s="1" t="str">
        <f>IFERROR(__xludf.DUMMYFUNCTION("""COMPUTED_VALUE"""),"AURO SYSTEMS &amp; COMMUNICATIONS")</f>
        <v>AURO SYSTEMS &amp; COMMUNICATIONS</v>
      </c>
    </row>
    <row r="386" ht="16.5" customHeight="1">
      <c r="H386" s="1" t="str">
        <f>IFERROR(__xludf.DUMMYFUNCTION("""COMPUTED_VALUE"""),"AUROBINDO PHARMA LTD")</f>
        <v>AUROBINDO PHARMA LTD</v>
      </c>
    </row>
    <row r="387" ht="16.5" customHeight="1">
      <c r="H387" s="1" t="str">
        <f>IFERROR(__xludf.DUMMYFUNCTION("""COMPUTED_VALUE"""),"AUROCHEM LABORATORIES INDIA PVT LTD")</f>
        <v>AUROCHEM LABORATORIES INDIA PVT LTD</v>
      </c>
    </row>
    <row r="388" ht="16.5" customHeight="1">
      <c r="H388" s="1" t="str">
        <f>IFERROR(__xludf.DUMMYFUNCTION("""COMPUTED_VALUE"""),"AUSKIN CARE")</f>
        <v>AUSKIN CARE</v>
      </c>
    </row>
    <row r="389" ht="16.5" customHeight="1">
      <c r="H389" s="1" t="str">
        <f>IFERROR(__xludf.DUMMYFUNCTION("""COMPUTED_VALUE"""),"AUSMED LIFE SCIENCES")</f>
        <v>AUSMED LIFE SCIENCES</v>
      </c>
    </row>
    <row r="390" ht="16.5" customHeight="1">
      <c r="H390" s="1" t="str">
        <f>IFERROR(__xludf.DUMMYFUNCTION("""COMPUTED_VALUE"""),"AUSTIRA PHARMACEUTICAL")</f>
        <v>AUSTIRA PHARMACEUTICAL</v>
      </c>
    </row>
    <row r="391" ht="16.5" customHeight="1">
      <c r="H391" s="1" t="str">
        <f>IFERROR(__xludf.DUMMYFUNCTION("""COMPUTED_VALUE"""),"AUSTRAK PVT LTD")</f>
        <v>AUSTRAK PVT LTD</v>
      </c>
    </row>
    <row r="392" ht="16.5" customHeight="1">
      <c r="H392" s="1" t="str">
        <f>IFERROR(__xludf.DUMMYFUNCTION("""COMPUTED_VALUE"""),"AUSTRO LAB")</f>
        <v>AUSTRO LAB</v>
      </c>
    </row>
    <row r="393" ht="16.5" customHeight="1">
      <c r="H393" s="1" t="str">
        <f>IFERROR(__xludf.DUMMYFUNCTION("""COMPUTED_VALUE"""),"AUXTER BIOMEDIC")</f>
        <v>AUXTER BIOMEDIC</v>
      </c>
    </row>
    <row r="394" ht="16.5" customHeight="1">
      <c r="H394" s="1" t="str">
        <f>IFERROR(__xludf.DUMMYFUNCTION("""COMPUTED_VALUE"""),"AUZALUS LIFE SCIENCES")</f>
        <v>AUZALUS LIFE SCIENCES</v>
      </c>
    </row>
    <row r="395" ht="16.5" customHeight="1">
      <c r="H395" s="1" t="str">
        <f>IFERROR(__xludf.DUMMYFUNCTION("""COMPUTED_VALUE"""),"AVALLAC PHARMACEUTICAL")</f>
        <v>AVALLAC PHARMACEUTICAL</v>
      </c>
    </row>
    <row r="396" ht="16.5" customHeight="1">
      <c r="H396" s="1" t="str">
        <f>IFERROR(__xludf.DUMMYFUNCTION("""COMPUTED_VALUE"""),"AVANEESH HEALTHCARE")</f>
        <v>AVANEESH HEALTHCARE</v>
      </c>
    </row>
    <row r="397" ht="16.5" customHeight="1">
      <c r="H397" s="1" t="str">
        <f>IFERROR(__xludf.DUMMYFUNCTION("""COMPUTED_VALUE"""),"AVENCIA BIOTECH")</f>
        <v>AVENCIA BIOTECH</v>
      </c>
    </row>
    <row r="398" ht="16.5" customHeight="1">
      <c r="H398" s="1" t="str">
        <f>IFERROR(__xludf.DUMMYFUNCTION("""COMPUTED_VALUE"""),"AVENEW MEDIFACE INDIA")</f>
        <v>AVENEW MEDIFACE INDIA</v>
      </c>
    </row>
    <row r="399" ht="16.5" customHeight="1">
      <c r="H399" s="1" t="str">
        <f>IFERROR(__xludf.DUMMYFUNCTION("""COMPUTED_VALUE"""),"Aventis Pasteur India Ltd.")</f>
        <v>Aventis Pasteur India Ltd.</v>
      </c>
    </row>
    <row r="400" ht="16.5" customHeight="1">
      <c r="H400" s="1" t="str">
        <f>IFERROR(__xludf.DUMMYFUNCTION("""COMPUTED_VALUE"""),"AVILIUS NEUTRACARE")</f>
        <v>AVILIUS NEUTRACARE</v>
      </c>
    </row>
    <row r="401" ht="16.5" customHeight="1">
      <c r="H401" s="1" t="str">
        <f>IFERROR(__xludf.DUMMYFUNCTION("""COMPUTED_VALUE"""),"Avin Pharma")</f>
        <v>Avin Pharma</v>
      </c>
    </row>
    <row r="402" ht="16.5" customHeight="1">
      <c r="H402" s="1" t="str">
        <f>IFERROR(__xludf.DUMMYFUNCTION("""COMPUTED_VALUE"""),"Avinash Health Products Pvt Ltd")</f>
        <v>Avinash Health Products Pvt Ltd</v>
      </c>
    </row>
    <row r="403" ht="16.5" customHeight="1">
      <c r="H403" s="1" t="str">
        <f>IFERROR(__xludf.DUMMYFUNCTION("""COMPUTED_VALUE"""),"AVIOR THERAPPEUTIS")</f>
        <v>AVIOR THERAPPEUTIS</v>
      </c>
    </row>
    <row r="404" ht="16.5" customHeight="1">
      <c r="H404" s="1" t="str">
        <f>IFERROR(__xludf.DUMMYFUNCTION("""COMPUTED_VALUE"""),"Avis Lifecare Pvt Ltd")</f>
        <v>Avis Lifecare Pvt Ltd</v>
      </c>
    </row>
    <row r="405" ht="16.5" customHeight="1">
      <c r="H405" s="1" t="str">
        <f>IFERROR(__xludf.DUMMYFUNCTION("""COMPUTED_VALUE"""),"AVITA BIOPHARMACEUTICALS")</f>
        <v>AVITA BIOPHARMACEUTICALS</v>
      </c>
    </row>
    <row r="406" ht="16.5" customHeight="1">
      <c r="H406" s="1" t="str">
        <f>IFERROR(__xludf.DUMMYFUNCTION("""COMPUTED_VALUE"""),"AVITA BIOPHARNACEUTICALS")</f>
        <v>AVITA BIOPHARNACEUTICALS</v>
      </c>
    </row>
    <row r="407" ht="16.5" customHeight="1">
      <c r="H407" s="1" t="str">
        <f>IFERROR(__xludf.DUMMYFUNCTION("""COMPUTED_VALUE"""),"AVN PHARMACEUTICALS")</f>
        <v>AVN PHARMACEUTICALS</v>
      </c>
    </row>
    <row r="408" ht="16.5" customHeight="1">
      <c r="H408" s="1" t="str">
        <f>IFERROR(__xludf.DUMMYFUNCTION("""COMPUTED_VALUE"""),"AVNI")</f>
        <v>AVNI</v>
      </c>
    </row>
    <row r="409" ht="16.5" customHeight="1">
      <c r="H409" s="1" t="str">
        <f>IFERROR(__xludf.DUMMYFUNCTION("""COMPUTED_VALUE"""),"AVNI PHARMA SOLAN")</f>
        <v>AVNI PHARMA SOLAN</v>
      </c>
    </row>
    <row r="410" ht="16.5" customHeight="1">
      <c r="H410" s="1" t="str">
        <f>IFERROR(__xludf.DUMMYFUNCTION("""COMPUTED_VALUE"""),"AVONIC LIFE SCIENCES")</f>
        <v>AVONIC LIFE SCIENCES</v>
      </c>
    </row>
    <row r="411" ht="16.5" customHeight="1">
      <c r="H411" s="1" t="str">
        <f>IFERROR(__xludf.DUMMYFUNCTION("""COMPUTED_VALUE"""),"AWSTEN REMEDIES")</f>
        <v>AWSTEN REMEDIES</v>
      </c>
    </row>
    <row r="412" ht="16.5" customHeight="1">
      <c r="H412" s="1" t="str">
        <f>IFERROR(__xludf.DUMMYFUNCTION("""COMPUTED_VALUE"""),"AXELTIS HEALTHCARE")</f>
        <v>AXELTIS HEALTHCARE</v>
      </c>
    </row>
    <row r="413" ht="16.5" customHeight="1">
      <c r="H413" s="1" t="str">
        <f>IFERROR(__xludf.DUMMYFUNCTION("""COMPUTED_VALUE"""),"AXINIB 1")</f>
        <v>AXINIB 1</v>
      </c>
    </row>
    <row r="414" ht="16.5" customHeight="1">
      <c r="H414" s="1" t="str">
        <f>IFERROR(__xludf.DUMMYFUNCTION("""COMPUTED_VALUE"""),"AXINIB 5")</f>
        <v>AXINIB 5</v>
      </c>
    </row>
    <row r="415" ht="16.5" customHeight="1">
      <c r="H415" s="1" t="str">
        <f>IFERROR(__xludf.DUMMYFUNCTION("""COMPUTED_VALUE"""),"AXIS PHARMA")</f>
        <v>AXIS PHARMA</v>
      </c>
    </row>
    <row r="416" ht="16.5" customHeight="1">
      <c r="H416" s="1" t="str">
        <f>IFERROR(__xludf.DUMMYFUNCTION("""COMPUTED_VALUE"""),"AXO RESEARCH LABORATORIES")</f>
        <v>AXO RESEARCH LABORATORIES</v>
      </c>
    </row>
    <row r="417" ht="16.5" customHeight="1">
      <c r="H417" s="1" t="str">
        <f>IFERROR(__xludf.DUMMYFUNCTION("""COMPUTED_VALUE"""),"AYNS PHARMA")</f>
        <v>AYNS PHARMA</v>
      </c>
    </row>
    <row r="418" ht="16.5" customHeight="1">
      <c r="H418" s="1" t="str">
        <f>IFERROR(__xludf.DUMMYFUNCTION("""COMPUTED_VALUE"""),"AYURVED SEVA SADAN")</f>
        <v>AYURVED SEVA SADAN</v>
      </c>
    </row>
    <row r="419" ht="16.5" customHeight="1">
      <c r="H419" s="1" t="str">
        <f>IFERROR(__xludf.DUMMYFUNCTION("""COMPUTED_VALUE"""),"AYURVED SUMSHODHANALAYA")</f>
        <v>AYURVED SUMSHODHANALAYA</v>
      </c>
    </row>
    <row r="420" ht="16.5" customHeight="1">
      <c r="H420" s="1" t="str">
        <f>IFERROR(__xludf.DUMMYFUNCTION("""COMPUTED_VALUE"""),"AYURVEDA SEARCH")</f>
        <v>AYURVEDA SEARCH</v>
      </c>
    </row>
    <row r="421" ht="16.5" customHeight="1">
      <c r="H421" s="1" t="str">
        <f>IFERROR(__xludf.DUMMYFUNCTION("""COMPUTED_VALUE"""),"AYURVEDANT P LTD")</f>
        <v>AYURVEDANT P LTD</v>
      </c>
    </row>
    <row r="422" ht="16.5" customHeight="1">
      <c r="H422" s="1" t="str">
        <f>IFERROR(__xludf.DUMMYFUNCTION("""COMPUTED_VALUE"""),"AYURVEDIC VIKAS SANSTHAN")</f>
        <v>AYURVEDIC VIKAS SANSTHAN</v>
      </c>
    </row>
    <row r="423" ht="16.5" customHeight="1">
      <c r="H423" s="1" t="str">
        <f>IFERROR(__xludf.DUMMYFUNCTION("""COMPUTED_VALUE"""),"AYURWIN")</f>
        <v>AYURWIN</v>
      </c>
    </row>
    <row r="424" ht="16.5" customHeight="1">
      <c r="H424" s="1" t="str">
        <f>IFERROR(__xludf.DUMMYFUNCTION("""COMPUTED_VALUE"""),"AYUSH MEDICAL AGENCY (OTHER PRODUCTS)")</f>
        <v>AYUSH MEDICAL AGENCY (OTHER PRODUCTS)</v>
      </c>
    </row>
    <row r="425" ht="16.5" customHeight="1">
      <c r="H425" s="1" t="str">
        <f>IFERROR(__xludf.DUMMYFUNCTION("""COMPUTED_VALUE"""),"AYUSHAKTI HEALTH CARE")</f>
        <v>AYUSHAKTI HEALTH CARE</v>
      </c>
    </row>
    <row r="426" ht="16.5" customHeight="1">
      <c r="H426" s="1" t="str">
        <f>IFERROR(__xludf.DUMMYFUNCTION("""COMPUTED_VALUE"""),"AZILLIAN HEALTHCARE PVT LTD")</f>
        <v>AZILLIAN HEALTHCARE PVT LTD</v>
      </c>
    </row>
    <row r="427" ht="16.5" customHeight="1">
      <c r="H427" s="1" t="str">
        <f>IFERROR(__xludf.DUMMYFUNCTION("""COMPUTED_VALUE"""),"AZINE HEALTHCARE P LTD")</f>
        <v>AZINE HEALTHCARE P LTD</v>
      </c>
    </row>
    <row r="428" ht="16.5" customHeight="1">
      <c r="H428" s="1" t="str">
        <f>IFERROR(__xludf.DUMMYFUNCTION("""COMPUTED_VALUE"""),"AZKKA PHARMACEUTICALS PVT LTD")</f>
        <v>AZKKA PHARMACEUTICALS PVT LTD</v>
      </c>
    </row>
    <row r="429" ht="16.5" customHeight="1">
      <c r="H429" s="1" t="str">
        <f>IFERROR(__xludf.DUMMYFUNCTION("""COMPUTED_VALUE"""),"AZKKOR PHARMA")</f>
        <v>AZKKOR PHARMA</v>
      </c>
    </row>
    <row r="430" ht="16.5" customHeight="1">
      <c r="H430" s="1" t="str">
        <f>IFERROR(__xludf.DUMMYFUNCTION("""COMPUTED_VALUE"""),"AZZURRA PHARMA")</f>
        <v>AZZURRA PHARMA</v>
      </c>
    </row>
    <row r="431" ht="16.5" customHeight="1">
      <c r="H431" s="1" t="str">
        <f>IFERROR(__xludf.DUMMYFUNCTION("""COMPUTED_VALUE"""),"B BRAUN")</f>
        <v>B BRAUN</v>
      </c>
    </row>
    <row r="432" ht="16.5" customHeight="1">
      <c r="H432" s="1" t="str">
        <f>IFERROR(__xludf.DUMMYFUNCTION("""COMPUTED_VALUE"""),"B-TEX OINTMENT")</f>
        <v>B-TEX OINTMENT</v>
      </c>
    </row>
    <row r="433" ht="16.5" customHeight="1">
      <c r="H433" s="1" t="str">
        <f>IFERROR(__xludf.DUMMYFUNCTION("""COMPUTED_VALUE"""),"B&amp;B GROUP")</f>
        <v>B&amp;B GROUP</v>
      </c>
    </row>
    <row r="434" ht="16.5" customHeight="1">
      <c r="H434" s="1" t="str">
        <f>IFERROR(__xludf.DUMMYFUNCTION("""COMPUTED_VALUE"""),"B&amp;J LIFE SCIENCES")</f>
        <v>B&amp;J LIFE SCIENCES</v>
      </c>
    </row>
    <row r="435" ht="16.5" customHeight="1">
      <c r="H435" s="1" t="str">
        <f>IFERROR(__xludf.DUMMYFUNCTION("""COMPUTED_VALUE"""),"BACFO Pharmaceuticals (India) Ltd.")</f>
        <v>BACFO Pharmaceuticals (India) Ltd.</v>
      </c>
    </row>
    <row r="436" ht="16.5" customHeight="1">
      <c r="H436" s="1" t="str">
        <f>IFERROR(__xludf.DUMMYFUNCTION("""COMPUTED_VALUE"""),"BAHOLA")</f>
        <v>BAHOLA</v>
      </c>
    </row>
    <row r="437" ht="16.5" customHeight="1">
      <c r="H437" s="1" t="str">
        <f>IFERROR(__xludf.DUMMYFUNCTION("""COMPUTED_VALUE"""),"BAIN MEDICAL EQIPMENT")</f>
        <v>BAIN MEDICAL EQIPMENT</v>
      </c>
    </row>
    <row r="438" ht="16.5" customHeight="1">
      <c r="H438" s="1" t="str">
        <f>IFERROR(__xludf.DUMMYFUNCTION("""COMPUTED_VALUE"""),"BAJAJ CORP LTD")</f>
        <v>BAJAJ CORP LTD</v>
      </c>
    </row>
    <row r="439" ht="16.5" customHeight="1">
      <c r="H439" s="1" t="str">
        <f>IFERROR(__xludf.DUMMYFUNCTION("""COMPUTED_VALUE"""),"BAJAJ MEDICARE")</f>
        <v>BAJAJ MEDICARE</v>
      </c>
    </row>
    <row r="440" ht="16.5" customHeight="1">
      <c r="H440" s="1" t="str">
        <f>IFERROR(__xludf.DUMMYFUNCTION("""COMPUTED_VALUE"""),"BAKSON")</f>
        <v>BAKSON</v>
      </c>
    </row>
    <row r="441" ht="16.5" customHeight="1">
      <c r="H441" s="1" t="str">
        <f>IFERROR(__xludf.DUMMYFUNCTION("""COMPUTED_VALUE"""),"Bal Pharma Ltd")</f>
        <v>Bal Pharma Ltd</v>
      </c>
    </row>
    <row r="442" ht="16.5" customHeight="1">
      <c r="H442" s="1" t="str">
        <f>IFERROR(__xludf.DUMMYFUNCTION("""COMPUTED_VALUE"""),"BALAJI AYURVED SANSTHAN")</f>
        <v>BALAJI AYURVED SANSTHAN</v>
      </c>
    </row>
    <row r="443" ht="16.5" customHeight="1">
      <c r="H443" s="1" t="str">
        <f>IFERROR(__xludf.DUMMYFUNCTION("""COMPUTED_VALUE"""),"BALAJI HEALTHCARE")</f>
        <v>BALAJI HEALTHCARE</v>
      </c>
    </row>
    <row r="444" ht="16.5" customHeight="1">
      <c r="H444" s="1" t="str">
        <f>IFERROR(__xludf.DUMMYFUNCTION("""COMPUTED_VALUE"""),"BALSON PHARMACEUTICALS (BESTCURE PHARMA)")</f>
        <v>BALSON PHARMACEUTICALS (BESTCURE PHARMA)</v>
      </c>
    </row>
    <row r="445" ht="16.5" customHeight="1">
      <c r="H445" s="1" t="str">
        <f>IFERROR(__xludf.DUMMYFUNCTION("""COMPUTED_VALUE"""),"Ban Labs")</f>
        <v>Ban Labs</v>
      </c>
    </row>
    <row r="446" ht="16.5" customHeight="1">
      <c r="H446" s="1" t="str">
        <f>IFERROR(__xludf.DUMMYFUNCTION("""COMPUTED_VALUE"""),"BANFORD")</f>
        <v>BANFORD</v>
      </c>
    </row>
    <row r="447" ht="16.5" customHeight="1">
      <c r="H447" s="1" t="str">
        <f>IFERROR(__xludf.DUMMYFUNCTION("""COMPUTED_VALUE"""),"BARD ACCESS SYSTEMS")</f>
        <v>BARD ACCESS SYSTEMS</v>
      </c>
    </row>
    <row r="448" ht="16.5" customHeight="1">
      <c r="H448" s="1" t="str">
        <f>IFERROR(__xludf.DUMMYFUNCTION("""COMPUTED_VALUE"""),"BARDIA")</f>
        <v>BARDIA</v>
      </c>
    </row>
    <row r="449" ht="16.5" customHeight="1">
      <c r="H449" s="1" t="str">
        <f>IFERROR(__xludf.DUMMYFUNCTION("""COMPUTED_VALUE"""),"BAROQUE PHARMACEUTICALS")</f>
        <v>BAROQUE PHARMACEUTICALS</v>
      </c>
    </row>
    <row r="450" ht="16.5" customHeight="1">
      <c r="H450" s="1" t="str">
        <f>IFERROR(__xludf.DUMMYFUNCTION("""COMPUTED_VALUE"""),"BAUSCH &amp; LOMB")</f>
        <v>BAUSCH &amp; LOMB</v>
      </c>
    </row>
    <row r="451" ht="16.5" customHeight="1">
      <c r="H451" s="1" t="str">
        <f>IFERROR(__xludf.DUMMYFUNCTION("""COMPUTED_VALUE"""),"BAUSCH &amp; LOMB (SL-59)")</f>
        <v>BAUSCH &amp; LOMB (SL-59)</v>
      </c>
    </row>
    <row r="452" ht="16.5" customHeight="1">
      <c r="H452" s="1" t="str">
        <f>IFERROR(__xludf.DUMMYFUNCTION("""COMPUTED_VALUE"""),"Bausch &amp; Lomb Inc")</f>
        <v>Bausch &amp; Lomb Inc</v>
      </c>
    </row>
    <row r="453" ht="16.5" customHeight="1">
      <c r="H453" s="1" t="str">
        <f>IFERROR(__xludf.DUMMYFUNCTION("""COMPUTED_VALUE"""),"Baxter India Pvt Ltd")</f>
        <v>Baxter India Pvt Ltd</v>
      </c>
    </row>
    <row r="454" ht="16.5" customHeight="1">
      <c r="H454" s="1" t="str">
        <f>IFERROR(__xludf.DUMMYFUNCTION("""COMPUTED_VALUE"""),"BAYER (ZYDUS BLUE)")</f>
        <v>BAYER (ZYDUS BLUE)</v>
      </c>
    </row>
    <row r="455" ht="16.5" customHeight="1">
      <c r="H455" s="1" t="str">
        <f>IFERROR(__xludf.DUMMYFUNCTION("""COMPUTED_VALUE"""),"Bayer Pharmaceuticals Pvt Ltd")</f>
        <v>Bayer Pharmaceuticals Pvt Ltd</v>
      </c>
    </row>
    <row r="456" ht="16.5" customHeight="1">
      <c r="H456" s="1" t="str">
        <f>IFERROR(__xludf.DUMMYFUNCTION("""COMPUTED_VALUE"""),"BAYZE BIOCARE PVT LTD")</f>
        <v>BAYZE BIOCARE PVT LTD</v>
      </c>
    </row>
    <row r="457" ht="16.5" customHeight="1">
      <c r="H457" s="1" t="str">
        <f>IFERROR(__xludf.DUMMYFUNCTION("""COMPUTED_VALUE"""),"BD SURGICAL")</f>
        <v>BD SURGICAL</v>
      </c>
    </row>
    <row r="458" ht="16.5" customHeight="1">
      <c r="H458" s="1" t="str">
        <f>IFERROR(__xludf.DUMMYFUNCTION("""COMPUTED_VALUE"""),"BDR PHARMACEUTICALS")</f>
        <v>BDR PHARMACEUTICALS</v>
      </c>
    </row>
    <row r="459" ht="16.5" customHeight="1">
      <c r="H459" s="1" t="str">
        <f>IFERROR(__xludf.DUMMYFUNCTION("""COMPUTED_VALUE"""),"BEAMS REMEDIES")</f>
        <v>BEAMS REMEDIES</v>
      </c>
    </row>
    <row r="460" ht="16.5" customHeight="1">
      <c r="H460" s="1" t="str">
        <f>IFERROR(__xludf.DUMMYFUNCTION("""COMPUTED_VALUE"""),"BEAUDERM PAHARMA")</f>
        <v>BEAUDERM PAHARMA</v>
      </c>
    </row>
    <row r="461" ht="16.5" customHeight="1">
      <c r="H461" s="1" t="str">
        <f>IFERROR(__xludf.DUMMYFUNCTION("""COMPUTED_VALUE"""),"BECK &amp; KOLL")</f>
        <v>BECK &amp; KOLL</v>
      </c>
    </row>
    <row r="462" ht="16.5" customHeight="1">
      <c r="H462" s="1" t="str">
        <f>IFERROR(__xludf.DUMMYFUNCTION("""COMPUTED_VALUE"""),"BEEKAY PHARMACEUTICALS")</f>
        <v>BEEKAY PHARMACEUTICALS</v>
      </c>
    </row>
    <row r="463" ht="16.5" customHeight="1">
      <c r="H463" s="1" t="str">
        <f>IFERROR(__xludf.DUMMYFUNCTION("""COMPUTED_VALUE"""),"BEETA SURGICALS")</f>
        <v>BEETA SURGICALS</v>
      </c>
    </row>
    <row r="464" ht="16.5" customHeight="1">
      <c r="H464" s="1" t="str">
        <f>IFERROR(__xludf.DUMMYFUNCTION("""COMPUTED_VALUE"""),"BEIERSDORF")</f>
        <v>BEIERSDORF</v>
      </c>
    </row>
    <row r="465" ht="16.5" customHeight="1">
      <c r="H465" s="1" t="str">
        <f>IFERROR(__xludf.DUMMYFUNCTION("""COMPUTED_VALUE"""),"Bengal Chemicals &amp; Pharmaceuticals Ltd")</f>
        <v>Bengal Chemicals &amp; Pharmaceuticals Ltd</v>
      </c>
    </row>
    <row r="466" ht="16.5" customHeight="1">
      <c r="H466" s="1" t="str">
        <f>IFERROR(__xludf.DUMMYFUNCTION("""COMPUTED_VALUE"""),"BENNET PHARMA (CRITICAL CARE)")</f>
        <v>BENNET PHARMA (CRITICAL CARE)</v>
      </c>
    </row>
    <row r="467" ht="16.5" customHeight="1">
      <c r="H467" s="1" t="str">
        <f>IFERROR(__xludf.DUMMYFUNCTION("""COMPUTED_VALUE"""),"BENNET PHARMA (EXTRA CARE)")</f>
        <v>BENNET PHARMA (EXTRA CARE)</v>
      </c>
    </row>
    <row r="468" ht="16.5" customHeight="1">
      <c r="H468" s="1" t="str">
        <f>IFERROR(__xludf.DUMMYFUNCTION("""COMPUTED_VALUE"""),"BENNET PHARMA (MAIN)")</f>
        <v>BENNET PHARMA (MAIN)</v>
      </c>
    </row>
    <row r="469" ht="16.5" customHeight="1">
      <c r="H469" s="1" t="str">
        <f>IFERROR(__xludf.DUMMYFUNCTION("""COMPUTED_VALUE"""),"BENNET PHARMA (MYPHER)")</f>
        <v>BENNET PHARMA (MYPHER)</v>
      </c>
    </row>
    <row r="470" ht="16.5" customHeight="1">
      <c r="H470" s="1" t="str">
        <f>IFERROR(__xludf.DUMMYFUNCTION("""COMPUTED_VALUE"""),"Bennet Pharmaceuticals Limited")</f>
        <v>Bennet Pharmaceuticals Limited</v>
      </c>
    </row>
    <row r="471" ht="16.5" customHeight="1">
      <c r="H471" s="1" t="str">
        <f>IFERROR(__xludf.DUMMYFUNCTION("""COMPUTED_VALUE"""),"BERBRICK HEALTHCARE")</f>
        <v>BERBRICK HEALTHCARE</v>
      </c>
    </row>
    <row r="472" ht="16.5" customHeight="1">
      <c r="H472" s="1" t="str">
        <f>IFERROR(__xludf.DUMMYFUNCTION("""COMPUTED_VALUE"""),"BERNICE PHARMA")</f>
        <v>BERNICE PHARMA</v>
      </c>
    </row>
    <row r="473" ht="16.5" customHeight="1">
      <c r="H473" s="1" t="str">
        <f>IFERROR(__xludf.DUMMYFUNCTION("""COMPUTED_VALUE"""),"BERRY &amp; HERBS PHARMA PVT LTD")</f>
        <v>BERRY &amp; HERBS PHARMA PVT LTD</v>
      </c>
    </row>
    <row r="474" ht="16.5" customHeight="1">
      <c r="H474" s="1" t="str">
        <f>IFERROR(__xludf.DUMMYFUNCTION("""COMPUTED_VALUE"""),"BERYL DRUGS LTD")</f>
        <v>BERYL DRUGS LTD</v>
      </c>
    </row>
    <row r="475" ht="16.5" customHeight="1">
      <c r="H475" s="1" t="str">
        <f>IFERROR(__xludf.DUMMYFUNCTION("""COMPUTED_VALUE"""),"Besins Healthcare India Pvt Ltd")</f>
        <v>Besins Healthcare India Pvt Ltd</v>
      </c>
    </row>
    <row r="476" ht="16.5" customHeight="1">
      <c r="H476" s="1" t="str">
        <f>IFERROR(__xludf.DUMMYFUNCTION("""COMPUTED_VALUE"""),"BEST BIOTECH")</f>
        <v>BEST BIOTECH</v>
      </c>
    </row>
    <row r="477" ht="16.5" customHeight="1">
      <c r="H477" s="1" t="str">
        <f>IFERROR(__xludf.DUMMYFUNCTION("""COMPUTED_VALUE"""),"BESTEL LABORATORIES")</f>
        <v>BESTEL LABORATORIES</v>
      </c>
    </row>
    <row r="478" ht="16.5" customHeight="1">
      <c r="H478" s="1" t="str">
        <f>IFERROR(__xludf.DUMMYFUNCTION("""COMPUTED_VALUE"""),"BESTOCHEM (SALUTE)")</f>
        <v>BESTOCHEM (SALUTE)</v>
      </c>
    </row>
    <row r="479" ht="16.5" customHeight="1">
      <c r="H479" s="1" t="str">
        <f>IFERROR(__xludf.DUMMYFUNCTION("""COMPUTED_VALUE"""),"BestoChem Formulations India Ltd")</f>
        <v>BestoChem Formulations India Ltd</v>
      </c>
    </row>
    <row r="480" ht="16.5" customHeight="1">
      <c r="H480" s="1" t="str">
        <f>IFERROR(__xludf.DUMMYFUNCTION("""COMPUTED_VALUE"""),"BestoChem Formulations India Ltd (GENERIC)")</f>
        <v>BestoChem Formulations India Ltd (GENERIC)</v>
      </c>
    </row>
    <row r="481" ht="16.5" customHeight="1">
      <c r="H481" s="1" t="str">
        <f>IFERROR(__xludf.DUMMYFUNCTION("""COMPUTED_VALUE"""),"BETA DRUGS LTD")</f>
        <v>BETA DRUGS LTD</v>
      </c>
    </row>
    <row r="482" ht="16.5" customHeight="1">
      <c r="H482" s="1" t="str">
        <f>IFERROR(__xludf.DUMMYFUNCTION("""COMPUTED_VALUE"""),"BHAGWAT PHARMACEUTICAL")</f>
        <v>BHAGWAT PHARMACEUTICAL</v>
      </c>
    </row>
    <row r="483" ht="16.5" customHeight="1">
      <c r="H483" s="1" t="str">
        <f>IFERROR(__xludf.DUMMYFUNCTION("""COMPUTED_VALUE"""),"BHANDARI")</f>
        <v>BHANDARI</v>
      </c>
    </row>
    <row r="484" ht="16.5" customHeight="1">
      <c r="H484" s="1" t="str">
        <f>IFERROR(__xludf.DUMMYFUNCTION("""COMPUTED_VALUE"""),"Bhandari Labs")</f>
        <v>Bhandari Labs</v>
      </c>
    </row>
    <row r="485" ht="16.5" customHeight="1">
      <c r="H485" s="1" t="str">
        <f>IFERROR(__xludf.DUMMYFUNCTION("""COMPUTED_VALUE"""),"Bharat Biotech")</f>
        <v>Bharat Biotech</v>
      </c>
    </row>
    <row r="486" ht="16.5" customHeight="1">
      <c r="H486" s="1" t="str">
        <f>IFERROR(__xludf.DUMMYFUNCTION("""COMPUTED_VALUE"""),"BHARAT HOMOEO")</f>
        <v>BHARAT HOMOEO</v>
      </c>
    </row>
    <row r="487" ht="16.5" customHeight="1">
      <c r="H487" s="1" t="str">
        <f>IFERROR(__xludf.DUMMYFUNCTION("""COMPUTED_VALUE"""),"Bharat Serums &amp; Vaccines Ltd")</f>
        <v>Bharat Serums &amp; Vaccines Ltd</v>
      </c>
    </row>
    <row r="488" ht="16.5" customHeight="1">
      <c r="H488" s="1" t="str">
        <f>IFERROR(__xludf.DUMMYFUNCTION("""COMPUTED_VALUE"""),"BHARATIYAPHARMACEUTICALS INDIA")</f>
        <v>BHARATIYAPHARMACEUTICALS INDIA</v>
      </c>
    </row>
    <row r="489" ht="16.5" customHeight="1">
      <c r="H489" s="1" t="str">
        <f>IFERROR(__xludf.DUMMYFUNCTION("""COMPUTED_VALUE"""),"Bharti Life Sciences")</f>
        <v>Bharti Life Sciences</v>
      </c>
    </row>
    <row r="490" ht="16.5" customHeight="1">
      <c r="H490" s="1" t="str">
        <f>IFERROR(__xludf.DUMMYFUNCTION("""COMPUTED_VALUE"""),"BHARTIYAPHARMA")</f>
        <v>BHARTIYAPHARMA</v>
      </c>
    </row>
    <row r="491" ht="16.5" customHeight="1">
      <c r="H491" s="1" t="str">
        <f>IFERROR(__xludf.DUMMYFUNCTION("""COMPUTED_VALUE"""),"BHAWANI PHARMACEUTICAL")</f>
        <v>BHAWANI PHARMACEUTICAL</v>
      </c>
    </row>
    <row r="492" ht="16.5" customHeight="1">
      <c r="H492" s="1" t="str">
        <f>IFERROR(__xludf.DUMMYFUNCTION("""COMPUTED_VALUE"""),"BHAWASAR CHEMICALS")</f>
        <v>BHAWASAR CHEMICALS</v>
      </c>
    </row>
    <row r="493" ht="16.5" customHeight="1">
      <c r="H493" s="1" t="str">
        <f>IFERROR(__xludf.DUMMYFUNCTION("""COMPUTED_VALUE"""),"BHAWSAR PHARMACEUTICAL WORKS")</f>
        <v>BHAWSAR PHARMACEUTICAL WORKS</v>
      </c>
    </row>
    <row r="494" ht="16.5" customHeight="1">
      <c r="H494" s="1" t="str">
        <f>IFERROR(__xludf.DUMMYFUNCTION("""COMPUTED_VALUE"""),"BHOGILAL PREMCHAND")</f>
        <v>BHOGILAL PREMCHAND</v>
      </c>
    </row>
    <row r="495" ht="16.5" customHeight="1">
      <c r="H495" s="1" t="str">
        <f>IFERROR(__xludf.DUMMYFUNCTION("""COMPUTED_VALUE"""),"BIGWIG REMEDIES")</f>
        <v>BIGWIG REMEDIES</v>
      </c>
    </row>
    <row r="496" ht="16.5" customHeight="1">
      <c r="H496" s="1" t="str">
        <f>IFERROR(__xludf.DUMMYFUNCTION("""COMPUTED_VALUE"""),"BILBERRY PHARMACEUTICAL PVT LTD")</f>
        <v>BILBERRY PHARMACEUTICAL PVT LTD</v>
      </c>
    </row>
    <row r="497" ht="16.5" customHeight="1">
      <c r="H497" s="1" t="str">
        <f>IFERROR(__xludf.DUMMYFUNCTION("""COMPUTED_VALUE"""),"BILBERRY PHARMACEUTICALS PVT LTD")</f>
        <v>BILBERRY PHARMACEUTICALS PVT LTD</v>
      </c>
    </row>
    <row r="498" ht="16.5" customHeight="1">
      <c r="H498" s="1" t="str">
        <f>IFERROR(__xludf.DUMMYFUNCTION("""COMPUTED_VALUE"""),"BILLS CHEMICAL LIMITED")</f>
        <v>BILLS CHEMICAL LIMITED</v>
      </c>
    </row>
    <row r="499" ht="16.5" customHeight="1">
      <c r="H499" s="1" t="str">
        <f>IFERROR(__xludf.DUMMYFUNCTION("""COMPUTED_VALUE"""),"BINDU MADHAV PHARMA PVT LTD")</f>
        <v>BINDU MADHAV PHARMA PVT LTD</v>
      </c>
    </row>
    <row r="500" ht="16.5" customHeight="1">
      <c r="H500" s="1" t="str">
        <f>IFERROR(__xludf.DUMMYFUNCTION("""COMPUTED_VALUE"""),"BIO EXCELLENCE")</f>
        <v>BIO EXCELLENCE</v>
      </c>
    </row>
    <row r="501" ht="16.5" customHeight="1">
      <c r="H501" s="1" t="str">
        <f>IFERROR(__xludf.DUMMYFUNCTION("""COMPUTED_VALUE"""),"BIO MEDICA LABORATORIES PVT LTD")</f>
        <v>BIO MEDICA LABORATORIES PVT LTD</v>
      </c>
    </row>
    <row r="502" ht="16.5" customHeight="1">
      <c r="H502" s="1" t="str">
        <f>IFERROR(__xludf.DUMMYFUNCTION("""COMPUTED_VALUE"""),"BIO TRUE LENS")</f>
        <v>BIO TRUE LENS</v>
      </c>
    </row>
    <row r="503" ht="16.5" customHeight="1">
      <c r="H503" s="1" t="str">
        <f>IFERROR(__xludf.DUMMYFUNCTION("""COMPUTED_VALUE"""),"BIO-MEDICA LAB INDORE")</f>
        <v>BIO-MEDICA LAB INDORE</v>
      </c>
    </row>
    <row r="504" ht="16.5" customHeight="1">
      <c r="H504" s="1" t="str">
        <f>IFERROR(__xludf.DUMMYFUNCTION("""COMPUTED_VALUE"""),"BIOAS MEDICO P LTD")</f>
        <v>BIOAS MEDICO P LTD</v>
      </c>
    </row>
    <row r="505" ht="16.5" customHeight="1">
      <c r="H505" s="1" t="str">
        <f>IFERROR(__xludf.DUMMYFUNCTION("""COMPUTED_VALUE"""),"BIOCEUTICS PHARMACEUTICALS")</f>
        <v>BIOCEUTICS PHARMACEUTICALS</v>
      </c>
    </row>
    <row r="506" ht="16.5" customHeight="1">
      <c r="H506" s="1" t="str">
        <f>IFERROR(__xludf.DUMMYFUNCTION("""COMPUTED_VALUE"""),"Biochem Pharmaceutical Industries")</f>
        <v>Biochem Pharmaceutical Industries</v>
      </c>
    </row>
    <row r="507" ht="16.5" customHeight="1">
      <c r="H507" s="1" t="str">
        <f>IFERROR(__xludf.DUMMYFUNCTION("""COMPUTED_VALUE"""),"Biochem Pharmaceutical Industries (GENERIC)")</f>
        <v>Biochem Pharmaceutical Industries (GENERIC)</v>
      </c>
    </row>
    <row r="508" ht="16.5" customHeight="1">
      <c r="H508" s="1" t="str">
        <f>IFERROR(__xludf.DUMMYFUNCTION("""COMPUTED_VALUE"""),"BIOCHEMIX HEALTHCARE")</f>
        <v>BIOCHEMIX HEALTHCARE</v>
      </c>
    </row>
    <row r="509" ht="16.5" customHeight="1">
      <c r="H509" s="1" t="str">
        <f>IFERROR(__xludf.DUMMYFUNCTION("""COMPUTED_VALUE"""),"BIOCHEMIX HEALTHCARE (NOVAMED  PHARMA)")</f>
        <v>BIOCHEMIX HEALTHCARE (NOVAMED  PHARMA)</v>
      </c>
    </row>
    <row r="510" ht="16.5" customHeight="1">
      <c r="H510" s="1" t="str">
        <f>IFERROR(__xludf.DUMMYFUNCTION("""COMPUTED_VALUE"""),"BIOCHEMIX HEALTHCARE (OLMED)")</f>
        <v>BIOCHEMIX HEALTHCARE (OLMED)</v>
      </c>
    </row>
    <row r="511" ht="16.5" customHeight="1">
      <c r="H511" s="1" t="str">
        <f>IFERROR(__xludf.DUMMYFUNCTION("""COMPUTED_VALUE"""),"BIOCHEMIX HEALTHCARE (VIVIA DERMACARE)")</f>
        <v>BIOCHEMIX HEALTHCARE (VIVIA DERMACARE)</v>
      </c>
    </row>
    <row r="512" ht="16.5" customHeight="1">
      <c r="H512" s="1" t="str">
        <f>IFERROR(__xludf.DUMMYFUNCTION("""COMPUTED_VALUE"""),"Biocon")</f>
        <v>Biocon</v>
      </c>
    </row>
    <row r="513" ht="16.5" customHeight="1">
      <c r="H513" s="1" t="str">
        <f>IFERROR(__xludf.DUMMYFUNCTION("""COMPUTED_VALUE"""),"BIOCON (ALTIUS)")</f>
        <v>BIOCON (ALTIUS)</v>
      </c>
    </row>
    <row r="514" ht="16.5" customHeight="1">
      <c r="H514" s="1" t="str">
        <f>IFERROR(__xludf.DUMMYFUNCTION("""COMPUTED_VALUE"""),"BIOCON (CITIUS)")</f>
        <v>BIOCON (CITIUS)</v>
      </c>
    </row>
    <row r="515" ht="16.5" customHeight="1">
      <c r="H515" s="1" t="str">
        <f>IFERROR(__xludf.DUMMYFUNCTION("""COMPUTED_VALUE"""),"BIOCON (CRITICAL CARE)")</f>
        <v>BIOCON (CRITICAL CARE)</v>
      </c>
    </row>
    <row r="516" ht="16.5" customHeight="1">
      <c r="H516" s="1" t="str">
        <f>IFERROR(__xludf.DUMMYFUNCTION("""COMPUTED_VALUE"""),"BIOCON (DERMA)")</f>
        <v>BIOCON (DERMA)</v>
      </c>
    </row>
    <row r="517" ht="16.5" customHeight="1">
      <c r="H517" s="1" t="str">
        <f>IFERROR(__xludf.DUMMYFUNCTION("""COMPUTED_VALUE"""),"BIOCORE PHARMACEUTICALS")</f>
        <v>BIOCORE PHARMACEUTICALS</v>
      </c>
    </row>
    <row r="518" ht="16.5" customHeight="1">
      <c r="H518" s="1" t="str">
        <f>IFERROR(__xludf.DUMMYFUNCTION("""COMPUTED_VALUE"""),"BIODERMA SOLUTIONS")</f>
        <v>BIODERMA SOLUTIONS</v>
      </c>
    </row>
    <row r="519" ht="16.5" customHeight="1">
      <c r="H519" s="1" t="str">
        <f>IFERROR(__xludf.DUMMYFUNCTION("""COMPUTED_VALUE"""),"BIODERMA SOLUTIONS (AESTETIX)")</f>
        <v>BIODERMA SOLUTIONS (AESTETIX)</v>
      </c>
    </row>
    <row r="520" ht="16.5" customHeight="1">
      <c r="H520" s="1" t="str">
        <f>IFERROR(__xludf.DUMMYFUNCTION("""COMPUTED_VALUE"""),"BIODERMA SOLUTIONS (CYTOZ)")</f>
        <v>BIODERMA SOLUTIONS (CYTOZ)</v>
      </c>
    </row>
    <row r="521" ht="16.5" customHeight="1">
      <c r="H521" s="1" t="str">
        <f>IFERROR(__xludf.DUMMYFUNCTION("""COMPUTED_VALUE"""),"BIODERMA SOLUTIONS (DENTAL)")</f>
        <v>BIODERMA SOLUTIONS (DENTAL)</v>
      </c>
    </row>
    <row r="522" ht="16.5" customHeight="1">
      <c r="H522" s="1" t="str">
        <f>IFERROR(__xludf.DUMMYFUNCTION("""COMPUTED_VALUE"""),"BIODERMA SOLUTIONS (MAIN)")</f>
        <v>BIODERMA SOLUTIONS (MAIN)</v>
      </c>
    </row>
    <row r="523" ht="16.5" customHeight="1">
      <c r="H523" s="1" t="str">
        <f>IFERROR(__xludf.DUMMYFUNCTION("""COMPUTED_VALUE"""),"BIOFORCE")</f>
        <v>BIOFORCE</v>
      </c>
    </row>
    <row r="524" ht="16.5" customHeight="1">
      <c r="H524" s="1" t="str">
        <f>IFERROR(__xludf.DUMMYFUNCTION("""COMPUTED_VALUE"""),"BIOFORD REMEDIES PVT LTD")</f>
        <v>BIOFORD REMEDIES PVT LTD</v>
      </c>
    </row>
    <row r="525" ht="16.5" customHeight="1">
      <c r="H525" s="1" t="str">
        <f>IFERROR(__xludf.DUMMYFUNCTION("""COMPUTED_VALUE"""),"BIOGEN HEALTH CARE")</f>
        <v>BIOGEN HEALTH CARE</v>
      </c>
    </row>
    <row r="526" ht="16.5" customHeight="1">
      <c r="H526" s="1" t="str">
        <f>IFERROR(__xludf.DUMMYFUNCTION("""COMPUTED_VALUE"""),"BIOGEN IDEC BIOTECH INDIA PVT LTD")</f>
        <v>BIOGEN IDEC BIOTECH INDIA PVT LTD</v>
      </c>
    </row>
    <row r="527" ht="16.5" customHeight="1">
      <c r="H527" s="1" t="str">
        <f>IFERROR(__xludf.DUMMYFUNCTION("""COMPUTED_VALUE"""),"Biogen Idec India")</f>
        <v>Biogen Idec India</v>
      </c>
    </row>
    <row r="528" ht="16.5" customHeight="1">
      <c r="H528" s="1" t="str">
        <f>IFERROR(__xludf.DUMMYFUNCTION("""COMPUTED_VALUE"""),"BIOGENOMICS LIMITED")</f>
        <v>BIOGENOMICS LIMITED</v>
      </c>
    </row>
    <row r="529" ht="16.5" customHeight="1">
      <c r="H529" s="1" t="str">
        <f>IFERROR(__xludf.DUMMYFUNCTION("""COMPUTED_VALUE"""),"BIOGRACE PHARMA")</f>
        <v>BIOGRACE PHARMA</v>
      </c>
    </row>
    <row r="530" ht="16.5" customHeight="1">
      <c r="H530" s="1" t="str">
        <f>IFERROR(__xludf.DUMMYFUNCTION("""COMPUTED_VALUE"""),"BIOKINDLE LIFESCIENCES")</f>
        <v>BIOKINDLE LIFESCIENCES</v>
      </c>
    </row>
    <row r="531" ht="16.5" customHeight="1">
      <c r="H531" s="1" t="str">
        <f>IFERROR(__xludf.DUMMYFUNCTION("""COMPUTED_VALUE"""),"BIOLIFE")</f>
        <v>BIOLIFE</v>
      </c>
    </row>
    <row r="532" ht="16.5" customHeight="1">
      <c r="H532" s="1" t="str">
        <f>IFERROR(__xludf.DUMMYFUNCTION("""COMPUTED_VALUE"""),"Biological E Ltd")</f>
        <v>Biological E Ltd</v>
      </c>
    </row>
    <row r="533" ht="16.5" customHeight="1">
      <c r="H533" s="1" t="str">
        <f>IFERROR(__xludf.DUMMYFUNCTION("""COMPUTED_VALUE"""),"BIOMAX BIOTECHNICS")</f>
        <v>BIOMAX BIOTECHNICS</v>
      </c>
    </row>
    <row r="534" ht="16.5" customHeight="1">
      <c r="H534" s="1" t="str">
        <f>IFERROR(__xludf.DUMMYFUNCTION("""COMPUTED_VALUE"""),"BIOMEDICA INTERNATIONAL")</f>
        <v>BIOMEDICA INTERNATIONAL</v>
      </c>
    </row>
    <row r="535" ht="16.5" customHeight="1">
      <c r="H535" s="1" t="str">
        <f>IFERROR(__xludf.DUMMYFUNCTION("""COMPUTED_VALUE"""),"BIOMI LIFE SCIENCES")</f>
        <v>BIOMI LIFE SCIENCES</v>
      </c>
    </row>
    <row r="536" ht="16.5" customHeight="1">
      <c r="H536" s="1" t="str">
        <f>IFERROR(__xludf.DUMMYFUNCTION("""COMPUTED_VALUE"""),"BION HEALTHCARE PVT LTD")</f>
        <v>BION HEALTHCARE PVT LTD</v>
      </c>
    </row>
    <row r="537" ht="16.5" customHeight="1">
      <c r="H537" s="1" t="str">
        <f>IFERROR(__xludf.DUMMYFUNCTION("""COMPUTED_VALUE"""),"BION HEALTHCARE PVT LTD (OCTALIFE)")</f>
        <v>BION HEALTHCARE PVT LTD (OCTALIFE)</v>
      </c>
    </row>
    <row r="538" ht="16.5" customHeight="1">
      <c r="H538" s="1" t="str">
        <f>IFERROR(__xludf.DUMMYFUNCTION("""COMPUTED_VALUE"""),"BION HEALTHCARE PVT LTD (TRULAM)")</f>
        <v>BION HEALTHCARE PVT LTD (TRULAM)</v>
      </c>
    </row>
    <row r="539" ht="16.5" customHeight="1">
      <c r="H539" s="1" t="str">
        <f>IFERROR(__xludf.DUMMYFUNCTION("""COMPUTED_VALUE"""),"BIONICS REMEDIES LTD")</f>
        <v>BIONICS REMEDIES LTD</v>
      </c>
    </row>
    <row r="540" ht="16.5" customHeight="1">
      <c r="H540" s="1" t="str">
        <f>IFERROR(__xludf.DUMMYFUNCTION("""COMPUTED_VALUE"""),"BIONOMICS")</f>
        <v>BIONOMICS</v>
      </c>
    </row>
    <row r="541" ht="16.5" customHeight="1">
      <c r="H541" s="1" t="str">
        <f>IFERROR(__xludf.DUMMYFUNCTION("""COMPUTED_VALUE"""),"BIONOVA (MAXNOVA)")</f>
        <v>BIONOVA (MAXNOVA)</v>
      </c>
    </row>
    <row r="542" ht="16.5" customHeight="1">
      <c r="H542" s="1" t="str">
        <f>IFERROR(__xludf.DUMMYFUNCTION("""COMPUTED_VALUE"""),"BIONOVA PHARMACEUTICALS")</f>
        <v>BIONOVA PHARMACEUTICALS</v>
      </c>
    </row>
    <row r="543" ht="16.5" customHeight="1">
      <c r="H543" s="1" t="str">
        <f>IFERROR(__xludf.DUMMYFUNCTION("""COMPUTED_VALUE"""),"BIONOVICS PHARMACEUTICALS PVT LTD")</f>
        <v>BIONOVICS PHARMACEUTICALS PVT LTD</v>
      </c>
    </row>
    <row r="544" ht="16.5" customHeight="1">
      <c r="H544" s="1" t="str">
        <f>IFERROR(__xludf.DUMMYFUNCTION("""COMPUTED_VALUE"""),"BIONOVO REMEDIES")</f>
        <v>BIONOVO REMEDIES</v>
      </c>
    </row>
    <row r="545" ht="16.5" customHeight="1">
      <c r="H545" s="1" t="str">
        <f>IFERROR(__xludf.DUMMYFUNCTION("""COMPUTED_VALUE"""),"BIOPHAR LIFESCIENCES")</f>
        <v>BIOPHAR LIFESCIENCES</v>
      </c>
    </row>
    <row r="546" ht="16.5" customHeight="1">
      <c r="H546" s="1" t="str">
        <f>IFERROR(__xludf.DUMMYFUNCTION("""COMPUTED_VALUE"""),"BIOPHARM GROUP")</f>
        <v>BIOPHARM GROUP</v>
      </c>
    </row>
    <row r="547" ht="16.5" customHeight="1">
      <c r="H547" s="1" t="str">
        <f>IFERROR(__xludf.DUMMYFUNCTION("""COMPUTED_VALUE"""),"BIOS (HOMEO)")</f>
        <v>BIOS (HOMEO)</v>
      </c>
    </row>
    <row r="548" ht="16.5" customHeight="1">
      <c r="H548" s="1" t="str">
        <f>IFERROR(__xludf.DUMMYFUNCTION("""COMPUTED_VALUE"""),"BIOS LABS")</f>
        <v>BIOS LABS</v>
      </c>
    </row>
    <row r="549" ht="16.5" customHeight="1">
      <c r="H549" s="1" t="str">
        <f>IFERROR(__xludf.DUMMYFUNCTION("""COMPUTED_VALUE"""),"BIOSAFE LIFECARE P LTD")</f>
        <v>BIOSAFE LIFECARE P LTD</v>
      </c>
    </row>
    <row r="550" ht="16.5" customHeight="1">
      <c r="H550" s="1" t="str">
        <f>IFERROR(__xludf.DUMMYFUNCTION("""COMPUTED_VALUE"""),"BIOSANS LIFECARE")</f>
        <v>BIOSANS LIFECARE</v>
      </c>
    </row>
    <row r="551" ht="16.5" customHeight="1">
      <c r="H551" s="1" t="str">
        <f>IFERROR(__xludf.DUMMYFUNCTION("""COMPUTED_VALUE"""),"BIOSAP")</f>
        <v>BIOSAP</v>
      </c>
    </row>
    <row r="552" ht="16.5" customHeight="1">
      <c r="H552" s="1" t="str">
        <f>IFERROR(__xludf.DUMMYFUNCTION("""COMPUTED_VALUE"""),"BIOSCIENCE HEALTHCARE")</f>
        <v>BIOSCIENCE HEALTHCARE</v>
      </c>
    </row>
    <row r="553" ht="16.5" customHeight="1">
      <c r="H553" s="1" t="str">
        <f>IFERROR(__xludf.DUMMYFUNCTION("""COMPUTED_VALUE"""),"BIOSHIELDS")</f>
        <v>BIOSHIELDS</v>
      </c>
    </row>
    <row r="554" ht="16.5" customHeight="1">
      <c r="H554" s="1" t="str">
        <f>IFERROR(__xludf.DUMMYFUNCTION("""COMPUTED_VALUE"""),"BIOSLAB")</f>
        <v>BIOSLAB</v>
      </c>
    </row>
    <row r="555" ht="16.5" customHeight="1">
      <c r="H555" s="1" t="str">
        <f>IFERROR(__xludf.DUMMYFUNCTION("""COMPUTED_VALUE"""),"BIOSTADT INDIA LIMITED")</f>
        <v>BIOSTADT INDIA LIMITED</v>
      </c>
    </row>
    <row r="556" ht="16.5" customHeight="1">
      <c r="H556" s="1" t="str">
        <f>IFERROR(__xludf.DUMMYFUNCTION("""COMPUTED_VALUE"""),"BIOSTAR PHARMACEUTICALS")</f>
        <v>BIOSTAR PHARMACEUTICALS</v>
      </c>
    </row>
    <row r="557" ht="16.5" customHeight="1">
      <c r="H557" s="1" t="str">
        <f>IFERROR(__xludf.DUMMYFUNCTION("""COMPUTED_VALUE"""),"BIOSUR PHARMA")</f>
        <v>BIOSUR PHARMA</v>
      </c>
    </row>
    <row r="558" ht="16.5" customHeight="1">
      <c r="H558" s="1" t="str">
        <f>IFERROR(__xludf.DUMMYFUNCTION("""COMPUTED_VALUE"""),"BIOSURE PHARMA")</f>
        <v>BIOSURE PHARMA</v>
      </c>
    </row>
    <row r="559" ht="16.5" customHeight="1">
      <c r="H559" s="1" t="str">
        <f>IFERROR(__xludf.DUMMYFUNCTION("""COMPUTED_VALUE"""),"BIOSYNERGY LIFECARE PVT LTD")</f>
        <v>BIOSYNERGY LIFECARE PVT LTD</v>
      </c>
    </row>
    <row r="560" ht="16.5" customHeight="1">
      <c r="H560" s="1" t="str">
        <f>IFERROR(__xludf.DUMMYFUNCTION("""COMPUTED_VALUE"""),"BIOTA REMEDIES")</f>
        <v>BIOTA REMEDIES</v>
      </c>
    </row>
    <row r="561" ht="16.5" customHeight="1">
      <c r="H561" s="1" t="str">
        <f>IFERROR(__xludf.DUMMYFUNCTION("""COMPUTED_VALUE"""),"BIOTEST PHARMA")</f>
        <v>BIOTEST PHARMA</v>
      </c>
    </row>
    <row r="562" ht="16.5" customHeight="1">
      <c r="H562" s="1" t="str">
        <f>IFERROR(__xludf.DUMMYFUNCTION("""COMPUTED_VALUE"""),"BIOVALENCE")</f>
        <v>BIOVALENCE</v>
      </c>
    </row>
    <row r="563" ht="16.5" customHeight="1">
      <c r="H563" s="1" t="str">
        <f>IFERROR(__xludf.DUMMYFUNCTION("""COMPUTED_VALUE"""),"BIOVERVE PHARMACEUTICALS")</f>
        <v>BIOVERVE PHARMACEUTICALS</v>
      </c>
    </row>
    <row r="564" ht="16.5" customHeight="1">
      <c r="H564" s="1" t="str">
        <f>IFERROR(__xludf.DUMMYFUNCTION("""COMPUTED_VALUE"""),"BIOVITAMINS PVT LTD")</f>
        <v>BIOVITAMINS PVT LTD</v>
      </c>
    </row>
    <row r="565" ht="16.5" customHeight="1">
      <c r="H565" s="1" t="str">
        <f>IFERROR(__xludf.DUMMYFUNCTION("""COMPUTED_VALUE"""),"BIOVIZ TECHNOLOGIES")</f>
        <v>BIOVIZ TECHNOLOGIES</v>
      </c>
    </row>
    <row r="566" ht="16.5" customHeight="1">
      <c r="H566" s="1" t="str">
        <f>IFERROR(__xludf.DUMMYFUNCTION("""COMPUTED_VALUE"""),"BIOWIN HEALTHCARE")</f>
        <v>BIOWIN HEALTHCARE</v>
      </c>
    </row>
    <row r="567" ht="16.5" customHeight="1">
      <c r="H567" s="1" t="str">
        <f>IFERROR(__xludf.DUMMYFUNCTION("""COMPUTED_VALUE"""),"BIOZEN HEALTHCARE")</f>
        <v>BIOZEN HEALTHCARE</v>
      </c>
    </row>
    <row r="568" ht="16.5" customHeight="1">
      <c r="H568" s="1" t="str">
        <f>IFERROR(__xludf.DUMMYFUNCTION("""COMPUTED_VALUE"""),"BIOZEN PHARMACEUTICALS")</f>
        <v>BIOZEN PHARMACEUTICALS</v>
      </c>
    </row>
    <row r="569" ht="16.5" customHeight="1">
      <c r="H569" s="1" t="str">
        <f>IFERROR(__xludf.DUMMYFUNCTION("""COMPUTED_VALUE"""),"BISANI PHARMACEUTICS")</f>
        <v>BISANI PHARMACEUTICS</v>
      </c>
    </row>
    <row r="570" ht="16.5" customHeight="1">
      <c r="H570" s="1" t="str">
        <f>IFERROR(__xludf.DUMMYFUNCTION("""COMPUTED_VALUE"""),"BITTU PHARMACEUTICALS")</f>
        <v>BITTU PHARMACEUTICALS</v>
      </c>
    </row>
    <row r="571" ht="16.5" customHeight="1">
      <c r="H571" s="1" t="str">
        <f>IFERROR(__xludf.DUMMYFUNCTION("""COMPUTED_VALUE"""),"BLISS CHEMICAL &amp; PHARMA")</f>
        <v>BLISS CHEMICAL &amp; PHARMA</v>
      </c>
    </row>
    <row r="572" ht="16.5" customHeight="1">
      <c r="H572" s="1" t="str">
        <f>IFERROR(__xludf.DUMMYFUNCTION("""COMPUTED_VALUE"""),"BLISSON (MEDICA)")</f>
        <v>BLISSON (MEDICA)</v>
      </c>
    </row>
    <row r="573" ht="16.5" customHeight="1">
      <c r="H573" s="1" t="str">
        <f>IFERROR(__xludf.DUMMYFUNCTION("""COMPUTED_VALUE"""),"BLISSON (MEDIPLUS)")</f>
        <v>BLISSON (MEDIPLUS)</v>
      </c>
    </row>
    <row r="574" ht="16.5" customHeight="1">
      <c r="H574" s="1" t="str">
        <f>IFERROR(__xludf.DUMMYFUNCTION("""COMPUTED_VALUE"""),"Blubell Pharma")</f>
        <v>Blubell Pharma</v>
      </c>
    </row>
    <row r="575" ht="16.5" customHeight="1">
      <c r="H575" s="1" t="str">
        <f>IFERROR(__xludf.DUMMYFUNCTION("""COMPUTED_VALUE"""),"BLUE CROSS (EXCEL)")</f>
        <v>BLUE CROSS (EXCEL)</v>
      </c>
    </row>
    <row r="576" ht="16.5" customHeight="1">
      <c r="H576" s="1" t="str">
        <f>IFERROR(__xludf.DUMMYFUNCTION("""COMPUTED_VALUE"""),"Blue Cross Laboratories Ltd")</f>
        <v>Blue Cross Laboratories Ltd</v>
      </c>
    </row>
    <row r="577" ht="16.5" customHeight="1">
      <c r="H577" s="1" t="str">
        <f>IFERROR(__xludf.DUMMYFUNCTION("""COMPUTED_VALUE"""),"BLUECELL HEALTHCARE SOLUTIONS")</f>
        <v>BLUECELL HEALTHCARE SOLUTIONS</v>
      </c>
    </row>
    <row r="578" ht="16.5" customHeight="1">
      <c r="H578" s="1" t="str">
        <f>IFERROR(__xludf.DUMMYFUNCTION("""COMPUTED_VALUE"""),"BLUEDROP LIFESCIENCE")</f>
        <v>BLUEDROP LIFESCIENCE</v>
      </c>
    </row>
    <row r="579" ht="16.5" customHeight="1">
      <c r="H579" s="1" t="str">
        <f>IFERROR(__xludf.DUMMYFUNCTION("""COMPUTED_VALUE"""),"BMA (OP)")</f>
        <v>BMA (OP)</v>
      </c>
    </row>
    <row r="580" ht="16.5" customHeight="1">
      <c r="H580" s="1" t="str">
        <f>IFERROR(__xludf.DUMMYFUNCTION("""COMPUTED_VALUE"""),"BMW PHARMACO")</f>
        <v>BMW PHARMACO</v>
      </c>
    </row>
    <row r="581" ht="16.5" customHeight="1">
      <c r="H581" s="1" t="str">
        <f>IFERROR(__xludf.DUMMYFUNCTION("""COMPUTED_VALUE"""),"Boehringer Ingelheim")</f>
        <v>Boehringer Ingelheim</v>
      </c>
    </row>
    <row r="582" ht="16.5" customHeight="1">
      <c r="H582" s="1" t="str">
        <f>IFERROR(__xludf.DUMMYFUNCTION("""COMPUTED_VALUE"""),"Boehringer Ingelheim (CARDIO)")</f>
        <v>Boehringer Ingelheim (CARDIO)</v>
      </c>
    </row>
    <row r="583" ht="16.5" customHeight="1">
      <c r="H583" s="1" t="str">
        <f>IFERROR(__xludf.DUMMYFUNCTION("""COMPUTED_VALUE"""),"Boehringer Ingelheim (DIABETES)")</f>
        <v>Boehringer Ingelheim (DIABETES)</v>
      </c>
    </row>
    <row r="584" ht="16.5" customHeight="1">
      <c r="H584" s="1" t="str">
        <f>IFERROR(__xludf.DUMMYFUNCTION("""COMPUTED_VALUE"""),"BONDANE PHARMA")</f>
        <v>BONDANE PHARMA</v>
      </c>
    </row>
    <row r="585" ht="16.5" customHeight="1">
      <c r="H585" s="1" t="str">
        <f>IFERROR(__xludf.DUMMYFUNCTION("""COMPUTED_VALUE"""),"BONNY BABY CARE PVT LTD")</f>
        <v>BONNY BABY CARE PVT LTD</v>
      </c>
    </row>
    <row r="586" ht="16.5" customHeight="1">
      <c r="H586" s="1" t="str">
        <f>IFERROR(__xludf.DUMMYFUNCTION("""COMPUTED_VALUE"""),"BONSAI PHARMA")</f>
        <v>BONSAI PHARMA</v>
      </c>
    </row>
    <row r="587" ht="16.5" customHeight="1">
      <c r="H587" s="1" t="str">
        <f>IFERROR(__xludf.DUMMYFUNCTION("""COMPUTED_VALUE"""),"BOOLEAN PHARMACEUTICAL")</f>
        <v>BOOLEAN PHARMACEUTICAL</v>
      </c>
    </row>
    <row r="588" ht="16.5" customHeight="1">
      <c r="H588" s="1" t="str">
        <f>IFERROR(__xludf.DUMMYFUNCTION("""COMPUTED_VALUE"""),"BOOTS LIFESCIENCES LTD")</f>
        <v>BOOTS LIFESCIENCES LTD</v>
      </c>
    </row>
    <row r="589" ht="16.5" customHeight="1">
      <c r="H589" s="1" t="str">
        <f>IFERROR(__xludf.DUMMYFUNCTION("""COMPUTED_VALUE"""),"BOOTS LIFESCIENCES LTD (GENERIC)")</f>
        <v>BOOTS LIFESCIENCES LTD (GENERIC)</v>
      </c>
    </row>
    <row r="590" ht="16.5" customHeight="1">
      <c r="H590" s="1" t="str">
        <f>IFERROR(__xludf.DUMMYFUNCTION("""COMPUTED_VALUE"""),"BRAINWAVE HEALTHCARE PVT LTD")</f>
        <v>BRAINWAVE HEALTHCARE PVT LTD</v>
      </c>
    </row>
    <row r="591" ht="16.5" customHeight="1">
      <c r="H591" s="1" t="str">
        <f>IFERROR(__xludf.DUMMYFUNCTION("""COMPUTED_VALUE"""),"Brawn Laboratories Ltd")</f>
        <v>Brawn Laboratories Ltd</v>
      </c>
    </row>
    <row r="592" ht="16.5" customHeight="1">
      <c r="H592" s="1" t="str">
        <f>IFERROR(__xludf.DUMMYFUNCTION("""COMPUTED_VALUE"""),"BRIGHT LIFECARE PVT LTD (TRUEBASICS)")</f>
        <v>BRIGHT LIFECARE PVT LTD (TRUEBASICS)</v>
      </c>
    </row>
    <row r="593" ht="16.5" customHeight="1">
      <c r="H593" s="1" t="str">
        <f>IFERROR(__xludf.DUMMYFUNCTION("""COMPUTED_VALUE"""),"BRIHANS NATURAL PRODUCTS")</f>
        <v>BRIHANS NATURAL PRODUCTS</v>
      </c>
    </row>
    <row r="594" ht="16.5" customHeight="1">
      <c r="H594" s="1" t="str">
        <f>IFERROR(__xludf.DUMMYFUNCTION("""COMPUTED_VALUE"""),"BRIJ HONEY LABORATORY")</f>
        <v>BRIJ HONEY LABORATORY</v>
      </c>
    </row>
    <row r="595" ht="16.5" customHeight="1">
      <c r="H595" s="1" t="str">
        <f>IFERROR(__xludf.DUMMYFUNCTION("""COMPUTED_VALUE"""),"BRINTON (FALCON)")</f>
        <v>BRINTON (FALCON)</v>
      </c>
    </row>
    <row r="596" ht="16.5" customHeight="1">
      <c r="H596" s="1" t="str">
        <f>IFERROR(__xludf.DUMMYFUNCTION("""COMPUTED_VALUE"""),"BRINTON (HAWKS)")</f>
        <v>BRINTON (HAWKS)</v>
      </c>
    </row>
    <row r="597" ht="16.5" customHeight="1">
      <c r="H597" s="1" t="str">
        <f>IFERROR(__xludf.DUMMYFUNCTION("""COMPUTED_VALUE"""),"BRINTON (HEALTHCARE)")</f>
        <v>BRINTON (HEALTHCARE)</v>
      </c>
    </row>
    <row r="598" ht="16.5" customHeight="1">
      <c r="H598" s="1" t="str">
        <f>IFERROR(__xludf.DUMMYFUNCTION("""COMPUTED_VALUE"""),"BRINTON (PED)")</f>
        <v>BRINTON (PED)</v>
      </c>
    </row>
    <row r="599" ht="16.5" customHeight="1">
      <c r="H599" s="1" t="str">
        <f>IFERROR(__xludf.DUMMYFUNCTION("""COMPUTED_VALUE"""),"Brinton Pharmaceuticals Pvt Ltd")</f>
        <v>Brinton Pharmaceuticals Pvt Ltd</v>
      </c>
    </row>
    <row r="600" ht="16.5" customHeight="1">
      <c r="H600" s="1" t="str">
        <f>IFERROR(__xludf.DUMMYFUNCTION("""COMPUTED_VALUE"""),"BRIO BLISS LIFE SCIENCE (ALPINO)")</f>
        <v>BRIO BLISS LIFE SCIENCE (ALPINO)</v>
      </c>
    </row>
    <row r="601" ht="16.5" customHeight="1">
      <c r="H601" s="1" t="str">
        <f>IFERROR(__xludf.DUMMYFUNCTION("""COMPUTED_VALUE"""),"BRIO BLISS LIFE SCIENCE (ANGELO)")</f>
        <v>BRIO BLISS LIFE SCIENCE (ANGELO)</v>
      </c>
    </row>
    <row r="602" ht="16.5" customHeight="1">
      <c r="H602" s="1" t="str">
        <f>IFERROR(__xludf.DUMMYFUNCTION("""COMPUTED_VALUE"""),"BRIO BLISS LIFE SCIENCE (BAMBINO)")</f>
        <v>BRIO BLISS LIFE SCIENCE (BAMBINO)</v>
      </c>
    </row>
    <row r="603" ht="16.5" customHeight="1">
      <c r="H603" s="1" t="str">
        <f>IFERROR(__xludf.DUMMYFUNCTION("""COMPUTED_VALUE"""),"BRISTOL MAYER SQUIBB")</f>
        <v>BRISTOL MAYER SQUIBB</v>
      </c>
    </row>
    <row r="604" ht="16.5" customHeight="1">
      <c r="H604" s="1" t="str">
        <f>IFERROR(__xludf.DUMMYFUNCTION("""COMPUTED_VALUE"""),"British Biologicals")</f>
        <v>British Biologicals</v>
      </c>
    </row>
    <row r="605" ht="16.5" customHeight="1">
      <c r="H605" s="1" t="str">
        <f>IFERROR(__xludf.DUMMYFUNCTION("""COMPUTED_VALUE"""),"British Life Science")</f>
        <v>British Life Science</v>
      </c>
    </row>
    <row r="606" ht="16.5" customHeight="1">
      <c r="H606" s="1" t="str">
        <f>IFERROR(__xludf.DUMMYFUNCTION("""COMPUTED_VALUE"""),"Brooks Pharmaceuticals")</f>
        <v>Brooks Pharmaceuticals</v>
      </c>
    </row>
    <row r="607" ht="16.5" customHeight="1">
      <c r="H607" s="1" t="str">
        <f>IFERROR(__xludf.DUMMYFUNCTION("""COMPUTED_VALUE"""),"BROSTIN SEIZZ BIOCARE")</f>
        <v>BROSTIN SEIZZ BIOCARE</v>
      </c>
    </row>
    <row r="608" ht="16.5" customHeight="1">
      <c r="H608" s="1" t="str">
        <f>IFERROR(__xludf.DUMMYFUNCTION("""COMPUTED_VALUE"""),"BRPL")</f>
        <v>BRPL</v>
      </c>
    </row>
    <row r="609" ht="16.5" customHeight="1">
      <c r="H609" s="1" t="str">
        <f>IFERROR(__xludf.DUMMYFUNCTION("""COMPUTED_VALUE"""),"BRYSON PHARMACEUTICAL")</f>
        <v>BRYSON PHARMACEUTICAL</v>
      </c>
    </row>
    <row r="610" ht="16.5" customHeight="1">
      <c r="H610" s="1" t="str">
        <f>IFERROR(__xludf.DUMMYFUNCTION("""COMPUTED_VALUE"""),"BSV (EMA CARE)")</f>
        <v>BSV (EMA CARE)</v>
      </c>
    </row>
    <row r="611" ht="16.5" customHeight="1">
      <c r="H611" s="1" t="str">
        <f>IFERROR(__xludf.DUMMYFUNCTION("""COMPUTED_VALUE"""),"BSV (FEMI CARE)")</f>
        <v>BSV (FEMI CARE)</v>
      </c>
    </row>
    <row r="612" ht="16.5" customHeight="1">
      <c r="H612" s="1" t="str">
        <f>IFERROR(__xludf.DUMMYFUNCTION("""COMPUTED_VALUE"""),"BSV (ZOE CARE)")</f>
        <v>BSV (ZOE CARE)</v>
      </c>
    </row>
    <row r="613" ht="16.5" customHeight="1">
      <c r="H613" s="1" t="str">
        <f>IFERROR(__xludf.DUMMYFUNCTION("""COMPUTED_VALUE"""),"BTM LIFESCIENCES")</f>
        <v>BTM LIFESCIENCES</v>
      </c>
    </row>
    <row r="614" ht="16.5" customHeight="1">
      <c r="H614" s="1" t="str">
        <f>IFERROR(__xludf.DUMMYFUNCTION("""COMPUTED_VALUE"""),"BULLFORD PHARMACEUTICALS")</f>
        <v>BULLFORD PHARMACEUTICALS</v>
      </c>
    </row>
    <row r="615" ht="16.5" customHeight="1">
      <c r="H615" s="1" t="str">
        <f>IFERROR(__xludf.DUMMYFUNCTION("""COMPUTED_VALUE"""),"BURGEON PHARMACEUTICALS")</f>
        <v>BURGEON PHARMACEUTICALS</v>
      </c>
    </row>
    <row r="616" ht="16.5" customHeight="1">
      <c r="H616" s="1" t="str">
        <f>IFERROR(__xludf.DUMMYFUNCTION("""COMPUTED_VALUE"""),"BUSHWELL P LTD")</f>
        <v>BUSHWELL P LTD</v>
      </c>
    </row>
    <row r="617" ht="16.5" customHeight="1">
      <c r="H617" s="1" t="str">
        <f>IFERROR(__xludf.DUMMYFUNCTION("""COMPUTED_VALUE"""),"CA RETRANS 10MG")</f>
        <v>CA RETRANS 10MG</v>
      </c>
    </row>
    <row r="618" ht="16.5" customHeight="1">
      <c r="H618" s="1" t="str">
        <f>IFERROR(__xludf.DUMMYFUNCTION("""COMPUTED_VALUE"""),"Cachet Pharmaceuticals Ltd.")</f>
        <v>Cachet Pharmaceuticals Ltd.</v>
      </c>
    </row>
    <row r="619" ht="16.5" customHeight="1">
      <c r="H619" s="1" t="str">
        <f>IFERROR(__xludf.DUMMYFUNCTION("""COMPUTED_VALUE"""),"Cachet Pharmaceuticals Pvt Ltd")</f>
        <v>Cachet Pharmaceuticals Pvt Ltd</v>
      </c>
    </row>
    <row r="620" ht="16.5" customHeight="1">
      <c r="H620" s="1" t="str">
        <f>IFERROR(__xludf.DUMMYFUNCTION("""COMPUTED_VALUE"""),"CADEX LABORATORIES")</f>
        <v>CADEX LABORATORIES</v>
      </c>
    </row>
    <row r="621" ht="16.5" customHeight="1">
      <c r="H621" s="1" t="str">
        <f>IFERROR(__xludf.DUMMYFUNCTION("""COMPUTED_VALUE"""),"CADICO REMEDIES")</f>
        <v>CADICO REMEDIES</v>
      </c>
    </row>
    <row r="622" ht="16.5" customHeight="1">
      <c r="H622" s="1" t="str">
        <f>IFERROR(__xludf.DUMMYFUNCTION("""COMPUTED_VALUE"""),"CADILA (DERMA)")</f>
        <v>CADILA (DERMA)</v>
      </c>
    </row>
    <row r="623" ht="16.5" customHeight="1">
      <c r="H623" s="1" t="str">
        <f>IFERROR(__xludf.DUMMYFUNCTION("""COMPUTED_VALUE"""),"CADILA (GENERIC)")</f>
        <v>CADILA (GENERIC)</v>
      </c>
    </row>
    <row r="624" ht="16.5" customHeight="1">
      <c r="H624" s="1" t="str">
        <f>IFERROR(__xludf.DUMMYFUNCTION("""COMPUTED_VALUE"""),"CADILA (MAGFAM)")</f>
        <v>CADILA (MAGFAM)</v>
      </c>
    </row>
    <row r="625" ht="16.5" customHeight="1">
      <c r="H625" s="1" t="str">
        <f>IFERROR(__xludf.DUMMYFUNCTION("""COMPUTED_VALUE"""),"CADILA (MAGNN WAVE)")</f>
        <v>CADILA (MAGNN WAVE)</v>
      </c>
    </row>
    <row r="626" ht="16.5" customHeight="1">
      <c r="H626" s="1" t="str">
        <f>IFERROR(__xludf.DUMMYFUNCTION("""COMPUTED_VALUE"""),"CADILA (VOLTA)")</f>
        <v>CADILA (VOLTA)</v>
      </c>
    </row>
    <row r="627" ht="16.5" customHeight="1">
      <c r="H627" s="1" t="str">
        <f>IFERROR(__xludf.DUMMYFUNCTION("""COMPUTED_VALUE"""),"Cadila Healthcare Limited")</f>
        <v>Cadila Healthcare Limited</v>
      </c>
    </row>
    <row r="628" ht="16.5" customHeight="1">
      <c r="H628" s="1" t="str">
        <f>IFERROR(__xludf.DUMMYFUNCTION("""COMPUTED_VALUE"""),"CADILA PHARMA (IRM)")</f>
        <v>CADILA PHARMA (IRM)</v>
      </c>
    </row>
    <row r="629" ht="16.5" customHeight="1">
      <c r="H629" s="1" t="str">
        <f>IFERROR(__xludf.DUMMYFUNCTION("""COMPUTED_VALUE"""),"CADILA PHARMA(GERMAN-MAXX)")</f>
        <v>CADILA PHARMA(GERMAN-MAXX)</v>
      </c>
    </row>
    <row r="630" ht="16.5" customHeight="1">
      <c r="H630" s="1" t="str">
        <f>IFERROR(__xludf.DUMMYFUNCTION("""COMPUTED_VALUE"""),"Cadila Pharmaceuticals Ltd")</f>
        <v>Cadila Pharmaceuticals Ltd</v>
      </c>
    </row>
    <row r="631" ht="16.5" customHeight="1">
      <c r="H631" s="1" t="str">
        <f>IFERROR(__xludf.DUMMYFUNCTION("""COMPUTED_VALUE"""),"CADIZ LIFESCIENCE (LYKA NOVOGEN)")</f>
        <v>CADIZ LIFESCIENCE (LYKA NOVOGEN)</v>
      </c>
    </row>
    <row r="632" ht="16.5" customHeight="1">
      <c r="H632" s="1" t="str">
        <f>IFERROR(__xludf.DUMMYFUNCTION("""COMPUTED_VALUE"""),"CADMA BIOTECH")</f>
        <v>CADMA BIOTECH</v>
      </c>
    </row>
    <row r="633" ht="16.5" customHeight="1">
      <c r="H633" s="1" t="str">
        <f>IFERROR(__xludf.DUMMYFUNCTION("""COMPUTED_VALUE"""),"CADOMED PHARMACEUTICALS INDIA PVT LTD")</f>
        <v>CADOMED PHARMACEUTICALS INDIA PVT LTD</v>
      </c>
    </row>
    <row r="634" ht="16.5" customHeight="1">
      <c r="H634" s="1" t="str">
        <f>IFERROR(__xludf.DUMMYFUNCTION("""COMPUTED_VALUE"""),"Calix Health Care")</f>
        <v>Calix Health Care</v>
      </c>
    </row>
    <row r="635" ht="16.5" customHeight="1">
      <c r="H635" s="1" t="str">
        <f>IFERROR(__xludf.DUMMYFUNCTION("""COMPUTED_VALUE"""),"CAMRUT PHARMA")</f>
        <v>CAMRUT PHARMA</v>
      </c>
    </row>
    <row r="636" ht="16.5" customHeight="1">
      <c r="H636" s="1" t="str">
        <f>IFERROR(__xludf.DUMMYFUNCTION("""COMPUTED_VALUE"""),"CAN CARE BIOTECH")</f>
        <v>CAN CARE BIOTECH</v>
      </c>
    </row>
    <row r="637" ht="16.5" customHeight="1">
      <c r="H637" s="1" t="str">
        <f>IFERROR(__xludf.DUMMYFUNCTION("""COMPUTED_VALUE"""),"CANADIAN PHARMACEUTICALS")</f>
        <v>CANADIAN PHARMACEUTICALS</v>
      </c>
    </row>
    <row r="638" ht="16.5" customHeight="1">
      <c r="H638" s="1" t="str">
        <f>IFERROR(__xludf.DUMMYFUNCTION("""COMPUTED_VALUE"""),"Canixa Life Sciences Pvt")</f>
        <v>Canixa Life Sciences Pvt</v>
      </c>
    </row>
    <row r="639" ht="16.5" customHeight="1">
      <c r="H639" s="1" t="str">
        <f>IFERROR(__xludf.DUMMYFUNCTION("""COMPUTED_VALUE"""),"CAPLET INDIA PVT LTD")</f>
        <v>CAPLET INDIA PVT LTD</v>
      </c>
    </row>
    <row r="640" ht="16.5" customHeight="1">
      <c r="H640" s="1" t="str">
        <f>IFERROR(__xludf.DUMMYFUNCTION("""COMPUTED_VALUE"""),"CAPRI PHARMACEUTICALS")</f>
        <v>CAPRI PHARMACEUTICALS</v>
      </c>
    </row>
    <row r="641" ht="16.5" customHeight="1">
      <c r="H641" s="1" t="str">
        <f>IFERROR(__xludf.DUMMYFUNCTION("""COMPUTED_VALUE"""),"CAPS PHARMA PVT LTD")</f>
        <v>CAPS PHARMA PVT LTD</v>
      </c>
    </row>
    <row r="642" ht="16.5" customHeight="1">
      <c r="H642" s="1" t="str">
        <f>IFERROR(__xludf.DUMMYFUNCTION("""COMPUTED_VALUE"""),"Captab Biotech")</f>
        <v>Captab Biotech</v>
      </c>
    </row>
    <row r="643" ht="16.5" customHeight="1">
      <c r="H643" s="1" t="str">
        <f>IFERROR(__xludf.DUMMYFUNCTION("""COMPUTED_VALUE"""),"CAPTO THERAPEUTICS")</f>
        <v>CAPTO THERAPEUTICS</v>
      </c>
    </row>
    <row r="644" ht="16.5" customHeight="1">
      <c r="H644" s="1" t="str">
        <f>IFERROR(__xludf.DUMMYFUNCTION("""COMPUTED_VALUE"""),"Care Biochemicals Pvt Ltd")</f>
        <v>Care Biochemicals Pvt Ltd</v>
      </c>
    </row>
    <row r="645" ht="16.5" customHeight="1">
      <c r="H645" s="1" t="str">
        <f>IFERROR(__xludf.DUMMYFUNCTION("""COMPUTED_VALUE"""),"CARE FORMULATION LABS PVT LTD")</f>
        <v>CARE FORMULATION LABS PVT LTD</v>
      </c>
    </row>
    <row r="646" ht="16.5" customHeight="1">
      <c r="H646" s="1" t="str">
        <f>IFERROR(__xludf.DUMMYFUNCTION("""COMPUTED_VALUE"""),"CARE GROUP")</f>
        <v>CARE GROUP</v>
      </c>
    </row>
    <row r="647" ht="16.5" customHeight="1">
      <c r="H647" s="1" t="str">
        <f>IFERROR(__xludf.DUMMYFUNCTION("""COMPUTED_VALUE"""),"CARE LIFESCIENCE")</f>
        <v>CARE LIFESCIENCE</v>
      </c>
    </row>
    <row r="648" ht="16.5" customHeight="1">
      <c r="H648" s="1" t="str">
        <f>IFERROR(__xludf.DUMMYFUNCTION("""COMPUTED_VALUE"""),"Care Pharma India Ltd")</f>
        <v>Care Pharma India Ltd</v>
      </c>
    </row>
    <row r="649" ht="16.5" customHeight="1">
      <c r="H649" s="1" t="str">
        <f>IFERROR(__xludf.DUMMYFUNCTION("""COMPUTED_VALUE"""),"CARE VISION")</f>
        <v>CARE VISION</v>
      </c>
    </row>
    <row r="650" ht="16.5" customHeight="1">
      <c r="H650" s="1" t="str">
        <f>IFERROR(__xludf.DUMMYFUNCTION("""COMPUTED_VALUE"""),"CAREMED PHARMA")</f>
        <v>CAREMED PHARMA</v>
      </c>
    </row>
    <row r="651" ht="16.5" customHeight="1">
      <c r="H651" s="1" t="str">
        <f>IFERROR(__xludf.DUMMYFUNCTION("""COMPUTED_VALUE"""),"CAREWELL PHARMACEUTICALS")</f>
        <v>CAREWELL PHARMACEUTICALS</v>
      </c>
    </row>
    <row r="652" ht="16.5" customHeight="1">
      <c r="H652" s="1" t="str">
        <f>IFERROR(__xludf.DUMMYFUNCTION("""COMPUTED_VALUE"""),"CARISE PHARMACEUTICALS")</f>
        <v>CARISE PHARMACEUTICALS</v>
      </c>
    </row>
    <row r="653" ht="16.5" customHeight="1">
      <c r="H653" s="1" t="str">
        <f>IFERROR(__xludf.DUMMYFUNCTION("""COMPUTED_VALUE"""),"CARLTON")</f>
        <v>CARLTON</v>
      </c>
    </row>
    <row r="654" ht="16.5" customHeight="1">
      <c r="H654" s="1" t="str">
        <f>IFERROR(__xludf.DUMMYFUNCTION("""COMPUTED_VALUE"""),"CASCA REMEDIES PVT LTD")</f>
        <v>CASCA REMEDIES PVT LTD</v>
      </c>
    </row>
    <row r="655" ht="16.5" customHeight="1">
      <c r="H655" s="1" t="str">
        <f>IFERROR(__xludf.DUMMYFUNCTION("""COMPUTED_VALUE"""),"CAVIAR DERMA CARE")</f>
        <v>CAVIAR DERMA CARE</v>
      </c>
    </row>
    <row r="656" ht="16.5" customHeight="1">
      <c r="H656" s="1" t="str">
        <f>IFERROR(__xludf.DUMMYFUNCTION("""COMPUTED_VALUE"""),"CAVIN PHARMACEUTICALS")</f>
        <v>CAVIN PHARMACEUTICALS</v>
      </c>
    </row>
    <row r="657" ht="16.5" customHeight="1">
      <c r="H657" s="1" t="str">
        <f>IFERROR(__xludf.DUMMYFUNCTION("""COMPUTED_VALUE"""),"CAZLE AYURVEDA")</f>
        <v>CAZLE AYURVEDA</v>
      </c>
    </row>
    <row r="658" ht="16.5" customHeight="1">
      <c r="H658" s="1" t="str">
        <f>IFERROR(__xludf.DUMMYFUNCTION("""COMPUTED_VALUE"""),"CCI PRODUCTS")</f>
        <v>CCI PRODUCTS</v>
      </c>
    </row>
    <row r="659" ht="16.5" customHeight="1">
      <c r="H659" s="1" t="str">
        <f>IFERROR(__xludf.DUMMYFUNCTION("""COMPUTED_VALUE"""),"CELAGENEX RESEARCH INDIA P LTD")</f>
        <v>CELAGENEX RESEARCH INDIA P LTD</v>
      </c>
    </row>
    <row r="660" ht="16.5" customHeight="1">
      <c r="H660" s="1" t="str">
        <f>IFERROR(__xludf.DUMMYFUNCTION("""COMPUTED_VALUE"""),"CELESTIAL PHARMA")</f>
        <v>CELESTIAL PHARMA</v>
      </c>
    </row>
    <row r="661" ht="16.5" customHeight="1">
      <c r="H661" s="1" t="str">
        <f>IFERROR(__xludf.DUMMYFUNCTION("""COMPUTED_VALUE"""),"CELLGEN BIOPHARMA LLP")</f>
        <v>CELLGEN BIOPHARMA LLP</v>
      </c>
    </row>
    <row r="662" ht="16.5" customHeight="1">
      <c r="H662" s="1" t="str">
        <f>IFERROR(__xludf.DUMMYFUNCTION("""COMPUTED_VALUE"""),"CELON LABS")</f>
        <v>CELON LABS</v>
      </c>
    </row>
    <row r="663" ht="16.5" customHeight="1">
      <c r="H663" s="1" t="str">
        <f>IFERROR(__xludf.DUMMYFUNCTION("""COMPUTED_VALUE"""),"CELON LABS (EVALIFE)")</f>
        <v>CELON LABS (EVALIFE)</v>
      </c>
    </row>
    <row r="664" ht="16.5" customHeight="1">
      <c r="H664" s="1" t="str">
        <f>IFERROR(__xludf.DUMMYFUNCTION("""COMPUTED_VALUE"""),"CELON LABS (REVILON)")</f>
        <v>CELON LABS (REVILON)</v>
      </c>
    </row>
    <row r="665" ht="16.5" customHeight="1">
      <c r="H665" s="1" t="str">
        <f>IFERROR(__xludf.DUMMYFUNCTION("""COMPUTED_VALUE"""),"CELON LABS (UROLOGY &amp; NEPHRO)")</f>
        <v>CELON LABS (UROLOGY &amp; NEPHRO)</v>
      </c>
    </row>
    <row r="666" ht="16.5" customHeight="1">
      <c r="H666" s="1" t="str">
        <f>IFERROR(__xludf.DUMMYFUNCTION("""COMPUTED_VALUE"""),"CELON LABS (VIVILON)")</f>
        <v>CELON LABS (VIVILON)</v>
      </c>
    </row>
    <row r="667" ht="16.5" customHeight="1">
      <c r="H667" s="1" t="str">
        <f>IFERROR(__xludf.DUMMYFUNCTION("""COMPUTED_VALUE"""),"CELON LABS (VIVILON)")</f>
        <v>CELON LABS (VIVILON)</v>
      </c>
    </row>
    <row r="668" ht="16.5" customHeight="1">
      <c r="H668" s="1" t="str">
        <f>IFERROR(__xludf.DUMMYFUNCTION("""COMPUTED_VALUE"""),"CELSIUS HEALTHCARE")</f>
        <v>CELSIUS HEALTHCARE</v>
      </c>
    </row>
    <row r="669" ht="16.5" customHeight="1">
      <c r="H669" s="1" t="str">
        <f>IFERROR(__xludf.DUMMYFUNCTION("""COMPUTED_VALUE"""),"CENESYS CARE INDIA")</f>
        <v>CENESYS CARE INDIA</v>
      </c>
    </row>
    <row r="670" ht="16.5" customHeight="1">
      <c r="H670" s="1" t="str">
        <f>IFERROR(__xludf.DUMMYFUNCTION("""COMPUTED_VALUE"""),"CENOZOIC REMEDIES P LTD")</f>
        <v>CENOZOIC REMEDIES P LTD</v>
      </c>
    </row>
    <row r="671" ht="16.5" customHeight="1">
      <c r="H671" s="1" t="str">
        <f>IFERROR(__xludf.DUMMYFUNCTION("""COMPUTED_VALUE"""),"CENTAUR (ENT)")</f>
        <v>CENTAUR (ENT)</v>
      </c>
    </row>
    <row r="672" ht="16.5" customHeight="1">
      <c r="H672" s="1" t="str">
        <f>IFERROR(__xludf.DUMMYFUNCTION("""COMPUTED_VALUE"""),"CENTAUR (PRAGYA)")</f>
        <v>CENTAUR (PRAGYA)</v>
      </c>
    </row>
    <row r="673" ht="16.5" customHeight="1">
      <c r="H673" s="1" t="str">
        <f>IFERROR(__xludf.DUMMYFUNCTION("""COMPUTED_VALUE"""),"CENTAUR (SAKSHAM)")</f>
        <v>CENTAUR (SAKSHAM)</v>
      </c>
    </row>
    <row r="674" ht="16.5" customHeight="1">
      <c r="H674" s="1" t="str">
        <f>IFERROR(__xludf.DUMMYFUNCTION("""COMPUTED_VALUE"""),"CENTAUR (SAMRUDDHI)")</f>
        <v>CENTAUR (SAMRUDDHI)</v>
      </c>
    </row>
    <row r="675" ht="16.5" customHeight="1">
      <c r="H675" s="1" t="str">
        <f>IFERROR(__xludf.DUMMYFUNCTION("""COMPUTED_VALUE"""),"CENTAUR (SANKALP)")</f>
        <v>CENTAUR (SANKALP)</v>
      </c>
    </row>
    <row r="676" ht="16.5" customHeight="1">
      <c r="H676" s="1" t="str">
        <f>IFERROR(__xludf.DUMMYFUNCTION("""COMPUTED_VALUE"""),"CENTAUR (SARTHAK)")</f>
        <v>CENTAUR (SARTHAK)</v>
      </c>
    </row>
    <row r="677" ht="16.5" customHeight="1">
      <c r="H677" s="1" t="str">
        <f>IFERROR(__xludf.DUMMYFUNCTION("""COMPUTED_VALUE"""),"CENTAUR (SHASHVTA)")</f>
        <v>CENTAUR (SHASHVTA)</v>
      </c>
    </row>
    <row r="678" ht="16.5" customHeight="1">
      <c r="H678" s="1" t="str">
        <f>IFERROR(__xludf.DUMMYFUNCTION("""COMPUTED_VALUE"""),"Centaur Pharmaceuticals Pvt Ltd")</f>
        <v>Centaur Pharmaceuticals Pvt Ltd</v>
      </c>
    </row>
    <row r="679" ht="16.5" customHeight="1">
      <c r="H679" s="1" t="str">
        <f>IFERROR(__xludf.DUMMYFUNCTION("""COMPUTED_VALUE"""),"CENTURE (SAHAKALM)")</f>
        <v>CENTURE (SAHAKALM)</v>
      </c>
    </row>
    <row r="680" ht="16.5" customHeight="1">
      <c r="H680" s="1" t="str">
        <f>IFERROR(__xludf.DUMMYFUNCTION("""COMPUTED_VALUE"""),"CENTURY")</f>
        <v>CENTURY</v>
      </c>
    </row>
    <row r="681" ht="16.5" customHeight="1">
      <c r="H681" s="1" t="str">
        <f>IFERROR(__xludf.DUMMYFUNCTION("""COMPUTED_VALUE"""),"CENTURY DRUGS")</f>
        <v>CENTURY DRUGS</v>
      </c>
    </row>
    <row r="682" ht="16.5" customHeight="1">
      <c r="H682" s="1" t="str">
        <f>IFERROR(__xludf.DUMMYFUNCTION("""COMPUTED_VALUE"""),"CERAS PHARMACEUTICALS CHENNAI")</f>
        <v>CERAS PHARMACEUTICALS CHENNAI</v>
      </c>
    </row>
    <row r="683" ht="16.5" customHeight="1">
      <c r="H683" s="1" t="str">
        <f>IFERROR(__xludf.DUMMYFUNCTION("""COMPUTED_VALUE"""),"CERYS PHARMA")</f>
        <v>CERYS PHARMA</v>
      </c>
    </row>
    <row r="684" ht="16.5" customHeight="1">
      <c r="H684" s="1" t="str">
        <f>IFERROR(__xludf.DUMMYFUNCTION("""COMPUTED_VALUE"""),"CFL PHARMACEUTICALS LTD")</f>
        <v>CFL PHARMACEUTICALS LTD</v>
      </c>
    </row>
    <row r="685" ht="16.5" customHeight="1">
      <c r="H685" s="1" t="str">
        <f>IFERROR(__xludf.DUMMYFUNCTION("""COMPUTED_VALUE"""),"CHAMBAL PHARMACY")</f>
        <v>CHAMBAL PHARMACY</v>
      </c>
    </row>
    <row r="686" ht="16.5" customHeight="1">
      <c r="H686" s="1" t="str">
        <f>IFERROR(__xludf.DUMMYFUNCTION("""COMPUTED_VALUE"""),"CHANDRA BHAGAT (DSIRE)")</f>
        <v>CHANDRA BHAGAT (DSIRE)</v>
      </c>
    </row>
    <row r="687" ht="16.5" customHeight="1">
      <c r="H687" s="1" t="str">
        <f>IFERROR(__xludf.DUMMYFUNCTION("""COMPUTED_VALUE"""),"CHANDRABHAGAT CORPN LTD")</f>
        <v>CHANDRABHAGAT CORPN LTD</v>
      </c>
    </row>
    <row r="688" ht="16.5" customHeight="1">
      <c r="H688" s="1" t="str">
        <f>IFERROR(__xludf.DUMMYFUNCTION("""COMPUTED_VALUE"""),"CHANDRASHRI LABORATORES")</f>
        <v>CHANDRASHRI LABORATORES</v>
      </c>
    </row>
    <row r="689" ht="16.5" customHeight="1">
      <c r="H689" s="1" t="str">
        <f>IFERROR(__xludf.DUMMYFUNCTION("""COMPUTED_VALUE"""),"Charak Pharma Pvt Ltd")</f>
        <v>Charak Pharma Pvt Ltd</v>
      </c>
    </row>
    <row r="690" ht="16.5" customHeight="1">
      <c r="H690" s="1" t="str">
        <f>IFERROR(__xludf.DUMMYFUNCTION("""COMPUTED_VALUE"""),"Charak Pharma Pvt Ltd (PHYTONOVA)")</f>
        <v>Charak Pharma Pvt Ltd (PHYTONOVA)</v>
      </c>
    </row>
    <row r="691" ht="16.5" customHeight="1">
      <c r="H691" s="1" t="str">
        <f>IFERROR(__xludf.DUMMYFUNCTION("""COMPUTED_VALUE"""),"Charak Pharma Pvt. Ltd.")</f>
        <v>Charak Pharma Pvt. Ltd.</v>
      </c>
    </row>
    <row r="692" ht="16.5" customHeight="1">
      <c r="H692" s="1" t="str">
        <f>IFERROR(__xludf.DUMMYFUNCTION("""COMPUTED_VALUE"""),"Chaturbhuj Pharma")</f>
        <v>Chaturbhuj Pharma</v>
      </c>
    </row>
    <row r="693" ht="16.5" customHeight="1">
      <c r="H693" s="1" t="str">
        <f>IFERROR(__xludf.DUMMYFUNCTION("""COMPUTED_VALUE"""),"CHEK MED PHARMA")</f>
        <v>CHEK MED PHARMA</v>
      </c>
    </row>
    <row r="694" ht="16.5" customHeight="1">
      <c r="H694" s="1" t="str">
        <f>IFERROR(__xludf.DUMMYFUNCTION("""COMPUTED_VALUE"""),"CHEMACK LAB")</f>
        <v>CHEMACK LAB</v>
      </c>
    </row>
    <row r="695" ht="16.5" customHeight="1">
      <c r="H695" s="1" t="str">
        <f>IFERROR(__xludf.DUMMYFUNCTION("""COMPUTED_VALUE"""),"CHEMICARE REMEDIES")</f>
        <v>CHEMICARE REMEDIES</v>
      </c>
    </row>
    <row r="696" ht="16.5" customHeight="1">
      <c r="H696" s="1" t="str">
        <f>IFERROR(__xludf.DUMMYFUNCTION("""COMPUTED_VALUE"""),"CHEMICARE REMEDIES PVT LTD")</f>
        <v>CHEMICARE REMEDIES PVT LTD</v>
      </c>
    </row>
    <row r="697" ht="16.5" customHeight="1">
      <c r="H697" s="1" t="str">
        <f>IFERROR(__xludf.DUMMYFUNCTION("""COMPUTED_VALUE"""),"CHEMINNOVA LIFE SCIENCES")</f>
        <v>CHEMINNOVA LIFE SCIENCES</v>
      </c>
    </row>
    <row r="698" ht="16.5" customHeight="1">
      <c r="H698" s="1" t="str">
        <f>IFERROR(__xludf.DUMMYFUNCTION("""COMPUTED_VALUE"""),"Chemo Biological")</f>
        <v>Chemo Biological</v>
      </c>
    </row>
    <row r="699" ht="16.5" customHeight="1">
      <c r="H699" s="1" t="str">
        <f>IFERROR(__xludf.DUMMYFUNCTION("""COMPUTED_VALUE"""),"CHEMO HEALTH CARE")</f>
        <v>CHEMO HEALTH CARE</v>
      </c>
    </row>
    <row r="700" ht="16.5" customHeight="1">
      <c r="H700" s="1" t="str">
        <f>IFERROR(__xludf.DUMMYFUNCTION("""COMPUTED_VALUE"""),"CHINA HERBALS")</f>
        <v>CHINA HERBALS</v>
      </c>
    </row>
    <row r="701" ht="16.5" customHeight="1">
      <c r="H701" s="1" t="str">
        <f>IFERROR(__xludf.DUMMYFUNCTION("""COMPUTED_VALUE"""),"CHIRAYU PHARMACEUTICALS")</f>
        <v>CHIRAYU PHARMACEUTICALS</v>
      </c>
    </row>
    <row r="702" ht="16.5" customHeight="1">
      <c r="H702" s="1" t="str">
        <f>IFERROR(__xludf.DUMMYFUNCTION("""COMPUTED_VALUE"""),"CHIRON BEHRING VACCINES PVT LTD")</f>
        <v>CHIRON BEHRING VACCINES PVT LTD</v>
      </c>
    </row>
    <row r="703" ht="16.5" customHeight="1">
      <c r="H703" s="1" t="str">
        <f>IFERROR(__xludf.DUMMYFUNCTION("""COMPUTED_VALUE"""),"CHROMOSOM INDIA")</f>
        <v>CHROMOSOM INDIA</v>
      </c>
    </row>
    <row r="704" ht="16.5" customHeight="1">
      <c r="H704" s="1" t="str">
        <f>IFERROR(__xludf.DUMMYFUNCTION("""COMPUTED_VALUE"""),"CHRONICLES DRUGS &amp; CHEMICALS PVT LTD")</f>
        <v>CHRONICLES DRUGS &amp; CHEMICALS PVT LTD</v>
      </c>
    </row>
    <row r="705" ht="16.5" customHeight="1">
      <c r="H705" s="1" t="str">
        <f>IFERROR(__xludf.DUMMYFUNCTION("""COMPUTED_VALUE"""),"CIAGA PHARMA")</f>
        <v>CIAGA PHARMA</v>
      </c>
    </row>
    <row r="706" ht="16.5" customHeight="1">
      <c r="H706" s="1" t="str">
        <f>IFERROR(__xludf.DUMMYFUNCTION("""COMPUTED_VALUE"""),"CIAN HEALTHCARE P LTD")</f>
        <v>CIAN HEALTHCARE P LTD</v>
      </c>
    </row>
    <row r="707" ht="16.5" customHeight="1">
      <c r="H707" s="1" t="str">
        <f>IFERROR(__xludf.DUMMYFUNCTION("""COMPUTED_VALUE"""),"CIBELES PHARMACEUTICALS PVT LTD")</f>
        <v>CIBELES PHARMACEUTICALS PVT LTD</v>
      </c>
    </row>
    <row r="708" ht="16.5" customHeight="1">
      <c r="H708" s="1" t="str">
        <f>IFERROR(__xludf.DUMMYFUNCTION("""COMPUTED_VALUE"""),"CIPCO PHARMA")</f>
        <v>CIPCO PHARMA</v>
      </c>
    </row>
    <row r="709" ht="16.5" customHeight="1">
      <c r="H709" s="1" t="str">
        <f>IFERROR(__xludf.DUMMYFUNCTION("""COMPUTED_VALUE"""),"CIPLA (CRESTA)")</f>
        <v>CIPLA (CRESTA)</v>
      </c>
    </row>
    <row r="710" ht="16.5" customHeight="1">
      <c r="H710" s="1" t="str">
        <f>IFERROR(__xludf.DUMMYFUNCTION("""COMPUTED_VALUE"""),"CIPLA (CRITICAL CARE)")</f>
        <v>CIPLA (CRITICAL CARE)</v>
      </c>
    </row>
    <row r="711" ht="16.5" customHeight="1">
      <c r="H711" s="1" t="str">
        <f>IFERROR(__xludf.DUMMYFUNCTION("""COMPUTED_VALUE"""),"CIPLA (DISCONTD)")</f>
        <v>CIPLA (DISCONTD)</v>
      </c>
    </row>
    <row r="712" ht="16.5" customHeight="1">
      <c r="H712" s="1" t="str">
        <f>IFERROR(__xludf.DUMMYFUNCTION("""COMPUTED_VALUE"""),"CIPLA (FORESIGHT)")</f>
        <v>CIPLA (FORESIGHT)</v>
      </c>
    </row>
    <row r="713" ht="16.5" customHeight="1">
      <c r="H713" s="1" t="str">
        <f>IFERROR(__xludf.DUMMYFUNCTION("""COMPUTED_VALUE"""),"CIPLA (GENERIC)")</f>
        <v>CIPLA (GENERIC)</v>
      </c>
    </row>
    <row r="714" ht="16.5" customHeight="1">
      <c r="H714" s="1" t="str">
        <f>IFERROR(__xludf.DUMMYFUNCTION("""COMPUTED_VALUE"""),"CIPLA (HEALTH)")</f>
        <v>CIPLA (HEALTH)</v>
      </c>
    </row>
    <row r="715" ht="16.5" customHeight="1">
      <c r="H715" s="1" t="str">
        <f>IFERROR(__xludf.DUMMYFUNCTION("""COMPUTED_VALUE"""),"CIPLA (HEPATOLOGY)")</f>
        <v>CIPLA (HEPATOLOGY)</v>
      </c>
    </row>
    <row r="716" ht="16.5" customHeight="1">
      <c r="H716" s="1" t="str">
        <f>IFERROR(__xludf.DUMMYFUNCTION("""COMPUTED_VALUE"""),"CIPLA (HIV)")</f>
        <v>CIPLA (HIV)</v>
      </c>
    </row>
    <row r="717" ht="16.5" customHeight="1">
      <c r="H717" s="1" t="str">
        <f>IFERROR(__xludf.DUMMYFUNCTION("""COMPUTED_VALUE"""),"CIPLA (IMPULSE)")</f>
        <v>CIPLA (IMPULSE)</v>
      </c>
    </row>
    <row r="718" ht="16.5" customHeight="1">
      <c r="H718" s="1" t="str">
        <f>IFERROR(__xludf.DUMMYFUNCTION("""COMPUTED_VALUE"""),"CIPLA (INSPIRA)")</f>
        <v>CIPLA (INSPIRA)</v>
      </c>
    </row>
    <row r="719" ht="16.5" customHeight="1">
      <c r="H719" s="1" t="str">
        <f>IFERROR(__xludf.DUMMYFUNCTION("""COMPUTED_VALUE"""),"CIPLA (LIFE CARE)")</f>
        <v>CIPLA (LIFE CARE)</v>
      </c>
    </row>
    <row r="720" ht="16.5" customHeight="1">
      <c r="H720" s="1" t="str">
        <f>IFERROR(__xludf.DUMMYFUNCTION("""COMPUTED_VALUE"""),"CIPLA (LUCENTA)")</f>
        <v>CIPLA (LUCENTA)</v>
      </c>
    </row>
    <row r="721" ht="16.5" customHeight="1">
      <c r="H721" s="1" t="str">
        <f>IFERROR(__xludf.DUMMYFUNCTION("""COMPUTED_VALUE"""),"CIPLA (NEPHMUN)")</f>
        <v>CIPLA (NEPHMUN)</v>
      </c>
    </row>
    <row r="722" ht="16.5" customHeight="1">
      <c r="H722" s="1" t="str">
        <f>IFERROR(__xludf.DUMMYFUNCTION("""COMPUTED_VALUE"""),"CIPLA (NON HIV)")</f>
        <v>CIPLA (NON HIV)</v>
      </c>
    </row>
    <row r="723" ht="16.5" customHeight="1">
      <c r="H723" s="1" t="str">
        <f>IFERROR(__xludf.DUMMYFUNCTION("""COMPUTED_VALUE"""),"CIPLA (NURTURE)")</f>
        <v>CIPLA (NURTURE)</v>
      </c>
    </row>
    <row r="724" ht="16.5" customHeight="1">
      <c r="H724" s="1" t="str">
        <f>IFERROR(__xludf.DUMMYFUNCTION("""COMPUTED_VALUE"""),"CIPLA (OMNICARE)")</f>
        <v>CIPLA (OMNICARE)</v>
      </c>
    </row>
    <row r="725" ht="16.5" customHeight="1">
      <c r="H725" s="1" t="str">
        <f>IFERROR(__xludf.DUMMYFUNCTION("""COMPUTED_VALUE"""),"CIPLA (OPTIMUS)")</f>
        <v>CIPLA (OPTIMUS)</v>
      </c>
    </row>
    <row r="726" ht="16.5" customHeight="1">
      <c r="H726" s="1" t="str">
        <f>IFERROR(__xludf.DUMMYFUNCTION("""COMPUTED_VALUE"""),"CIPLA (OTC)")</f>
        <v>CIPLA (OTC)</v>
      </c>
    </row>
    <row r="727" ht="16.5" customHeight="1">
      <c r="H727" s="1" t="str">
        <f>IFERROR(__xludf.DUMMYFUNCTION("""COMPUTED_VALUE"""),"CIPLA (PH CARE)")</f>
        <v>CIPLA (PH CARE)</v>
      </c>
    </row>
    <row r="728" ht="16.5" customHeight="1">
      <c r="H728" s="1" t="str">
        <f>IFERROR(__xludf.DUMMYFUNCTION("""COMPUTED_VALUE"""),"CIPLA (PROTEC)")</f>
        <v>CIPLA (PROTEC)</v>
      </c>
    </row>
    <row r="729" ht="16.5" customHeight="1">
      <c r="H729" s="1" t="str">
        <f>IFERROR(__xludf.DUMMYFUNCTION("""COMPUTED_VALUE"""),"CIPLA (QUADRA)")</f>
        <v>CIPLA (QUADRA)</v>
      </c>
    </row>
    <row r="730" ht="16.5" customHeight="1">
      <c r="H730" s="1" t="str">
        <f>IFERROR(__xludf.DUMMYFUNCTION("""COMPUTED_VALUE"""),"CIPLA (RESPIRATORY 2)")</f>
        <v>CIPLA (RESPIRATORY 2)</v>
      </c>
    </row>
    <row r="731" ht="16.5" customHeight="1">
      <c r="H731" s="1" t="str">
        <f>IFERROR(__xludf.DUMMYFUNCTION("""COMPUTED_VALUE"""),"CIPLA (RESPIRATORY 3)")</f>
        <v>CIPLA (RESPIRATORY 3)</v>
      </c>
    </row>
    <row r="732" ht="16.5" customHeight="1">
      <c r="H732" s="1" t="str">
        <f>IFERROR(__xludf.DUMMYFUNCTION("""COMPUTED_VALUE"""),"CIPLA (RESPIRATORY)")</f>
        <v>CIPLA (RESPIRATORY)</v>
      </c>
    </row>
    <row r="733" ht="16.5" customHeight="1">
      <c r="H733" s="1" t="str">
        <f>IFERROR(__xludf.DUMMYFUNCTION("""COMPUTED_VALUE"""),"CIPLA (RHEUMATOLOGY)")</f>
        <v>CIPLA (RHEUMATOLOGY)</v>
      </c>
    </row>
    <row r="734" ht="16.5" customHeight="1">
      <c r="H734" s="1" t="str">
        <f>IFERROR(__xludf.DUMMYFUNCTION("""COMPUTED_VALUE"""),"CIPLA (SPECIALITIES 2)")</f>
        <v>CIPLA (SPECIALITIES 2)</v>
      </c>
    </row>
    <row r="735" ht="16.5" customHeight="1">
      <c r="H735" s="1" t="str">
        <f>IFERROR(__xludf.DUMMYFUNCTION("""COMPUTED_VALUE"""),"CIPLA (SPECIALITIES)")</f>
        <v>CIPLA (SPECIALITIES)</v>
      </c>
    </row>
    <row r="736" ht="16.5" customHeight="1">
      <c r="H736" s="1" t="str">
        <f>IFERROR(__xludf.DUMMYFUNCTION("""COMPUTED_VALUE"""),"CIPLA (SUPRACARE)")</f>
        <v>CIPLA (SUPRACARE)</v>
      </c>
    </row>
    <row r="737" ht="16.5" customHeight="1">
      <c r="H737" s="1" t="str">
        <f>IFERROR(__xludf.DUMMYFUNCTION("""COMPUTED_VALUE"""),"CIPLA (TERNA)")</f>
        <v>CIPLA (TERNA)</v>
      </c>
    </row>
    <row r="738" ht="16.5" customHeight="1">
      <c r="H738" s="1" t="str">
        <f>IFERROR(__xludf.DUMMYFUNCTION("""COMPUTED_VALUE"""),"CIPLA (UROLOGY 2)")</f>
        <v>CIPLA (UROLOGY 2)</v>
      </c>
    </row>
    <row r="739" ht="16.5" customHeight="1">
      <c r="H739" s="1" t="str">
        <f>IFERROR(__xludf.DUMMYFUNCTION("""COMPUTED_VALUE"""),"CIPLA (UROLOGY)")</f>
        <v>CIPLA (UROLOGY)</v>
      </c>
    </row>
    <row r="740" ht="16.5" customHeight="1">
      <c r="H740" s="1" t="str">
        <f>IFERROR(__xludf.DUMMYFUNCTION("""COMPUTED_VALUE"""),"CIPLA (VITALCARE)")</f>
        <v>CIPLA (VITALCARE)</v>
      </c>
    </row>
    <row r="741" ht="16.5" customHeight="1">
      <c r="H741" s="1" t="str">
        <f>IFERROR(__xludf.DUMMYFUNCTION("""COMPUTED_VALUE"""),"CIPLA (VITALIS 2)")</f>
        <v>CIPLA (VITALIS 2)</v>
      </c>
    </row>
    <row r="742" ht="16.5" customHeight="1">
      <c r="H742" s="1" t="str">
        <f>IFERROR(__xludf.DUMMYFUNCTION("""COMPUTED_VALUE"""),"CIPLA (VITALIS 3)")</f>
        <v>CIPLA (VITALIS 3)</v>
      </c>
    </row>
    <row r="743" ht="16.5" customHeight="1">
      <c r="H743" s="1" t="str">
        <f>IFERROR(__xludf.DUMMYFUNCTION("""COMPUTED_VALUE"""),"CIPLA (VITALIS)")</f>
        <v>CIPLA (VITALIS)</v>
      </c>
    </row>
    <row r="744" ht="16.5" customHeight="1">
      <c r="H744" s="1" t="str">
        <f>IFERROR(__xludf.DUMMYFUNCTION("""COMPUTED_VALUE"""),"CIPLA (WOMENS HEALTH NUTRAC)")</f>
        <v>CIPLA (WOMENS HEALTH NUTRAC)</v>
      </c>
    </row>
    <row r="745" ht="16.5" customHeight="1">
      <c r="H745" s="1" t="str">
        <f>IFERROR(__xludf.DUMMYFUNCTION("""COMPUTED_VALUE"""),"CIPLA (XTERNA 2)")</f>
        <v>CIPLA (XTERNA 2)</v>
      </c>
    </row>
    <row r="746" ht="16.5" customHeight="1">
      <c r="H746" s="1" t="str">
        <f>IFERROR(__xludf.DUMMYFUNCTION("""COMPUTED_VALUE"""),"CIPLA (XTERNA)")</f>
        <v>CIPLA (XTERNA)</v>
      </c>
    </row>
    <row r="747" ht="16.5" customHeight="1">
      <c r="H747" s="1" t="str">
        <f>IFERROR(__xludf.DUMMYFUNCTION("""COMPUTED_VALUE"""),"CIPLA (ZESTA)")</f>
        <v>CIPLA (ZESTA)</v>
      </c>
    </row>
    <row r="748" ht="16.5" customHeight="1">
      <c r="H748" s="1" t="str">
        <f>IFERROR(__xludf.DUMMYFUNCTION("""COMPUTED_VALUE"""),"Cipla Ltd")</f>
        <v>Cipla Ltd</v>
      </c>
    </row>
    <row r="749" ht="16.5" customHeight="1">
      <c r="H749" s="1" t="str">
        <f>IFERROR(__xludf.DUMMYFUNCTION("""COMPUTED_VALUE"""),"CIPLA SPECTRACARE")</f>
        <v>CIPLA SPECTRACARE</v>
      </c>
    </row>
    <row r="750" ht="16.5" customHeight="1">
      <c r="H750" s="1" t="str">
        <f>IFERROR(__xludf.DUMMYFUNCTION("""COMPUTED_VALUE"""),"CISTA MEDICORP")</f>
        <v>CISTA MEDICORP</v>
      </c>
    </row>
    <row r="751" ht="16.5" customHeight="1">
      <c r="H751" s="1" t="str">
        <f>IFERROR(__xludf.DUMMYFUNCTION("""COMPUTED_VALUE"""),"CISTUS HEALTHCARE")</f>
        <v>CISTUS HEALTHCARE</v>
      </c>
    </row>
    <row r="752" ht="16.5" customHeight="1">
      <c r="H752" s="1" t="str">
        <f>IFERROR(__xludf.DUMMYFUNCTION("""COMPUTED_VALUE"""),"CITADERM PHARMA P LTD")</f>
        <v>CITADERM PHARMA P LTD</v>
      </c>
    </row>
    <row r="753" ht="16.5" customHeight="1">
      <c r="H753" s="1" t="str">
        <f>IFERROR(__xludf.DUMMYFUNCTION("""COMPUTED_VALUE"""),"CLAAS PHARMA")</f>
        <v>CLAAS PHARMA</v>
      </c>
    </row>
    <row r="754" ht="16.5" customHeight="1">
      <c r="H754" s="1" t="str">
        <f>IFERROR(__xludf.DUMMYFUNCTION("""COMPUTED_VALUE"""),"CLANTHIS LIFE SCIENCES")</f>
        <v>CLANTHIS LIFE SCIENCES</v>
      </c>
    </row>
    <row r="755" ht="16.5" customHeight="1">
      <c r="H755" s="1" t="str">
        <f>IFERROR(__xludf.DUMMYFUNCTION("""COMPUTED_VALUE"""),"Clanthis Lifesciences Pvt Ltd")</f>
        <v>Clanthis Lifesciences Pvt Ltd</v>
      </c>
    </row>
    <row r="756" ht="16.5" customHeight="1">
      <c r="H756" s="1" t="str">
        <f>IFERROR(__xludf.DUMMYFUNCTION("""COMPUTED_VALUE"""),"Claris INJECTABLES LTD")</f>
        <v>Claris INJECTABLES LTD</v>
      </c>
    </row>
    <row r="757" ht="16.5" customHeight="1">
      <c r="H757" s="1" t="str">
        <f>IFERROR(__xludf.DUMMYFUNCTION("""COMPUTED_VALUE"""),"Claris Lifesciences Ltd")</f>
        <v>Claris Lifesciences Ltd</v>
      </c>
    </row>
    <row r="758" ht="16.5" customHeight="1">
      <c r="H758" s="1" t="str">
        <f>IFERROR(__xludf.DUMMYFUNCTION("""COMPUTED_VALUE"""),"Clariwell Pharmaceutics")</f>
        <v>Clariwell Pharmaceutics</v>
      </c>
    </row>
    <row r="759" ht="16.5" customHeight="1">
      <c r="H759" s="1" t="str">
        <f>IFERROR(__xludf.DUMMYFUNCTION("""COMPUTED_VALUE"""),"CLARK PHARMACEUTICALS LTD")</f>
        <v>CLARK PHARMACEUTICALS LTD</v>
      </c>
    </row>
    <row r="760" ht="16.5" customHeight="1">
      <c r="H760" s="1" t="str">
        <f>IFERROR(__xludf.DUMMYFUNCTION("""COMPUTED_VALUE"""),"CLIDE INTERNATIONAL PVT LTD")</f>
        <v>CLIDE INTERNATIONAL PVT LTD</v>
      </c>
    </row>
    <row r="761" ht="16.5" customHeight="1">
      <c r="H761" s="1" t="str">
        <f>IFERROR(__xludf.DUMMYFUNCTION("""COMPUTED_VALUE"""),"Clyde Biotech P Ltd")</f>
        <v>Clyde Biotech P Ltd</v>
      </c>
    </row>
    <row r="762" ht="16.5" customHeight="1">
      <c r="H762" s="1" t="str">
        <f>IFERROR(__xludf.DUMMYFUNCTION("""COMPUTED_VALUE"""),"Clyde Pharmaceuticals Pvt Ltd")</f>
        <v>Clyde Pharmaceuticals Pvt Ltd</v>
      </c>
    </row>
    <row r="763" ht="16.5" customHeight="1">
      <c r="H763" s="1" t="str">
        <f>IFERROR(__xludf.DUMMYFUNCTION("""COMPUTED_VALUE"""),"CMR Life Sciences")</f>
        <v>CMR Life Sciences</v>
      </c>
    </row>
    <row r="764" ht="16.5" customHeight="1">
      <c r="H764" s="1" t="str">
        <f>IFERROR(__xludf.DUMMYFUNCTION("""COMPUTED_VALUE"""),"COLARD LIFE SCIENCE")</f>
        <v>COLARD LIFE SCIENCE</v>
      </c>
    </row>
    <row r="765" ht="16.5" customHeight="1">
      <c r="H765" s="1" t="str">
        <f>IFERROR(__xludf.DUMMYFUNCTION("""COMPUTED_VALUE"""),"COLES PHARMACEUTICALS PVT LTD")</f>
        <v>COLES PHARMACEUTICALS PVT LTD</v>
      </c>
    </row>
    <row r="766" ht="16.5" customHeight="1">
      <c r="H766" s="1" t="str">
        <f>IFERROR(__xludf.DUMMYFUNCTION("""COMPUTED_VALUE"""),"Colgate-Palmolive Company")</f>
        <v>Colgate-Palmolive Company</v>
      </c>
    </row>
    <row r="767" ht="16.5" customHeight="1">
      <c r="H767" s="1" t="str">
        <f>IFERROR(__xludf.DUMMYFUNCTION("""COMPUTED_VALUE"""),"Comed Chemicals Ltd")</f>
        <v>Comed Chemicals Ltd</v>
      </c>
    </row>
    <row r="768" ht="16.5" customHeight="1">
      <c r="H768" s="1" t="str">
        <f>IFERROR(__xludf.DUMMYFUNCTION("""COMPUTED_VALUE"""),"COMED LABORATORIES LTD.")</f>
        <v>COMED LABORATORIES LTD.</v>
      </c>
    </row>
    <row r="769" ht="16.5" customHeight="1">
      <c r="H769" s="1" t="str">
        <f>IFERROR(__xludf.DUMMYFUNCTION("""COMPUTED_VALUE"""),"Company Name")</f>
        <v>Company Name</v>
      </c>
    </row>
    <row r="770" ht="16.5" customHeight="1">
      <c r="H770" s="1" t="str">
        <f>IFERROR(__xludf.DUMMYFUNCTION("""COMPUTED_VALUE"""),"COMWORLD REMEDIES")</f>
        <v>COMWORLD REMEDIES</v>
      </c>
    </row>
    <row r="771" ht="16.5" customHeight="1">
      <c r="H771" s="1" t="str">
        <f>IFERROR(__xludf.DUMMYFUNCTION("""COMPUTED_VALUE"""),"CONATUS HEALTHCARE")</f>
        <v>CONATUS HEALTHCARE</v>
      </c>
    </row>
    <row r="772" ht="16.5" customHeight="1">
      <c r="H772" s="1" t="str">
        <f>IFERROR(__xludf.DUMMYFUNCTION("""COMPUTED_VALUE"""),"CONCEPT BIOSCIENCES LTD")</f>
        <v>CONCEPT BIOSCIENCES LTD</v>
      </c>
    </row>
    <row r="773" ht="16.5" customHeight="1">
      <c r="H773" s="1" t="str">
        <f>IFERROR(__xludf.DUMMYFUNCTION("""COMPUTED_VALUE"""),"Concept Pharmaceuticals Ltd")</f>
        <v>Concept Pharmaceuticals Ltd</v>
      </c>
    </row>
    <row r="774" ht="16.5" customHeight="1">
      <c r="H774" s="1" t="str">
        <f>IFERROR(__xludf.DUMMYFUNCTION("""COMPUTED_VALUE"""),"CONCORD BIOTECH")</f>
        <v>CONCORD BIOTECH</v>
      </c>
    </row>
    <row r="775" ht="16.5" customHeight="1">
      <c r="H775" s="1" t="str">
        <f>IFERROR(__xludf.DUMMYFUNCTION("""COMPUTED_VALUE"""),"CONCORD PHARMACEUTICALS PVT LTD")</f>
        <v>CONCORD PHARMACEUTICALS PVT LTD</v>
      </c>
    </row>
    <row r="776" ht="16.5" customHeight="1">
      <c r="H776" s="1" t="str">
        <f>IFERROR(__xludf.DUMMYFUNCTION("""COMPUTED_VALUE"""),"CONSERN pharma")</f>
        <v>CONSERN pharma</v>
      </c>
    </row>
    <row r="777" ht="16.5" customHeight="1">
      <c r="H777" s="1" t="str">
        <f>IFERROR(__xludf.DUMMYFUNCTION("""COMPUTED_VALUE"""),"CONSISTO HEALTHCARE")</f>
        <v>CONSISTO HEALTHCARE</v>
      </c>
    </row>
    <row r="778" ht="16.5" customHeight="1">
      <c r="H778" s="1" t="str">
        <f>IFERROR(__xludf.DUMMYFUNCTION("""COMPUTED_VALUE"""),"CONSUMER MARKETING P LTD")</f>
        <v>CONSUMER MARKETING P LTD</v>
      </c>
    </row>
    <row r="779" ht="16.5" customHeight="1">
      <c r="H779" s="1" t="str">
        <f>IFERROR(__xludf.DUMMYFUNCTION("""COMPUTED_VALUE"""),"CONVEX GLOBAL")</f>
        <v>CONVEX GLOBAL</v>
      </c>
    </row>
    <row r="780" ht="16.5" customHeight="1">
      <c r="H780" s="1" t="str">
        <f>IFERROR(__xludf.DUMMYFUNCTION("""COMPUTED_VALUE"""),"Convina Research Laboratory")</f>
        <v>Convina Research Laboratory</v>
      </c>
    </row>
    <row r="781" ht="16.5" customHeight="1">
      <c r="H781" s="1" t="str">
        <f>IFERROR(__xludf.DUMMYFUNCTION("""COMPUTED_VALUE"""),"CONWELL PHARMA")</f>
        <v>CONWELL PHARMA</v>
      </c>
    </row>
    <row r="782" ht="16.5" customHeight="1">
      <c r="H782" s="1" t="str">
        <f>IFERROR(__xludf.DUMMYFUNCTION("""COMPUTED_VALUE"""),"CORAL")</f>
        <v>CORAL</v>
      </c>
    </row>
    <row r="783" ht="16.5" customHeight="1">
      <c r="H783" s="1" t="str">
        <f>IFERROR(__xludf.DUMMYFUNCTION("""COMPUTED_VALUE"""),"CORAZON PHARMA PVT.LTD.")</f>
        <v>CORAZON PHARMA PVT.LTD.</v>
      </c>
    </row>
    <row r="784" ht="16.5" customHeight="1">
      <c r="H784" s="1" t="str">
        <f>IFERROR(__xludf.DUMMYFUNCTION("""COMPUTED_VALUE"""),"CORE GESTRA")</f>
        <v>CORE GESTRA</v>
      </c>
    </row>
    <row r="785" ht="16.5" customHeight="1">
      <c r="H785" s="1" t="str">
        <f>IFERROR(__xludf.DUMMYFUNCTION("""COMPUTED_VALUE"""),"CORE LABORITISE")</f>
        <v>CORE LABORITISE</v>
      </c>
    </row>
    <row r="786" ht="16.5" customHeight="1">
      <c r="H786" s="1" t="str">
        <f>IFERROR(__xludf.DUMMYFUNCTION("""COMPUTED_VALUE"""),"CORE NUTRILIFE LLP")</f>
        <v>CORE NUTRILIFE LLP</v>
      </c>
    </row>
    <row r="787" ht="16.5" customHeight="1">
      <c r="H787" s="1" t="str">
        <f>IFERROR(__xludf.DUMMYFUNCTION("""COMPUTED_VALUE"""),"COREX PHARMA")</f>
        <v>COREX PHARMA</v>
      </c>
    </row>
    <row r="788" ht="16.5" customHeight="1">
      <c r="H788" s="1" t="str">
        <f>IFERROR(__xludf.DUMMYFUNCTION("""COMPUTED_VALUE"""),"CORONA REMEDIES (AURA)")</f>
        <v>CORONA REMEDIES (AURA)</v>
      </c>
    </row>
    <row r="789" ht="16.5" customHeight="1">
      <c r="H789" s="1" t="str">
        <f>IFERROR(__xludf.DUMMYFUNCTION("""COMPUTED_VALUE"""),"CORONA REMEDIES (PIONEER)")</f>
        <v>CORONA REMEDIES (PIONEER)</v>
      </c>
    </row>
    <row r="790" ht="16.5" customHeight="1">
      <c r="H790" s="1" t="str">
        <f>IFERROR(__xludf.DUMMYFUNCTION("""COMPUTED_VALUE"""),"CORONA REMEDIES (RADIANCE)")</f>
        <v>CORONA REMEDIES (RADIANCE)</v>
      </c>
    </row>
    <row r="791" ht="16.5" customHeight="1">
      <c r="H791" s="1" t="str">
        <f>IFERROR(__xludf.DUMMYFUNCTION("""COMPUTED_VALUE"""),"CORONA REMEDIES (SOLARIS)")</f>
        <v>CORONA REMEDIES (SOLARIS)</v>
      </c>
    </row>
    <row r="792" ht="16.5" customHeight="1">
      <c r="H792" s="1" t="str">
        <f>IFERROR(__xludf.DUMMYFUNCTION("""COMPUTED_VALUE"""),"CORONA REMEDIES (SOLIS)")</f>
        <v>CORONA REMEDIES (SOLIS)</v>
      </c>
    </row>
    <row r="793" ht="16.5" customHeight="1">
      <c r="H793" s="1" t="str">
        <f>IFERROR(__xludf.DUMMYFUNCTION("""COMPUTED_VALUE"""),"CORONA REMEDIES (WELLNESS)")</f>
        <v>CORONA REMEDIES (WELLNESS)</v>
      </c>
    </row>
    <row r="794" ht="16.5" customHeight="1">
      <c r="H794" s="1" t="str">
        <f>IFERROR(__xludf.DUMMYFUNCTION("""COMPUTED_VALUE"""),"CORONA REMEDIES (XEMX)")</f>
        <v>CORONA REMEDIES (XEMX)</v>
      </c>
    </row>
    <row r="795" ht="16.5" customHeight="1">
      <c r="H795" s="1" t="str">
        <f>IFERROR(__xludf.DUMMYFUNCTION("""COMPUTED_VALUE"""),"Corona Remedies Pvt Ltd")</f>
        <v>Corona Remedies Pvt Ltd</v>
      </c>
    </row>
    <row r="796" ht="16.5" customHeight="1">
      <c r="H796" s="1" t="str">
        <f>IFERROR(__xludf.DUMMYFUNCTION("""COMPUTED_VALUE"""),"CORVIN PHARMACEUTICALS")</f>
        <v>CORVIN PHARMACEUTICALS</v>
      </c>
    </row>
    <row r="797" ht="16.5" customHeight="1">
      <c r="H797" s="1" t="str">
        <f>IFERROR(__xludf.DUMMYFUNCTION("""COMPUTED_VALUE"""),"CORVUS REMEDIES")</f>
        <v>CORVUS REMEDIES</v>
      </c>
    </row>
    <row r="798" ht="16.5" customHeight="1">
      <c r="H798" s="1" t="str">
        <f>IFERROR(__xludf.DUMMYFUNCTION("""COMPUTED_VALUE"""),"CORWIS PHARMACEUTICALS LIMITED")</f>
        <v>CORWIS PHARMACEUTICALS LIMITED</v>
      </c>
    </row>
    <row r="799" ht="16.5" customHeight="1">
      <c r="H799" s="1" t="str">
        <f>IFERROR(__xludf.DUMMYFUNCTION("""COMPUTED_VALUE"""),"COSEC HEALTH CARE")</f>
        <v>COSEC HEALTH CARE</v>
      </c>
    </row>
    <row r="800" ht="16.5" customHeight="1">
      <c r="H800" s="1" t="str">
        <f>IFERROR(__xludf.DUMMYFUNCTION("""COMPUTED_VALUE"""),"COSME HEALTHCARE")</f>
        <v>COSME HEALTHCARE</v>
      </c>
    </row>
    <row r="801" ht="16.5" customHeight="1">
      <c r="H801" s="1" t="str">
        <f>IFERROR(__xludf.DUMMYFUNCTION("""COMPUTED_VALUE"""),"COSMEDERMA REMEDIES")</f>
        <v>COSMEDERMA REMEDIES</v>
      </c>
    </row>
    <row r="802" ht="16.5" customHeight="1">
      <c r="H802" s="1" t="str">
        <f>IFERROR(__xludf.DUMMYFUNCTION("""COMPUTED_VALUE"""),"COSMETIC LABORATORIES")</f>
        <v>COSMETIC LABORATORIES</v>
      </c>
    </row>
    <row r="803" ht="16.5" customHeight="1">
      <c r="H803" s="1" t="str">
        <f>IFERROR(__xludf.DUMMYFUNCTION("""COMPUTED_VALUE"""),"COSMIC NUTRACOS SOLUTIONS")</f>
        <v>COSMIC NUTRACOS SOLUTIONS</v>
      </c>
    </row>
    <row r="804" ht="16.5" customHeight="1">
      <c r="H804" s="1" t="str">
        <f>IFERROR(__xludf.DUMMYFUNCTION("""COMPUTED_VALUE"""),"COSMODERM INDIA")</f>
        <v>COSMODERM INDIA</v>
      </c>
    </row>
    <row r="805" ht="16.5" customHeight="1">
      <c r="H805" s="1" t="str">
        <f>IFERROR(__xludf.DUMMYFUNCTION("""COMPUTED_VALUE"""),"COSMOGEN INDIA")</f>
        <v>COSMOGEN INDIA</v>
      </c>
    </row>
    <row r="806" ht="16.5" customHeight="1">
      <c r="H806" s="1" t="str">
        <f>IFERROR(__xludf.DUMMYFUNCTION("""COMPUTED_VALUE"""),"COSWAY PHARMACEUTICAL")</f>
        <v>COSWAY PHARMACEUTICAL</v>
      </c>
    </row>
    <row r="807" ht="16.5" customHeight="1">
      <c r="H807" s="1" t="str">
        <f>IFERROR(__xludf.DUMMYFUNCTION("""COMPUTED_VALUE"""),"CPAZ DRUGS")</f>
        <v>CPAZ DRUGS</v>
      </c>
    </row>
    <row r="808" ht="16.5" customHeight="1">
      <c r="H808" s="1" t="str">
        <f>IFERROR(__xludf.DUMMYFUNCTION("""COMPUTED_VALUE"""),"CRASSULA PHAMACEUTICALS P LTD")</f>
        <v>CRASSULA PHAMACEUTICALS P LTD</v>
      </c>
    </row>
    <row r="809" ht="16.5" customHeight="1">
      <c r="H809" s="1" t="str">
        <f>IFERROR(__xludf.DUMMYFUNCTION("""COMPUTED_VALUE"""),"CRATUS LIFE CARE")</f>
        <v>CRATUS LIFE CARE</v>
      </c>
    </row>
    <row r="810" ht="16.5" customHeight="1">
      <c r="H810" s="1" t="str">
        <f>IFERROR(__xludf.DUMMYFUNCTION("""COMPUTED_VALUE"""),"CRAVOS PHARMACEUTICALS")</f>
        <v>CRAVOS PHARMACEUTICALS</v>
      </c>
    </row>
    <row r="811" ht="16.5" customHeight="1">
      <c r="H811" s="1" t="str">
        <f>IFERROR(__xludf.DUMMYFUNCTION("""COMPUTED_VALUE"""),"CRAYON HEALTHCARE PVT LTD")</f>
        <v>CRAYON HEALTHCARE PVT LTD</v>
      </c>
    </row>
    <row r="812" ht="16.5" customHeight="1">
      <c r="H812" s="1" t="str">
        <f>IFERROR(__xludf.DUMMYFUNCTION("""COMPUTED_VALUE"""),"CREOGENIC PHARMA")</f>
        <v>CREOGENIC PHARMA</v>
      </c>
    </row>
    <row r="813" ht="16.5" customHeight="1">
      <c r="H813" s="1" t="str">
        <f>IFERROR(__xludf.DUMMYFUNCTION("""COMPUTED_VALUE"""),"CRESCENT THERAPEUTICS LTD.")</f>
        <v>CRESCENT THERAPEUTICS LTD.</v>
      </c>
    </row>
    <row r="814" ht="16.5" customHeight="1">
      <c r="H814" s="1" t="str">
        <f>IFERROR(__xludf.DUMMYFUNCTION("""COMPUTED_VALUE"""),"CRINOVA HEALTHCARE PVT LTD")</f>
        <v>CRINOVA HEALTHCARE PVT LTD</v>
      </c>
    </row>
    <row r="815" ht="16.5" customHeight="1">
      <c r="H815" s="1" t="str">
        <f>IFERROR(__xludf.DUMMYFUNCTION("""COMPUTED_VALUE"""),"CRIS PHARMA LTD")</f>
        <v>CRIS PHARMA LTD</v>
      </c>
    </row>
    <row r="816" ht="16.5" customHeight="1">
      <c r="H816" s="1" t="str">
        <f>IFERROR(__xludf.DUMMYFUNCTION("""COMPUTED_VALUE"""),"CROFORD PHARMA")</f>
        <v>CROFORD PHARMA</v>
      </c>
    </row>
    <row r="817" ht="16.5" customHeight="1">
      <c r="H817" s="1" t="str">
        <f>IFERROR(__xludf.DUMMYFUNCTION("""COMPUTED_VALUE"""),"CROMPTON PHARMA")</f>
        <v>CROMPTON PHARMA</v>
      </c>
    </row>
    <row r="818" ht="16.5" customHeight="1">
      <c r="H818" s="1" t="str">
        <f>IFERROR(__xludf.DUMMYFUNCTION("""COMPUTED_VALUE"""),"Cross Berry Pharma")</f>
        <v>Cross Berry Pharma</v>
      </c>
    </row>
    <row r="819" ht="16.5" customHeight="1">
      <c r="H819" s="1" t="str">
        <f>IFERROR(__xludf.DUMMYFUNCTION("""COMPUTED_VALUE"""),"CROSSED FINGERSS ORGANIC PVT LTD")</f>
        <v>CROSSED FINGERSS ORGANIC PVT LTD</v>
      </c>
    </row>
    <row r="820" ht="16.5" customHeight="1">
      <c r="H820" s="1" t="str">
        <f>IFERROR(__xludf.DUMMYFUNCTION("""COMPUTED_VALUE"""),"CROSSWIND BIOTECH")</f>
        <v>CROSSWIND BIOTECH</v>
      </c>
    </row>
    <row r="821" ht="16.5" customHeight="1">
      <c r="H821" s="1" t="str">
        <f>IFERROR(__xludf.DUMMYFUNCTION("""COMPUTED_VALUE"""),"CSC HEALTHCARE")</f>
        <v>CSC HEALTHCARE</v>
      </c>
    </row>
    <row r="822" ht="16.5" customHeight="1">
      <c r="H822" s="1" t="str">
        <f>IFERROR(__xludf.DUMMYFUNCTION("""COMPUTED_VALUE"""),"CUBIC LIFESCIENCES LTD")</f>
        <v>CUBIC LIFESCIENCES LTD</v>
      </c>
    </row>
    <row r="823" ht="16.5" customHeight="1">
      <c r="H823" s="1" t="str">
        <f>IFERROR(__xludf.DUMMYFUNCTION("""COMPUTED_VALUE"""),"CUBIT HEALTHCARE")</f>
        <v>CUBIT HEALTHCARE</v>
      </c>
    </row>
    <row r="824" ht="16.5" customHeight="1">
      <c r="H824" s="1" t="str">
        <f>IFERROR(__xludf.DUMMYFUNCTION("""COMPUTED_VALUE"""),"CUBIT HEALTHCARE (CU CARD GYNOCARE)")</f>
        <v>CUBIT HEALTHCARE (CU CARD GYNOCARE)</v>
      </c>
    </row>
    <row r="825" ht="16.5" customHeight="1">
      <c r="H825" s="1" t="str">
        <f>IFERROR(__xludf.DUMMYFUNCTION("""COMPUTED_VALUE"""),"CUBIT HEALTHCARE (CU CARD LIFECARE)")</f>
        <v>CUBIT HEALTHCARE (CU CARD LIFECARE)</v>
      </c>
    </row>
    <row r="826" ht="16.5" customHeight="1">
      <c r="H826" s="1" t="str">
        <f>IFERROR(__xludf.DUMMYFUNCTION("""COMPUTED_VALUE"""),"CUBIT HEALTHCARE (CU CARD SKINCARE)")</f>
        <v>CUBIT HEALTHCARE (CU CARD SKINCARE)</v>
      </c>
    </row>
    <row r="827" ht="16.5" customHeight="1">
      <c r="H827" s="1" t="str">
        <f>IFERROR(__xludf.DUMMYFUNCTION("""COMPUTED_VALUE"""),"CURA PHARMACEUTICALS")</f>
        <v>CURA PHARMACEUTICALS</v>
      </c>
    </row>
    <row r="828" ht="16.5" customHeight="1">
      <c r="H828" s="1" t="str">
        <f>IFERROR(__xludf.DUMMYFUNCTION("""COMPUTED_VALUE"""),"CURATAS PHARMACEUTICALS LLP")</f>
        <v>CURATAS PHARMACEUTICALS LLP</v>
      </c>
    </row>
    <row r="829" ht="16.5" customHeight="1">
      <c r="H829" s="1" t="str">
        <f>IFERROR(__xludf.DUMMYFUNCTION("""COMPUTED_VALUE"""),"Curatio Healthcare India Pvt Ltd")</f>
        <v>Curatio Healthcare India Pvt Ltd</v>
      </c>
    </row>
    <row r="830" ht="16.5" customHeight="1">
      <c r="H830" s="1" t="str">
        <f>IFERROR(__xludf.DUMMYFUNCTION("""COMPUTED_VALUE"""),"CURE N CURE PHARMACEUTICALS")</f>
        <v>CURE N CURE PHARMACEUTICALS</v>
      </c>
    </row>
    <row r="831" ht="16.5" customHeight="1">
      <c r="H831" s="1" t="str">
        <f>IFERROR(__xludf.DUMMYFUNCTION("""COMPUTED_VALUE"""),"CURE QUICK PHARMACEUTICALS")</f>
        <v>CURE QUICK PHARMACEUTICALS</v>
      </c>
    </row>
    <row r="832" ht="16.5" customHeight="1">
      <c r="H832" s="1" t="str">
        <f>IFERROR(__xludf.DUMMYFUNCTION("""COMPUTED_VALUE"""),"CUREALL LIFE SCIENCES")</f>
        <v>CUREALL LIFE SCIENCES</v>
      </c>
    </row>
    <row r="833" ht="16.5" customHeight="1">
      <c r="H833" s="1" t="str">
        <f>IFERROR(__xludf.DUMMYFUNCTION("""COMPUTED_VALUE"""),"CUREMAX")</f>
        <v>CUREMAX</v>
      </c>
    </row>
    <row r="834" ht="16.5" customHeight="1">
      <c r="H834" s="1" t="str">
        <f>IFERROR(__xludf.DUMMYFUNCTION("""COMPUTED_VALUE"""),"CURETECH SKINCARE")</f>
        <v>CURETECH SKINCARE</v>
      </c>
    </row>
    <row r="835" ht="16.5" customHeight="1">
      <c r="H835" s="1" t="str">
        <f>IFERROR(__xludf.DUMMYFUNCTION("""COMPUTED_VALUE"""),"CUREWELL AURVEDA")</f>
        <v>CUREWELL AURVEDA</v>
      </c>
    </row>
    <row r="836" ht="16.5" customHeight="1">
      <c r="H836" s="1" t="str">
        <f>IFERROR(__xludf.DUMMYFUNCTION("""COMPUTED_VALUE"""),"Curewell Drugs &amp; Pharmaceuticals Pvt. Ltd.")</f>
        <v>Curewell Drugs &amp; Pharmaceuticals Pvt. Ltd.</v>
      </c>
    </row>
    <row r="837" ht="16.5" customHeight="1">
      <c r="H837" s="1" t="str">
        <f>IFERROR(__xludf.DUMMYFUNCTION("""COMPUTED_VALUE"""),"CUREWIN HYLICO PVT LTD")</f>
        <v>CUREWIN HYLICO PVT LTD</v>
      </c>
    </row>
    <row r="838" ht="16.5" customHeight="1">
      <c r="H838" s="1" t="str">
        <f>IFERROR(__xludf.DUMMYFUNCTION("""COMPUTED_VALUE"""),"CURIOUS BIOTECH")</f>
        <v>CURIOUS BIOTECH</v>
      </c>
    </row>
    <row r="839" ht="16.5" customHeight="1">
      <c r="H839" s="1" t="str">
        <f>IFERROR(__xludf.DUMMYFUNCTION("""COMPUTED_VALUE"""),"CUROSIS PHARMACEUTICALS")</f>
        <v>CUROSIS PHARMACEUTICALS</v>
      </c>
    </row>
    <row r="840" ht="16.5" customHeight="1">
      <c r="H840" s="1" t="str">
        <f>IFERROR(__xludf.DUMMYFUNCTION("""COMPUTED_VALUE"""),"Cutis Derma Care - Intra Life")</f>
        <v>Cutis Derma Care - Intra Life</v>
      </c>
    </row>
    <row r="841" ht="16.5" customHeight="1">
      <c r="H841" s="1" t="str">
        <f>IFERROR(__xludf.DUMMYFUNCTION("""COMPUTED_VALUE"""),"CVS BIOTECH (FARLEX)")</f>
        <v>CVS BIOTECH (FARLEX)</v>
      </c>
    </row>
    <row r="842" ht="16.5" customHeight="1">
      <c r="H842" s="1" t="str">
        <f>IFERROR(__xludf.DUMMYFUNCTION("""COMPUTED_VALUE"""),"CYANAMID INDIA LTD")</f>
        <v>CYANAMID INDIA LTD</v>
      </c>
    </row>
    <row r="843" ht="16.5" customHeight="1">
      <c r="H843" s="1" t="str">
        <f>IFERROR(__xludf.DUMMYFUNCTION("""COMPUTED_VALUE"""),"CYMER PHARMA")</f>
        <v>CYMER PHARMA</v>
      </c>
    </row>
    <row r="844" ht="16.5" customHeight="1">
      <c r="H844" s="1" t="str">
        <f>IFERROR(__xludf.DUMMYFUNCTION("""COMPUTED_VALUE"""),"D D Pharmaceuticals")</f>
        <v>D D Pharmaceuticals</v>
      </c>
    </row>
    <row r="845" ht="16.5" customHeight="1">
      <c r="H845" s="1" t="str">
        <f>IFERROR(__xludf.DUMMYFUNCTION("""COMPUTED_VALUE"""),"D R JOHN'S LAB PHARMA")</f>
        <v>D R JOHN'S LAB PHARMA</v>
      </c>
    </row>
    <row r="846" ht="16.5" customHeight="1">
      <c r="H846" s="1" t="str">
        <f>IFERROR(__xludf.DUMMYFUNCTION("""COMPUTED_VALUE"""),"Dabur India Ltd")</f>
        <v>Dabur India Ltd</v>
      </c>
    </row>
    <row r="847" ht="16.5" customHeight="1">
      <c r="H847" s="1" t="str">
        <f>IFERROR(__xludf.DUMMYFUNCTION("""COMPUTED_VALUE"""),"Dabur Pharmaceuticals Ltd.")</f>
        <v>Dabur Pharmaceuticals Ltd.</v>
      </c>
    </row>
    <row r="848" ht="16.5" customHeight="1">
      <c r="H848" s="1" t="str">
        <f>IFERROR(__xludf.DUMMYFUNCTION("""COMPUTED_VALUE"""),"DAFFOHILS LABORATORIES")</f>
        <v>DAFFOHILS LABORATORIES</v>
      </c>
    </row>
    <row r="849" ht="16.5" customHeight="1">
      <c r="H849" s="1" t="str">
        <f>IFERROR(__xludf.DUMMYFUNCTION("""COMPUTED_VALUE"""),"DAGNAL PHARMACUTICALS")</f>
        <v>DAGNAL PHARMACUTICALS</v>
      </c>
    </row>
    <row r="850" ht="16.5" customHeight="1">
      <c r="H850" s="1" t="str">
        <f>IFERROR(__xludf.DUMMYFUNCTION("""COMPUTED_VALUE"""),"Dakshinamurti Pharma Pvt Ltd")</f>
        <v>Dakshinamurti Pharma Pvt Ltd</v>
      </c>
    </row>
    <row r="851" ht="16.5" customHeight="1">
      <c r="H851" s="1" t="str">
        <f>IFERROR(__xludf.DUMMYFUNCTION("""COMPUTED_VALUE"""),"DALIY WEAR")</f>
        <v>DALIY WEAR</v>
      </c>
    </row>
    <row r="852" ht="16.5" customHeight="1">
      <c r="H852" s="1" t="str">
        <f>IFERROR(__xludf.DUMMYFUNCTION("""COMPUTED_VALUE"""),"DANIEL PASTEUR")</f>
        <v>DANIEL PASTEUR</v>
      </c>
    </row>
    <row r="853" ht="16.5" customHeight="1">
      <c r="H853" s="1" t="str">
        <f>IFERROR(__xludf.DUMMYFUNCTION("""COMPUTED_VALUE"""),"DANISH HEALTHCARE")</f>
        <v>DANISH HEALTHCARE</v>
      </c>
    </row>
    <row r="854" ht="16.5" customHeight="1">
      <c r="H854" s="1" t="str">
        <f>IFERROR(__xludf.DUMMYFUNCTION("""COMPUTED_VALUE"""),"DARA PHARMACEUTICALS")</f>
        <v>DARA PHARMACEUTICALS</v>
      </c>
    </row>
    <row r="855" ht="16.5" customHeight="1">
      <c r="H855" s="1" t="str">
        <f>IFERROR(__xludf.DUMMYFUNCTION("""COMPUTED_VALUE"""),"DASAMAPS 50MG")</f>
        <v>DASAMAPS 50MG</v>
      </c>
    </row>
    <row r="856" ht="16.5" customHeight="1">
      <c r="H856" s="1" t="str">
        <f>IFERROR(__xludf.DUMMYFUNCTION("""COMPUTED_VALUE"""),"DASAMPAS 70MG")</f>
        <v>DASAMPAS 70MG</v>
      </c>
    </row>
    <row r="857" ht="16.5" customHeight="1">
      <c r="H857" s="1" t="str">
        <f>IFERROR(__xludf.DUMMYFUNCTION("""COMPUTED_VALUE"""),"DASSO PHARMACEUTICALS")</f>
        <v>DASSO PHARMACEUTICALS</v>
      </c>
    </row>
    <row r="858" ht="16.5" customHeight="1">
      <c r="H858" s="1" t="str">
        <f>IFERROR(__xludf.DUMMYFUNCTION("""COMPUTED_VALUE"""),"DATA SAILANI AYURVEDIC SANSTHA")</f>
        <v>DATA SAILANI AYURVEDIC SANSTHA</v>
      </c>
    </row>
    <row r="859" ht="16.5" customHeight="1">
      <c r="H859" s="1" t="str">
        <f>IFERROR(__xludf.DUMMYFUNCTION("""COMPUTED_VALUE"""),"DATTATRAYA SEVASHRAM")</f>
        <v>DATTATRAYA SEVASHRAM</v>
      </c>
    </row>
    <row r="860" ht="16.5" customHeight="1">
      <c r="H860" s="1" t="str">
        <f>IFERROR(__xludf.DUMMYFUNCTION("""COMPUTED_VALUE"""),"DAWCHEM PHARMACEUTICALS P LTD")</f>
        <v>DAWCHEM PHARMACEUTICALS P LTD</v>
      </c>
    </row>
    <row r="861" ht="16.5" customHeight="1">
      <c r="H861" s="1" t="str">
        <f>IFERROR(__xludf.DUMMYFUNCTION("""COMPUTED_VALUE"""),"DAWN &amp; COMPANY")</f>
        <v>DAWN &amp; COMPANY</v>
      </c>
    </row>
    <row r="862" ht="16.5" customHeight="1">
      <c r="H862" s="1" t="str">
        <f>IFERROR(__xludf.DUMMYFUNCTION("""COMPUTED_VALUE"""),"DD Nutritions")</f>
        <v>DD Nutritions</v>
      </c>
    </row>
    <row r="863" ht="16.5" customHeight="1">
      <c r="H863" s="1" t="str">
        <f>IFERROR(__xludf.DUMMYFUNCTION("""COMPUTED_VALUE"""),"DEE INDIA HERBALS")</f>
        <v>DEE INDIA HERBALS</v>
      </c>
    </row>
    <row r="864" ht="16.5" customHeight="1">
      <c r="H864" s="1" t="str">
        <f>IFERROR(__xludf.DUMMYFUNCTION("""COMPUTED_VALUE"""),"DEFENCE HEALTHCARE")</f>
        <v>DEFENCE HEALTHCARE</v>
      </c>
    </row>
    <row r="865" ht="16.5" customHeight="1">
      <c r="H865" s="1" t="str">
        <f>IFERROR(__xludf.DUMMYFUNCTION("""COMPUTED_VALUE"""),"DELAVIE HEALTHCARE PVT LTD")</f>
        <v>DELAVIE HEALTHCARE PVT LTD</v>
      </c>
    </row>
    <row r="866" ht="16.5" customHeight="1">
      <c r="H866" s="1" t="str">
        <f>IFERROR(__xludf.DUMMYFUNCTION("""COMPUTED_VALUE"""),"Delcure Life Sciences")</f>
        <v>Delcure Life Sciences</v>
      </c>
    </row>
    <row r="867" ht="16.5" customHeight="1">
      <c r="H867" s="1" t="str">
        <f>IFERROR(__xludf.DUMMYFUNCTION("""COMPUTED_VALUE"""),"DELLWICH HEALTHCARE")</f>
        <v>DELLWICH HEALTHCARE</v>
      </c>
    </row>
    <row r="868" ht="16.5" customHeight="1">
      <c r="H868" s="1" t="str">
        <f>IFERROR(__xludf.DUMMYFUNCTION("""COMPUTED_VALUE"""),"DELTAS PHARMA")</f>
        <v>DELTAS PHARMA</v>
      </c>
    </row>
    <row r="869" ht="16.5" customHeight="1">
      <c r="H869" s="1" t="str">
        <f>IFERROR(__xludf.DUMMYFUNCTION("""COMPUTED_VALUE"""),"Delvin Formulations Pvt Ltd")</f>
        <v>Delvin Formulations Pvt Ltd</v>
      </c>
    </row>
    <row r="870" ht="16.5" customHeight="1">
      <c r="H870" s="1" t="str">
        <f>IFERROR(__xludf.DUMMYFUNCTION("""COMPUTED_VALUE"""),"DELWIS HEALTHCARE")</f>
        <v>DELWIS HEALTHCARE</v>
      </c>
    </row>
    <row r="871" ht="16.5" customHeight="1">
      <c r="H871" s="1" t="str">
        <f>IFERROR(__xludf.DUMMYFUNCTION("""COMPUTED_VALUE"""),"DEON HEALTH CARE")</f>
        <v>DEON HEALTH CARE</v>
      </c>
    </row>
    <row r="872" ht="16.5" customHeight="1">
      <c r="H872" s="1" t="str">
        <f>IFERROR(__xludf.DUMMYFUNCTION("""COMPUTED_VALUE"""),"DEON HEALTHCARE")</f>
        <v>DEON HEALTHCARE</v>
      </c>
    </row>
    <row r="873" ht="16.5" customHeight="1">
      <c r="H873" s="1" t="str">
        <f>IFERROR(__xludf.DUMMYFUNCTION("""COMPUTED_VALUE"""),"Depsons Pharma")</f>
        <v>Depsons Pharma</v>
      </c>
    </row>
    <row r="874" ht="16.5" customHeight="1">
      <c r="H874" s="1" t="str">
        <f>IFERROR(__xludf.DUMMYFUNCTION("""COMPUTED_VALUE"""),"DERMA TOPICS HEALTHCARE")</f>
        <v>DERMA TOPICS HEALTHCARE</v>
      </c>
    </row>
    <row r="875" ht="16.5" customHeight="1">
      <c r="H875" s="1" t="str">
        <f>IFERROR(__xludf.DUMMYFUNCTION("""COMPUTED_VALUE"""),"DERMAKARE PHARMACEUTICALS PVT LTD")</f>
        <v>DERMAKARE PHARMACEUTICALS PVT LTD</v>
      </c>
    </row>
    <row r="876" ht="16.5" customHeight="1">
      <c r="H876" s="1" t="str">
        <f>IFERROR(__xludf.DUMMYFUNCTION("""COMPUTED_VALUE"""),"DERMASIL LABS")</f>
        <v>DERMASIL LABS</v>
      </c>
    </row>
    <row r="877" ht="16.5" customHeight="1">
      <c r="H877" s="1" t="str">
        <f>IFERROR(__xludf.DUMMYFUNCTION("""COMPUTED_VALUE"""),"DERMAWIN PHARMA")</f>
        <v>DERMAWIN PHARMA</v>
      </c>
    </row>
    <row r="878" ht="16.5" customHeight="1">
      <c r="H878" s="1" t="str">
        <f>IFERROR(__xludf.DUMMYFUNCTION("""COMPUTED_VALUE"""),"Dermawiz Laboratories Pvt Ltd")</f>
        <v>Dermawiz Laboratories Pvt Ltd</v>
      </c>
    </row>
    <row r="879" ht="16.5" customHeight="1">
      <c r="H879" s="1" t="str">
        <f>IFERROR(__xludf.DUMMYFUNCTION("""COMPUTED_VALUE"""),"DERMIA CONTICARE")</f>
        <v>DERMIA CONTICARE</v>
      </c>
    </row>
    <row r="880" ht="16.5" customHeight="1">
      <c r="H880" s="1" t="str">
        <f>IFERROR(__xludf.DUMMYFUNCTION("""COMPUTED_VALUE"""),"DERMITAS HEALTHCARE")</f>
        <v>DERMITAS HEALTHCARE</v>
      </c>
    </row>
    <row r="881" ht="16.5" customHeight="1">
      <c r="H881" s="1" t="str">
        <f>IFERROR(__xludf.DUMMYFUNCTION("""COMPUTED_VALUE"""),"Dermo Care Laboratories")</f>
        <v>Dermo Care Laboratories</v>
      </c>
    </row>
    <row r="882" ht="16.5" customHeight="1">
      <c r="H882" s="1" t="str">
        <f>IFERROR(__xludf.DUMMYFUNCTION("""COMPUTED_VALUE"""),"DERMO GLOW")</f>
        <v>DERMO GLOW</v>
      </c>
    </row>
    <row r="883" ht="16.5" customHeight="1">
      <c r="H883" s="1" t="str">
        <f>IFERROR(__xludf.DUMMYFUNCTION("""COMPUTED_VALUE"""),"DERMOGRACE")</f>
        <v>DERMOGRACE</v>
      </c>
    </row>
    <row r="884" ht="16.5" customHeight="1">
      <c r="H884" s="1" t="str">
        <f>IFERROR(__xludf.DUMMYFUNCTION("""COMPUTED_VALUE"""),"DERMOS")</f>
        <v>DERMOS</v>
      </c>
    </row>
    <row r="885" ht="16.5" customHeight="1">
      <c r="H885" s="1" t="str">
        <f>IFERROR(__xludf.DUMMYFUNCTION("""COMPUTED_VALUE"""),"DEV PHARMACY")</f>
        <v>DEV PHARMACY</v>
      </c>
    </row>
    <row r="886" ht="16.5" customHeight="1">
      <c r="H886" s="1" t="str">
        <f>IFERROR(__xludf.DUMMYFUNCTION("""COMPUTED_VALUE"""),"DEWCARE CONCEPT P LTD")</f>
        <v>DEWCARE CONCEPT P LTD</v>
      </c>
    </row>
    <row r="887" ht="16.5" customHeight="1">
      <c r="H887" s="1" t="str">
        <f>IFERROR(__xludf.DUMMYFUNCTION("""COMPUTED_VALUE"""),"Dexter Labratories")</f>
        <v>Dexter Labratories</v>
      </c>
    </row>
    <row r="888" ht="16.5" customHeight="1">
      <c r="H888" s="1" t="str">
        <f>IFERROR(__xludf.DUMMYFUNCTION("""COMPUTED_VALUE"""),"Dey's Medical Stores (Mfg) Ltd")</f>
        <v>Dey's Medical Stores (Mfg) Ltd</v>
      </c>
    </row>
    <row r="889" ht="16.5" customHeight="1">
      <c r="H889" s="1" t="str">
        <f>IFERROR(__xludf.DUMMYFUNCTION("""COMPUTED_VALUE"""),"Deys Medical")</f>
        <v>Deys Medical</v>
      </c>
    </row>
    <row r="890" ht="16.5" customHeight="1">
      <c r="H890" s="1" t="str">
        <f>IFERROR(__xludf.DUMMYFUNCTION("""COMPUTED_VALUE"""),"DHAMUS PHARMA")</f>
        <v>DHAMUS PHARMA</v>
      </c>
    </row>
    <row r="891" ht="16.5" customHeight="1">
      <c r="H891" s="1" t="str">
        <f>IFERROR(__xludf.DUMMYFUNCTION("""COMPUTED_VALUE"""),"DHANSINGH AYURVED BHAWAN")</f>
        <v>DHANSINGH AYURVED BHAWAN</v>
      </c>
    </row>
    <row r="892" ht="16.5" customHeight="1">
      <c r="H892" s="1" t="str">
        <f>IFERROR(__xludf.DUMMYFUNCTION("""COMPUTED_VALUE"""),"DHANVANTARI AYURVEDIC RESEARCH")</f>
        <v>DHANVANTARI AYURVEDIC RESEARCH</v>
      </c>
    </row>
    <row r="893" ht="16.5" customHeight="1">
      <c r="H893" s="1" t="str">
        <f>IFERROR(__xludf.DUMMYFUNCTION("""COMPUTED_VALUE"""),"DHANVANTRI GUJ HERBS")</f>
        <v>DHANVANTRI GUJ HERBS</v>
      </c>
    </row>
    <row r="894" ht="16.5" customHeight="1">
      <c r="H894" s="1" t="str">
        <f>IFERROR(__xludf.DUMMYFUNCTION("""COMPUTED_VALUE"""),"DHOOTPAPESHWAR")</f>
        <v>DHOOTPAPESHWAR</v>
      </c>
    </row>
    <row r="895" ht="16.5" customHeight="1">
      <c r="H895" s="1" t="str">
        <f>IFERROR(__xludf.DUMMYFUNCTION("""COMPUTED_VALUE"""),"DHUTAPAPESHAVAR (SOLUMIKS)")</f>
        <v>DHUTAPAPESHAVAR (SOLUMIKS)</v>
      </c>
    </row>
    <row r="896" ht="16.5" customHeight="1">
      <c r="H896" s="1" t="str">
        <f>IFERROR(__xludf.DUMMYFUNCTION("""COMPUTED_VALUE"""),"DIAL PHARMA")</f>
        <v>DIAL PHARMA</v>
      </c>
    </row>
    <row r="897" ht="16.5" customHeight="1">
      <c r="H897" s="1" t="str">
        <f>IFERROR(__xludf.DUMMYFUNCTION("""COMPUTED_VALUE"""),"DIAMOND BIOTECH")</f>
        <v>DIAMOND BIOTECH</v>
      </c>
    </row>
    <row r="898" ht="16.5" customHeight="1">
      <c r="H898" s="1" t="str">
        <f>IFERROR(__xludf.DUMMYFUNCTION("""COMPUTED_VALUE"""),"DIGITAL VISION SIRMOUR")</f>
        <v>DIGITAL VISION SIRMOUR</v>
      </c>
    </row>
    <row r="899" ht="16.5" customHeight="1">
      <c r="H899" s="1" t="str">
        <f>IFERROR(__xludf.DUMMYFUNCTION("""COMPUTED_VALUE"""),"DILL PHARMACEUTICALS")</f>
        <v>DILL PHARMACEUTICALS</v>
      </c>
    </row>
    <row r="900" ht="16.5" customHeight="1">
      <c r="H900" s="1" t="str">
        <f>IFERROR(__xludf.DUMMYFUNCTION("""COMPUTED_VALUE"""),"DINDAYAL")</f>
        <v>DINDAYAL</v>
      </c>
    </row>
    <row r="901" ht="16.5" customHeight="1">
      <c r="H901" s="1" t="str">
        <f>IFERROR(__xludf.DUMMYFUNCTION("""COMPUTED_VALUE"""),"DIOS LIFESINCES PVT LTD")</f>
        <v>DIOS LIFESINCES PVT LTD</v>
      </c>
    </row>
    <row r="902" ht="16.5" customHeight="1">
      <c r="H902" s="1" t="str">
        <f>IFERROR(__xludf.DUMMYFUNCTION("""COMPUTED_VALUE"""),"DIOSMA LIFE SCIENCES")</f>
        <v>DIOSMA LIFE SCIENCES</v>
      </c>
    </row>
    <row r="903" ht="16.5" customHeight="1">
      <c r="H903" s="1" t="str">
        <f>IFERROR(__xludf.DUMMYFUNCTION("""COMPUTED_VALUE"""),"DISPO")</f>
        <v>DISPO</v>
      </c>
    </row>
    <row r="904" ht="16.5" customHeight="1">
      <c r="H904" s="1" t="str">
        <f>IFERROR(__xludf.DUMMYFUNCTION("""COMPUTED_VALUE"""),"DIVERGENT LIFESCIENCES")</f>
        <v>DIVERGENT LIFESCIENCES</v>
      </c>
    </row>
    <row r="905" ht="16.5" customHeight="1">
      <c r="H905" s="1" t="str">
        <f>IFERROR(__xludf.DUMMYFUNCTION("""COMPUTED_VALUE"""),"DIVINE DEW BIOTECH")</f>
        <v>DIVINE DEW BIOTECH</v>
      </c>
    </row>
    <row r="906" ht="16.5" customHeight="1">
      <c r="H906" s="1" t="str">
        <f>IFERROR(__xludf.DUMMYFUNCTION("""COMPUTED_VALUE"""),"DIVISA")</f>
        <v>DIVISA</v>
      </c>
    </row>
    <row r="907" ht="16.5" customHeight="1">
      <c r="H907" s="1" t="str">
        <f>IFERROR(__xludf.DUMMYFUNCTION("""COMPUTED_VALUE"""),"DIVIT NUTRACEUTICAL P LTD")</f>
        <v>DIVIT NUTRACEUTICAL P LTD</v>
      </c>
    </row>
    <row r="908" ht="16.5" customHeight="1">
      <c r="H908" s="1" t="str">
        <f>IFERROR(__xludf.DUMMYFUNCTION("""COMPUTED_VALUE"""),"Divya Pharmacy")</f>
        <v>Divya Pharmacy</v>
      </c>
    </row>
    <row r="909" ht="16.5" customHeight="1">
      <c r="H909" s="1" t="str">
        <f>IFERROR(__xludf.DUMMYFUNCTION("""COMPUTED_VALUE"""),"DKT India Ltd")</f>
        <v>DKT India Ltd</v>
      </c>
    </row>
    <row r="910" ht="16.5" customHeight="1">
      <c r="H910" s="1" t="str">
        <f>IFERROR(__xludf.DUMMYFUNCTION("""COMPUTED_VALUE"""),"DLS PHARMA")</f>
        <v>DLS PHARMA</v>
      </c>
    </row>
    <row r="911" ht="16.5" customHeight="1">
      <c r="H911" s="1" t="str">
        <f>IFERROR(__xludf.DUMMYFUNCTION("""COMPUTED_VALUE"""),"DM PHARMA")</f>
        <v>DM PHARMA</v>
      </c>
    </row>
    <row r="912" ht="16.5" customHeight="1">
      <c r="H912" s="1" t="str">
        <f>IFERROR(__xludf.DUMMYFUNCTION("""COMPUTED_VALUE"""),"DO NOT ADD")</f>
        <v>DO NOT ADD</v>
      </c>
    </row>
    <row r="913" ht="16.5" customHeight="1">
      <c r="H913" s="1" t="str">
        <f>IFERROR(__xludf.DUMMYFUNCTION("""COMPUTED_VALUE"""),"DOCEMAPS 20")</f>
        <v>DOCEMAPS 20</v>
      </c>
    </row>
    <row r="914" ht="16.5" customHeight="1">
      <c r="H914" s="1" t="str">
        <f>IFERROR(__xludf.DUMMYFUNCTION("""COMPUTED_VALUE"""),"DOCEMAPS 80")</f>
        <v>DOCEMAPS 80</v>
      </c>
    </row>
    <row r="915" ht="16.5" customHeight="1">
      <c r="H915" s="1" t="str">
        <f>IFERROR(__xludf.DUMMYFUNCTION("""COMPUTED_VALUE"""),"DOCTOR")</f>
        <v>DOCTOR</v>
      </c>
    </row>
    <row r="916" ht="16.5" customHeight="1">
      <c r="H916" s="1" t="str">
        <f>IFERROR(__xludf.DUMMYFUNCTION("""COMPUTED_VALUE"""),"DOCTOR MOREPEN LIMITED")</f>
        <v>DOCTOR MOREPEN LIMITED</v>
      </c>
    </row>
    <row r="917" ht="16.5" customHeight="1">
      <c r="H917" s="1" t="str">
        <f>IFERROR(__xludf.DUMMYFUNCTION("""COMPUTED_VALUE"""),"DOKCARE LIFESCIENCES")</f>
        <v>DOKCARE LIFESCIENCES</v>
      </c>
    </row>
    <row r="918" ht="16.5" customHeight="1">
      <c r="H918" s="1" t="str">
        <f>IFERROR(__xludf.DUMMYFUNCTION("""COMPUTED_VALUE"""),"DOLLAR COMPANY")</f>
        <v>DOLLAR COMPANY</v>
      </c>
    </row>
    <row r="919" ht="16.5" customHeight="1">
      <c r="H919" s="1" t="str">
        <f>IFERROR(__xludf.DUMMYFUNCTION("""COMPUTED_VALUE"""),"DOLPHIN PHARMACEUTICALS")</f>
        <v>DOLPHIN PHARMACEUTICALS</v>
      </c>
    </row>
    <row r="920" ht="16.5" customHeight="1">
      <c r="H920" s="1" t="str">
        <f>IFERROR(__xludf.DUMMYFUNCTION("""COMPUTED_VALUE"""),"DR GROVER [EYE] HOSPITAL")</f>
        <v>DR GROVER [EYE] HOSPITAL</v>
      </c>
    </row>
    <row r="921" ht="16.5" customHeight="1">
      <c r="H921" s="1" t="str">
        <f>IFERROR(__xludf.DUMMYFUNCTION("""COMPUTED_VALUE"""),"Dr JRK Siddha Research and Pharmaceuticals Pvt Ltd")</f>
        <v>Dr JRK Siddha Research and Pharmaceuticals Pvt Ltd</v>
      </c>
    </row>
    <row r="922" ht="16.5" customHeight="1">
      <c r="H922" s="1" t="str">
        <f>IFERROR(__xludf.DUMMYFUNCTION("""COMPUTED_VALUE"""),"DR LOONAWAT RESEARCH LAB")</f>
        <v>DR LOONAWAT RESEARCH LAB</v>
      </c>
    </row>
    <row r="923" ht="16.5" customHeight="1">
      <c r="H923" s="1" t="str">
        <f>IFERROR(__xludf.DUMMYFUNCTION("""COMPUTED_VALUE"""),"DR LORMANS")</f>
        <v>DR LORMANS</v>
      </c>
    </row>
    <row r="924" ht="16.5" customHeight="1">
      <c r="H924" s="1" t="str">
        <f>IFERROR(__xludf.DUMMYFUNCTION("""COMPUTED_VALUE"""),"DR MOREPEN (GENERIC)")</f>
        <v>DR MOREPEN (GENERIC)</v>
      </c>
    </row>
    <row r="925" ht="16.5" customHeight="1">
      <c r="H925" s="1" t="str">
        <f>IFERROR(__xludf.DUMMYFUNCTION("""COMPUTED_VALUE"""),"DR MOREPEN DEVICES")</f>
        <v>DR MOREPEN DEVICES</v>
      </c>
    </row>
    <row r="926" ht="16.5" customHeight="1">
      <c r="H926" s="1" t="str">
        <f>IFERROR(__xludf.DUMMYFUNCTION("""COMPUTED_VALUE"""),"DR NAVEEN")</f>
        <v>DR NAVEEN</v>
      </c>
    </row>
    <row r="927" ht="16.5" customHeight="1">
      <c r="H927" s="1" t="str">
        <f>IFERROR(__xludf.DUMMYFUNCTION("""COMPUTED_VALUE"""),"DR PALEP'S")</f>
        <v>DR PALEP'S</v>
      </c>
    </row>
    <row r="928" ht="16.5" customHeight="1">
      <c r="H928" s="1" t="str">
        <f>IFERROR(__xludf.DUMMYFUNCTION("""COMPUTED_VALUE"""),"DR REDDY'S (DENTAL)")</f>
        <v>DR REDDY'S (DENTAL)</v>
      </c>
    </row>
    <row r="929" ht="16.5" customHeight="1">
      <c r="H929" s="1" t="str">
        <f>IFERROR(__xludf.DUMMYFUNCTION("""COMPUTED_VALUE"""),"Dr Reddy's Lab (AQURA-2)")</f>
        <v>Dr Reddy's Lab (AQURA-2)</v>
      </c>
    </row>
    <row r="930" ht="16.5" customHeight="1">
      <c r="H930" s="1" t="str">
        <f>IFERROR(__xludf.DUMMYFUNCTION("""COMPUTED_VALUE"""),"Dr Reddy's Lab (AQURA)")</f>
        <v>Dr Reddy's Lab (AQURA)</v>
      </c>
    </row>
    <row r="931" ht="16.5" customHeight="1">
      <c r="H931" s="1" t="str">
        <f>IFERROR(__xludf.DUMMYFUNCTION("""COMPUTED_VALUE"""),"Dr Reddy's Lab (ASPIRA)")</f>
        <v>Dr Reddy's Lab (ASPIRA)</v>
      </c>
    </row>
    <row r="932" ht="16.5" customHeight="1">
      <c r="H932" s="1" t="str">
        <f>IFERROR(__xludf.DUMMYFUNCTION("""COMPUTED_VALUE"""),"Dr Reddy's Lab (DERMA C)")</f>
        <v>Dr Reddy's Lab (DERMA C)</v>
      </c>
    </row>
    <row r="933" ht="16.5" customHeight="1">
      <c r="H933" s="1" t="str">
        <f>IFERROR(__xludf.DUMMYFUNCTION("""COMPUTED_VALUE"""),"Dr Reddy's Lab (DERMA-2)")</f>
        <v>Dr Reddy's Lab (DERMA-2)</v>
      </c>
    </row>
    <row r="934" ht="16.5" customHeight="1">
      <c r="H934" s="1" t="str">
        <f>IFERROR(__xludf.DUMMYFUNCTION("""COMPUTED_VALUE"""),"Dr Reddy's Lab (DERMA)")</f>
        <v>Dr Reddy's Lab (DERMA)</v>
      </c>
    </row>
    <row r="935" ht="16.5" customHeight="1">
      <c r="H935" s="1" t="str">
        <f>IFERROR(__xludf.DUMMYFUNCTION("""COMPUTED_VALUE"""),"Dr Reddy's Lab (FUTURA LEO)")</f>
        <v>Dr Reddy's Lab (FUTURA LEO)</v>
      </c>
    </row>
    <row r="936" ht="16.5" customHeight="1">
      <c r="H936" s="1" t="str">
        <f>IFERROR(__xludf.DUMMYFUNCTION("""COMPUTED_VALUE"""),"Dr Reddy's Lab (FUTURA MAX)")</f>
        <v>Dr Reddy's Lab (FUTURA MAX)</v>
      </c>
    </row>
    <row r="937" ht="16.5" customHeight="1">
      <c r="H937" s="1" t="str">
        <f>IFERROR(__xludf.DUMMYFUNCTION("""COMPUTED_VALUE"""),"Dr Reddy's Lab (FUTURA)")</f>
        <v>Dr Reddy's Lab (FUTURA)</v>
      </c>
    </row>
    <row r="938" ht="16.5" customHeight="1">
      <c r="H938" s="1" t="str">
        <f>IFERROR(__xludf.DUMMYFUNCTION("""COMPUTED_VALUE"""),"Dr Reddy's Lab (GRAND ERA)")</f>
        <v>Dr Reddy's Lab (GRAND ERA)</v>
      </c>
    </row>
    <row r="939" ht="16.5" customHeight="1">
      <c r="H939" s="1" t="str">
        <f>IFERROR(__xludf.DUMMYFUNCTION("""COMPUTED_VALUE"""),"Dr Reddy's Lab (HAMETOLOGY)")</f>
        <v>Dr Reddy's Lab (HAMETOLOGY)</v>
      </c>
    </row>
    <row r="940" ht="16.5" customHeight="1">
      <c r="H940" s="1" t="str">
        <f>IFERROR(__xludf.DUMMYFUNCTION("""COMPUTED_VALUE"""),"Dr Reddy's Lab (INDURA)")</f>
        <v>Dr Reddy's Lab (INDURA)</v>
      </c>
    </row>
    <row r="941" ht="16.5" customHeight="1">
      <c r="H941" s="1" t="str">
        <f>IFERROR(__xludf.DUMMYFUNCTION("""COMPUTED_VALUE"""),"Dr Reddy's Lab (MERIND)")</f>
        <v>Dr Reddy's Lab (MERIND)</v>
      </c>
    </row>
    <row r="942" ht="16.5" customHeight="1">
      <c r="H942" s="1" t="str">
        <f>IFERROR(__xludf.DUMMYFUNCTION("""COMPUTED_VALUE"""),"Dr Reddy's Lab (ORION)")</f>
        <v>Dr Reddy's Lab (ORION)</v>
      </c>
    </row>
    <row r="943" ht="16.5" customHeight="1">
      <c r="H943" s="1" t="str">
        <f>IFERROR(__xludf.DUMMYFUNCTION("""COMPUTED_VALUE"""),"Dr Reddy's Lab (PTF)")</f>
        <v>Dr Reddy's Lab (PTF)</v>
      </c>
    </row>
    <row r="944" ht="16.5" customHeight="1">
      <c r="H944" s="1" t="str">
        <f>IFERROR(__xludf.DUMMYFUNCTION("""COMPUTED_VALUE"""),"Dr Reddy's Lab (RECURA ACE)")</f>
        <v>Dr Reddy's Lab (RECURA ACE)</v>
      </c>
    </row>
    <row r="945" ht="16.5" customHeight="1">
      <c r="H945" s="1" t="str">
        <f>IFERROR(__xludf.DUMMYFUNCTION("""COMPUTED_VALUE"""),"Dr Reddy's Lab (RECURA)")</f>
        <v>Dr Reddy's Lab (RECURA)</v>
      </c>
    </row>
    <row r="946" ht="16.5" customHeight="1">
      <c r="H946" s="1" t="str">
        <f>IFERROR(__xludf.DUMMYFUNCTION("""COMPUTED_VALUE"""),"Dr Reddy's Lab (RHEUMATOLOGY)")</f>
        <v>Dr Reddy's Lab (RHEUMATOLOGY)</v>
      </c>
    </row>
    <row r="947" ht="16.5" customHeight="1">
      <c r="H947" s="1" t="str">
        <f>IFERROR(__xludf.DUMMYFUNCTION("""COMPUTED_VALUE"""),"Dr Reddy's Lab (SPECTRA)")</f>
        <v>Dr Reddy's Lab (SPECTRA)</v>
      </c>
    </row>
    <row r="948" ht="16.5" customHeight="1">
      <c r="H948" s="1" t="str">
        <f>IFERROR(__xludf.DUMMYFUNCTION("""COMPUTED_VALUE"""),"Dr Reddy's Lab (WINTURA)")</f>
        <v>Dr Reddy's Lab (WINTURA)</v>
      </c>
    </row>
    <row r="949" ht="16.5" customHeight="1">
      <c r="H949" s="1" t="str">
        <f>IFERROR(__xludf.DUMMYFUNCTION("""COMPUTED_VALUE"""),"Dr Reddy's Lab (WOCKHARDT)")</f>
        <v>Dr Reddy's Lab (WOCKHARDT)</v>
      </c>
    </row>
    <row r="950" ht="16.5" customHeight="1">
      <c r="H950" s="1" t="str">
        <f>IFERROR(__xludf.DUMMYFUNCTION("""COMPUTED_VALUE"""),"Dr Reddy's Lab (XENURA-1)")</f>
        <v>Dr Reddy's Lab (XENURA-1)</v>
      </c>
    </row>
    <row r="951" ht="16.5" customHeight="1">
      <c r="H951" s="1" t="str">
        <f>IFERROR(__xludf.DUMMYFUNCTION("""COMPUTED_VALUE"""),"Dr Reddy's Lab (XENURA-3)")</f>
        <v>Dr Reddy's Lab (XENURA-3)</v>
      </c>
    </row>
    <row r="952" ht="16.5" customHeight="1">
      <c r="H952" s="1" t="str">
        <f>IFERROR(__xludf.DUMMYFUNCTION("""COMPUTED_VALUE"""),"Dr Reddy's Lab (XENURA)")</f>
        <v>Dr Reddy's Lab (XENURA)</v>
      </c>
    </row>
    <row r="953" ht="16.5" customHeight="1">
      <c r="H953" s="1" t="str">
        <f>IFERROR(__xludf.DUMMYFUNCTION("""COMPUTED_VALUE"""),"Dr Reddy's Laboratories Ltd")</f>
        <v>Dr Reddy's Laboratories Ltd</v>
      </c>
    </row>
    <row r="954" ht="16.5" customHeight="1">
      <c r="H954" s="1" t="str">
        <f>IFERROR(__xludf.DUMMYFUNCTION("""COMPUTED_VALUE"""),"Dr Reddy's Laboratories Ltd (SPECIALITY)")</f>
        <v>Dr Reddy's Laboratories Ltd (SPECIALITY)</v>
      </c>
    </row>
    <row r="955" ht="16.5" customHeight="1">
      <c r="H955" s="1" t="str">
        <f>IFERROR(__xludf.DUMMYFUNCTION("""COMPUTED_VALUE"""),"DR SENT REMEDIES PVT LTD")</f>
        <v>DR SENT REMEDIES PVT LTD</v>
      </c>
    </row>
    <row r="956" ht="16.5" customHeight="1">
      <c r="H956" s="1" t="str">
        <f>IFERROR(__xludf.DUMMYFUNCTION("""COMPUTED_VALUE"""),"DR SMITH'S HERBAL LABORATORIES")</f>
        <v>DR SMITH'S HERBAL LABORATORIES</v>
      </c>
    </row>
    <row r="957" ht="16.5" customHeight="1">
      <c r="H957" s="1" t="str">
        <f>IFERROR(__xludf.DUMMYFUNCTION("""COMPUTED_VALUE"""),"DR VEDA")</f>
        <v>DR VEDA</v>
      </c>
    </row>
    <row r="958" ht="16.5" customHeight="1">
      <c r="H958" s="1" t="str">
        <f>IFERROR(__xludf.DUMMYFUNCTION("""COMPUTED_VALUE"""),"DR WILLMAR SCHWABE INDIA PVT LTD")</f>
        <v>DR WILLMAR SCHWABE INDIA PVT LTD</v>
      </c>
    </row>
    <row r="959" ht="16.5" customHeight="1">
      <c r="H959" s="1" t="str">
        <f>IFERROR(__xludf.DUMMYFUNCTION("""COMPUTED_VALUE"""),"Dr. Johns Laboratories Pvt Ltd")</f>
        <v>Dr. Johns Laboratories Pvt Ltd</v>
      </c>
    </row>
    <row r="960" ht="16.5" customHeight="1">
      <c r="H960" s="1" t="str">
        <f>IFERROR(__xludf.DUMMYFUNCTION("""COMPUTED_VALUE"""),"DR. SURGICAL")</f>
        <v>DR. SURGICAL</v>
      </c>
    </row>
    <row r="961" ht="16.5" customHeight="1">
      <c r="H961" s="1" t="str">
        <f>IFERROR(__xludf.DUMMYFUNCTION("""COMPUTED_VALUE"""),"DRS CHOICE HEALTHCARE")</f>
        <v>DRS CHOICE HEALTHCARE</v>
      </c>
    </row>
    <row r="962" ht="16.5" customHeight="1">
      <c r="H962" s="1" t="str">
        <f>IFERROR(__xludf.DUMMYFUNCTION("""COMPUTED_VALUE"""),"DRUG INDIA")</f>
        <v>DRUG INDIA</v>
      </c>
    </row>
    <row r="963" ht="16.5" customHeight="1">
      <c r="H963" s="1" t="str">
        <f>IFERROR(__xludf.DUMMYFUNCTION("""COMPUTED_VALUE"""),"Dupen Laboratories Pvt Ltd")</f>
        <v>Dupen Laboratories Pvt Ltd</v>
      </c>
    </row>
    <row r="964" ht="16.5" customHeight="1">
      <c r="H964" s="1" t="str">
        <f>IFERROR(__xludf.DUMMYFUNCTION("""COMPUTED_VALUE"""),"DUPHA")</f>
        <v>DUPHA</v>
      </c>
    </row>
    <row r="965" ht="16.5" customHeight="1">
      <c r="H965" s="1" t="str">
        <f>IFERROR(__xludf.DUMMYFUNCTION("""COMPUTED_VALUE"""),"Duphar")</f>
        <v>Duphar</v>
      </c>
    </row>
    <row r="966" ht="16.5" customHeight="1">
      <c r="H966" s="1" t="str">
        <f>IFERROR(__xludf.DUMMYFUNCTION("""COMPUTED_VALUE"""),"DUPHAR (SOLVAY 2)")</f>
        <v>DUPHAR (SOLVAY 2)</v>
      </c>
    </row>
    <row r="967" ht="16.5" customHeight="1">
      <c r="H967" s="1" t="str">
        <f>IFERROR(__xludf.DUMMYFUNCTION("""COMPUTED_VALUE"""),"DUPONT ORGANICS")</f>
        <v>DUPONT ORGANICS</v>
      </c>
    </row>
    <row r="968" ht="16.5" customHeight="1">
      <c r="H968" s="1" t="str">
        <f>IFERROR(__xludf.DUMMYFUNCTION("""COMPUTED_VALUE"""),"DUTT SURGICAL")</f>
        <v>DUTT SURGICAL</v>
      </c>
    </row>
    <row r="969" ht="16.5" customHeight="1">
      <c r="H969" s="1" t="str">
        <f>IFERROR(__xludf.DUMMYFUNCTION("""COMPUTED_VALUE"""),"DWD PHARMA (PRIME)")</f>
        <v>DWD PHARMA (PRIME)</v>
      </c>
    </row>
    <row r="970" ht="16.5" customHeight="1">
      <c r="H970" s="1" t="str">
        <f>IFERROR(__xludf.DUMMYFUNCTION("""COMPUTED_VALUE"""),"DWD PHARMA (SUPREME)")</f>
        <v>DWD PHARMA (SUPREME)</v>
      </c>
    </row>
    <row r="971" ht="16.5" customHeight="1">
      <c r="H971" s="1" t="str">
        <f>IFERROR(__xludf.DUMMYFUNCTION("""COMPUTED_VALUE"""),"DWD Pharmaceuticals Ltd")</f>
        <v>DWD Pharmaceuticals Ltd</v>
      </c>
    </row>
    <row r="972" ht="16.5" customHeight="1">
      <c r="H972" s="1" t="str">
        <f>IFERROR(__xludf.DUMMYFUNCTION("""COMPUTED_VALUE"""),"Dycine Pharmaceuticals Ltd")</f>
        <v>Dycine Pharmaceuticals Ltd</v>
      </c>
    </row>
    <row r="973" ht="16.5" customHeight="1">
      <c r="H973" s="1" t="str">
        <f>IFERROR(__xludf.DUMMYFUNCTION("""COMPUTED_VALUE"""),"DYMIX PHARMACEUTICALS PVT LTD")</f>
        <v>DYMIX PHARMACEUTICALS PVT LTD</v>
      </c>
    </row>
    <row r="974" ht="16.5" customHeight="1">
      <c r="H974" s="1" t="str">
        <f>IFERROR(__xludf.DUMMYFUNCTION("""COMPUTED_VALUE"""),"DYNAMIC")</f>
        <v>DYNAMIC</v>
      </c>
    </row>
    <row r="975" ht="16.5" customHeight="1">
      <c r="H975" s="1" t="str">
        <f>IFERROR(__xludf.DUMMYFUNCTION("""COMPUTED_VALUE"""),"DYRICH CAPSULE")</f>
        <v>DYRICH CAPSULE</v>
      </c>
    </row>
    <row r="976" ht="16.5" customHeight="1">
      <c r="H976" s="1" t="str">
        <f>IFERROR(__xludf.DUMMYFUNCTION("""COMPUTED_VALUE"""),"DYRICH PLUS CAPSULE")</f>
        <v>DYRICH PLUS CAPSULE</v>
      </c>
    </row>
    <row r="977" ht="16.5" customHeight="1">
      <c r="H977" s="1" t="str">
        <f>IFERROR(__xludf.DUMMYFUNCTION("""COMPUTED_VALUE"""),"DYRICH SYP")</f>
        <v>DYRICH SYP</v>
      </c>
    </row>
    <row r="978" ht="16.5" customHeight="1">
      <c r="H978" s="1" t="str">
        <f>IFERROR(__xludf.DUMMYFUNCTION("""COMPUTED_VALUE"""),"E DERMA")</f>
        <v>E DERMA</v>
      </c>
    </row>
    <row r="979" ht="16.5" customHeight="1">
      <c r="H979" s="1" t="str">
        <f>IFERROR(__xludf.DUMMYFUNCTION("""COMPUTED_VALUE"""),"EAMON DRUGS PVT LTD")</f>
        <v>EAMON DRUGS PVT LTD</v>
      </c>
    </row>
    <row r="980" ht="16.5" customHeight="1">
      <c r="H980" s="1" t="str">
        <f>IFERROR(__xludf.DUMMYFUNCTION("""COMPUTED_VALUE"""),"East India Pharmaceutical Works Ltd")</f>
        <v>East India Pharmaceutical Works Ltd</v>
      </c>
    </row>
    <row r="981" ht="16.5" customHeight="1">
      <c r="H981" s="1" t="str">
        <f>IFERROR(__xludf.DUMMYFUNCTION("""COMPUTED_VALUE"""),"East West Pharma")</f>
        <v>East West Pharma</v>
      </c>
    </row>
    <row r="982" ht="16.5" customHeight="1">
      <c r="H982" s="1" t="str">
        <f>IFERROR(__xludf.DUMMYFUNCTION("""COMPUTED_VALUE"""),"EASTERN HEALTH CARE")</f>
        <v>EASTERN HEALTH CARE</v>
      </c>
    </row>
    <row r="983" ht="16.5" customHeight="1">
      <c r="H983" s="1" t="str">
        <f>IFERROR(__xludf.DUMMYFUNCTION("""COMPUTED_VALUE"""),"ECLIPSER PHARMACEUTICALS")</f>
        <v>ECLIPSER PHARMACEUTICALS</v>
      </c>
    </row>
    <row r="984" ht="16.5" customHeight="1">
      <c r="H984" s="1" t="str">
        <f>IFERROR(__xludf.DUMMYFUNCTION("""COMPUTED_VALUE"""),"ECLIPTA PHARMACEUTICAL PVT LTD")</f>
        <v>ECLIPTA PHARMACEUTICAL PVT LTD</v>
      </c>
    </row>
    <row r="985" ht="16.5" customHeight="1">
      <c r="H985" s="1" t="str">
        <f>IFERROR(__xludf.DUMMYFUNCTION("""COMPUTED_VALUE"""),"ECLIPTA PHARMACEUTICAL PVT LTD")</f>
        <v>ECLIPTA PHARMACEUTICAL PVT LTD</v>
      </c>
    </row>
    <row r="986" ht="16.5" customHeight="1">
      <c r="H986" s="1" t="str">
        <f>IFERROR(__xludf.DUMMYFUNCTION("""COMPUTED_VALUE"""),"ECOMED")</f>
        <v>ECOMED</v>
      </c>
    </row>
    <row r="987" ht="16.5" customHeight="1">
      <c r="H987" s="1" t="str">
        <f>IFERROR(__xludf.DUMMYFUNCTION("""COMPUTED_VALUE"""),"EDDONA LIFE SCIENCES")</f>
        <v>EDDONA LIFE SCIENCES</v>
      </c>
    </row>
    <row r="988" ht="16.5" customHeight="1">
      <c r="H988" s="1" t="str">
        <f>IFERROR(__xludf.DUMMYFUNCTION("""COMPUTED_VALUE"""),"EDEN HEALTHCARE")</f>
        <v>EDEN HEALTHCARE</v>
      </c>
    </row>
    <row r="989" ht="16.5" customHeight="1">
      <c r="H989" s="1" t="str">
        <f>IFERROR(__xludf.DUMMYFUNCTION("""COMPUTED_VALUE"""),"EDICO LAB")</f>
        <v>EDICO LAB</v>
      </c>
    </row>
    <row r="990" ht="16.5" customHeight="1">
      <c r="H990" s="1" t="str">
        <f>IFERROR(__xludf.DUMMYFUNCTION("""COMPUTED_VALUE"""),"EDISON ORGANICS PHARMACEUTICALS")</f>
        <v>EDISON ORGANICS PHARMACEUTICALS</v>
      </c>
    </row>
    <row r="991" ht="16.5" customHeight="1">
      <c r="H991" s="1" t="str">
        <f>IFERROR(__xludf.DUMMYFUNCTION("""COMPUTED_VALUE"""),"Edrant pharmaceuticals")</f>
        <v>Edrant pharmaceuticals</v>
      </c>
    </row>
    <row r="992" ht="16.5" customHeight="1">
      <c r="H992" s="1" t="str">
        <f>IFERROR(__xludf.DUMMYFUNCTION("""COMPUTED_VALUE"""),"EDWARD YOUNG LABS")</f>
        <v>EDWARD YOUNG LABS</v>
      </c>
    </row>
    <row r="993" ht="16.5" customHeight="1">
      <c r="H993" s="1" t="str">
        <f>IFERROR(__xludf.DUMMYFUNCTION("""COMPUTED_VALUE"""),"Eisai Pharmaceuticals India Pvt Ltd")</f>
        <v>Eisai Pharmaceuticals India Pvt Ltd</v>
      </c>
    </row>
    <row r="994" ht="16.5" customHeight="1">
      <c r="H994" s="1" t="str">
        <f>IFERROR(__xludf.DUMMYFUNCTION("""COMPUTED_VALUE"""),"EISEN PHARMA")</f>
        <v>EISEN PHARMA</v>
      </c>
    </row>
    <row r="995" ht="16.5" customHeight="1">
      <c r="H995" s="1" t="str">
        <f>IFERROR(__xludf.DUMMYFUNCTION("""COMPUTED_VALUE"""),"EKMAY")</f>
        <v>EKMAY</v>
      </c>
    </row>
    <row r="996" ht="16.5" customHeight="1">
      <c r="H996" s="1" t="str">
        <f>IFERROR(__xludf.DUMMYFUNCTION("""COMPUTED_VALUE"""),"Elan Pharma India Pvt Ltd")</f>
        <v>Elan Pharma India Pvt Ltd</v>
      </c>
    </row>
    <row r="997" ht="16.5" customHeight="1">
      <c r="H997" s="1" t="str">
        <f>IFERROR(__xludf.DUMMYFUNCTION("""COMPUTED_VALUE"""),"ELANCER PHARMACEUTICALS")</f>
        <v>ELANCER PHARMACEUTICALS</v>
      </c>
    </row>
    <row r="998" ht="16.5" customHeight="1">
      <c r="H998" s="1" t="str">
        <f>IFERROR(__xludf.DUMMYFUNCTION("""COMPUTED_VALUE"""),"ELAXIM PHARMA")</f>
        <v>ELAXIM PHARMA</v>
      </c>
    </row>
    <row r="999" ht="16.5" customHeight="1">
      <c r="H999" s="1" t="str">
        <f>IFERROR(__xludf.DUMMYFUNCTION("""COMPUTED_VALUE"""),"ELCLIF FORMULATION")</f>
        <v>ELCLIF FORMULATION</v>
      </c>
    </row>
    <row r="1000" ht="16.5" customHeight="1">
      <c r="H1000" s="1" t="str">
        <f>IFERROR(__xludf.DUMMYFUNCTION("""COMPUTED_VALUE"""),"ELCURE BIOTEC")</f>
        <v>ELCURE BIOTEC</v>
      </c>
    </row>
    <row r="1001" ht="16.5" customHeight="1">
      <c r="H1001" s="1" t="str">
        <f>IFERROR(__xludf.DUMMYFUNCTION("""COMPUTED_VALUE"""),"ELDER (A)")</f>
        <v>ELDER (A)</v>
      </c>
    </row>
    <row r="1002" ht="16.5" customHeight="1">
      <c r="H1002" s="1" t="str">
        <f>IFERROR(__xludf.DUMMYFUNCTION("""COMPUTED_VALUE"""),"ELDER (ADVENTT)")</f>
        <v>ELDER (ADVENTT)</v>
      </c>
    </row>
    <row r="1003" ht="16.5" customHeight="1">
      <c r="H1003" s="1" t="str">
        <f>IFERROR(__xludf.DUMMYFUNCTION("""COMPUTED_VALUE"""),"ELDER (ADVENTUS)")</f>
        <v>ELDER (ADVENTUS)</v>
      </c>
    </row>
    <row r="1004" ht="16.5" customHeight="1">
      <c r="H1004" s="1" t="str">
        <f>IFERROR(__xludf.DUMMYFUNCTION("""COMPUTED_VALUE"""),"ELDER (B-SPECIALITIES)")</f>
        <v>ELDER (B-SPECIALITIES)</v>
      </c>
    </row>
    <row r="1005" ht="16.5" customHeight="1">
      <c r="H1005" s="1" t="str">
        <f>IFERROR(__xludf.DUMMYFUNCTION("""COMPUTED_VALUE"""),"ELDER (B)")</f>
        <v>ELDER (B)</v>
      </c>
    </row>
    <row r="1006" ht="16.5" customHeight="1">
      <c r="H1006" s="1" t="str">
        <f>IFERROR(__xludf.DUMMYFUNCTION("""COMPUTED_VALUE"""),"ELDER (ELNOVA)")</f>
        <v>ELDER (ELNOVA)</v>
      </c>
    </row>
    <row r="1007" ht="16.5" customHeight="1">
      <c r="H1007" s="1" t="str">
        <f>IFERROR(__xludf.DUMMYFUNCTION("""COMPUTED_VALUE"""),"ELDER (ELVISTA)")</f>
        <v>ELDER (ELVISTA)</v>
      </c>
    </row>
    <row r="1008" ht="16.5" customHeight="1">
      <c r="H1008" s="1" t="str">
        <f>IFERROR(__xludf.DUMMYFUNCTION("""COMPUTED_VALUE"""),"ELDER (GENERIC)")</f>
        <v>ELDER (GENERIC)</v>
      </c>
    </row>
    <row r="1009" ht="16.5" customHeight="1">
      <c r="H1009" s="1" t="str">
        <f>IFERROR(__xludf.DUMMYFUNCTION("""COMPUTED_VALUE"""),"ELDER (MIS)")</f>
        <v>ELDER (MIS)</v>
      </c>
    </row>
    <row r="1010" ht="16.5" customHeight="1">
      <c r="H1010" s="1" t="str">
        <f>IFERROR(__xludf.DUMMYFUNCTION("""COMPUTED_VALUE"""),"Elder Pharmaceuticals Ltd")</f>
        <v>Elder Pharmaceuticals Ltd</v>
      </c>
    </row>
    <row r="1011" ht="16.5" customHeight="1">
      <c r="H1011" s="1" t="str">
        <f>IFERROR(__xludf.DUMMYFUNCTION("""COMPUTED_VALUE"""),"ELDORA HEALTHCARE")</f>
        <v>ELDORA HEALTHCARE</v>
      </c>
    </row>
    <row r="1012" ht="16.5" customHeight="1">
      <c r="H1012" s="1" t="str">
        <f>IFERROR(__xludf.DUMMYFUNCTION("""COMPUTED_VALUE"""),"ELEMENSIS LIFESCIENCES")</f>
        <v>ELEMENSIS LIFESCIENCES</v>
      </c>
    </row>
    <row r="1013" ht="16.5" customHeight="1">
      <c r="H1013" s="1" t="str">
        <f>IFERROR(__xludf.DUMMYFUNCTION("""COMPUTED_VALUE"""),"ELEMENSIS LIFESCIENCES PVT LTD")</f>
        <v>ELEMENSIS LIFESCIENCES PVT LTD</v>
      </c>
    </row>
    <row r="1014" ht="16.5" customHeight="1">
      <c r="H1014" s="1" t="str">
        <f>IFERROR(__xludf.DUMMYFUNCTION("""COMPUTED_VALUE"""),"ELEMENTS WELLNESS")</f>
        <v>ELEMENTS WELLNESS</v>
      </c>
    </row>
    <row r="1015" ht="16.5" customHeight="1">
      <c r="H1015" s="1" t="str">
        <f>IFERROR(__xludf.DUMMYFUNCTION("""COMPUTED_VALUE"""),"ELENOR HEALTHCARE")</f>
        <v>ELENOR HEALTHCARE</v>
      </c>
    </row>
    <row r="1016" ht="16.5" customHeight="1">
      <c r="H1016" s="1" t="str">
        <f>IFERROR(__xludf.DUMMYFUNCTION("""COMPUTED_VALUE"""),"ELFIN PHARMA P LTD")</f>
        <v>ELFIN PHARMA P LTD</v>
      </c>
    </row>
    <row r="1017" ht="16.5" customHeight="1">
      <c r="H1017" s="1" t="str">
        <f>IFERROR(__xludf.DUMMYFUNCTION("""COMPUTED_VALUE"""),"Eli Lilly and Company India Pvt Ltd")</f>
        <v>Eli Lilly and Company India Pvt Ltd</v>
      </c>
    </row>
    <row r="1018" ht="16.5" customHeight="1">
      <c r="H1018" s="1" t="str">
        <f>IFERROR(__xludf.DUMMYFUNCTION("""COMPUTED_VALUE"""),"ELI PHARMACEUTICALS")</f>
        <v>ELI PHARMACEUTICALS</v>
      </c>
    </row>
    <row r="1019" ht="16.5" customHeight="1">
      <c r="H1019" s="1" t="str">
        <f>IFERROR(__xludf.DUMMYFUNCTION("""COMPUTED_VALUE"""),"ELIKEM PHARMACEUTICALS PVT LTD")</f>
        <v>ELIKEM PHARMACEUTICALS PVT LTD</v>
      </c>
    </row>
    <row r="1020" ht="16.5" customHeight="1">
      <c r="H1020" s="1" t="str">
        <f>IFERROR(__xludf.DUMMYFUNCTION("""COMPUTED_VALUE"""),"ELILVILI PHARMA PVT LTD")</f>
        <v>ELILVILI PHARMA PVT LTD</v>
      </c>
    </row>
    <row r="1021" ht="16.5" customHeight="1">
      <c r="H1021" s="1" t="str">
        <f>IFERROR(__xludf.DUMMYFUNCTION("""COMPUTED_VALUE"""),"ELION HEALTHCARE PVT LTD")</f>
        <v>ELION HEALTHCARE PVT LTD</v>
      </c>
    </row>
    <row r="1022" ht="16.5" customHeight="1">
      <c r="H1022" s="1" t="str">
        <f>IFERROR(__xludf.DUMMYFUNCTION("""COMPUTED_VALUE"""),"ELIXIR LIFE CARE")</f>
        <v>ELIXIR LIFE CARE</v>
      </c>
    </row>
    <row r="1023" ht="16.5" customHeight="1">
      <c r="H1023" s="1" t="str">
        <f>IFERROR(__xludf.DUMMYFUNCTION("""COMPUTED_VALUE"""),"ELIXIR LIFE CARE (ACCELENT)")</f>
        <v>ELIXIR LIFE CARE (ACCELENT)</v>
      </c>
    </row>
    <row r="1024" ht="16.5" customHeight="1">
      <c r="H1024" s="1" t="str">
        <f>IFERROR(__xludf.DUMMYFUNCTION("""COMPUTED_VALUE"""),"ELIXIR MEDISERVE P LTD")</f>
        <v>ELIXIR MEDISERVE P LTD</v>
      </c>
    </row>
    <row r="1025" ht="16.5" customHeight="1">
      <c r="H1025" s="1" t="str">
        <f>IFERROR(__xludf.DUMMYFUNCTION("""COMPUTED_VALUE"""),"ELKOS HEALTHCARE P LTD")</f>
        <v>ELKOS HEALTHCARE P LTD</v>
      </c>
    </row>
    <row r="1026" ht="16.5" customHeight="1">
      <c r="H1026" s="1" t="str">
        <f>IFERROR(__xludf.DUMMYFUNCTION("""COMPUTED_VALUE"""),"ELLINOR LIFESCIENCES")</f>
        <v>ELLINOR LIFESCIENCES</v>
      </c>
    </row>
    <row r="1027" ht="16.5" customHeight="1">
      <c r="H1027" s="1" t="str">
        <f>IFERROR(__xludf.DUMMYFUNCTION("""COMPUTED_VALUE"""),"ELLIOT BIOTECH")</f>
        <v>ELLIOT BIOTECH</v>
      </c>
    </row>
    <row r="1028" ht="16.5" customHeight="1">
      <c r="H1028" s="1" t="str">
        <f>IFERROR(__xludf.DUMMYFUNCTION("""COMPUTED_VALUE"""),"ELNOVA PHARMA SIRMOUR")</f>
        <v>ELNOVA PHARMA SIRMOUR</v>
      </c>
    </row>
    <row r="1029" ht="16.5" customHeight="1">
      <c r="H1029" s="1" t="str">
        <f>IFERROR(__xludf.DUMMYFUNCTION("""COMPUTED_VALUE"""),"ELVIA")</f>
        <v>ELVIA</v>
      </c>
    </row>
    <row r="1030" ht="16.5" customHeight="1">
      <c r="H1030" s="1" t="str">
        <f>IFERROR(__xludf.DUMMYFUNCTION("""COMPUTED_VALUE"""),"ELZA LABORATORIES INDIA PVT LTD")</f>
        <v>ELZA LABORATORIES INDIA PVT LTD</v>
      </c>
    </row>
    <row r="1031" ht="16.5" customHeight="1">
      <c r="H1031" s="1" t="str">
        <f>IFERROR(__xludf.DUMMYFUNCTION("""COMPUTED_VALUE"""),"Emami Ltd")</f>
        <v>Emami Ltd</v>
      </c>
    </row>
    <row r="1032" ht="16.5" customHeight="1">
      <c r="H1032" s="1" t="str">
        <f>IFERROR(__xludf.DUMMYFUNCTION("""COMPUTED_VALUE"""),"EMBARK LIFESCIENCE PVT LTD")</f>
        <v>EMBARK LIFESCIENCE PVT LTD</v>
      </c>
    </row>
    <row r="1033" ht="16.5" customHeight="1">
      <c r="H1033" s="1" t="str">
        <f>IFERROR(__xludf.DUMMYFUNCTION("""COMPUTED_VALUE"""),"EMCURE (EMCUTIX)")</f>
        <v>EMCURE (EMCUTIX)</v>
      </c>
    </row>
    <row r="1034" ht="16.5" customHeight="1">
      <c r="H1034" s="1" t="str">
        <f>IFERROR(__xludf.DUMMYFUNCTION("""COMPUTED_VALUE"""),"EMCURE (GENNOVA)")</f>
        <v>EMCURE (GENNOVA)</v>
      </c>
    </row>
    <row r="1035" ht="16.5" customHeight="1">
      <c r="H1035" s="1" t="str">
        <f>IFERROR(__xludf.DUMMYFUNCTION("""COMPUTED_VALUE"""),"EMCURE (NUSURGE)")</f>
        <v>EMCURE (NUSURGE)</v>
      </c>
    </row>
    <row r="1036" ht="16.5" customHeight="1">
      <c r="H1036" s="1" t="str">
        <f>IFERROR(__xludf.DUMMYFUNCTION("""COMPUTED_VALUE"""),"EMCURE PHARMA (CD)")</f>
        <v>EMCURE PHARMA (CD)</v>
      </c>
    </row>
    <row r="1037" ht="16.5" customHeight="1">
      <c r="H1037" s="1" t="str">
        <f>IFERROR(__xludf.DUMMYFUNCTION("""COMPUTED_VALUE"""),"EMCURE PHARMA (CNS)")</f>
        <v>EMCURE PHARMA (CNS)</v>
      </c>
    </row>
    <row r="1038" ht="16.5" customHeight="1">
      <c r="H1038" s="1" t="str">
        <f>IFERROR(__xludf.DUMMYFUNCTION("""COMPUTED_VALUE"""),"EMCURE PHARMA (CRIANTE)")</f>
        <v>EMCURE PHARMA (CRIANTE)</v>
      </c>
    </row>
    <row r="1039" ht="16.5" customHeight="1">
      <c r="H1039" s="1" t="str">
        <f>IFERROR(__xludf.DUMMYFUNCTION("""COMPUTED_VALUE"""),"EMCURE PHARMA (FERIUM)")</f>
        <v>EMCURE PHARMA (FERIUM)</v>
      </c>
    </row>
    <row r="1040" ht="16.5" customHeight="1">
      <c r="H1040" s="1" t="str">
        <f>IFERROR(__xludf.DUMMYFUNCTION("""COMPUTED_VALUE"""),"EMCURE PHARMA (IMPETUS)")</f>
        <v>EMCURE PHARMA (IMPETUS)</v>
      </c>
    </row>
    <row r="1041" ht="16.5" customHeight="1">
      <c r="H1041" s="1" t="str">
        <f>IFERROR(__xludf.DUMMYFUNCTION("""COMPUTED_VALUE"""),"EMCURE PHARMA (INFIUS)")</f>
        <v>EMCURE PHARMA (INFIUS)</v>
      </c>
    </row>
    <row r="1042" ht="16.5" customHeight="1">
      <c r="H1042" s="1" t="str">
        <f>IFERROR(__xludf.DUMMYFUNCTION("""COMPUTED_VALUE"""),"EMCURE PHARMA (INVENTIA)")</f>
        <v>EMCURE PHARMA (INVENTIA)</v>
      </c>
    </row>
    <row r="1043" ht="16.5" customHeight="1">
      <c r="H1043" s="1" t="str">
        <f>IFERROR(__xludf.DUMMYFUNCTION("""COMPUTED_VALUE"""),"EMCURE PHARMA (KONKER)")</f>
        <v>EMCURE PHARMA (KONKER)</v>
      </c>
    </row>
    <row r="1044" ht="16.5" customHeight="1">
      <c r="H1044" s="1" t="str">
        <f>IFERROR(__xludf.DUMMYFUNCTION("""COMPUTED_VALUE"""),"EMCURE PHARMA (NEPHRO)")</f>
        <v>EMCURE PHARMA (NEPHRO)</v>
      </c>
    </row>
    <row r="1045" ht="16.5" customHeight="1">
      <c r="H1045" s="1" t="str">
        <f>IFERROR(__xludf.DUMMYFUNCTION("""COMPUTED_VALUE"""),"EMCURE PHARMA (NUCRON CV)")</f>
        <v>EMCURE PHARMA (NUCRON CV)</v>
      </c>
    </row>
    <row r="1046" ht="16.5" customHeight="1">
      <c r="H1046" s="1" t="str">
        <f>IFERROR(__xludf.DUMMYFUNCTION("""COMPUTED_VALUE"""),"EMCURE PHARMA (NUCRON)")</f>
        <v>EMCURE PHARMA (NUCRON)</v>
      </c>
    </row>
    <row r="1047" ht="16.5" customHeight="1">
      <c r="H1047" s="1" t="str">
        <f>IFERROR(__xludf.DUMMYFUNCTION("""COMPUTED_VALUE"""),"EMCURE PHARMA (PHARMA)")</f>
        <v>EMCURE PHARMA (PHARMA)</v>
      </c>
    </row>
    <row r="1048" ht="16.5" customHeight="1">
      <c r="H1048" s="1" t="str">
        <f>IFERROR(__xludf.DUMMYFUNCTION("""COMPUTED_VALUE"""),"EMCURE PHARMA (URO)")</f>
        <v>EMCURE PHARMA (URO)</v>
      </c>
    </row>
    <row r="1049" ht="16.5" customHeight="1">
      <c r="H1049" s="1" t="str">
        <f>IFERROR(__xludf.DUMMYFUNCTION("""COMPUTED_VALUE"""),"EMCURE PHARMA (VIROLOGY)")</f>
        <v>EMCURE PHARMA (VIROLOGY)</v>
      </c>
    </row>
    <row r="1050" ht="16.5" customHeight="1">
      <c r="H1050" s="1" t="str">
        <f>IFERROR(__xludf.DUMMYFUNCTION("""COMPUTED_VALUE"""),"EMCURE PHARMA (XENNEX)")</f>
        <v>EMCURE PHARMA (XENNEX)</v>
      </c>
    </row>
    <row r="1051" ht="16.5" customHeight="1">
      <c r="H1051" s="1" t="str">
        <f>IFERROR(__xludf.DUMMYFUNCTION("""COMPUTED_VALUE"""),"EMCURE PHARMA (ZEMCURE)")</f>
        <v>EMCURE PHARMA (ZEMCURE)</v>
      </c>
    </row>
    <row r="1052" ht="16.5" customHeight="1">
      <c r="H1052" s="1" t="str">
        <f>IFERROR(__xludf.DUMMYFUNCTION("""COMPUTED_VALUE"""),"Emcure Pharmaceuticals Ltd")</f>
        <v>Emcure Pharmaceuticals Ltd</v>
      </c>
    </row>
    <row r="1053" ht="16.5" customHeight="1">
      <c r="H1053" s="1" t="str">
        <f>IFERROR(__xludf.DUMMYFUNCTION("""COMPUTED_VALUE"""),"EMENOX HEALTHCARE")</f>
        <v>EMENOX HEALTHCARE</v>
      </c>
    </row>
    <row r="1054" ht="16.5" customHeight="1">
      <c r="H1054" s="1" t="str">
        <f>IFERROR(__xludf.DUMMYFUNCTION("""COMPUTED_VALUE"""),"EMIL PHARMACEUTICAL INDUSTRIES PVT LTD")</f>
        <v>EMIL PHARMACEUTICAL INDUSTRIES PVT LTD</v>
      </c>
    </row>
    <row r="1055" ht="16.5" customHeight="1">
      <c r="H1055" s="1" t="str">
        <f>IFERROR(__xludf.DUMMYFUNCTION("""COMPUTED_VALUE"""),"EMKEDY HEALTH CARE")</f>
        <v>EMKEDY HEALTH CARE</v>
      </c>
    </row>
    <row r="1056" ht="16.5" customHeight="1">
      <c r="H1056" s="1" t="str">
        <f>IFERROR(__xludf.DUMMYFUNCTION("""COMPUTED_VALUE"""),"EMMY PHARMACEUTICAL")</f>
        <v>EMMY PHARMACEUTICAL</v>
      </c>
    </row>
    <row r="1057" ht="16.5" customHeight="1">
      <c r="H1057" s="1" t="str">
        <f>IFERROR(__xludf.DUMMYFUNCTION("""COMPUTED_VALUE"""),"EMPHASIS PHARMA P LTD")</f>
        <v>EMPHASIS PHARMA P LTD</v>
      </c>
    </row>
    <row r="1058" ht="16.5" customHeight="1">
      <c r="H1058" s="1" t="str">
        <f>IFERROR(__xludf.DUMMYFUNCTION("""COMPUTED_VALUE"""),"Empiai Pharmaceuticals Pvt Ltd")</f>
        <v>Empiai Pharmaceuticals Pvt Ltd</v>
      </c>
    </row>
    <row r="1059" ht="16.5" customHeight="1">
      <c r="H1059" s="1" t="str">
        <f>IFERROR(__xludf.DUMMYFUNCTION("""COMPUTED_VALUE"""),"ENCORE HEALTHCARE PVT LTD")</f>
        <v>ENCORE HEALTHCARE PVT LTD</v>
      </c>
    </row>
    <row r="1060" ht="16.5" customHeight="1">
      <c r="H1060" s="1" t="str">
        <f>IFERROR(__xludf.DUMMYFUNCTION("""COMPUTED_VALUE"""),"Encore Pharmaceuticals Inc.")</f>
        <v>Encore Pharmaceuticals Inc.</v>
      </c>
    </row>
    <row r="1061" ht="16.5" customHeight="1">
      <c r="H1061" s="1" t="str">
        <f>IFERROR(__xludf.DUMMYFUNCTION("""COMPUTED_VALUE"""),"ENCYCLO HEATHCARE")</f>
        <v>ENCYCLO HEATHCARE</v>
      </c>
    </row>
    <row r="1062" ht="16.5" customHeight="1">
      <c r="H1062" s="1" t="str">
        <f>IFERROR(__xludf.DUMMYFUNCTION("""COMPUTED_VALUE"""),"ENDOLABS LTD")</f>
        <v>ENDOLABS LTD</v>
      </c>
    </row>
    <row r="1063" ht="16.5" customHeight="1">
      <c r="H1063" s="1" t="str">
        <f>IFERROR(__xludf.DUMMYFUNCTION("""COMPUTED_VALUE"""),"ENRICO PHARMA")</f>
        <v>ENRICO PHARMA</v>
      </c>
    </row>
    <row r="1064" ht="16.5" customHeight="1">
      <c r="H1064" s="1" t="str">
        <f>IFERROR(__xludf.DUMMYFUNCTION("""COMPUTED_VALUE"""),"ENTOD (ENSIGHT)")</f>
        <v>ENTOD (ENSIGHT)</v>
      </c>
    </row>
    <row r="1065" ht="16.5" customHeight="1">
      <c r="H1065" s="1" t="str">
        <f>IFERROR(__xludf.DUMMYFUNCTION("""COMPUTED_VALUE"""),"ENTOD (G-TECH)")</f>
        <v>ENTOD (G-TECH)</v>
      </c>
    </row>
    <row r="1066" ht="16.5" customHeight="1">
      <c r="H1066" s="1" t="str">
        <f>IFERROR(__xludf.DUMMYFUNCTION("""COMPUTED_VALUE"""),"ENTOD (HYTEK)")</f>
        <v>ENTOD (HYTEK)</v>
      </c>
    </row>
    <row r="1067" ht="16.5" customHeight="1">
      <c r="H1067" s="1" t="str">
        <f>IFERROR(__xludf.DUMMYFUNCTION("""COMPUTED_VALUE"""),"ENTOD (OPHTHALMIC)")</f>
        <v>ENTOD (OPHTHALMIC)</v>
      </c>
    </row>
    <row r="1068" ht="16.5" customHeight="1">
      <c r="H1068" s="1" t="str">
        <f>IFERROR(__xludf.DUMMYFUNCTION("""COMPUTED_VALUE"""),"ENTOD (OPTHAL)")</f>
        <v>ENTOD (OPTHAL)</v>
      </c>
    </row>
    <row r="1069" ht="16.5" customHeight="1">
      <c r="H1069" s="1" t="str">
        <f>IFERROR(__xludf.DUMMYFUNCTION("""COMPUTED_VALUE"""),"Entod Pharmaceuticals Ltd")</f>
        <v>Entod Pharmaceuticals Ltd</v>
      </c>
    </row>
    <row r="1070" ht="16.5" customHeight="1">
      <c r="H1070" s="1" t="str">
        <f>IFERROR(__xludf.DUMMYFUNCTION("""COMPUTED_VALUE"""),"EOS DERMACEUTICALS")</f>
        <v>EOS DERMACEUTICALS</v>
      </c>
    </row>
    <row r="1071" ht="16.5" customHeight="1">
      <c r="H1071" s="1" t="str">
        <f>IFERROR(__xludf.DUMMYFUNCTION("""COMPUTED_VALUE"""),"EPIC LIFESCIENCE")</f>
        <v>EPIC LIFESCIENCE</v>
      </c>
    </row>
    <row r="1072" ht="16.5" customHeight="1">
      <c r="H1072" s="1" t="str">
        <f>IFERROR(__xludf.DUMMYFUNCTION("""COMPUTED_VALUE"""),"EPONA PHARMACEUTICALS")</f>
        <v>EPONA PHARMACEUTICALS</v>
      </c>
    </row>
    <row r="1073" ht="16.5" customHeight="1">
      <c r="H1073" s="1" t="str">
        <f>IFERROR(__xludf.DUMMYFUNCTION("""COMPUTED_VALUE"""),"Era Pharmaceuticals")</f>
        <v>Era Pharmaceuticals</v>
      </c>
    </row>
    <row r="1074" ht="16.5" customHeight="1">
      <c r="H1074" s="1" t="str">
        <f>IFERROR(__xludf.DUMMYFUNCTION("""COMPUTED_VALUE"""),"ERIDANUS HEALTHCARE")</f>
        <v>ERIDANUS HEALTHCARE</v>
      </c>
    </row>
    <row r="1075" ht="16.5" customHeight="1">
      <c r="H1075" s="1" t="str">
        <f>IFERROR(__xludf.DUMMYFUNCTION("""COMPUTED_VALUE"""),"ERIKA REMEDIES")</f>
        <v>ERIKA REMEDIES</v>
      </c>
    </row>
    <row r="1076" ht="16.5" customHeight="1">
      <c r="H1076" s="1" t="str">
        <f>IFERROR(__xludf.DUMMYFUNCTION("""COMPUTED_VALUE"""),"ERIS (ADURA)")</f>
        <v>ERIS (ADURA)</v>
      </c>
    </row>
    <row r="1077" ht="16.5" customHeight="1">
      <c r="H1077" s="1" t="str">
        <f>IFERROR(__xludf.DUMMYFUNCTION("""COMPUTED_VALUE"""),"ERIS (ALTIZA)")</f>
        <v>ERIS (ALTIZA)</v>
      </c>
    </row>
    <row r="1078" ht="16.5" customHeight="1">
      <c r="H1078" s="1" t="str">
        <f>IFERROR(__xludf.DUMMYFUNCTION("""COMPUTED_VALUE"""),"ERIS (ASPIRE)")</f>
        <v>ERIS (ASPIRE)</v>
      </c>
    </row>
    <row r="1079" ht="16.5" customHeight="1">
      <c r="H1079" s="1" t="str">
        <f>IFERROR(__xludf.DUMMYFUNCTION("""COMPUTED_VALUE"""),"ERIS (ETERNA)")</f>
        <v>ERIS (ETERNA)</v>
      </c>
    </row>
    <row r="1080" ht="16.5" customHeight="1">
      <c r="H1080" s="1" t="str">
        <f>IFERROR(__xludf.DUMMYFUNCTION("""COMPUTED_VALUE"""),"ERIS (INSPIRA)")</f>
        <v>ERIS (INSPIRA)</v>
      </c>
    </row>
    <row r="1081" ht="16.5" customHeight="1">
      <c r="H1081" s="1" t="str">
        <f>IFERROR(__xludf.DUMMYFUNCTION("""COMPUTED_VALUE"""),"ERIS (LIFE-I)")</f>
        <v>ERIS (LIFE-I)</v>
      </c>
    </row>
    <row r="1082" ht="16.5" customHeight="1">
      <c r="H1082" s="1" t="str">
        <f>IFERROR(__xludf.DUMMYFUNCTION("""COMPUTED_VALUE"""),"ERIS (LIFE-II)")</f>
        <v>ERIS (LIFE-II)</v>
      </c>
    </row>
    <row r="1083" ht="16.5" customHeight="1">
      <c r="H1083" s="1" t="str">
        <f>IFERROR(__xludf.DUMMYFUNCTION("""COMPUTED_VALUE"""),"ERIS (MONTANA)")</f>
        <v>ERIS (MONTANA)</v>
      </c>
    </row>
    <row r="1084" ht="16.5" customHeight="1">
      <c r="H1084" s="1" t="str">
        <f>IFERROR(__xludf.DUMMYFUNCTION("""COMPUTED_VALUE"""),"ERIS (NIKKOS)")</f>
        <v>ERIS (NIKKOS)</v>
      </c>
    </row>
    <row r="1085" ht="16.5" customHeight="1">
      <c r="H1085" s="1" t="str">
        <f>IFERROR(__xludf.DUMMYFUNCTION("""COMPUTED_VALUE"""),"ERIS (ONE)")</f>
        <v>ERIS (ONE)</v>
      </c>
    </row>
    <row r="1086" ht="16.5" customHeight="1">
      <c r="H1086" s="1" t="str">
        <f>IFERROR(__xludf.DUMMYFUNCTION("""COMPUTED_VALUE"""),"ERIS (PHOENIX)")</f>
        <v>ERIS (PHOENIX)</v>
      </c>
    </row>
    <row r="1087" ht="16.5" customHeight="1">
      <c r="H1087" s="1" t="str">
        <f>IFERROR(__xludf.DUMMYFUNCTION("""COMPUTED_VALUE"""),"ERIS (TWO)")</f>
        <v>ERIS (TWO)</v>
      </c>
    </row>
    <row r="1088" ht="16.5" customHeight="1">
      <c r="H1088" s="1" t="str">
        <f>IFERROR(__xludf.DUMMYFUNCTION("""COMPUTED_VALUE"""),"ERIS (VICTUS)")</f>
        <v>ERIS (VICTUS)</v>
      </c>
    </row>
    <row r="1089" ht="16.5" customHeight="1">
      <c r="H1089" s="1" t="str">
        <f>IFERROR(__xludf.DUMMYFUNCTION("""COMPUTED_VALUE"""),"Eris Life Sciences Pvt Ltd")</f>
        <v>Eris Life Sciences Pvt Ltd</v>
      </c>
    </row>
    <row r="1090" ht="16.5" customHeight="1">
      <c r="H1090" s="1" t="str">
        <f>IFERROR(__xludf.DUMMYFUNCTION("""COMPUTED_VALUE"""),"ERIS LIFESCIENCES PVT LTD.")</f>
        <v>ERIS LIFESCIENCES PVT LTD.</v>
      </c>
    </row>
    <row r="1091" ht="16.5" customHeight="1">
      <c r="H1091" s="1" t="str">
        <f>IFERROR(__xludf.DUMMYFUNCTION("""COMPUTED_VALUE"""),"ERNST PHARMACIA")</f>
        <v>ERNST PHARMACIA</v>
      </c>
    </row>
    <row r="1092" ht="16.5" customHeight="1">
      <c r="H1092" s="1" t="str">
        <f>IFERROR(__xludf.DUMMYFUNCTION("""COMPUTED_VALUE"""),"EROSE PHARMACEUTICALS")</f>
        <v>EROSE PHARMACEUTICALS</v>
      </c>
    </row>
    <row r="1093" ht="16.5" customHeight="1">
      <c r="H1093" s="1" t="str">
        <f>IFERROR(__xludf.DUMMYFUNCTION("""COMPUTED_VALUE"""),"ERYX HEALTHCARE P LTD")</f>
        <v>ERYX HEALTHCARE P LTD</v>
      </c>
    </row>
    <row r="1094" ht="16.5" customHeight="1">
      <c r="H1094" s="1" t="str">
        <f>IFERROR(__xludf.DUMMYFUNCTION("""COMPUTED_VALUE"""),"ESKAG PHARMA")</f>
        <v>ESKAG PHARMA</v>
      </c>
    </row>
    <row r="1095" ht="16.5" customHeight="1">
      <c r="H1095" s="1" t="str">
        <f>IFERROR(__xludf.DUMMYFUNCTION("""COMPUTED_VALUE"""),"ESTRELLAS LIFESCIENCES")</f>
        <v>ESTRELLAS LIFESCIENCES</v>
      </c>
    </row>
    <row r="1096" ht="16.5" customHeight="1">
      <c r="H1096" s="1" t="str">
        <f>IFERROR(__xludf.DUMMYFUNCTION("""COMPUTED_VALUE"""),"Ethicare Pharma")</f>
        <v>Ethicare Pharma</v>
      </c>
    </row>
    <row r="1097" ht="16.5" customHeight="1">
      <c r="H1097" s="1" t="str">
        <f>IFERROR(__xludf.DUMMYFUNCTION("""COMPUTED_VALUE"""),"Ethicare Remedies")</f>
        <v>Ethicare Remedies</v>
      </c>
    </row>
    <row r="1098" ht="16.5" customHeight="1">
      <c r="H1098" s="1" t="str">
        <f>IFERROR(__xludf.DUMMYFUNCTION("""COMPUTED_VALUE"""),"Ethilexhealth Care Guj Ltd")</f>
        <v>Ethilexhealth Care Guj Ltd</v>
      </c>
    </row>
    <row r="1099" ht="16.5" customHeight="1">
      <c r="H1099" s="1" t="str">
        <f>IFERROR(__xludf.DUMMYFUNCTION("""COMPUTED_VALUE"""),"Ethinext Pharma")</f>
        <v>Ethinext Pharma</v>
      </c>
    </row>
    <row r="1100" ht="16.5" customHeight="1">
      <c r="H1100" s="1" t="str">
        <f>IFERROR(__xludf.DUMMYFUNCTION("""COMPUTED_VALUE"""),"EU GENIA BIOCARE INTERNATIONAL")</f>
        <v>EU GENIA BIOCARE INTERNATIONAL</v>
      </c>
    </row>
    <row r="1101" ht="16.5" customHeight="1">
      <c r="H1101" s="1" t="str">
        <f>IFERROR(__xludf.DUMMYFUNCTION("""COMPUTED_VALUE"""),"EUPHONY HEALTHCARE")</f>
        <v>EUPHONY HEALTHCARE</v>
      </c>
    </row>
    <row r="1102" ht="16.5" customHeight="1">
      <c r="H1102" s="1" t="str">
        <f>IFERROR(__xludf.DUMMYFUNCTION("""COMPUTED_VALUE"""),"EUPHORIA INDIA PHARMACEUTICALS")</f>
        <v>EUPHORIA INDIA PHARMACEUTICALS</v>
      </c>
    </row>
    <row r="1103" ht="16.5" customHeight="1">
      <c r="H1103" s="1" t="str">
        <f>IFERROR(__xludf.DUMMYFUNCTION("""COMPUTED_VALUE"""),"EURO BIOLOGICALS")</f>
        <v>EURO BIOLOGICALS</v>
      </c>
    </row>
    <row r="1104" ht="16.5" customHeight="1">
      <c r="H1104" s="1" t="str">
        <f>IFERROR(__xludf.DUMMYFUNCTION("""COMPUTED_VALUE"""),"EURO BIOTECH")</f>
        <v>EURO BIOTECH</v>
      </c>
    </row>
    <row r="1105" ht="16.5" customHeight="1">
      <c r="H1105" s="1" t="str">
        <f>IFERROR(__xludf.DUMMYFUNCTION("""COMPUTED_VALUE"""),"EURO HEALTH &amp; BIOSEARCH")</f>
        <v>EURO HEALTH &amp; BIOSEARCH</v>
      </c>
    </row>
    <row r="1106" ht="16.5" customHeight="1">
      <c r="H1106" s="1" t="str">
        <f>IFERROR(__xludf.DUMMYFUNCTION("""COMPUTED_VALUE"""),"EUROCARE")</f>
        <v>EUROCARE</v>
      </c>
    </row>
    <row r="1107" ht="16.5" customHeight="1">
      <c r="H1107" s="1" t="str">
        <f>IFERROR(__xludf.DUMMYFUNCTION("""COMPUTED_VALUE"""),"EUROPA HEALTH CARE")</f>
        <v>EUROPA HEALTH CARE</v>
      </c>
    </row>
    <row r="1108" ht="16.5" customHeight="1">
      <c r="H1108" s="1" t="str">
        <f>IFERROR(__xludf.DUMMYFUNCTION("""COMPUTED_VALUE"""),"EVANCE PHARMA")</f>
        <v>EVANCE PHARMA</v>
      </c>
    </row>
    <row r="1109" ht="16.5" customHeight="1">
      <c r="H1109" s="1" t="str">
        <f>IFERROR(__xludf.DUMMYFUNCTION("""COMPUTED_VALUE"""),"EVDOXIA LIFESCIENCES PVT LTD")</f>
        <v>EVDOXIA LIFESCIENCES PVT LTD</v>
      </c>
    </row>
    <row r="1110" ht="16.5" customHeight="1">
      <c r="H1110" s="1" t="str">
        <f>IFERROR(__xludf.DUMMYFUNCTION("""COMPUTED_VALUE"""),"EVEREN HEALTHCARE")</f>
        <v>EVEREN HEALTHCARE</v>
      </c>
    </row>
    <row r="1111" ht="16.5" customHeight="1">
      <c r="H1111" s="1" t="str">
        <f>IFERROR(__xludf.DUMMYFUNCTION("""COMPUTED_VALUE"""),"EVERVITAL LIFESCIENCES PVT LTD")</f>
        <v>EVERVITAL LIFESCIENCES PVT LTD</v>
      </c>
    </row>
    <row r="1112" ht="16.5" customHeight="1">
      <c r="H1112" s="1" t="str">
        <f>IFERROR(__xludf.DUMMYFUNCTION("""COMPUTED_VALUE"""),"EVERWELL PHARMA")</f>
        <v>EVERWELL PHARMA</v>
      </c>
    </row>
    <row r="1113" ht="16.5" customHeight="1">
      <c r="H1113" s="1" t="str">
        <f>IFERROR(__xludf.DUMMYFUNCTION("""COMPUTED_VALUE"""),"EVOK LIFESCIENCES PVT LTD")</f>
        <v>EVOK LIFESCIENCES PVT LTD</v>
      </c>
    </row>
    <row r="1114" ht="16.5" customHeight="1">
      <c r="H1114" s="1" t="str">
        <f>IFERROR(__xludf.DUMMYFUNCTION("""COMPUTED_VALUE"""),"EXAZAM MD")</f>
        <v>EXAZAM MD</v>
      </c>
    </row>
    <row r="1115" ht="16.5" customHeight="1">
      <c r="H1115" s="1" t="str">
        <f>IFERROR(__xludf.DUMMYFUNCTION("""COMPUTED_VALUE"""),"Eyekare Kilitch Limited")</f>
        <v>Eyekare Kilitch Limited</v>
      </c>
    </row>
    <row r="1116" ht="16.5" customHeight="1">
      <c r="H1116" s="1" t="str">
        <f>IFERROR(__xludf.DUMMYFUNCTION("""COMPUTED_VALUE"""),"EYEORA LIFESCIENCES")</f>
        <v>EYEORA LIFESCIENCES</v>
      </c>
    </row>
    <row r="1117" ht="16.5" customHeight="1">
      <c r="H1117" s="1" t="str">
        <f>IFERROR(__xludf.DUMMYFUNCTION("""COMPUTED_VALUE"""),"FAIR DERMA REMEDIES")</f>
        <v>FAIR DERMA REMEDIES</v>
      </c>
    </row>
    <row r="1118" ht="16.5" customHeight="1">
      <c r="H1118" s="1" t="str">
        <f>IFERROR(__xludf.DUMMYFUNCTION("""COMPUTED_VALUE"""),"FAIR FORD PHARMACEUTICAL")</f>
        <v>FAIR FORD PHARMACEUTICAL</v>
      </c>
    </row>
    <row r="1119" ht="16.5" customHeight="1">
      <c r="H1119" s="1" t="str">
        <f>IFERROR(__xludf.DUMMYFUNCTION("""COMPUTED_VALUE"""),"FAMY CARE LTD")</f>
        <v>FAMY CARE LTD</v>
      </c>
    </row>
    <row r="1120" ht="16.5" customHeight="1">
      <c r="H1120" s="1" t="str">
        <f>IFERROR(__xludf.DUMMYFUNCTION("""COMPUTED_VALUE"""),"FARLEX PHARMACEUTICAL")</f>
        <v>FARLEX PHARMACEUTICAL</v>
      </c>
    </row>
    <row r="1121" ht="16.5" customHeight="1">
      <c r="H1121" s="1" t="str">
        <f>IFERROR(__xludf.DUMMYFUNCTION("""COMPUTED_VALUE"""),"FARMEXO HEALTHCARE PVT LTD")</f>
        <v>FARMEXO HEALTHCARE PVT LTD</v>
      </c>
    </row>
    <row r="1122" ht="16.5" customHeight="1">
      <c r="H1122" s="1" t="str">
        <f>IFERROR(__xludf.DUMMYFUNCTION("""COMPUTED_VALUE"""),"FATEH PHARMACY")</f>
        <v>FATEH PHARMACY</v>
      </c>
    </row>
    <row r="1123" ht="16.5" customHeight="1">
      <c r="H1123" s="1" t="str">
        <f>IFERROR(__xludf.DUMMYFUNCTION("""COMPUTED_VALUE"""),"FATHER MULLER")</f>
        <v>FATHER MULLER</v>
      </c>
    </row>
    <row r="1124" ht="16.5" customHeight="1">
      <c r="H1124" s="1" t="str">
        <f>IFERROR(__xludf.DUMMYFUNCTION("""COMPUTED_VALUE"""),"FAWN PHARMA")</f>
        <v>FAWN PHARMA</v>
      </c>
    </row>
    <row r="1125" ht="16.5" customHeight="1">
      <c r="H1125" s="1" t="str">
        <f>IFERROR(__xludf.DUMMYFUNCTION("""COMPUTED_VALUE"""),"FDC Ltd")</f>
        <v>FDC Ltd</v>
      </c>
    </row>
    <row r="1126" ht="16.5" customHeight="1">
      <c r="H1126" s="1" t="str">
        <f>IFERROR(__xludf.DUMMYFUNCTION("""COMPUTED_VALUE"""),"FDC Ltd (DILSE)")</f>
        <v>FDC Ltd (DILSE)</v>
      </c>
    </row>
    <row r="1127" ht="16.5" customHeight="1">
      <c r="H1127" s="1" t="str">
        <f>IFERROR(__xludf.DUMMYFUNCTION("""COMPUTED_VALUE"""),"FDC Ltd (ELECTRAL)")</f>
        <v>FDC Ltd (ELECTRAL)</v>
      </c>
    </row>
    <row r="1128" ht="16.5" customHeight="1">
      <c r="H1128" s="1" t="str">
        <f>IFERROR(__xludf.DUMMYFUNCTION("""COMPUTED_VALUE"""),"FDC Ltd (LUMINA)")</f>
        <v>FDC Ltd (LUMINA)</v>
      </c>
    </row>
    <row r="1129" ht="16.5" customHeight="1">
      <c r="H1129" s="1" t="str">
        <f>IFERROR(__xludf.DUMMYFUNCTION("""COMPUTED_VALUE"""),"FDC Ltd (PIXEL)")</f>
        <v>FDC Ltd (PIXEL)</v>
      </c>
    </row>
    <row r="1130" ht="16.5" customHeight="1">
      <c r="H1130" s="1" t="str">
        <f>IFERROR(__xludf.DUMMYFUNCTION("""COMPUTED_VALUE"""),"FDC Ltd (PROXIMA)")</f>
        <v>FDC Ltd (PROXIMA)</v>
      </c>
    </row>
    <row r="1131" ht="16.5" customHeight="1">
      <c r="H1131" s="1" t="str">
        <f>IFERROR(__xludf.DUMMYFUNCTION("""COMPUTED_VALUE"""),"FDC Ltd (SELECT)")</f>
        <v>FDC Ltd (SELECT)</v>
      </c>
    </row>
    <row r="1132" ht="16.5" customHeight="1">
      <c r="H1132" s="1" t="str">
        <f>IFERROR(__xludf.DUMMYFUNCTION("""COMPUTED_VALUE"""),"FDC Ltd (SPECTRA)")</f>
        <v>FDC Ltd (SPECTRA)</v>
      </c>
    </row>
    <row r="1133" ht="16.5" customHeight="1">
      <c r="H1133" s="1" t="str">
        <f>IFERROR(__xludf.DUMMYFUNCTION("""COMPUTED_VALUE"""),"FDC Ltd (VISTA)")</f>
        <v>FDC Ltd (VISTA)</v>
      </c>
    </row>
    <row r="1134" ht="16.5" customHeight="1">
      <c r="H1134" s="1" t="str">
        <f>IFERROR(__xludf.DUMMYFUNCTION("""COMPUTED_VALUE"""),"FDC LtdTED")</f>
        <v>FDC LtdTED</v>
      </c>
    </row>
    <row r="1135" ht="16.5" customHeight="1">
      <c r="H1135" s="1" t="str">
        <f>IFERROR(__xludf.DUMMYFUNCTION("""COMPUTED_VALUE"""),"FEDERAL BIOSCIENCES")</f>
        <v>FEDERAL BIOSCIENCES</v>
      </c>
    </row>
    <row r="1136" ht="16.5" customHeight="1">
      <c r="H1136" s="1" t="str">
        <f>IFERROR(__xludf.DUMMYFUNCTION("""COMPUTED_VALUE"""),"FEDERAL'S BIOS")</f>
        <v>FEDERAL'S BIOS</v>
      </c>
    </row>
    <row r="1137" ht="16.5" customHeight="1">
      <c r="H1137" s="1" t="str">
        <f>IFERROR(__xludf.DUMMYFUNCTION("""COMPUTED_VALUE"""),"Fem Care Pharma Ltd.")</f>
        <v>Fem Care Pharma Ltd.</v>
      </c>
    </row>
    <row r="1138" ht="16.5" customHeight="1">
      <c r="H1138" s="1" t="str">
        <f>IFERROR(__xludf.DUMMYFUNCTION("""COMPUTED_VALUE"""),"FEMINOR HEALTHCARE PVT LTD")</f>
        <v>FEMINOR HEALTHCARE PVT LTD</v>
      </c>
    </row>
    <row r="1139" ht="16.5" customHeight="1">
      <c r="H1139" s="1" t="str">
        <f>IFERROR(__xludf.DUMMYFUNCTION("""COMPUTED_VALUE"""),"Ferring Pharmaceuticals")</f>
        <v>Ferring Pharmaceuticals</v>
      </c>
    </row>
    <row r="1140" ht="16.5" customHeight="1">
      <c r="H1140" s="1" t="str">
        <f>IFERROR(__xludf.DUMMYFUNCTION("""COMPUTED_VALUE"""),"Ferring Pharmaceuticals (IVF)")</f>
        <v>Ferring Pharmaceuticals (IVF)</v>
      </c>
    </row>
    <row r="1141" ht="16.5" customHeight="1">
      <c r="H1141" s="1" t="str">
        <f>IFERROR(__xludf.DUMMYFUNCTION("""COMPUTED_VALUE"""),"FERTILESURE PHARMA")</f>
        <v>FERTILESURE PHARMA</v>
      </c>
    </row>
    <row r="1142" ht="16.5" customHeight="1">
      <c r="H1142" s="1" t="str">
        <f>IFERROR(__xludf.DUMMYFUNCTION("""COMPUTED_VALUE"""),"Fiale Pharmaceuticals")</f>
        <v>Fiale Pharmaceuticals</v>
      </c>
    </row>
    <row r="1143" ht="16.5" customHeight="1">
      <c r="H1143" s="1" t="str">
        <f>IFERROR(__xludf.DUMMYFUNCTION("""COMPUTED_VALUE"""),"Fidalgo Laboratories Pvt Ltd")</f>
        <v>Fidalgo Laboratories Pvt Ltd</v>
      </c>
    </row>
    <row r="1144" ht="16.5" customHeight="1">
      <c r="H1144" s="1" t="str">
        <f>IFERROR(__xludf.DUMMYFUNCTION("""COMPUTED_VALUE"""),"FIDELITY LIFESCIENCES")</f>
        <v>FIDELITY LIFESCIENCES</v>
      </c>
    </row>
    <row r="1145" ht="16.5" customHeight="1">
      <c r="H1145" s="1" t="str">
        <f>IFERROR(__xludf.DUMMYFUNCTION("""COMPUTED_VALUE"""),"FIDULIS BIO INC")</f>
        <v>FIDULIS BIO INC</v>
      </c>
    </row>
    <row r="1146" ht="16.5" customHeight="1">
      <c r="H1146" s="1" t="str">
        <f>IFERROR(__xludf.DUMMYFUNCTION("""COMPUTED_VALUE"""),"Figaro")</f>
        <v>Figaro</v>
      </c>
    </row>
    <row r="1147" ht="16.5" customHeight="1">
      <c r="H1147" s="1" t="str">
        <f>IFERROR(__xludf.DUMMYFUNCTION("""COMPUTED_VALUE"""),"FINECURE PHARMACEUTICAL INDORE")</f>
        <v>FINECURE PHARMACEUTICAL INDORE</v>
      </c>
    </row>
    <row r="1148" ht="16.5" customHeight="1">
      <c r="H1148" s="1" t="str">
        <f>IFERROR(__xludf.DUMMYFUNCTION("""COMPUTED_VALUE"""),"FITWEL PHARMACEUTICALS")</f>
        <v>FITWEL PHARMACEUTICALS</v>
      </c>
    </row>
    <row r="1149" ht="16.5" customHeight="1">
      <c r="H1149" s="1" t="str">
        <f>IFERROR(__xludf.DUMMYFUNCTION("""COMPUTED_VALUE"""),"FIXDERMA INDIA")</f>
        <v>FIXDERMA INDIA</v>
      </c>
    </row>
    <row r="1150" ht="16.5" customHeight="1">
      <c r="H1150" s="1" t="str">
        <f>IFERROR(__xludf.DUMMYFUNCTION("""COMPUTED_VALUE"""),"FIZARK HEALTHCARE")</f>
        <v>FIZARK HEALTHCARE</v>
      </c>
    </row>
    <row r="1151" ht="16.5" customHeight="1">
      <c r="H1151" s="1" t="str">
        <f>IFERROR(__xludf.DUMMYFUNCTION("""COMPUTED_VALUE"""),"FIZEN BIOSCIENCES")</f>
        <v>FIZEN BIOSCIENCES</v>
      </c>
    </row>
    <row r="1152" ht="16.5" customHeight="1">
      <c r="H1152" s="1" t="str">
        <f>IFERROR(__xludf.DUMMYFUNCTION("""COMPUTED_VALUE"""),"FLAMINGO HEALTHCARE")</f>
        <v>FLAMINGO HEALTHCARE</v>
      </c>
    </row>
    <row r="1153" ht="16.5" customHeight="1">
      <c r="H1153" s="1" t="str">
        <f>IFERROR(__xludf.DUMMYFUNCTION("""COMPUTED_VALUE"""),"FLAMINGO PHARMACUTICALS LTD")</f>
        <v>FLAMINGO PHARMACUTICALS LTD</v>
      </c>
    </row>
    <row r="1154" ht="16.5" customHeight="1">
      <c r="H1154" s="1" t="str">
        <f>IFERROR(__xludf.DUMMYFUNCTION("""COMPUTED_VALUE"""),"FLANCA LIFE SCIENCES")</f>
        <v>FLANCA LIFE SCIENCES</v>
      </c>
    </row>
    <row r="1155" ht="16.5" customHeight="1">
      <c r="H1155" s="1" t="str">
        <f>IFERROR(__xludf.DUMMYFUNCTION("""COMPUTED_VALUE"""),"FOCUS HEALTHCARE PVT LTD")</f>
        <v>FOCUS HEALTHCARE PVT LTD</v>
      </c>
    </row>
    <row r="1156" ht="16.5" customHeight="1">
      <c r="H1156" s="1" t="str">
        <f>IFERROR(__xludf.DUMMYFUNCTION("""COMPUTED_VALUE"""),"FONCER PHARMA P LTD")</f>
        <v>FONCER PHARMA P LTD</v>
      </c>
    </row>
    <row r="1157" ht="16.5" customHeight="1">
      <c r="H1157" s="1" t="str">
        <f>IFERROR(__xludf.DUMMYFUNCTION("""COMPUTED_VALUE"""),"FONCER PHARMA PVT LTD")</f>
        <v>FONCER PHARMA PVT LTD</v>
      </c>
    </row>
    <row r="1158" ht="16.5" customHeight="1">
      <c r="H1158" s="1" t="str">
        <f>IFERROR(__xludf.DUMMYFUNCTION("""COMPUTED_VALUE"""),"FOREVER LIVING PRODUCTS INTERNATIONAL")</f>
        <v>FOREVER LIVING PRODUCTS INTERNATIONAL</v>
      </c>
    </row>
    <row r="1159" ht="16.5" customHeight="1">
      <c r="H1159" s="1" t="str">
        <f>IFERROR(__xludf.DUMMYFUNCTION("""COMPUTED_VALUE"""),"FORMAN MEDICS PVT LTD")</f>
        <v>FORMAN MEDICS PVT LTD</v>
      </c>
    </row>
    <row r="1160" ht="16.5" customHeight="1">
      <c r="H1160" s="1" t="str">
        <f>IFERROR(__xludf.DUMMYFUNCTION("""COMPUTED_VALUE"""),"FOSSIL REMEDIES")</f>
        <v>FOSSIL REMEDIES</v>
      </c>
    </row>
    <row r="1161" ht="16.5" customHeight="1">
      <c r="H1161" s="1" t="str">
        <f>IFERROR(__xludf.DUMMYFUNCTION("""COMPUTED_VALUE"""),"Fountil Life Sciences Pvt Ltd")</f>
        <v>Fountil Life Sciences Pvt Ltd</v>
      </c>
    </row>
    <row r="1162" ht="16.5" customHeight="1">
      <c r="H1162" s="1" t="str">
        <f>IFERROR(__xludf.DUMMYFUNCTION("""COMPUTED_VALUE"""),"FOURRTS INDIA LABORATORIES (NEPHRO)")</f>
        <v>FOURRTS INDIA LABORATORIES (NEPHRO)</v>
      </c>
    </row>
    <row r="1163" ht="16.5" customHeight="1">
      <c r="H1163" s="1" t="str">
        <f>IFERROR(__xludf.DUMMYFUNCTION("""COMPUTED_VALUE"""),"Fourrts India Laboratories Pvt Ltd")</f>
        <v>Fourrts India Laboratories Pvt Ltd</v>
      </c>
    </row>
    <row r="1164" ht="16.5" customHeight="1">
      <c r="H1164" s="1" t="str">
        <f>IFERROR(__xludf.DUMMYFUNCTION("""COMPUTED_VALUE"""),"Fourrts India Laboratories Pvt Ltd (DIABETO)")</f>
        <v>Fourrts India Laboratories Pvt Ltd (DIABETO)</v>
      </c>
    </row>
    <row r="1165" ht="16.5" customHeight="1">
      <c r="H1165" s="1" t="str">
        <f>IFERROR(__xludf.DUMMYFUNCTION("""COMPUTED_VALUE"""),"FRAGRANCE")</f>
        <v>FRAGRANCE</v>
      </c>
    </row>
    <row r="1166" ht="16.5" customHeight="1">
      <c r="H1166" s="1" t="str">
        <f>IFERROR(__xludf.DUMMYFUNCTION("""COMPUTED_VALUE"""),"FRANCESCA PHARMA")</f>
        <v>FRANCESCA PHARMA</v>
      </c>
    </row>
    <row r="1167" ht="16.5" customHeight="1">
      <c r="H1167" s="1" t="str">
        <f>IFERROR(__xludf.DUMMYFUNCTION("""COMPUTED_VALUE"""),"Franco-Indian Pharmaceuticals")</f>
        <v>Franco-Indian Pharmaceuticals</v>
      </c>
    </row>
    <row r="1168" ht="16.5" customHeight="1">
      <c r="H1168" s="1" t="str">
        <f>IFERROR(__xludf.DUMMYFUNCTION("""COMPUTED_VALUE"""),"Franco-Indian Pharmaceuticals (DIABETIC)")</f>
        <v>Franco-Indian Pharmaceuticals (DIABETIC)</v>
      </c>
    </row>
    <row r="1169" ht="16.5" customHeight="1">
      <c r="H1169" s="1" t="str">
        <f>IFERROR(__xludf.DUMMYFUNCTION("""COMPUTED_VALUE"""),"Franco-Indian Pharmaceuticals (MAIN)")</f>
        <v>Franco-Indian Pharmaceuticals (MAIN)</v>
      </c>
    </row>
    <row r="1170" ht="16.5" customHeight="1">
      <c r="H1170" s="1" t="str">
        <f>IFERROR(__xludf.DUMMYFUNCTION("""COMPUTED_VALUE"""),"Franco-Indian Pharmaceuticals (ZINDA)")</f>
        <v>Franco-Indian Pharmaceuticals (ZINDA)</v>
      </c>
    </row>
    <row r="1171" ht="16.5" customHeight="1">
      <c r="H1171" s="1" t="str">
        <f>IFERROR(__xludf.DUMMYFUNCTION("""COMPUTED_VALUE"""),"Franklin Laboratories India Pvt Ltd")</f>
        <v>Franklin Laboratories India Pvt Ltd</v>
      </c>
    </row>
    <row r="1172" ht="16.5" customHeight="1">
      <c r="H1172" s="1" t="str">
        <f>IFERROR(__xludf.DUMMYFUNCTION("""COMPUTED_VALUE"""),"FREIA")</f>
        <v>FREIA</v>
      </c>
    </row>
    <row r="1173" ht="16.5" customHeight="1">
      <c r="H1173" s="1" t="str">
        <f>IFERROR(__xludf.DUMMYFUNCTION("""COMPUTED_VALUE"""),"Fresenius Kabi India Pvt Ltd")</f>
        <v>Fresenius Kabi India Pvt Ltd</v>
      </c>
    </row>
    <row r="1174" ht="16.5" customHeight="1">
      <c r="H1174" s="1" t="str">
        <f>IFERROR(__xludf.DUMMYFUNCTION("""COMPUTED_VALUE"""),"FRESENIUS KABI INDIA PVT LTD (CRITICAL CARE)")</f>
        <v>FRESENIUS KABI INDIA PVT LTD (CRITICAL CARE)</v>
      </c>
    </row>
    <row r="1175" ht="16.5" customHeight="1">
      <c r="H1175" s="1" t="str">
        <f>IFERROR(__xludf.DUMMYFUNCTION("""COMPUTED_VALUE"""),"FRESENIUS KABI INDIA PVT LTD (NEPHRO)")</f>
        <v>FRESENIUS KABI INDIA PVT LTD (NEPHRO)</v>
      </c>
    </row>
    <row r="1176" ht="16.5" customHeight="1">
      <c r="H1176" s="1" t="str">
        <f>IFERROR(__xludf.DUMMYFUNCTION("""COMPUTED_VALUE"""),"FRIMLINE P LTD")</f>
        <v>FRIMLINE P LTD</v>
      </c>
    </row>
    <row r="1177" ht="16.5" customHeight="1">
      <c r="H1177" s="1" t="str">
        <f>IFERROR(__xludf.DUMMYFUNCTION("""COMPUTED_VALUE"""),"Fulford India Ltd")</f>
        <v>Fulford India Ltd</v>
      </c>
    </row>
    <row r="1178" ht="16.5" customHeight="1">
      <c r="H1178" s="1" t="str">
        <f>IFERROR(__xludf.DUMMYFUNCTION("""COMPUTED_VALUE"""),"FUSION HEALTHCARE PVT LTD")</f>
        <v>FUSION HEALTHCARE PVT LTD</v>
      </c>
    </row>
    <row r="1179" ht="16.5" customHeight="1">
      <c r="H1179" s="1" t="str">
        <f>IFERROR(__xludf.DUMMYFUNCTION("""COMPUTED_VALUE"""),"FUTURELIFE PHARMACEUTICALS PVT LTD")</f>
        <v>FUTURELIFE PHARMACEUTICALS PVT LTD</v>
      </c>
    </row>
    <row r="1180" ht="16.5" customHeight="1">
      <c r="H1180" s="1" t="str">
        <f>IFERROR(__xludf.DUMMYFUNCTION("""COMPUTED_VALUE"""),"G.S.K")</f>
        <v>G.S.K</v>
      </c>
    </row>
    <row r="1181" ht="16.5" customHeight="1">
      <c r="H1181" s="1" t="str">
        <f>IFERROR(__xludf.DUMMYFUNCTION("""COMPUTED_VALUE"""),"G&amp;G PHARMACY")</f>
        <v>G&amp;G PHARMACY</v>
      </c>
    </row>
    <row r="1182" ht="16.5" customHeight="1">
      <c r="H1182" s="1" t="str">
        <f>IFERROR(__xludf.DUMMYFUNCTION("""COMPUTED_VALUE"""),"GADIN BIOTECH")</f>
        <v>GADIN BIOTECH</v>
      </c>
    </row>
    <row r="1183" ht="16.5" customHeight="1">
      <c r="H1183" s="1" t="str">
        <f>IFERROR(__xludf.DUMMYFUNCTION("""COMPUTED_VALUE"""),"GAHARWAR PHARMA")</f>
        <v>GAHARWAR PHARMA</v>
      </c>
    </row>
    <row r="1184" ht="16.5" customHeight="1">
      <c r="H1184" s="1" t="str">
        <f>IFERROR(__xludf.DUMMYFUNCTION("""COMPUTED_VALUE"""),"GALACUS HEALTHCARE")</f>
        <v>GALACUS HEALTHCARE</v>
      </c>
    </row>
    <row r="1185" ht="16.5" customHeight="1">
      <c r="H1185" s="1" t="str">
        <f>IFERROR(__xludf.DUMMYFUNCTION("""COMPUTED_VALUE"""),"Galcare Pharmaceutical Pvt Ltd")</f>
        <v>Galcare Pharmaceutical Pvt Ltd</v>
      </c>
    </row>
    <row r="1186" ht="16.5" customHeight="1">
      <c r="H1186" s="1" t="str">
        <f>IFERROR(__xludf.DUMMYFUNCTION("""COMPUTED_VALUE"""),"Galderma India Pvt Ltd")</f>
        <v>Galderma India Pvt Ltd</v>
      </c>
    </row>
    <row r="1187" ht="16.5" customHeight="1">
      <c r="H1187" s="1" t="str">
        <f>IFERROR(__xludf.DUMMYFUNCTION("""COMPUTED_VALUE"""),"Galpha Laboratories Ltd")</f>
        <v>Galpha Laboratories Ltd</v>
      </c>
    </row>
    <row r="1188" ht="16.5" customHeight="1">
      <c r="H1188" s="1" t="str">
        <f>IFERROR(__xludf.DUMMYFUNCTION("""COMPUTED_VALUE"""),"GALTON MEDICA")</f>
        <v>GALTON MEDICA</v>
      </c>
    </row>
    <row r="1189" ht="16.5" customHeight="1">
      <c r="H1189" s="1" t="str">
        <f>IFERROR(__xludf.DUMMYFUNCTION("""COMPUTED_VALUE"""),"GAMANOL 400")</f>
        <v>GAMANOL 400</v>
      </c>
    </row>
    <row r="1190" ht="16.5" customHeight="1">
      <c r="H1190" s="1" t="str">
        <f>IFERROR(__xludf.DUMMYFUNCTION("""COMPUTED_VALUE"""),"GAMBIA BIOTECH")</f>
        <v>GAMBIA BIOTECH</v>
      </c>
    </row>
    <row r="1191" ht="16.5" customHeight="1">
      <c r="H1191" s="1" t="str">
        <f>IFERROR(__xludf.DUMMYFUNCTION("""COMPUTED_VALUE"""),"GANDHI HERBAL PVT LTD")</f>
        <v>GANDHI HERBAL PVT LTD</v>
      </c>
    </row>
    <row r="1192" ht="16.5" customHeight="1">
      <c r="H1192" s="1" t="str">
        <f>IFERROR(__xludf.DUMMYFUNCTION("""COMPUTED_VALUE"""),"GARIMA HEALTHCARE")</f>
        <v>GARIMA HEALTHCARE</v>
      </c>
    </row>
    <row r="1193" ht="16.5" customHeight="1">
      <c r="H1193" s="1" t="str">
        <f>IFERROR(__xludf.DUMMYFUNCTION("""COMPUTED_VALUE"""),"Gary Pharmaceuticals Pvt Ltd")</f>
        <v>Gary Pharmaceuticals Pvt Ltd</v>
      </c>
    </row>
    <row r="1194" ht="16.5" customHeight="1">
      <c r="H1194" s="1" t="str">
        <f>IFERROR(__xludf.DUMMYFUNCTION("""COMPUTED_VALUE"""),"GATLE HEALTHCARE")</f>
        <v>GATLE HEALTHCARE</v>
      </c>
    </row>
    <row r="1195" ht="16.5" customHeight="1">
      <c r="H1195" s="1" t="str">
        <f>IFERROR(__xludf.DUMMYFUNCTION("""COMPUTED_VALUE"""),"GAURANG REMEDIES INDIA PVT LTD")</f>
        <v>GAURANG REMEDIES INDIA PVT LTD</v>
      </c>
    </row>
    <row r="1196" ht="16.5" customHeight="1">
      <c r="H1196" s="1" t="str">
        <f>IFERROR(__xludf.DUMMYFUNCTION("""COMPUTED_VALUE"""),"GAVIT")</f>
        <v>GAVIT</v>
      </c>
    </row>
    <row r="1197" ht="16.5" customHeight="1">
      <c r="H1197" s="1" t="str">
        <f>IFERROR(__xludf.DUMMYFUNCTION("""COMPUTED_VALUE"""),"GD PHRMACEUTICALS LTD")</f>
        <v>GD PHRMACEUTICALS LTD</v>
      </c>
    </row>
    <row r="1198" ht="16.5" customHeight="1">
      <c r="H1198" s="1" t="str">
        <f>IFERROR(__xludf.DUMMYFUNCTION("""COMPUTED_VALUE"""),"GE WIPRO")</f>
        <v>GE WIPRO</v>
      </c>
    </row>
    <row r="1199" ht="16.5" customHeight="1">
      <c r="H1199" s="1" t="str">
        <f>IFERROR(__xludf.DUMMYFUNCTION("""COMPUTED_VALUE"""),"GELNOVA LABORATORIES (INDIA) PVT LTD")</f>
        <v>GELNOVA LABORATORIES (INDIA) PVT LTD</v>
      </c>
    </row>
    <row r="1200" ht="16.5" customHeight="1">
      <c r="H1200" s="1" t="str">
        <f>IFERROR(__xludf.DUMMYFUNCTION("""COMPUTED_VALUE"""),"GELUK PHARMA P LTD")</f>
        <v>GELUK PHARMA P LTD</v>
      </c>
    </row>
    <row r="1201" ht="16.5" customHeight="1">
      <c r="H1201" s="1" t="str">
        <f>IFERROR(__xludf.DUMMYFUNCTION("""COMPUTED_VALUE"""),"GENESIS BIOTEC INC")</f>
        <v>GENESIS BIOTEC INC</v>
      </c>
    </row>
    <row r="1202" ht="16.5" customHeight="1">
      <c r="H1202" s="1" t="str">
        <f>IFERROR(__xludf.DUMMYFUNCTION("""COMPUTED_VALUE"""),"GENETIC PHARMA")</f>
        <v>GENETIC PHARMA</v>
      </c>
    </row>
    <row r="1203" ht="16.5" customHeight="1">
      <c r="H1203" s="1" t="str">
        <f>IFERROR(__xludf.DUMMYFUNCTION("""COMPUTED_VALUE"""),"GENEX PHARMA LIMITED")</f>
        <v>GENEX PHARMA LIMITED</v>
      </c>
    </row>
    <row r="1204" ht="16.5" customHeight="1">
      <c r="H1204" s="1" t="str">
        <f>IFERROR(__xludf.DUMMYFUNCTION("""COMPUTED_VALUE"""),"GENIAL HEALTHCARE")</f>
        <v>GENIAL HEALTHCARE</v>
      </c>
    </row>
    <row r="1205" ht="16.5" customHeight="1">
      <c r="H1205" s="1" t="str">
        <f>IFERROR(__xludf.DUMMYFUNCTION("""COMPUTED_VALUE"""),"GENIX PHARMA LTD")</f>
        <v>GENIX PHARMA LTD</v>
      </c>
    </row>
    <row r="1206" ht="16.5" customHeight="1">
      <c r="H1206" s="1" t="str">
        <f>IFERROR(__xludf.DUMMYFUNCTION("""COMPUTED_VALUE"""),"GENMAC")</f>
        <v>GENMAC</v>
      </c>
    </row>
    <row r="1207" ht="16.5" customHeight="1">
      <c r="H1207" s="1" t="str">
        <f>IFERROR(__xludf.DUMMYFUNCTION("""COMPUTED_VALUE"""),"Geno Pharmaceuticals Ltd")</f>
        <v>Geno Pharmaceuticals Ltd</v>
      </c>
    </row>
    <row r="1208" ht="16.5" customHeight="1">
      <c r="H1208" s="1" t="str">
        <f>IFERROR(__xludf.DUMMYFUNCTION("""COMPUTED_VALUE"""),"GENOTEK PHARMACEUTICALS")</f>
        <v>GENOTEK PHARMACEUTICALS</v>
      </c>
    </row>
    <row r="1209" ht="16.5" customHeight="1">
      <c r="H1209" s="1" t="str">
        <f>IFERROR(__xludf.DUMMYFUNCTION("""COMPUTED_VALUE"""),"GENZYME BIOSURGARY")</f>
        <v>GENZYME BIOSURGARY</v>
      </c>
    </row>
    <row r="1210" ht="16.5" customHeight="1">
      <c r="H1210" s="1" t="str">
        <f>IFERROR(__xludf.DUMMYFUNCTION("""COMPUTED_VALUE"""),"GEO LIFESCIENCES")</f>
        <v>GEO LIFESCIENCES</v>
      </c>
    </row>
    <row r="1211" ht="16.5" customHeight="1">
      <c r="H1211" s="1" t="str">
        <f>IFERROR(__xludf.DUMMYFUNCTION("""COMPUTED_VALUE"""),"Geo Pharma Pvt Ltd")</f>
        <v>Geo Pharma Pvt Ltd</v>
      </c>
    </row>
    <row r="1212" ht="16.5" customHeight="1">
      <c r="H1212" s="1" t="str">
        <f>IFERROR(__xludf.DUMMYFUNCTION("""COMPUTED_VALUE"""),"GEOFFROI LABS P LTD")</f>
        <v>GEOFFROI LABS P LTD</v>
      </c>
    </row>
    <row r="1213" ht="16.5" customHeight="1">
      <c r="H1213" s="1" t="str">
        <f>IFERROR(__xludf.DUMMYFUNCTION("""COMPUTED_VALUE"""),"GEOLIFE SCIENCES")</f>
        <v>GEOLIFE SCIENCES</v>
      </c>
    </row>
    <row r="1214" ht="16.5" customHeight="1">
      <c r="H1214" s="1" t="str">
        <f>IFERROR(__xludf.DUMMYFUNCTION("""COMPUTED_VALUE"""),"GERMAN HEALTHCARE PVT LTD")</f>
        <v>GERMAN HEALTHCARE PVT LTD</v>
      </c>
    </row>
    <row r="1215" ht="16.5" customHeight="1">
      <c r="H1215" s="1" t="str">
        <f>IFERROR(__xludf.DUMMYFUNCTION("""COMPUTED_VALUE"""),"German Remedies")</f>
        <v>German Remedies</v>
      </c>
    </row>
    <row r="1216" ht="16.5" customHeight="1">
      <c r="H1216" s="1" t="str">
        <f>IFERROR(__xludf.DUMMYFUNCTION("""COMPUTED_VALUE"""),"GERMAN REMEDIES (AEROFORCE)")</f>
        <v>GERMAN REMEDIES (AEROFORCE)</v>
      </c>
    </row>
    <row r="1217" ht="16.5" customHeight="1">
      <c r="H1217" s="1" t="str">
        <f>IFERROR(__xludf.DUMMYFUNCTION("""COMPUTED_VALUE"""),"GERMAN REMEDIES (GYNEXT)")</f>
        <v>GERMAN REMEDIES (GYNEXT)</v>
      </c>
    </row>
    <row r="1218" ht="16.5" customHeight="1">
      <c r="H1218" s="1" t="str">
        <f>IFERROR(__xludf.DUMMYFUNCTION("""COMPUTED_VALUE"""),"GERMAN REMEDIES (GYNOVA)")</f>
        <v>GERMAN REMEDIES (GYNOVA)</v>
      </c>
    </row>
    <row r="1219" ht="16.5" customHeight="1">
      <c r="H1219" s="1" t="str">
        <f>IFERROR(__xludf.DUMMYFUNCTION("""COMPUTED_VALUE"""),"GERMAN REMEDIES (MAIN)")</f>
        <v>GERMAN REMEDIES (MAIN)</v>
      </c>
    </row>
    <row r="1220" ht="16.5" customHeight="1">
      <c r="H1220" s="1" t="str">
        <f>IFERROR(__xludf.DUMMYFUNCTION("""COMPUTED_VALUE"""),"GERMAN REMEDIES (RESPICARE)")</f>
        <v>GERMAN REMEDIES (RESPICARE)</v>
      </c>
    </row>
    <row r="1221" ht="16.5" customHeight="1">
      <c r="H1221" s="1" t="str">
        <f>IFERROR(__xludf.DUMMYFUNCTION("""COMPUTED_VALUE"""),"GERMAN REMEDIES (ZESPIRA)")</f>
        <v>GERMAN REMEDIES (ZESPIRA)</v>
      </c>
    </row>
    <row r="1222" ht="16.5" customHeight="1">
      <c r="H1222" s="1" t="str">
        <f>IFERROR(__xludf.DUMMYFUNCTION("""COMPUTED_VALUE"""),"Gerrysun Pharmaceuticals Pvt Ltd")</f>
        <v>Gerrysun Pharmaceuticals Pvt Ltd</v>
      </c>
    </row>
    <row r="1223" ht="16.5" customHeight="1">
      <c r="H1223" s="1" t="str">
        <f>IFERROR(__xludf.DUMMYFUNCTION("""COMPUTED_VALUE"""),"GETRON PHARMACEUTICAL")</f>
        <v>GETRON PHARMACEUTICAL</v>
      </c>
    </row>
    <row r="1224" ht="16.5" customHeight="1">
      <c r="H1224" s="1" t="str">
        <f>IFERROR(__xludf.DUMMYFUNCTION("""COMPUTED_VALUE"""),"GHANDHI JAIN KARYALAYA")</f>
        <v>GHANDHI JAIN KARYALAYA</v>
      </c>
    </row>
    <row r="1225" ht="16.5" customHeight="1">
      <c r="H1225" s="1" t="str">
        <f>IFERROR(__xludf.DUMMYFUNCTION("""COMPUTED_VALUE"""),"GHL")</f>
        <v>GHL</v>
      </c>
    </row>
    <row r="1226" ht="16.5" customHeight="1">
      <c r="H1226" s="1" t="str">
        <f>IFERROR(__xludf.DUMMYFUNCTION("""COMPUTED_VALUE"""),"GIOCON PHARMA LTD.")</f>
        <v>GIOCON PHARMA LTD.</v>
      </c>
    </row>
    <row r="1227" ht="16.5" customHeight="1">
      <c r="H1227" s="1" t="str">
        <f>IFERROR(__xludf.DUMMYFUNCTION("""COMPUTED_VALUE"""),"GK BURMAN HERBALS")</f>
        <v>GK BURMAN HERBALS</v>
      </c>
    </row>
    <row r="1228" ht="16.5" customHeight="1">
      <c r="H1228" s="1" t="str">
        <f>IFERROR(__xludf.DUMMYFUNCTION("""COMPUTED_VALUE"""),"GK ENTERPRISES")</f>
        <v>GK ENTERPRISES</v>
      </c>
    </row>
    <row r="1229" ht="16.5" customHeight="1">
      <c r="H1229" s="1" t="str">
        <f>IFERROR(__xludf.DUMMYFUNCTION("""COMPUTED_VALUE"""),"GLADDEN HEALTHCARE PVT LTD")</f>
        <v>GLADDEN HEALTHCARE PVT LTD</v>
      </c>
    </row>
    <row r="1230" ht="16.5" customHeight="1">
      <c r="H1230" s="1" t="str">
        <f>IFERROR(__xludf.DUMMYFUNCTION("""COMPUTED_VALUE"""),"GLAMDERMA INDIA PHARMACEUTICAL PRIVATE LIMITED")</f>
        <v>GLAMDERMA INDIA PHARMACEUTICAL PRIVATE LIMITED</v>
      </c>
    </row>
    <row r="1231" ht="16.5" customHeight="1">
      <c r="H1231" s="1" t="str">
        <f>IFERROR(__xludf.DUMMYFUNCTION("""COMPUTED_VALUE"""),"GLANZ HEALTHCARE")</f>
        <v>GLANZ HEALTHCARE</v>
      </c>
    </row>
    <row r="1232" ht="16.5" customHeight="1">
      <c r="H1232" s="1" t="str">
        <f>IFERROR(__xludf.DUMMYFUNCTION("""COMPUTED_VALUE"""),"GLASIER WELLNESS INC")</f>
        <v>GLASIER WELLNESS INC</v>
      </c>
    </row>
    <row r="1233" ht="16.5" customHeight="1">
      <c r="H1233" s="1" t="str">
        <f>IFERROR(__xludf.DUMMYFUNCTION("""COMPUTED_VALUE"""),"GLAXO (1)")</f>
        <v>GLAXO (1)</v>
      </c>
    </row>
    <row r="1234" ht="16.5" customHeight="1">
      <c r="H1234" s="1" t="str">
        <f>IFERROR(__xludf.DUMMYFUNCTION("""COMPUTED_VALUE"""),"GLAXO (2)")</f>
        <v>GLAXO (2)</v>
      </c>
    </row>
    <row r="1235" ht="16.5" customHeight="1">
      <c r="H1235" s="1" t="str">
        <f>IFERROR(__xludf.DUMMYFUNCTION("""COMPUTED_VALUE"""),"GLAXO (3)")</f>
        <v>GLAXO (3)</v>
      </c>
    </row>
    <row r="1236" ht="16.5" customHeight="1">
      <c r="H1236" s="1" t="str">
        <f>IFERROR(__xludf.DUMMYFUNCTION("""COMPUTED_VALUE"""),"GLAXO (4)")</f>
        <v>GLAXO (4)</v>
      </c>
    </row>
    <row r="1237" ht="16.5" customHeight="1">
      <c r="H1237" s="1" t="str">
        <f>IFERROR(__xludf.DUMMYFUNCTION("""COMPUTED_VALUE"""),"GLAXO (5)")</f>
        <v>GLAXO (5)</v>
      </c>
    </row>
    <row r="1238" ht="16.5" customHeight="1">
      <c r="H1238" s="1" t="str">
        <f>IFERROR(__xludf.DUMMYFUNCTION("""COMPUTED_VALUE"""),"GLAXO (6)")</f>
        <v>GLAXO (6)</v>
      </c>
    </row>
    <row r="1239" ht="16.5" customHeight="1">
      <c r="H1239" s="1" t="str">
        <f>IFERROR(__xludf.DUMMYFUNCTION("""COMPUTED_VALUE"""),"GLAXO (7)")</f>
        <v>GLAXO (7)</v>
      </c>
    </row>
    <row r="1240" ht="16.5" customHeight="1">
      <c r="H1240" s="1" t="str">
        <f>IFERROR(__xludf.DUMMYFUNCTION("""COMPUTED_VALUE"""),"GLAXO (8)")</f>
        <v>GLAXO (8)</v>
      </c>
    </row>
    <row r="1241" ht="16.5" customHeight="1">
      <c r="H1241" s="1" t="str">
        <f>IFERROR(__xludf.DUMMYFUNCTION("""COMPUTED_VALUE"""),"GLAXO (BEECHEM)")</f>
        <v>GLAXO (BEECHEM)</v>
      </c>
    </row>
    <row r="1242" ht="16.5" customHeight="1">
      <c r="H1242" s="1" t="str">
        <f>IFERROR(__xludf.DUMMYFUNCTION("""COMPUTED_VALUE"""),"GLAXO (CNS)")</f>
        <v>GLAXO (CNS)</v>
      </c>
    </row>
    <row r="1243" ht="16.5" customHeight="1">
      <c r="H1243" s="1" t="str">
        <f>IFERROR(__xludf.DUMMYFUNCTION("""COMPUTED_VALUE"""),"GLAXO (CONSUMER)")</f>
        <v>GLAXO (CONSUMER)</v>
      </c>
    </row>
    <row r="1244" ht="16.5" customHeight="1">
      <c r="H1244" s="1" t="str">
        <f>IFERROR(__xludf.DUMMYFUNCTION("""COMPUTED_VALUE"""),"GLAXO (CTC)")</f>
        <v>GLAXO (CTC)</v>
      </c>
    </row>
    <row r="1245" ht="16.5" customHeight="1">
      <c r="H1245" s="1" t="str">
        <f>IFERROR(__xludf.DUMMYFUNCTION("""COMPUTED_VALUE"""),"GLAXO (FORTIOR)")</f>
        <v>GLAXO (FORTIOR)</v>
      </c>
    </row>
    <row r="1246" ht="16.5" customHeight="1">
      <c r="H1246" s="1" t="str">
        <f>IFERROR(__xludf.DUMMYFUNCTION("""COMPUTED_VALUE"""),"GLAXO (NEUROSCIENCES)")</f>
        <v>GLAXO (NEUROSCIENCES)</v>
      </c>
    </row>
    <row r="1247" ht="16.5" customHeight="1">
      <c r="H1247" s="1" t="str">
        <f>IFERROR(__xludf.DUMMYFUNCTION("""COMPUTED_VALUE"""),"GLAXO (OTC)")</f>
        <v>GLAXO (OTC)</v>
      </c>
    </row>
    <row r="1248" ht="16.5" customHeight="1">
      <c r="H1248" s="1" t="str">
        <f>IFERROR(__xludf.DUMMYFUNCTION("""COMPUTED_VALUE"""),"GLAXO (VACCINE)")</f>
        <v>GLAXO (VACCINE)</v>
      </c>
    </row>
    <row r="1249" ht="16.5" customHeight="1">
      <c r="H1249" s="1" t="str">
        <f>IFERROR(__xludf.DUMMYFUNCTION("""COMPUTED_VALUE"""),"Glaxo SmithKline Pharmaceuticals Ltd")</f>
        <v>Glaxo SmithKline Pharmaceuticals Ltd</v>
      </c>
    </row>
    <row r="1250" ht="16.5" customHeight="1">
      <c r="H1250" s="1" t="str">
        <f>IFERROR(__xludf.DUMMYFUNCTION("""COMPUTED_VALUE"""),"GLENMARK (CCD)")</f>
        <v>GLENMARK (CCD)</v>
      </c>
    </row>
    <row r="1251" ht="16.5" customHeight="1">
      <c r="H1251" s="1" t="str">
        <f>IFERROR(__xludf.DUMMYFUNCTION("""COMPUTED_VALUE"""),"GLENMARK (COSMOCARE)")</f>
        <v>GLENMARK (COSMOCARE)</v>
      </c>
    </row>
    <row r="1252" ht="16.5" customHeight="1">
      <c r="H1252" s="1" t="str">
        <f>IFERROR(__xludf.DUMMYFUNCTION("""COMPUTED_VALUE"""),"GLENMARK (CRITICAL CARE)")</f>
        <v>GLENMARK (CRITICAL CARE)</v>
      </c>
    </row>
    <row r="1253" ht="16.5" customHeight="1">
      <c r="H1253" s="1" t="str">
        <f>IFERROR(__xludf.DUMMYFUNCTION("""COMPUTED_VALUE"""),"GLENMARK (CV)")</f>
        <v>GLENMARK (CV)</v>
      </c>
    </row>
    <row r="1254" ht="16.5" customHeight="1">
      <c r="H1254" s="1" t="str">
        <f>IFERROR(__xludf.DUMMYFUNCTION("""COMPUTED_VALUE"""),"GLENMARK (DERMAX)")</f>
        <v>GLENMARK (DERMAX)</v>
      </c>
    </row>
    <row r="1255" ht="16.5" customHeight="1">
      <c r="H1255" s="1" t="str">
        <f>IFERROR(__xludf.DUMMYFUNCTION("""COMPUTED_VALUE"""),"GLENMARK (G&amp;G)")</f>
        <v>GLENMARK (G&amp;G)</v>
      </c>
    </row>
    <row r="1256" ht="16.5" customHeight="1">
      <c r="H1256" s="1" t="str">
        <f>IFERROR(__xludf.DUMMYFUNCTION("""COMPUTED_VALUE"""),"GLENMARK (GRACEWELL-SPECIALITIY)")</f>
        <v>GLENMARK (GRACEWELL-SPECIALITIY)</v>
      </c>
    </row>
    <row r="1257" ht="16.5" customHeight="1">
      <c r="H1257" s="1" t="str">
        <f>IFERROR(__xludf.DUMMYFUNCTION("""COMPUTED_VALUE"""),"GLENMARK (GRACEWELL)")</f>
        <v>GLENMARK (GRACEWELL)</v>
      </c>
    </row>
    <row r="1258" ht="16.5" customHeight="1">
      <c r="H1258" s="1" t="str">
        <f>IFERROR(__xludf.DUMMYFUNCTION("""COMPUTED_VALUE"""),"GLENMARK (HEALTHEON)")</f>
        <v>GLENMARK (HEALTHEON)</v>
      </c>
    </row>
    <row r="1259" ht="16.5" customHeight="1">
      <c r="H1259" s="1" t="str">
        <f>IFERROR(__xludf.DUMMYFUNCTION("""COMPUTED_VALUE"""),"GLENMARK (INTIGRACE)")</f>
        <v>GLENMARK (INTIGRACE)</v>
      </c>
    </row>
    <row r="1260" ht="16.5" customHeight="1">
      <c r="H1260" s="1" t="str">
        <f>IFERROR(__xludf.DUMMYFUNCTION("""COMPUTED_VALUE"""),"GLENMARK (MAGESTA)")</f>
        <v>GLENMARK (MAGESTA)</v>
      </c>
    </row>
    <row r="1261" ht="16.5" customHeight="1">
      <c r="H1261" s="1" t="str">
        <f>IFERROR(__xludf.DUMMYFUNCTION("""COMPUTED_VALUE"""),"GLENMARK (MILLIOUS)")</f>
        <v>GLENMARK (MILLIOUS)</v>
      </c>
    </row>
    <row r="1262" ht="16.5" customHeight="1">
      <c r="H1262" s="1" t="str">
        <f>IFERROR(__xludf.DUMMYFUNCTION("""COMPUTED_VALUE"""),"GLENMARK (OTC)")</f>
        <v>GLENMARK (OTC)</v>
      </c>
    </row>
    <row r="1263" ht="16.5" customHeight="1">
      <c r="H1263" s="1" t="str">
        <f>IFERROR(__xludf.DUMMYFUNCTION("""COMPUTED_VALUE"""),"GLENMARK (PHARMA)")</f>
        <v>GLENMARK (PHARMA)</v>
      </c>
    </row>
    <row r="1264" ht="16.5" customHeight="1">
      <c r="H1264" s="1" t="str">
        <f>IFERROR(__xludf.DUMMYFUNCTION("""COMPUTED_VALUE"""),"GLENMARK (RESPICARE)")</f>
        <v>GLENMARK (RESPICARE)</v>
      </c>
    </row>
    <row r="1265" ht="16.5" customHeight="1">
      <c r="H1265" s="1" t="str">
        <f>IFERROR(__xludf.DUMMYFUNCTION("""COMPUTED_VALUE"""),"GLENMARK (RESPIRATORY)")</f>
        <v>GLENMARK (RESPIRATORY)</v>
      </c>
    </row>
    <row r="1266" ht="16.5" customHeight="1">
      <c r="H1266" s="1" t="str">
        <f>IFERROR(__xludf.DUMMYFUNCTION("""COMPUTED_VALUE"""),"GLENMARK (SKINNORA)")</f>
        <v>GLENMARK (SKINNORA)</v>
      </c>
    </row>
    <row r="1267" ht="16.5" customHeight="1">
      <c r="H1267" s="1" t="str">
        <f>IFERROR(__xludf.DUMMYFUNCTION("""COMPUTED_VALUE"""),"GLENMARK (ZOLTAN CARE)")</f>
        <v>GLENMARK (ZOLTAN CARE)</v>
      </c>
    </row>
    <row r="1268" ht="16.5" customHeight="1">
      <c r="H1268" s="1" t="str">
        <f>IFERROR(__xludf.DUMMYFUNCTION("""COMPUTED_VALUE"""),"GLENMARK (ZOLTAN)")</f>
        <v>GLENMARK (ZOLTAN)</v>
      </c>
    </row>
    <row r="1269" ht="16.5" customHeight="1">
      <c r="H1269" s="1" t="str">
        <f>IFERROR(__xludf.DUMMYFUNCTION("""COMPUTED_VALUE"""),"Glenmark Pharmaceuticals Ltd")</f>
        <v>Glenmark Pharmaceuticals Ltd</v>
      </c>
    </row>
    <row r="1270" ht="16.5" customHeight="1">
      <c r="H1270" s="1" t="str">
        <f>IFERROR(__xludf.DUMMYFUNCTION("""COMPUTED_VALUE"""),"Glenmark Pharmaceuticals Ltd (GENERIC)")</f>
        <v>Glenmark Pharmaceuticals Ltd (GENERIC)</v>
      </c>
    </row>
    <row r="1271" ht="16.5" customHeight="1">
      <c r="H1271" s="1" t="str">
        <f>IFERROR(__xludf.DUMMYFUNCTION("""COMPUTED_VALUE"""),"Glenmark Pharmaceuticals Ltd (SPECIALITY)")</f>
        <v>Glenmark Pharmaceuticals Ltd (SPECIALITY)</v>
      </c>
    </row>
    <row r="1272" ht="16.5" customHeight="1">
      <c r="H1272" s="1" t="str">
        <f>IFERROR(__xludf.DUMMYFUNCTION("""COMPUTED_VALUE"""),"GLISTER PHARMACEUTICALS")</f>
        <v>GLISTER PHARMACEUTICALS</v>
      </c>
    </row>
    <row r="1273" ht="16.5" customHeight="1">
      <c r="H1273" s="1" t="str">
        <f>IFERROR(__xludf.DUMMYFUNCTION("""COMPUTED_VALUE"""),"GLOBAL MEDICAMNETS LTD")</f>
        <v>GLOBAL MEDICAMNETS LTD</v>
      </c>
    </row>
    <row r="1274" ht="16.5" customHeight="1">
      <c r="H1274" s="1" t="str">
        <f>IFERROR(__xludf.DUMMYFUNCTION("""COMPUTED_VALUE"""),"GLOBAL PHARMAHERB CARE")</f>
        <v>GLOBAL PHARMAHERB CARE</v>
      </c>
    </row>
    <row r="1275" ht="16.5" customHeight="1">
      <c r="H1275" s="1" t="str">
        <f>IFERROR(__xludf.DUMMYFUNCTION("""COMPUTED_VALUE"""),"GLOBIN PHARMACEUTICALS P LTD")</f>
        <v>GLOBIN PHARMACEUTICALS P LTD</v>
      </c>
    </row>
    <row r="1276" ht="16.5" customHeight="1">
      <c r="H1276" s="1" t="str">
        <f>IFERROR(__xludf.DUMMYFUNCTION("""COMPUTED_VALUE"""),"GLORIOUS HEATHCAR")</f>
        <v>GLORIOUS HEATHCAR</v>
      </c>
    </row>
    <row r="1277" ht="16.5" customHeight="1">
      <c r="H1277" s="1" t="str">
        <f>IFERROR(__xludf.DUMMYFUNCTION("""COMPUTED_VALUE"""),"Glow")</f>
        <v>Glow</v>
      </c>
    </row>
    <row r="1278" ht="16.5" customHeight="1">
      <c r="H1278" s="1" t="str">
        <f>IFERROR(__xludf.DUMMYFUNCTION("""COMPUTED_VALUE"""),"Glowderma Labs Pvt Ltd")</f>
        <v>Glowderma Labs Pvt Ltd</v>
      </c>
    </row>
    <row r="1279" ht="16.5" customHeight="1">
      <c r="H1279" s="1" t="str">
        <f>IFERROR(__xludf.DUMMYFUNCTION("""COMPUTED_VALUE"""),"GLS PHARMA")</f>
        <v>GLS PHARMA</v>
      </c>
    </row>
    <row r="1280" ht="16.5" customHeight="1">
      <c r="H1280" s="1" t="str">
        <f>IFERROR(__xludf.DUMMYFUNCTION("""COMPUTED_VALUE"""),"Gluconate Health Ltd")</f>
        <v>Gluconate Health Ltd</v>
      </c>
    </row>
    <row r="1281" ht="16.5" customHeight="1">
      <c r="H1281" s="1" t="str">
        <f>IFERROR(__xludf.DUMMYFUNCTION("""COMPUTED_VALUE"""),"GLUE BIOTECH")</f>
        <v>GLUE BIOTECH</v>
      </c>
    </row>
    <row r="1282" ht="16.5" customHeight="1">
      <c r="H1282" s="1" t="str">
        <f>IFERROR(__xludf.DUMMYFUNCTION("""COMPUTED_VALUE"""),"Glyco Remedies")</f>
        <v>Glyco Remedies</v>
      </c>
    </row>
    <row r="1283" ht="16.5" customHeight="1">
      <c r="H1283" s="1" t="str">
        <f>IFERROR(__xludf.DUMMYFUNCTION("""COMPUTED_VALUE"""),"GMH LABORATORIES")</f>
        <v>GMH LABORATORIES</v>
      </c>
    </row>
    <row r="1284" ht="16.5" customHeight="1">
      <c r="H1284" s="1" t="str">
        <f>IFERROR(__xludf.DUMMYFUNCTION("""COMPUTED_VALUE"""),"GNESIS ORGANICS")</f>
        <v>GNESIS ORGANICS</v>
      </c>
    </row>
    <row r="1285" ht="16.5" customHeight="1">
      <c r="H1285" s="1" t="str">
        <f>IFERROR(__xludf.DUMMYFUNCTION("""COMPUTED_VALUE"""),"Gnext Lab Pvt Ltd")</f>
        <v>Gnext Lab Pvt Ltd</v>
      </c>
    </row>
    <row r="1286" ht="16.5" customHeight="1">
      <c r="H1286" s="1" t="str">
        <f>IFERROR(__xludf.DUMMYFUNCTION("""COMPUTED_VALUE"""),"GNOVA BIOTECH")</f>
        <v>GNOVA BIOTECH</v>
      </c>
    </row>
    <row r="1287" ht="16.5" customHeight="1">
      <c r="H1287" s="1" t="str">
        <f>IFERROR(__xludf.DUMMYFUNCTION("""COMPUTED_VALUE"""),"GO-ISH REMEDIES LTD SOLAN")</f>
        <v>GO-ISH REMEDIES LTD SOLAN</v>
      </c>
    </row>
    <row r="1288" ht="16.5" customHeight="1">
      <c r="H1288" s="1" t="str">
        <f>IFERROR(__xludf.DUMMYFUNCTION("""COMPUTED_VALUE"""),"Goddres Pharmaceuticals")</f>
        <v>Goddres Pharmaceuticals</v>
      </c>
    </row>
    <row r="1289" ht="16.5" customHeight="1">
      <c r="H1289" s="1" t="str">
        <f>IFERROR(__xludf.DUMMYFUNCTION("""COMPUTED_VALUE"""),"Gold Line")</f>
        <v>Gold Line</v>
      </c>
    </row>
    <row r="1290" ht="16.5" customHeight="1">
      <c r="H1290" s="1" t="str">
        <f>IFERROR(__xludf.DUMMYFUNCTION("""COMPUTED_VALUE"""),"GOMTESH LABORATORIES")</f>
        <v>GOMTESH LABORATORIES</v>
      </c>
    </row>
    <row r="1291" ht="16.5" customHeight="1">
      <c r="H1291" s="1" t="str">
        <f>IFERROR(__xludf.DUMMYFUNCTION("""COMPUTED_VALUE"""),"GOOD HEALTH PVT LTD")</f>
        <v>GOOD HEALTH PVT LTD</v>
      </c>
    </row>
    <row r="1292" ht="16.5" customHeight="1">
      <c r="H1292" s="1" t="str">
        <f>IFERROR(__xludf.DUMMYFUNCTION("""COMPUTED_VALUE"""),"GOOD HEALTH PVT LTD")</f>
        <v>GOOD HEALTH PVT LTD</v>
      </c>
    </row>
    <row r="1293" ht="16.5" customHeight="1">
      <c r="H1293" s="1" t="str">
        <f>IFERROR(__xludf.DUMMYFUNCTION("""COMPUTED_VALUE"""),"GOPISH PHARMA LTD")</f>
        <v>GOPISH PHARMA LTD</v>
      </c>
    </row>
    <row r="1294" ht="16.5" customHeight="1">
      <c r="H1294" s="1" t="str">
        <f>IFERROR(__xludf.DUMMYFUNCTION("""COMPUTED_VALUE"""),"GPP PVT LTD")</f>
        <v>GPP PVT LTD</v>
      </c>
    </row>
    <row r="1295" ht="16.5" customHeight="1">
      <c r="H1295" s="1" t="str">
        <f>IFERROR(__xludf.DUMMYFUNCTION("""COMPUTED_VALUE"""),"GRACEDERMA HELATHCARE")</f>
        <v>GRACEDERMA HELATHCARE</v>
      </c>
    </row>
    <row r="1296" ht="16.5" customHeight="1">
      <c r="H1296" s="1" t="str">
        <f>IFERROR(__xludf.DUMMYFUNCTION("""COMPUTED_VALUE"""),"GRACEWELL HEALTHCARE")</f>
        <v>GRACEWELL HEALTHCARE</v>
      </c>
    </row>
    <row r="1297" ht="16.5" customHeight="1">
      <c r="H1297" s="1" t="str">
        <f>IFERROR(__xludf.DUMMYFUNCTION("""COMPUTED_VALUE"""),"GRAF Laboratories Pvt Ltd")</f>
        <v>GRAF Laboratories Pvt Ltd</v>
      </c>
    </row>
    <row r="1298" ht="16.5" customHeight="1">
      <c r="H1298" s="1" t="str">
        <f>IFERROR(__xludf.DUMMYFUNCTION("""COMPUTED_VALUE"""),"GRANDIX PHARMACEUTICAL")</f>
        <v>GRANDIX PHARMACEUTICAL</v>
      </c>
    </row>
    <row r="1299" ht="16.5" customHeight="1">
      <c r="H1299" s="1" t="str">
        <f>IFERROR(__xludf.DUMMYFUNCTION("""COMPUTED_VALUE"""),"GRAPSUM HEALTHCARE P LTD")</f>
        <v>GRAPSUM HEALTHCARE P LTD</v>
      </c>
    </row>
    <row r="1300" ht="16.5" customHeight="1">
      <c r="H1300" s="1" t="str">
        <f>IFERROR(__xludf.DUMMYFUNCTION("""COMPUTED_VALUE"""),"GREEK PHARMA PVT LTD")</f>
        <v>GREEK PHARMA PVT LTD</v>
      </c>
    </row>
    <row r="1301" ht="16.5" customHeight="1">
      <c r="H1301" s="1" t="str">
        <f>IFERROR(__xludf.DUMMYFUNCTION("""COMPUTED_VALUE"""),"GRIFCON LIFE SCIENCES")</f>
        <v>GRIFCON LIFE SCIENCES</v>
      </c>
    </row>
    <row r="1302" ht="16.5" customHeight="1">
      <c r="H1302" s="1" t="str">
        <f>IFERROR(__xludf.DUMMYFUNCTION("""COMPUTED_VALUE"""),"GRINOLIFE CARE P LTD")</f>
        <v>GRINOLIFE CARE P LTD</v>
      </c>
    </row>
    <row r="1303" ht="16.5" customHeight="1">
      <c r="H1303" s="1" t="str">
        <f>IFERROR(__xludf.DUMMYFUNCTION("""COMPUTED_VALUE"""),"GRL GYNEXT")</f>
        <v>GRL GYNEXT</v>
      </c>
    </row>
    <row r="1304" ht="16.5" customHeight="1">
      <c r="H1304" s="1" t="str">
        <f>IFERROR(__xludf.DUMMYFUNCTION("""COMPUTED_VALUE"""),"GROUP PHARMA (DENTAL CARE)")</f>
        <v>GROUP PHARMA (DENTAL CARE)</v>
      </c>
    </row>
    <row r="1305" ht="16.5" customHeight="1">
      <c r="H1305" s="1" t="str">
        <f>IFERROR(__xludf.DUMMYFUNCTION("""COMPUTED_VALUE"""),"GROUP PHARMA (HEALTHCARE)")</f>
        <v>GROUP PHARMA (HEALTHCARE)</v>
      </c>
    </row>
    <row r="1306" ht="16.5" customHeight="1">
      <c r="H1306" s="1" t="str">
        <f>IFERROR(__xludf.DUMMYFUNCTION("""COMPUTED_VALUE"""),"Group Pharmaceuticals Ltd")</f>
        <v>Group Pharmaceuticals Ltd</v>
      </c>
    </row>
    <row r="1307" ht="16.5" customHeight="1">
      <c r="H1307" s="1" t="str">
        <f>IFERROR(__xludf.DUMMYFUNCTION("""COMPUTED_VALUE"""),"GROWELL VISION")</f>
        <v>GROWELL VISION</v>
      </c>
    </row>
    <row r="1308" ht="16.5" customHeight="1">
      <c r="H1308" s="1" t="str">
        <f>IFERROR(__xludf.DUMMYFUNCTION("""COMPUTED_VALUE"""),"GUFIC (CRITICARE)")</f>
        <v>GUFIC (CRITICARE)</v>
      </c>
    </row>
    <row r="1309" ht="16.5" customHeight="1">
      <c r="H1309" s="1" t="str">
        <f>IFERROR(__xludf.DUMMYFUNCTION("""COMPUTED_VALUE"""),"Gufic Bioscience Ltd")</f>
        <v>Gufic Bioscience Ltd</v>
      </c>
    </row>
    <row r="1310" ht="16.5" customHeight="1">
      <c r="H1310" s="1" t="str">
        <f>IFERROR(__xludf.DUMMYFUNCTION("""COMPUTED_VALUE"""),"GUJARAT LIQUI PHARMACAPS")</f>
        <v>GUJARAT LIQUI PHARMACAPS</v>
      </c>
    </row>
    <row r="1311" ht="16.5" customHeight="1">
      <c r="H1311" s="1" t="str">
        <f>IFERROR(__xludf.DUMMYFUNCTION("""COMPUTED_VALUE"""),"GUJARAT PHARMALAB PVT LTD")</f>
        <v>GUJARAT PHARMALAB PVT LTD</v>
      </c>
    </row>
    <row r="1312" ht="16.5" customHeight="1">
      <c r="H1312" s="1" t="str">
        <f>IFERROR(__xludf.DUMMYFUNCTION("""COMPUTED_VALUE"""),"Gujarat Terce Laboratories Ltd")</f>
        <v>Gujarat Terce Laboratories Ltd</v>
      </c>
    </row>
    <row r="1313" ht="16.5" customHeight="1">
      <c r="H1313" s="1" t="str">
        <f>IFERROR(__xludf.DUMMYFUNCTION("""COMPUTED_VALUE"""),"GURGRACE PHARMACETICALS")</f>
        <v>GURGRACE PHARMACETICALS</v>
      </c>
    </row>
    <row r="1314" ht="16.5" customHeight="1">
      <c r="H1314" s="1" t="str">
        <f>IFERROR(__xludf.DUMMYFUNCTION("""COMPUTED_VALUE"""),"GURUKRIPA CONSUMER CARE")</f>
        <v>GURUKRIPA CONSUMER CARE</v>
      </c>
    </row>
    <row r="1315" ht="16.5" customHeight="1">
      <c r="H1315" s="1" t="str">
        <f>IFERROR(__xludf.DUMMYFUNCTION("""COMPUTED_VALUE"""),"GURUKUL KANGDI PHARMACY")</f>
        <v>GURUKUL KANGDI PHARMACY</v>
      </c>
    </row>
    <row r="1316" ht="16.5" customHeight="1">
      <c r="H1316" s="1" t="str">
        <f>IFERROR(__xludf.DUMMYFUNCTION("""COMPUTED_VALUE"""),"GYMEX PHARMACEUTICALS")</f>
        <v>GYMEX PHARMACEUTICALS</v>
      </c>
    </row>
    <row r="1317" ht="16.5" customHeight="1">
      <c r="H1317" s="1" t="str">
        <f>IFERROR(__xludf.DUMMYFUNCTION("""COMPUTED_VALUE"""),"GYNOFEM HEALTHCARE (CAREON)")</f>
        <v>GYNOFEM HEALTHCARE (CAREON)</v>
      </c>
    </row>
    <row r="1318" ht="16.5" customHeight="1">
      <c r="H1318" s="1" t="str">
        <f>IFERROR(__xludf.DUMMYFUNCTION("""COMPUTED_VALUE"""),"GYNOFEM HEALTHCARE PVT LTD")</f>
        <v>GYNOFEM HEALTHCARE PVT LTD</v>
      </c>
    </row>
    <row r="1319" ht="16.5" customHeight="1">
      <c r="H1319" s="1" t="str">
        <f>IFERROR(__xludf.DUMMYFUNCTION("""COMPUTED_VALUE"""),"GYNORAMA HEALTHCARE PVT LTD")</f>
        <v>GYNORAMA HEALTHCARE PVT LTD</v>
      </c>
    </row>
    <row r="1320" ht="16.5" customHeight="1">
      <c r="H1320" s="1" t="str">
        <f>IFERROR(__xludf.DUMMYFUNCTION("""COMPUTED_VALUE"""),"H AND CARE INCORP INDIA")</f>
        <v>H AND CARE INCORP INDIA</v>
      </c>
    </row>
    <row r="1321" ht="16.5" customHeight="1">
      <c r="H1321" s="1" t="str">
        <f>IFERROR(__xludf.DUMMYFUNCTION("""COMPUTED_VALUE"""),"H&amp;B")</f>
        <v>H&amp;B</v>
      </c>
    </row>
    <row r="1322" ht="16.5" customHeight="1">
      <c r="H1322" s="1" t="str">
        <f>IFERROR(__xludf.DUMMYFUNCTION("""COMPUTED_VALUE"""),"H&amp;H (Hegde and Hegde) (COSMECEUTICAL)")</f>
        <v>H&amp;H (Hegde and Hegde) (COSMECEUTICAL)</v>
      </c>
    </row>
    <row r="1323" ht="16.5" customHeight="1">
      <c r="H1323" s="1" t="str">
        <f>IFERROR(__xludf.DUMMYFUNCTION("""COMPUTED_VALUE"""),"H&amp;H (Hegde and Hegde) (DERMATOLOGY)")</f>
        <v>H&amp;H (Hegde and Hegde) (DERMATOLOGY)</v>
      </c>
    </row>
    <row r="1324" ht="16.5" customHeight="1">
      <c r="H1324" s="1" t="str">
        <f>IFERROR(__xludf.DUMMYFUNCTION("""COMPUTED_VALUE"""),"H&amp;H (Hegde and Hegde) (Pharmaceutical)")</f>
        <v>H&amp;H (Hegde and Hegde) (Pharmaceutical)</v>
      </c>
    </row>
    <row r="1325" ht="16.5" customHeight="1">
      <c r="H1325" s="1" t="str">
        <f>IFERROR(__xludf.DUMMYFUNCTION("""COMPUTED_VALUE"""),"H&amp;H (Hegde and Hegde) (WELLNESS)")</f>
        <v>H&amp;H (Hegde and Hegde) (WELLNESS)</v>
      </c>
    </row>
    <row r="1326" ht="16.5" customHeight="1">
      <c r="H1326" s="1" t="str">
        <f>IFERROR(__xludf.DUMMYFUNCTION("""COMPUTED_VALUE"""),"Hacks &amp; Slacks Healthcare")</f>
        <v>Hacks &amp; Slacks Healthcare</v>
      </c>
    </row>
    <row r="1327" ht="16.5" customHeight="1">
      <c r="H1327" s="1" t="str">
        <f>IFERROR(__xludf.DUMMYFUNCTION("""COMPUTED_VALUE"""),"HAITH PHARMACEUTICALS")</f>
        <v>HAITH PHARMACEUTICALS</v>
      </c>
    </row>
    <row r="1328" ht="16.5" customHeight="1">
      <c r="H1328" s="1" t="str">
        <f>IFERROR(__xludf.DUMMYFUNCTION("""COMPUTED_VALUE"""),"HALEDEW REMEDIES")</f>
        <v>HALEDEW REMEDIES</v>
      </c>
    </row>
    <row r="1329" ht="16.5" customHeight="1">
      <c r="H1329" s="1" t="str">
        <f>IFERROR(__xludf.DUMMYFUNCTION("""COMPUTED_VALUE"""),"HALEWOOD LABORATORIES PVT LTD")</f>
        <v>HALEWOOD LABORATORIES PVT LTD</v>
      </c>
    </row>
    <row r="1330" ht="16.5" customHeight="1">
      <c r="H1330" s="1" t="str">
        <f>IFERROR(__xludf.DUMMYFUNCTION("""COMPUTED_VALUE"""),"Hamdard Laboratories India")</f>
        <v>Hamdard Laboratories India</v>
      </c>
    </row>
    <row r="1331" ht="16.5" customHeight="1">
      <c r="H1331" s="1" t="str">
        <f>IFERROR(__xludf.DUMMYFUNCTION("""COMPUTED_VALUE"""),"HANNOR PHARMA PVT LTD")</f>
        <v>HANNOR PHARMA PVT LTD</v>
      </c>
    </row>
    <row r="1332" ht="16.5" customHeight="1">
      <c r="H1332" s="1" t="str">
        <f>IFERROR(__xludf.DUMMYFUNCTION("""COMPUTED_VALUE"""),"HANS CHEMICALS")</f>
        <v>HANS CHEMICALS</v>
      </c>
    </row>
    <row r="1333" ht="16.5" customHeight="1">
      <c r="H1333" s="1" t="str">
        <f>IFERROR(__xludf.DUMMYFUNCTION("""COMPUTED_VALUE"""),"HAPDCO")</f>
        <v>HAPDCO</v>
      </c>
    </row>
    <row r="1334" ht="16.5" customHeight="1">
      <c r="H1334" s="1" t="str">
        <f>IFERROR(__xludf.DUMMYFUNCTION("""COMPUTED_VALUE"""),"HAPPY PHARMA")</f>
        <v>HAPPY PHARMA</v>
      </c>
    </row>
    <row r="1335" ht="16.5" customHeight="1">
      <c r="H1335" s="1" t="str">
        <f>IFERROR(__xludf.DUMMYFUNCTION("""COMPUTED_VALUE"""),"HARBANSHRAM BHAGWANDAS")</f>
        <v>HARBANSHRAM BHAGWANDAS</v>
      </c>
    </row>
    <row r="1336" ht="16.5" customHeight="1">
      <c r="H1336" s="1" t="str">
        <f>IFERROR(__xludf.DUMMYFUNCTION("""COMPUTED_VALUE"""),"HARMATTAN LIFE SCIENCE")</f>
        <v>HARMATTAN LIFE SCIENCE</v>
      </c>
    </row>
    <row r="1337" ht="16.5" customHeight="1">
      <c r="H1337" s="1" t="str">
        <f>IFERROR(__xludf.DUMMYFUNCTION("""COMPUTED_VALUE"""),"HARMONY PHARMA")</f>
        <v>HARMONY PHARMA</v>
      </c>
    </row>
    <row r="1338" ht="16.5" customHeight="1">
      <c r="H1338" s="1" t="str">
        <f>IFERROR(__xludf.DUMMYFUNCTION("""COMPUTED_VALUE"""),"HARMONY PHARMA (GYN)")</f>
        <v>HARMONY PHARMA (GYN)</v>
      </c>
    </row>
    <row r="1339" ht="16.5" customHeight="1">
      <c r="H1339" s="1" t="str">
        <f>IFERROR(__xludf.DUMMYFUNCTION("""COMPUTED_VALUE"""),"HARSH AYURVED BHAVAN")</f>
        <v>HARSH AYURVED BHAVAN</v>
      </c>
    </row>
    <row r="1340" ht="16.5" customHeight="1">
      <c r="H1340" s="1" t="str">
        <f>IFERROR(__xludf.DUMMYFUNCTION("""COMPUTED_VALUE"""),"HARSON LABORATORIES P LTD")</f>
        <v>HARSON LABORATORIES P LTD</v>
      </c>
    </row>
    <row r="1341" ht="16.5" customHeight="1">
      <c r="H1341" s="1" t="str">
        <f>IFERROR(__xludf.DUMMYFUNCTION("""COMPUTED_VALUE"""),"HAUZ PHARMA P LTD")</f>
        <v>HAUZ PHARMA P LTD</v>
      </c>
    </row>
    <row r="1342" ht="16.5" customHeight="1">
      <c r="H1342" s="1" t="str">
        <f>IFERROR(__xludf.DUMMYFUNCTION("""COMPUTED_VALUE"""),"HAWABAN HARDE DEPOT")</f>
        <v>HAWABAN HARDE DEPOT</v>
      </c>
    </row>
    <row r="1343" ht="16.5" customHeight="1">
      <c r="H1343" s="1" t="str">
        <f>IFERROR(__xludf.DUMMYFUNCTION("""COMPUTED_VALUE"""),"HBC (ATRIA)")</f>
        <v>HBC (ATRIA)</v>
      </c>
    </row>
    <row r="1344" ht="16.5" customHeight="1">
      <c r="H1344" s="1" t="str">
        <f>IFERROR(__xludf.DUMMYFUNCTION("""COMPUTED_VALUE"""),"HBC (CARDIO)")</f>
        <v>HBC (CARDIO)</v>
      </c>
    </row>
    <row r="1345" ht="16.5" customHeight="1">
      <c r="H1345" s="1" t="str">
        <f>IFERROR(__xludf.DUMMYFUNCTION("""COMPUTED_VALUE"""),"HBC (DERMA)")</f>
        <v>HBC (DERMA)</v>
      </c>
    </row>
    <row r="1346" ht="16.5" customHeight="1">
      <c r="H1346" s="1" t="str">
        <f>IFERROR(__xludf.DUMMYFUNCTION("""COMPUTED_VALUE"""),"HBC (QURA)")</f>
        <v>HBC (QURA)</v>
      </c>
    </row>
    <row r="1347" ht="16.5" customHeight="1">
      <c r="H1347" s="1" t="str">
        <f>IFERROR(__xludf.DUMMYFUNCTION("""COMPUTED_VALUE"""),"HBC HEALTHCARE PVT LTD (NURA)")</f>
        <v>HBC HEALTHCARE PVT LTD (NURA)</v>
      </c>
    </row>
    <row r="1348" ht="16.5" customHeight="1">
      <c r="H1348" s="1" t="str">
        <f>IFERROR(__xludf.DUMMYFUNCTION("""COMPUTED_VALUE"""),"HBC Lifesciences Pvt Ltd")</f>
        <v>HBC Lifesciences Pvt Ltd</v>
      </c>
    </row>
    <row r="1349" ht="16.5" customHeight="1">
      <c r="H1349" s="1" t="str">
        <f>IFERROR(__xludf.DUMMYFUNCTION("""COMPUTED_VALUE"""),"HEAL ALL PHARMACETICALS")</f>
        <v>HEAL ALL PHARMACETICALS</v>
      </c>
    </row>
    <row r="1350" ht="16.5" customHeight="1">
      <c r="H1350" s="1" t="str">
        <f>IFERROR(__xludf.DUMMYFUNCTION("""COMPUTED_VALUE"""),"Heal India Laboratories")</f>
        <v>Heal India Laboratories</v>
      </c>
    </row>
    <row r="1351" ht="16.5" customHeight="1">
      <c r="H1351" s="1" t="str">
        <f>IFERROR(__xludf.DUMMYFUNCTION("""COMPUTED_VALUE"""),"HEALING PHARMA INDIA PVT LTD")</f>
        <v>HEALING PHARMA INDIA PVT LTD</v>
      </c>
    </row>
    <row r="1352" ht="16.5" customHeight="1">
      <c r="H1352" s="1" t="str">
        <f>IFERROR(__xludf.DUMMYFUNCTION("""COMPUTED_VALUE"""),"HEALTH BIOLOGICS")</f>
        <v>HEALTH BIOLOGICS</v>
      </c>
    </row>
    <row r="1353" ht="16.5" customHeight="1">
      <c r="H1353" s="1" t="str">
        <f>IFERROR(__xludf.DUMMYFUNCTION("""COMPUTED_VALUE"""),"Health Biomed Pharma")</f>
        <v>Health Biomed Pharma</v>
      </c>
    </row>
    <row r="1354" ht="16.5" customHeight="1">
      <c r="H1354" s="1" t="str">
        <f>IFERROR(__xludf.DUMMYFUNCTION("""COMPUTED_VALUE"""),"HEALTH BIOTECH")</f>
        <v>HEALTH BIOTECH</v>
      </c>
    </row>
    <row r="1355" ht="16.5" customHeight="1">
      <c r="H1355" s="1" t="str">
        <f>IFERROR(__xludf.DUMMYFUNCTION("""COMPUTED_VALUE"""),"Health Biotech Pvt Ltd")</f>
        <v>Health Biotech Pvt Ltd</v>
      </c>
    </row>
    <row r="1356" ht="16.5" customHeight="1">
      <c r="H1356" s="1" t="str">
        <f>IFERROR(__xludf.DUMMYFUNCTION("""COMPUTED_VALUE"""),"Health Care Formulations Pvt Ltd")</f>
        <v>Health Care Formulations Pvt Ltd</v>
      </c>
    </row>
    <row r="1357" ht="16.5" customHeight="1">
      <c r="H1357" s="1" t="str">
        <f>IFERROR(__xludf.DUMMYFUNCTION("""COMPUTED_VALUE"""),"Health Care Formulations Pvt. Ltd.")</f>
        <v>Health Care Formulations Pvt. Ltd.</v>
      </c>
    </row>
    <row r="1358" ht="16.5" customHeight="1">
      <c r="H1358" s="1" t="str">
        <f>IFERROR(__xludf.DUMMYFUNCTION("""COMPUTED_VALUE"""),"Health Guard (I) Pvt. Ltd.")</f>
        <v>Health Guard (I) Pvt. Ltd.</v>
      </c>
    </row>
    <row r="1359" ht="16.5" customHeight="1">
      <c r="H1359" s="1" t="str">
        <f>IFERROR(__xludf.DUMMYFUNCTION("""COMPUTED_VALUE"""),"HEALTH N U THERAPEUTICS PVT LTD")</f>
        <v>HEALTH N U THERAPEUTICS PVT LTD</v>
      </c>
    </row>
    <row r="1360" ht="16.5" customHeight="1">
      <c r="H1360" s="1" t="str">
        <f>IFERROR(__xludf.DUMMYFUNCTION("""COMPUTED_VALUE"""),"Health Plan")</f>
        <v>Health Plan</v>
      </c>
    </row>
    <row r="1361" ht="16.5" customHeight="1">
      <c r="H1361" s="1" t="str">
        <f>IFERROR(__xludf.DUMMYFUNCTION("""COMPUTED_VALUE"""),"HEALTHCARE HERBAL")</f>
        <v>HEALTHCARE HERBAL</v>
      </c>
    </row>
    <row r="1362" ht="16.5" customHeight="1">
      <c r="H1362" s="1" t="str">
        <f>IFERROR(__xludf.DUMMYFUNCTION("""COMPUTED_VALUE"""),"Healthkind Labs Pvt. Ltd.")</f>
        <v>Healthkind Labs Pvt. Ltd.</v>
      </c>
    </row>
    <row r="1363" ht="16.5" customHeight="1">
      <c r="H1363" s="1" t="str">
        <f>IFERROR(__xludf.DUMMYFUNCTION("""COMPUTED_VALUE"""),"HEILMITTEL PHARMA")</f>
        <v>HEILMITTEL PHARMA</v>
      </c>
    </row>
    <row r="1364" ht="16.5" customHeight="1">
      <c r="H1364" s="1" t="str">
        <f>IFERROR(__xludf.DUMMYFUNCTION("""COMPUTED_VALUE"""),"Heinz India Pvt Ltd")</f>
        <v>Heinz India Pvt Ltd</v>
      </c>
    </row>
    <row r="1365" ht="16.5" customHeight="1">
      <c r="H1365" s="1" t="str">
        <f>IFERROR(__xludf.DUMMYFUNCTION("""COMPUTED_VALUE"""),"HELAX HEALTHCARE P LTD")</f>
        <v>HELAX HEALTHCARE P LTD</v>
      </c>
    </row>
    <row r="1366" ht="16.5" customHeight="1">
      <c r="H1366" s="1" t="str">
        <f>IFERROR(__xludf.DUMMYFUNCTION("""COMPUTED_VALUE"""),"HELBREDE HEALTHCARE LTD")</f>
        <v>HELBREDE HEALTHCARE LTD</v>
      </c>
    </row>
    <row r="1367" ht="16.5" customHeight="1">
      <c r="H1367" s="1" t="str">
        <f>IFERROR(__xludf.DUMMYFUNCTION("""COMPUTED_VALUE"""),"HELIK PHARMACEUTICAL")</f>
        <v>HELIK PHARMACEUTICAL</v>
      </c>
    </row>
    <row r="1368" ht="16.5" customHeight="1">
      <c r="H1368" s="1" t="str">
        <f>IFERROR(__xludf.DUMMYFUNCTION("""COMPUTED_VALUE"""),"Helios Pharmaceuticals (GENERIC)")</f>
        <v>Helios Pharmaceuticals (GENERIC)</v>
      </c>
    </row>
    <row r="1369" ht="16.5" customHeight="1">
      <c r="H1369" s="1" t="str">
        <f>IFERROR(__xludf.DUMMYFUNCTION("""COMPUTED_VALUE"""),"HELLOBABY PVT LTD")</f>
        <v>HELLOBABY PVT LTD</v>
      </c>
    </row>
    <row r="1370" ht="16.5" customHeight="1">
      <c r="H1370" s="1" t="str">
        <f>IFERROR(__xludf.DUMMYFUNCTION("""COMPUTED_VALUE"""),"HEMRUS THEREPATICS PVT LTD")</f>
        <v>HEMRUS THEREPATICS PVT LTD</v>
      </c>
    </row>
    <row r="1371" ht="16.5" customHeight="1">
      <c r="H1371" s="1" t="str">
        <f>IFERROR(__xludf.DUMMYFUNCTION("""COMPUTED_VALUE"""),"HEPTAGON LIFESCIENCES PVT LTD")</f>
        <v>HEPTAGON LIFESCIENCES PVT LTD</v>
      </c>
    </row>
    <row r="1372" ht="16.5" customHeight="1">
      <c r="H1372" s="1" t="str">
        <f>IFERROR(__xludf.DUMMYFUNCTION("""COMPUTED_VALUE"""),"HERB EDGE HEALTH CARE PVT LTD")</f>
        <v>HERB EDGE HEALTH CARE PVT LTD</v>
      </c>
    </row>
    <row r="1373" ht="16.5" customHeight="1">
      <c r="H1373" s="1" t="str">
        <f>IFERROR(__xludf.DUMMYFUNCTION("""COMPUTED_VALUE"""),"HERBAL AYURVEDA &amp; RESEARCH CENTRE")</f>
        <v>HERBAL AYURVEDA &amp; RESEARCH CENTRE</v>
      </c>
    </row>
    <row r="1374" ht="16.5" customHeight="1">
      <c r="H1374" s="1" t="str">
        <f>IFERROR(__xludf.DUMMYFUNCTION("""COMPUTED_VALUE"""),"HERBAL GANGA")</f>
        <v>HERBAL GANGA</v>
      </c>
    </row>
    <row r="1375" ht="16.5" customHeight="1">
      <c r="H1375" s="1" t="str">
        <f>IFERROR(__xludf.DUMMYFUNCTION("""COMPUTED_VALUE"""),"HERBO CHEM")</f>
        <v>HERBO CHEM</v>
      </c>
    </row>
    <row r="1376" ht="16.5" customHeight="1">
      <c r="H1376" s="1" t="str">
        <f>IFERROR(__xludf.DUMMYFUNCTION("""COMPUTED_VALUE"""),"HERTZ BIOTECH")</f>
        <v>HERTZ BIOTECH</v>
      </c>
    </row>
    <row r="1377" ht="16.5" customHeight="1">
      <c r="H1377" s="1" t="str">
        <f>IFERROR(__xludf.DUMMYFUNCTION("""COMPUTED_VALUE"""),"Hetero Drugs Ltd")</f>
        <v>Hetero Drugs Ltd</v>
      </c>
    </row>
    <row r="1378" ht="16.5" customHeight="1">
      <c r="H1378" s="1" t="str">
        <f>IFERROR(__xludf.DUMMYFUNCTION("""COMPUTED_VALUE"""),"Hetero Drugs Ltd (DIASPA)")</f>
        <v>Hetero Drugs Ltd (DIASPA)</v>
      </c>
    </row>
    <row r="1379" ht="16.5" customHeight="1">
      <c r="H1379" s="1" t="str">
        <f>IFERROR(__xludf.DUMMYFUNCTION("""COMPUTED_VALUE"""),"Hetero Drugs Ltd (GENIX -HIV)")</f>
        <v>Hetero Drugs Ltd (GENIX -HIV)</v>
      </c>
    </row>
    <row r="1380" ht="16.5" customHeight="1">
      <c r="H1380" s="1" t="str">
        <f>IFERROR(__xludf.DUMMYFUNCTION("""COMPUTED_VALUE"""),"Hetero Drugs Ltd (GENIX)")</f>
        <v>Hetero Drugs Ltd (GENIX)</v>
      </c>
    </row>
    <row r="1381" ht="16.5" customHeight="1">
      <c r="H1381" s="1" t="str">
        <f>IFERROR(__xludf.DUMMYFUNCTION("""COMPUTED_VALUE"""),"Hetero Drugs Ltd (KRIS)")</f>
        <v>Hetero Drugs Ltd (KRIS)</v>
      </c>
    </row>
    <row r="1382" ht="16.5" customHeight="1">
      <c r="H1382" s="1" t="str">
        <f>IFERROR(__xludf.DUMMYFUNCTION("""COMPUTED_VALUE"""),"Hetero Drugs Ltd (MAIN)")</f>
        <v>Hetero Drugs Ltd (MAIN)</v>
      </c>
    </row>
    <row r="1383" ht="16.5" customHeight="1">
      <c r="H1383" s="1" t="str">
        <f>IFERROR(__xludf.DUMMYFUNCTION("""COMPUTED_VALUE"""),"Hetero Drugs Ltd (NEURO)")</f>
        <v>Hetero Drugs Ltd (NEURO)</v>
      </c>
    </row>
    <row r="1384" ht="16.5" customHeight="1">
      <c r="H1384" s="1" t="str">
        <f>IFERROR(__xludf.DUMMYFUNCTION("""COMPUTED_VALUE"""),"Hetero Drugs Ltd (SPECIALITY)")</f>
        <v>Hetero Drugs Ltd (SPECIALITY)</v>
      </c>
    </row>
    <row r="1385" ht="16.5" customHeight="1">
      <c r="H1385" s="1" t="str">
        <f>IFERROR(__xludf.DUMMYFUNCTION("""COMPUTED_VALUE"""),"Hetero Drugs Ltd (VIROLOGY)")</f>
        <v>Hetero Drugs Ltd (VIROLOGY)</v>
      </c>
    </row>
    <row r="1386" ht="16.5" customHeight="1">
      <c r="H1386" s="1" t="str">
        <f>IFERROR(__xludf.DUMMYFUNCTION("""COMPUTED_VALUE"""),"HETRO (COVIFOR)")</f>
        <v>HETRO (COVIFOR)</v>
      </c>
    </row>
    <row r="1387" ht="16.5" customHeight="1">
      <c r="H1387" s="1" t="str">
        <f>IFERROR(__xludf.DUMMYFUNCTION("""COMPUTED_VALUE"""),"HETRO (FRENZA)")</f>
        <v>HETRO (FRENZA)</v>
      </c>
    </row>
    <row r="1388" ht="16.5" customHeight="1">
      <c r="H1388" s="1" t="str">
        <f>IFERROR(__xludf.DUMMYFUNCTION("""COMPUTED_VALUE"""),"HETRO (RUMETO)")</f>
        <v>HETRO (RUMETO)</v>
      </c>
    </row>
    <row r="1389" ht="16.5" customHeight="1">
      <c r="H1389" s="1" t="str">
        <f>IFERROR(__xludf.DUMMYFUNCTION("""COMPUTED_VALUE"""),"HEXAGON NUTRITION")</f>
        <v>HEXAGON NUTRITION</v>
      </c>
    </row>
    <row r="1390" ht="16.5" customHeight="1">
      <c r="H1390" s="1" t="str">
        <f>IFERROR(__xludf.DUMMYFUNCTION("""COMPUTED_VALUE"""),"Hexagon Nutrition Pvt Ltd")</f>
        <v>Hexagon Nutrition Pvt Ltd</v>
      </c>
    </row>
    <row r="1391" ht="16.5" customHeight="1">
      <c r="H1391" s="1" t="str">
        <f>IFERROR(__xludf.DUMMYFUNCTION("""COMPUTED_VALUE"""),"Hi Tech Pharmaceuticals Pvt Ltd")</f>
        <v>Hi Tech Pharmaceuticals Pvt Ltd</v>
      </c>
    </row>
    <row r="1392" ht="16.5" customHeight="1">
      <c r="H1392" s="1" t="str">
        <f>IFERROR(__xludf.DUMMYFUNCTION("""COMPUTED_VALUE"""),"Hicare Pharma")</f>
        <v>Hicare Pharma</v>
      </c>
    </row>
    <row r="1393" ht="16.5" customHeight="1">
      <c r="H1393" s="1" t="str">
        <f>IFERROR(__xludf.DUMMYFUNCTION("""COMPUTED_VALUE"""),"HICKS")</f>
        <v>HICKS</v>
      </c>
    </row>
    <row r="1394" ht="16.5" customHeight="1">
      <c r="H1394" s="1" t="str">
        <f>IFERROR(__xludf.DUMMYFUNCTION("""COMPUTED_VALUE"""),"HIDUSTAN REMEDIES")</f>
        <v>HIDUSTAN REMEDIES</v>
      </c>
    </row>
    <row r="1395" ht="16.5" customHeight="1">
      <c r="H1395" s="1" t="str">
        <f>IFERROR(__xludf.DUMMYFUNCTION("""COMPUTED_VALUE"""),"HIGLANCE LABORATORIES")</f>
        <v>HIGLANCE LABORATORIES</v>
      </c>
    </row>
    <row r="1396" ht="16.5" customHeight="1">
      <c r="H1396" s="1" t="str">
        <f>IFERROR(__xludf.DUMMYFUNCTION("""COMPUTED_VALUE"""),"HIMALAYA (BABY CARE)")</f>
        <v>HIMALAYA (BABY CARE)</v>
      </c>
    </row>
    <row r="1397" ht="16.5" customHeight="1">
      <c r="H1397" s="1" t="str">
        <f>IFERROR(__xludf.DUMMYFUNCTION("""COMPUTED_VALUE"""),"HIMALAYA (HOSPITAL &amp; DENTAL)")</f>
        <v>HIMALAYA (HOSPITAL &amp; DENTAL)</v>
      </c>
    </row>
    <row r="1398" ht="16.5" customHeight="1">
      <c r="H1398" s="1" t="str">
        <f>IFERROR(__xludf.DUMMYFUNCTION("""COMPUTED_VALUE"""),"HIMALAYA (OTX)")</f>
        <v>HIMALAYA (OTX)</v>
      </c>
    </row>
    <row r="1399" ht="16.5" customHeight="1">
      <c r="H1399" s="1" t="str">
        <f>IFERROR(__xludf.DUMMYFUNCTION("""COMPUTED_VALUE"""),"HIMALAYA (PET CARE)")</f>
        <v>HIMALAYA (PET CARE)</v>
      </c>
    </row>
    <row r="1400" ht="16.5" customHeight="1">
      <c r="H1400" s="1" t="str">
        <f>IFERROR(__xludf.DUMMYFUNCTION("""COMPUTED_VALUE"""),"HIMALAYA (ZANDRA)")</f>
        <v>HIMALAYA (ZANDRA)</v>
      </c>
    </row>
    <row r="1401" ht="16.5" customHeight="1">
      <c r="H1401" s="1" t="str">
        <f>IFERROR(__xludf.DUMMYFUNCTION("""COMPUTED_VALUE"""),"HIMALAYA (ZEAL)")</f>
        <v>HIMALAYA (ZEAL)</v>
      </c>
    </row>
    <row r="1402" ht="16.5" customHeight="1">
      <c r="H1402" s="1" t="str">
        <f>IFERROR(__xludf.DUMMYFUNCTION("""COMPUTED_VALUE"""),"HIMALAYA (ZENITH)")</f>
        <v>HIMALAYA (ZENITH)</v>
      </c>
    </row>
    <row r="1403" ht="16.5" customHeight="1">
      <c r="H1403" s="1" t="str">
        <f>IFERROR(__xludf.DUMMYFUNCTION("""COMPUTED_VALUE"""),"HIMALAYA (ZEUS)")</f>
        <v>HIMALAYA (ZEUS)</v>
      </c>
    </row>
    <row r="1404" ht="16.5" customHeight="1">
      <c r="H1404" s="1" t="str">
        <f>IFERROR(__xludf.DUMMYFUNCTION("""COMPUTED_VALUE"""),"HIMALAYA (ZINDEL)")</f>
        <v>HIMALAYA (ZINDEL)</v>
      </c>
    </row>
    <row r="1405" ht="16.5" customHeight="1">
      <c r="H1405" s="1" t="str">
        <f>IFERROR(__xludf.DUMMYFUNCTION("""COMPUTED_VALUE"""),"HIMALAYA (ZIVANKA)")</f>
        <v>HIMALAYA (ZIVANKA)</v>
      </c>
    </row>
    <row r="1406" ht="16.5" customHeight="1">
      <c r="H1406" s="1" t="str">
        <f>IFERROR(__xludf.DUMMYFUNCTION("""COMPUTED_VALUE"""),"Himalaya Drug Company")</f>
        <v>Himalaya Drug Company</v>
      </c>
    </row>
    <row r="1407" ht="16.5" customHeight="1">
      <c r="H1407" s="1" t="str">
        <f>IFERROR(__xludf.DUMMYFUNCTION("""COMPUTED_VALUE"""),"HIMALAYAN MEDICARE PVT LTD")</f>
        <v>HIMALAYAN MEDICARE PVT LTD</v>
      </c>
    </row>
    <row r="1408" ht="16.5" customHeight="1">
      <c r="H1408" s="1" t="str">
        <f>IFERROR(__xludf.DUMMYFUNCTION("""COMPUTED_VALUE"""),"HIMANI")</f>
        <v>HIMANI</v>
      </c>
    </row>
    <row r="1409" ht="16.5" customHeight="1">
      <c r="H1409" s="1" t="str">
        <f>IFERROR(__xludf.DUMMYFUNCTION("""COMPUTED_VALUE"""),"HIMANSHU PHARMACEUTICALS P LTD")</f>
        <v>HIMANSHU PHARMACEUTICALS P LTD</v>
      </c>
    </row>
    <row r="1410" ht="16.5" customHeight="1">
      <c r="H1410" s="1" t="str">
        <f>IFERROR(__xludf.DUMMYFUNCTION("""COMPUTED_VALUE"""),"HIMEROS PHARMA")</f>
        <v>HIMEROS PHARMA</v>
      </c>
    </row>
    <row r="1411" ht="16.5" customHeight="1">
      <c r="H1411" s="1" t="str">
        <f>IFERROR(__xludf.DUMMYFUNCTION("""COMPUTED_VALUE"""),"HIND C&amp;C WORKS")</f>
        <v>HIND C&amp;C WORKS</v>
      </c>
    </row>
    <row r="1412" ht="16.5" customHeight="1">
      <c r="H1412" s="1" t="str">
        <f>IFERROR(__xludf.DUMMYFUNCTION("""COMPUTED_VALUE"""),"HIND CHEMICALS")</f>
        <v>HIND CHEMICALS</v>
      </c>
    </row>
    <row r="1413" ht="16.5" customHeight="1">
      <c r="H1413" s="1" t="str">
        <f>IFERROR(__xludf.DUMMYFUNCTION("""COMPUTED_VALUE"""),"HINDUKUSH BIOPRODUCTS PVT LTD (EMAAR)")</f>
        <v>HINDUKUSH BIOPRODUCTS PVT LTD (EMAAR)</v>
      </c>
    </row>
    <row r="1414" ht="16.5" customHeight="1">
      <c r="H1414" s="1" t="str">
        <f>IFERROR(__xludf.DUMMYFUNCTION("""COMPUTED_VALUE"""),"HINDUSTAN LATEX FAMILY PLANNING PROMOTION TRUST (HLFPPT)")</f>
        <v>HINDUSTAN LATEX FAMILY PLANNING PROMOTION TRUST (HLFPPT)</v>
      </c>
    </row>
    <row r="1415" ht="16.5" customHeight="1">
      <c r="H1415" s="1" t="str">
        <f>IFERROR(__xludf.DUMMYFUNCTION("""COMPUTED_VALUE"""),"Hindustan Latex Ltd")</f>
        <v>Hindustan Latex Ltd</v>
      </c>
    </row>
    <row r="1416" ht="16.5" customHeight="1">
      <c r="H1416" s="1" t="str">
        <f>IFERROR(__xludf.DUMMYFUNCTION("""COMPUTED_VALUE"""),"HINDUSTAN LIFESCIENCES")</f>
        <v>HINDUSTAN LIFESCIENCES</v>
      </c>
    </row>
    <row r="1417" ht="16.5" customHeight="1">
      <c r="H1417" s="1" t="str">
        <f>IFERROR(__xludf.DUMMYFUNCTION("""COMPUTED_VALUE"""),"HINDUSTAN MEDICARE")</f>
        <v>HINDUSTAN MEDICARE</v>
      </c>
    </row>
    <row r="1418" ht="16.5" customHeight="1">
      <c r="H1418" s="1" t="str">
        <f>IFERROR(__xludf.DUMMYFUNCTION("""COMPUTED_VALUE"""),"HINDUSTAN PHARMA")</f>
        <v>HINDUSTAN PHARMA</v>
      </c>
    </row>
    <row r="1419" ht="16.5" customHeight="1">
      <c r="H1419" s="1" t="str">
        <f>IFERROR(__xludf.DUMMYFUNCTION("""COMPUTED_VALUE"""),"HINDUSTAN SYRINGES AND MEDICAL DEVICES")</f>
        <v>HINDUSTAN SYRINGES AND MEDICAL DEVICES</v>
      </c>
    </row>
    <row r="1420" ht="16.5" customHeight="1">
      <c r="H1420" s="1" t="str">
        <f>IFERROR(__xludf.DUMMYFUNCTION("""COMPUTED_VALUE"""),"HINDUSTAN UNILEVER")</f>
        <v>HINDUSTAN UNILEVER</v>
      </c>
    </row>
    <row r="1421" ht="16.5" customHeight="1">
      <c r="H1421" s="1" t="str">
        <f>IFERROR(__xludf.DUMMYFUNCTION("""COMPUTED_VALUE"""),"Hindustan Unilever Ltd")</f>
        <v>Hindustan Unilever Ltd</v>
      </c>
    </row>
    <row r="1422" ht="16.5" customHeight="1">
      <c r="H1422" s="1" t="str">
        <f>IFERROR(__xludf.DUMMYFUNCTION("""COMPUTED_VALUE"""),"HINIKAM DRUGS AND PHARMACEUTICALS")</f>
        <v>HINIKAM DRUGS AND PHARMACEUTICALS</v>
      </c>
    </row>
    <row r="1423" ht="16.5" customHeight="1">
      <c r="H1423" s="1" t="str">
        <f>IFERROR(__xludf.DUMMYFUNCTION("""COMPUTED_VALUE"""),"HL")</f>
        <v>HL</v>
      </c>
    </row>
    <row r="1424" ht="16.5" customHeight="1">
      <c r="H1424" s="1" t="str">
        <f>IFERROR(__xludf.DUMMYFUNCTION("""COMPUTED_VALUE"""),"HL HEALTHCARE")</f>
        <v>HL HEALTHCARE</v>
      </c>
    </row>
    <row r="1425" ht="16.5" customHeight="1">
      <c r="H1425" s="1" t="str">
        <f>IFERROR(__xludf.DUMMYFUNCTION("""COMPUTED_VALUE"""),"HLL Lifecare Ltd")</f>
        <v>HLL Lifecare Ltd</v>
      </c>
    </row>
    <row r="1426" ht="16.5" customHeight="1">
      <c r="H1426" s="1" t="str">
        <f>IFERROR(__xludf.DUMMYFUNCTION("""COMPUTED_VALUE"""),"HMD LTD")</f>
        <v>HMD LTD</v>
      </c>
    </row>
    <row r="1427" ht="16.5" customHeight="1">
      <c r="H1427" s="1" t="str">
        <f>IFERROR(__xludf.DUMMYFUNCTION("""COMPUTED_VALUE"""),"HOECHEST")</f>
        <v>HOECHEST</v>
      </c>
    </row>
    <row r="1428" ht="16.5" customHeight="1">
      <c r="H1428" s="1" t="str">
        <f>IFERROR(__xludf.DUMMYFUNCTION("""COMPUTED_VALUE"""),"HOME REMEDIES")</f>
        <v>HOME REMEDIES</v>
      </c>
    </row>
    <row r="1429" ht="16.5" customHeight="1">
      <c r="H1429" s="1" t="str">
        <f>IFERROR(__xludf.DUMMYFUNCTION("""COMPUTED_VALUE"""),"HORIZON BIOCEUTICALS PVT LTD")</f>
        <v>HORIZON BIOCEUTICALS PVT LTD</v>
      </c>
    </row>
    <row r="1430" ht="16.5" customHeight="1">
      <c r="H1430" s="1" t="str">
        <f>IFERROR(__xludf.DUMMYFUNCTION("""COMPUTED_VALUE"""),"HORIZON MEDICAMENT")</f>
        <v>HORIZON MEDICAMENT</v>
      </c>
    </row>
    <row r="1431" ht="16.5" customHeight="1">
      <c r="H1431" s="1" t="str">
        <f>IFERROR(__xludf.DUMMYFUNCTION("""COMPUTED_VALUE"""),"HORIZON PHARMACEUTICALS")</f>
        <v>HORIZON PHARMACEUTICALS</v>
      </c>
    </row>
    <row r="1432" ht="16.5" customHeight="1">
      <c r="H1432" s="1" t="str">
        <f>IFERROR(__xludf.DUMMYFUNCTION("""COMPUTED_VALUE"""),"HORWEIZ PHARMACEUTICAL")</f>
        <v>HORWEIZ PHARMACEUTICAL</v>
      </c>
    </row>
    <row r="1433" ht="16.5" customHeight="1">
      <c r="H1433" s="1" t="str">
        <f>IFERROR(__xludf.DUMMYFUNCTION("""COMPUTED_VALUE"""),"HOYA LENS INDIA")</f>
        <v>HOYA LENS INDIA</v>
      </c>
    </row>
    <row r="1434" ht="16.5" customHeight="1">
      <c r="H1434" s="1" t="str">
        <f>IFERROR(__xludf.DUMMYFUNCTION("""COMPUTED_VALUE"""),"HP")</f>
        <v>HP</v>
      </c>
    </row>
    <row r="1435" ht="16.5" customHeight="1">
      <c r="H1435" s="1" t="str">
        <f>IFERROR(__xludf.DUMMYFUNCTION("""COMPUTED_VALUE"""),"HRI HEALTHCARE")</f>
        <v>HRI HEALTHCARE</v>
      </c>
    </row>
    <row r="1436" ht="16.5" customHeight="1">
      <c r="H1436" s="1" t="str">
        <f>IFERROR(__xludf.DUMMYFUNCTION("""COMPUTED_VALUE"""),"HSL")</f>
        <v>HSL</v>
      </c>
    </row>
    <row r="1437" ht="16.5" customHeight="1">
      <c r="H1437" s="1" t="str">
        <f>IFERROR(__xludf.DUMMYFUNCTION("""COMPUTED_VALUE"""),"HUMAN BIO ORGANIC")</f>
        <v>HUMAN BIO ORGANIC</v>
      </c>
    </row>
    <row r="1438" ht="16.5" customHeight="1">
      <c r="H1438" s="1" t="str">
        <f>IFERROR(__xludf.DUMMYFUNCTION("""COMPUTED_VALUE"""),"HUMAN HEALTH CARE")</f>
        <v>HUMAN HEALTH CARE</v>
      </c>
    </row>
    <row r="1439" ht="16.5" customHeight="1">
      <c r="H1439" s="1" t="str">
        <f>IFERROR(__xludf.DUMMYFUNCTION("""COMPUTED_VALUE"""),"HUMANBIO-LOGICAL PVT LTD")</f>
        <v>HUMANBIO-LOGICAL PVT LTD</v>
      </c>
    </row>
    <row r="1440" ht="16.5" customHeight="1">
      <c r="H1440" s="1" t="str">
        <f>IFERROR(__xludf.DUMMYFUNCTION("""COMPUTED_VALUE"""),"HUMMOCK PHARMACEUTICALS PVT LTD")</f>
        <v>HUMMOCK PHARMACEUTICALS PVT LTD</v>
      </c>
    </row>
    <row r="1441" ht="16.5" customHeight="1">
      <c r="H1441" s="1" t="str">
        <f>IFERROR(__xludf.DUMMYFUNCTION("""COMPUTED_VALUE"""),"HUMONYX BIOSCIENCE PVT LTD")</f>
        <v>HUMONYX BIOSCIENCE PVT LTD</v>
      </c>
    </row>
    <row r="1442" ht="16.5" customHeight="1">
      <c r="H1442" s="1" t="str">
        <f>IFERROR(__xludf.DUMMYFUNCTION("""COMPUTED_VALUE"""),"HUMPS INDIA PVT LTD")</f>
        <v>HUMPS INDIA PVT LTD</v>
      </c>
    </row>
    <row r="1443" ht="16.5" customHeight="1">
      <c r="H1443" s="1" t="str">
        <f>IFERROR(__xludf.DUMMYFUNCTION("""COMPUTED_VALUE"""),"HYGEIA LABS")</f>
        <v>HYGEIA LABS</v>
      </c>
    </row>
    <row r="1444" ht="16.5" customHeight="1">
      <c r="H1444" s="1" t="str">
        <f>IFERROR(__xludf.DUMMYFUNCTION("""COMPUTED_VALUE"""),"HYGEIA LABS (H)")</f>
        <v>HYGEIA LABS (H)</v>
      </c>
    </row>
    <row r="1445" ht="16.5" customHeight="1">
      <c r="H1445" s="1" t="str">
        <f>IFERROR(__xludf.DUMMYFUNCTION("""COMPUTED_VALUE"""),"HYGIENIC RESEARCH INSTITUTE")</f>
        <v>HYGIENIC RESEARCH INSTITUTE</v>
      </c>
    </row>
    <row r="1446" ht="16.5" customHeight="1">
      <c r="H1446" s="1" t="str">
        <f>IFERROR(__xludf.DUMMYFUNCTION("""COMPUTED_VALUE"""),"HYMAX HEALTHCARE P LTD")</f>
        <v>HYMAX HEALTHCARE P LTD</v>
      </c>
    </row>
    <row r="1447" ht="16.5" customHeight="1">
      <c r="H1447" s="1" t="str">
        <f>IFERROR(__xludf.DUMMYFUNCTION("""COMPUTED_VALUE"""),"HYPATOS PHARMACEUTICALS PVT LTD")</f>
        <v>HYPATOS PHARMACEUTICALS PVT LTD</v>
      </c>
    </row>
    <row r="1448" ht="16.5" customHeight="1">
      <c r="H1448" s="1" t="str">
        <f>IFERROR(__xludf.DUMMYFUNCTION("""COMPUTED_VALUE"""),"HYPOLIN")</f>
        <v>HYPOLIN</v>
      </c>
    </row>
    <row r="1449" ht="16.5" customHeight="1">
      <c r="H1449" s="1" t="str">
        <f>IFERROR(__xludf.DUMMYFUNCTION("""COMPUTED_VALUE"""),"I CONNECT")</f>
        <v>I CONNECT</v>
      </c>
    </row>
    <row r="1450" ht="16.5" customHeight="1">
      <c r="H1450" s="1" t="str">
        <f>IFERROR(__xludf.DUMMYFUNCTION("""COMPUTED_VALUE"""),"IBERIA SKIN BRANDS INDIA PVT LTD")</f>
        <v>IBERIA SKIN BRANDS INDIA PVT LTD</v>
      </c>
    </row>
    <row r="1451" ht="16.5" customHeight="1">
      <c r="H1451" s="1" t="str">
        <f>IFERROR(__xludf.DUMMYFUNCTION("""COMPUTED_VALUE"""),"IBLUE (GENERIC)")</f>
        <v>IBLUE (GENERIC)</v>
      </c>
    </row>
    <row r="1452" ht="16.5" customHeight="1">
      <c r="H1452" s="1" t="str">
        <f>IFERROR(__xludf.DUMMYFUNCTION("""COMPUTED_VALUE"""),"ICON (IMPETUS)")</f>
        <v>ICON (IMPETUS)</v>
      </c>
    </row>
    <row r="1453" ht="16.5" customHeight="1">
      <c r="H1453" s="1" t="str">
        <f>IFERROR(__xludf.DUMMYFUNCTION("""COMPUTED_VALUE"""),"ICON (ITTRIA)")</f>
        <v>ICON (ITTRIA)</v>
      </c>
    </row>
    <row r="1454" ht="16.5" customHeight="1">
      <c r="H1454" s="1" t="str">
        <f>IFERROR(__xludf.DUMMYFUNCTION("""COMPUTED_VALUE"""),"ICON HEALTH CARE")</f>
        <v>ICON HEALTH CARE</v>
      </c>
    </row>
    <row r="1455" ht="16.5" customHeight="1">
      <c r="H1455" s="1" t="str">
        <f>IFERROR(__xludf.DUMMYFUNCTION("""COMPUTED_VALUE"""),"Icon Life Sciences")</f>
        <v>Icon Life Sciences</v>
      </c>
    </row>
    <row r="1456" ht="16.5" customHeight="1">
      <c r="H1456" s="1" t="str">
        <f>IFERROR(__xludf.DUMMYFUNCTION("""COMPUTED_VALUE"""),"Icon Pharma &amp; Surgicals Pvt Ltd")</f>
        <v>Icon Pharma &amp; Surgicals Pvt Ltd</v>
      </c>
    </row>
    <row r="1457" ht="16.5" customHeight="1">
      <c r="H1457" s="1" t="str">
        <f>IFERROR(__xludf.DUMMYFUNCTION("""COMPUTED_VALUE"""),"Icpa Health Products Ltd")</f>
        <v>Icpa Health Products Ltd</v>
      </c>
    </row>
    <row r="1458" ht="16.5" customHeight="1">
      <c r="H1458" s="1" t="str">
        <f>IFERROR(__xludf.DUMMYFUNCTION("""COMPUTED_VALUE"""),"IIFA HEALTHCARE")</f>
        <v>IIFA HEALTHCARE</v>
      </c>
    </row>
    <row r="1459" ht="16.5" customHeight="1">
      <c r="H1459" s="1" t="str">
        <f>IFERROR(__xludf.DUMMYFUNCTION("""COMPUTED_VALUE"""),"Ikon Pharmachem Pvt Ltd")</f>
        <v>Ikon Pharmachem Pvt Ltd</v>
      </c>
    </row>
    <row r="1460" ht="16.5" customHeight="1">
      <c r="H1460" s="1" t="str">
        <f>IFERROR(__xludf.DUMMYFUNCTION("""COMPUTED_VALUE"""),"IKON REMEDIES")</f>
        <v>IKON REMEDIES</v>
      </c>
    </row>
    <row r="1461" ht="16.5" customHeight="1">
      <c r="H1461" s="1" t="str">
        <f>IFERROR(__xludf.DUMMYFUNCTION("""COMPUTED_VALUE"""),"IKON REMEDIES (GENERIC)")</f>
        <v>IKON REMEDIES (GENERIC)</v>
      </c>
    </row>
    <row r="1462" ht="16.5" customHeight="1">
      <c r="H1462" s="1" t="str">
        <f>IFERROR(__xludf.DUMMYFUNCTION("""COMPUTED_VALUE"""),"INAVARS BIOLOGICALS INC")</f>
        <v>INAVARS BIOLOGICALS INC</v>
      </c>
    </row>
    <row r="1463" ht="16.5" customHeight="1">
      <c r="H1463" s="1" t="str">
        <f>IFERROR(__xludf.DUMMYFUNCTION("""COMPUTED_VALUE"""),"INCEPTA PHARMACEUTICALS LTD")</f>
        <v>INCEPTA PHARMACEUTICALS LTD</v>
      </c>
    </row>
    <row r="1464" ht="16.5" customHeight="1">
      <c r="H1464" s="1" t="str">
        <f>IFERROR(__xludf.DUMMYFUNCTION("""COMPUTED_VALUE"""),"INCIPE PHARMACEUTICAL")</f>
        <v>INCIPE PHARMACEUTICAL</v>
      </c>
    </row>
    <row r="1465" ht="16.5" customHeight="1">
      <c r="H1465" s="1" t="str">
        <f>IFERROR(__xludf.DUMMYFUNCTION("""COMPUTED_VALUE"""),"IND RUSSIAN")</f>
        <v>IND RUSSIAN</v>
      </c>
    </row>
    <row r="1466" ht="16.5" customHeight="1">
      <c r="H1466" s="1" t="str">
        <f>IFERROR(__xludf.DUMMYFUNCTION("""COMPUTED_VALUE"""),"Ind Swift (CARDIOSWIFT)")</f>
        <v>Ind Swift (CARDIOSWIFT)</v>
      </c>
    </row>
    <row r="1467" ht="16.5" customHeight="1">
      <c r="H1467" s="1" t="str">
        <f>IFERROR(__xludf.DUMMYFUNCTION("""COMPUTED_VALUE"""),"Ind Swift (GYANOSWIFT)")</f>
        <v>Ind Swift (GYANOSWIFT)</v>
      </c>
    </row>
    <row r="1468" ht="16.5" customHeight="1">
      <c r="H1468" s="1" t="str">
        <f>IFERROR(__xludf.DUMMYFUNCTION("""COMPUTED_VALUE"""),"Ind Swift (MEGASWIFT)")</f>
        <v>Ind Swift (MEGASWIFT)</v>
      </c>
    </row>
    <row r="1469" ht="16.5" customHeight="1">
      <c r="H1469" s="1" t="str">
        <f>IFERROR(__xludf.DUMMYFUNCTION("""COMPUTED_VALUE"""),"Ind Swift (NEUTRAMATRIX)")</f>
        <v>Ind Swift (NEUTRAMATRIX)</v>
      </c>
    </row>
    <row r="1470" ht="16.5" customHeight="1">
      <c r="H1470" s="1" t="str">
        <f>IFERROR(__xludf.DUMMYFUNCTION("""COMPUTED_VALUE"""),"Ind Swift Laboratories (GENERIC)")</f>
        <v>Ind Swift Laboratories (GENERIC)</v>
      </c>
    </row>
    <row r="1471" ht="16.5" customHeight="1">
      <c r="H1471" s="1" t="str">
        <f>IFERROR(__xludf.DUMMYFUNCTION("""COMPUTED_VALUE"""),"Ind Swift Laboratories Ltd")</f>
        <v>Ind Swift Laboratories Ltd</v>
      </c>
    </row>
    <row r="1472" ht="16.5" customHeight="1">
      <c r="H1472" s="1" t="str">
        <f>IFERROR(__xludf.DUMMYFUNCTION("""COMPUTED_VALUE"""),"Indchemi Health Specialies Pvt Ltd")</f>
        <v>Indchemi Health Specialies Pvt Ltd</v>
      </c>
    </row>
    <row r="1473" ht="16.5" customHeight="1">
      <c r="H1473" s="1" t="str">
        <f>IFERROR(__xludf.DUMMYFUNCTION("""COMPUTED_VALUE"""),"Indi Pharma")</f>
        <v>Indi Pharma</v>
      </c>
    </row>
    <row r="1474" ht="16.5" customHeight="1">
      <c r="H1474" s="1" t="str">
        <f>IFERROR(__xludf.DUMMYFUNCTION("""COMPUTED_VALUE"""),"INDIABULLS (CRITICA)")</f>
        <v>INDIABULLS (CRITICA)</v>
      </c>
    </row>
    <row r="1475" ht="16.5" customHeight="1">
      <c r="H1475" s="1" t="str">
        <f>IFERROR(__xludf.DUMMYFUNCTION("""COMPUTED_VALUE"""),"INDIABULLS (CVD)")</f>
        <v>INDIABULLS (CVD)</v>
      </c>
    </row>
    <row r="1476" ht="16.5" customHeight="1">
      <c r="H1476" s="1" t="str">
        <f>IFERROR(__xludf.DUMMYFUNCTION("""COMPUTED_VALUE"""),"INDIABULLS (DERMANEX 1)")</f>
        <v>INDIABULLS (DERMANEX 1)</v>
      </c>
    </row>
    <row r="1477" ht="16.5" customHeight="1">
      <c r="H1477" s="1" t="str">
        <f>IFERROR(__xludf.DUMMYFUNCTION("""COMPUTED_VALUE"""),"INDIABULLS (DERMANEX 2)")</f>
        <v>INDIABULLS (DERMANEX 2)</v>
      </c>
    </row>
    <row r="1478" ht="16.5" customHeight="1">
      <c r="H1478" s="1" t="str">
        <f>IFERROR(__xludf.DUMMYFUNCTION("""COMPUTED_VALUE"""),"INDIABULLS (DERMANEX 3)")</f>
        <v>INDIABULLS (DERMANEX 3)</v>
      </c>
    </row>
    <row r="1479" ht="16.5" customHeight="1">
      <c r="H1479" s="1" t="str">
        <f>IFERROR(__xludf.DUMMYFUNCTION("""COMPUTED_VALUE"""),"INDIABULLS (FEMINEX)")</f>
        <v>INDIABULLS (FEMINEX)</v>
      </c>
    </row>
    <row r="1480" ht="16.5" customHeight="1">
      <c r="H1480" s="1" t="str">
        <f>IFERROR(__xludf.DUMMYFUNCTION("""COMPUTED_VALUE"""),"INDIABULLS (INVICTA)")</f>
        <v>INDIABULLS (INVICTA)</v>
      </c>
    </row>
    <row r="1481" ht="16.5" customHeight="1">
      <c r="H1481" s="1" t="str">
        <f>IFERROR(__xludf.DUMMYFUNCTION("""COMPUTED_VALUE"""),"INDIABULLS (NEXPIRA)")</f>
        <v>INDIABULLS (NEXPIRA)</v>
      </c>
    </row>
    <row r="1482" ht="16.5" customHeight="1">
      <c r="H1482" s="1" t="str">
        <f>IFERROR(__xludf.DUMMYFUNCTION("""COMPUTED_VALUE"""),"INDIABULLS (PEDIA)")</f>
        <v>INDIABULLS (PEDIA)</v>
      </c>
    </row>
    <row r="1483" ht="16.5" customHeight="1">
      <c r="H1483" s="1" t="str">
        <f>IFERROR(__xludf.DUMMYFUNCTION("""COMPUTED_VALUE"""),"INDIABULLS (PHARMACEUTICAL)")</f>
        <v>INDIABULLS (PHARMACEUTICAL)</v>
      </c>
    </row>
    <row r="1484" ht="16.5" customHeight="1">
      <c r="H1484" s="1" t="str">
        <f>IFERROR(__xludf.DUMMYFUNCTION("""COMPUTED_VALUE"""),"INDIABULLS (PRIMA)")</f>
        <v>INDIABULLS (PRIMA)</v>
      </c>
    </row>
    <row r="1485" ht="16.5" customHeight="1">
      <c r="H1485" s="1" t="str">
        <f>IFERROR(__xludf.DUMMYFUNCTION("""COMPUTED_VALUE"""),"INDIABULLS (VESTA)")</f>
        <v>INDIABULLS (VESTA)</v>
      </c>
    </row>
    <row r="1486" ht="16.5" customHeight="1">
      <c r="H1486" s="1" t="str">
        <f>IFERROR(__xludf.DUMMYFUNCTION("""COMPUTED_VALUE"""),"INDIABULLS PHARMACEUTICAL")</f>
        <v>INDIABULLS PHARMACEUTICAL</v>
      </c>
    </row>
    <row r="1487" ht="16.5" customHeight="1">
      <c r="H1487" s="1" t="str">
        <f>IFERROR(__xludf.DUMMYFUNCTION("""COMPUTED_VALUE"""),"INDIAN CHEMICAL WORKS")</f>
        <v>INDIAN CHEMICAL WORKS</v>
      </c>
    </row>
    <row r="1488" ht="16.5" customHeight="1">
      <c r="H1488" s="1" t="str">
        <f>IFERROR(__xludf.DUMMYFUNCTION("""COMPUTED_VALUE"""),"Indian Immunologicals Ltd")</f>
        <v>Indian Immunologicals Ltd</v>
      </c>
    </row>
    <row r="1489" ht="16.5" customHeight="1">
      <c r="H1489" s="1" t="str">
        <f>IFERROR(__xludf.DUMMYFUNCTION("""COMPUTED_VALUE"""),"INDIAN TRADERS (OEP)")</f>
        <v>INDIAN TRADERS (OEP)</v>
      </c>
    </row>
    <row r="1490" ht="16.5" customHeight="1">
      <c r="H1490" s="1" t="str">
        <f>IFERROR(__xludf.DUMMYFUNCTION("""COMPUTED_VALUE"""),"Indica Laboratories Pvt Ltd")</f>
        <v>Indica Laboratories Pvt Ltd</v>
      </c>
    </row>
    <row r="1491" ht="16.5" customHeight="1">
      <c r="H1491" s="1" t="str">
        <f>IFERROR(__xludf.DUMMYFUNCTION("""COMPUTED_VALUE"""),"INDILINA PHARMACEUTICALS")</f>
        <v>INDILINA PHARMACEUTICALS</v>
      </c>
    </row>
    <row r="1492" ht="16.5" customHeight="1">
      <c r="H1492" s="1" t="str">
        <f>IFERROR(__xludf.DUMMYFUNCTION("""COMPUTED_VALUE"""),"Indkus Drugs &amp; Pharma Pvt. Ltd")</f>
        <v>Indkus Drugs &amp; Pharma Pvt. Ltd</v>
      </c>
    </row>
    <row r="1493" ht="16.5" customHeight="1">
      <c r="H1493" s="1" t="str">
        <f>IFERROR(__xludf.DUMMYFUNCTION("""COMPUTED_VALUE"""),"Indkus Drugs &amp; Pharma Pvt. Ltd.")</f>
        <v>Indkus Drugs &amp; Pharma Pvt. Ltd.</v>
      </c>
    </row>
    <row r="1494" ht="16.5" customHeight="1">
      <c r="H1494" s="1" t="str">
        <f>IFERROR(__xludf.DUMMYFUNCTION("""COMPUTED_VALUE"""),"INDOCO REMEDIES (WARREN-EXEL)")</f>
        <v>INDOCO REMEDIES (WARREN-EXEL)</v>
      </c>
    </row>
    <row r="1495" ht="16.5" customHeight="1">
      <c r="H1495" s="1" t="str">
        <f>IFERROR(__xludf.DUMMYFUNCTION("""COMPUTED_VALUE"""),"INDOCO REMEDIES (WARREN)")</f>
        <v>INDOCO REMEDIES (WARREN)</v>
      </c>
    </row>
    <row r="1496" ht="16.5" customHeight="1">
      <c r="H1496" s="1" t="str">
        <f>IFERROR(__xludf.DUMMYFUNCTION("""COMPUTED_VALUE"""),"Indoco Remedies Ltd")</f>
        <v>Indoco Remedies Ltd</v>
      </c>
    </row>
    <row r="1497" ht="16.5" customHeight="1">
      <c r="H1497" s="1" t="str">
        <f>IFERROR(__xludf.DUMMYFUNCTION("""COMPUTED_VALUE"""),"INDON HEALTHCARE LTD.")</f>
        <v>INDON HEALTHCARE LTD.</v>
      </c>
    </row>
    <row r="1498" ht="16.5" customHeight="1">
      <c r="H1498" s="1" t="str">
        <f>IFERROR(__xludf.DUMMYFUNCTION("""COMPUTED_VALUE"""),"INDORE MEDICINE HOUSE (COMMON)")</f>
        <v>INDORE MEDICINE HOUSE (COMMON)</v>
      </c>
    </row>
    <row r="1499" ht="16.5" customHeight="1">
      <c r="H1499" s="1" t="str">
        <f>IFERROR(__xludf.DUMMYFUNCTION("""COMPUTED_VALUE"""),"INDORE MEDICINE HOUSE (VETERINARY)")</f>
        <v>INDORE MEDICINE HOUSE (VETERINARY)</v>
      </c>
    </row>
    <row r="1500" ht="16.5" customHeight="1">
      <c r="H1500" s="1" t="str">
        <f>IFERROR(__xludf.DUMMYFUNCTION("""COMPUTED_VALUE"""),"INDOSS LIFE SCIENCES")</f>
        <v>INDOSS LIFE SCIENCES</v>
      </c>
    </row>
    <row r="1501" ht="16.5" customHeight="1">
      <c r="H1501" s="1" t="str">
        <f>IFERROR(__xludf.DUMMYFUNCTION("""COMPUTED_VALUE"""),"INDUS MEDITECH P LTD")</f>
        <v>INDUS MEDITECH P LTD</v>
      </c>
    </row>
    <row r="1502" ht="16.5" customHeight="1">
      <c r="H1502" s="1" t="str">
        <f>IFERROR(__xludf.DUMMYFUNCTION("""COMPUTED_VALUE"""),"INDUSKEN")</f>
        <v>INDUSKEN</v>
      </c>
    </row>
    <row r="1503" ht="16.5" customHeight="1">
      <c r="H1503" s="1" t="str">
        <f>IFERROR(__xludf.DUMMYFUNCTION("""COMPUTED_VALUE"""),"Infar (India) Ltd.")</f>
        <v>Infar (India) Ltd.</v>
      </c>
    </row>
    <row r="1504" ht="16.5" customHeight="1">
      <c r="H1504" s="1" t="str">
        <f>IFERROR(__xludf.DUMMYFUNCTION("""COMPUTED_VALUE"""),"INGA LABORATORIES")</f>
        <v>INGA LABORATORIES</v>
      </c>
    </row>
    <row r="1505" ht="16.5" customHeight="1">
      <c r="H1505" s="1" t="str">
        <f>IFERROR(__xludf.DUMMYFUNCTION("""COMPUTED_VALUE"""),"INGOLDSHIELD PHARMA")</f>
        <v>INGOLDSHIELD PHARMA</v>
      </c>
    </row>
    <row r="1506" ht="16.5" customHeight="1">
      <c r="H1506" s="1" t="str">
        <f>IFERROR(__xludf.DUMMYFUNCTION("""COMPUTED_VALUE"""),"INIZIA HEALTHCARE")</f>
        <v>INIZIA HEALTHCARE</v>
      </c>
    </row>
    <row r="1507" ht="16.5" customHeight="1">
      <c r="H1507" s="1" t="str">
        <f>IFERROR(__xludf.DUMMYFUNCTION("""COMPUTED_VALUE"""),"INIZIA HEALTHCARE (CENURA)")</f>
        <v>INIZIA HEALTHCARE (CENURA)</v>
      </c>
    </row>
    <row r="1508" ht="16.5" customHeight="1">
      <c r="H1508" s="1" t="str">
        <f>IFERROR(__xludf.DUMMYFUNCTION("""COMPUTED_VALUE"""),"INJAYS PHARMACEUTICALS P LTD")</f>
        <v>INJAYS PHARMACEUTICALS P LTD</v>
      </c>
    </row>
    <row r="1509" ht="16.5" customHeight="1">
      <c r="H1509" s="1" t="str">
        <f>IFERROR(__xludf.DUMMYFUNCTION("""COMPUTED_VALUE"""),"INJECT CARE PARENTERALS")</f>
        <v>INJECT CARE PARENTERALS</v>
      </c>
    </row>
    <row r="1510" ht="16.5" customHeight="1">
      <c r="H1510" s="1" t="str">
        <f>IFERROR(__xludf.DUMMYFUNCTION("""COMPUTED_VALUE"""),"INJECTO CAPTA PVT.LTD.")</f>
        <v>INJECTO CAPTA PVT.LTD.</v>
      </c>
    </row>
    <row r="1511" ht="16.5" customHeight="1">
      <c r="H1511" s="1" t="str">
        <f>IFERROR(__xludf.DUMMYFUNCTION("""COMPUTED_VALUE"""),"INNATE BIOTECH")</f>
        <v>INNATE BIOTECH</v>
      </c>
    </row>
    <row r="1512" ht="16.5" customHeight="1">
      <c r="H1512" s="1" t="str">
        <f>IFERROR(__xludf.DUMMYFUNCTION("""COMPUTED_VALUE"""),"INNOVA FORMULATION PVT LTD")</f>
        <v>INNOVA FORMULATION PVT LTD</v>
      </c>
    </row>
    <row r="1513" ht="16.5" customHeight="1">
      <c r="H1513" s="1" t="str">
        <f>IFERROR(__xludf.DUMMYFUNCTION("""COMPUTED_VALUE"""),"INNOVATIVE")</f>
        <v>INNOVATIVE</v>
      </c>
    </row>
    <row r="1514" ht="16.5" customHeight="1">
      <c r="H1514" s="1" t="str">
        <f>IFERROR(__xludf.DUMMYFUNCTION("""COMPUTED_VALUE"""),"Innovative Lifesciences")</f>
        <v>Innovative Lifesciences</v>
      </c>
    </row>
    <row r="1515" ht="16.5" customHeight="1">
      <c r="H1515" s="1" t="str">
        <f>IFERROR(__xludf.DUMMYFUNCTION("""COMPUTED_VALUE"""),"INNOVATIVE PHARMACEUTICALS (GENERIC)")</f>
        <v>INNOVATIVE PHARMACEUTICALS (GENERIC)</v>
      </c>
    </row>
    <row r="1516" ht="16.5" customHeight="1">
      <c r="H1516" s="1" t="str">
        <f>IFERROR(__xludf.DUMMYFUNCTION("""COMPUTED_VALUE"""),"INNOVCARE LIFESCIENCE (ALTIUS)")</f>
        <v>INNOVCARE LIFESCIENCE (ALTIUS)</v>
      </c>
    </row>
    <row r="1517" ht="16.5" customHeight="1">
      <c r="H1517" s="1" t="str">
        <f>IFERROR(__xludf.DUMMYFUNCTION("""COMPUTED_VALUE"""),"INNOVCARE LIFESCIENCES")</f>
        <v>INNOVCARE LIFESCIENCES</v>
      </c>
    </row>
    <row r="1518" ht="16.5" customHeight="1">
      <c r="H1518" s="1" t="str">
        <f>IFERROR(__xludf.DUMMYFUNCTION("""COMPUTED_VALUE"""),"INNOVEXIA LIFE SCIENCES")</f>
        <v>INNOVEXIA LIFE SCIENCES</v>
      </c>
    </row>
    <row r="1519" ht="16.5" customHeight="1">
      <c r="H1519" s="1" t="str">
        <f>IFERROR(__xludf.DUMMYFUNCTION("""COMPUTED_VALUE"""),"INNOVEXIA LIFE SCIENCES PVT LTD")</f>
        <v>INNOVEXIA LIFE SCIENCES PVT LTD</v>
      </c>
    </row>
    <row r="1520" ht="16.5" customHeight="1">
      <c r="H1520" s="1" t="str">
        <f>IFERROR(__xludf.DUMMYFUNCTION("""COMPUTED_VALUE"""),"INOWELL PHARMA (GYNEAC)")</f>
        <v>INOWELL PHARMA (GYNEAC)</v>
      </c>
    </row>
    <row r="1521" ht="16.5" customHeight="1">
      <c r="H1521" s="1" t="str">
        <f>IFERROR(__xludf.DUMMYFUNCTION("""COMPUTED_VALUE"""),"INSIGHT EYECARE")</f>
        <v>INSIGHT EYECARE</v>
      </c>
    </row>
    <row r="1522" ht="16.5" customHeight="1">
      <c r="H1522" s="1" t="str">
        <f>IFERROR(__xludf.DUMMYFUNCTION("""COMPUTED_VALUE"""),"INTAS (ADRINA)")</f>
        <v>INTAS (ADRINA)</v>
      </c>
    </row>
    <row r="1523" ht="16.5" customHeight="1">
      <c r="H1523" s="1" t="str">
        <f>IFERROR(__xludf.DUMMYFUNCTION("""COMPUTED_VALUE"""),"INTAS (ALAIRA)")</f>
        <v>INTAS (ALAIRA)</v>
      </c>
    </row>
    <row r="1524" ht="16.5" customHeight="1">
      <c r="H1524" s="1" t="str">
        <f>IFERROR(__xludf.DUMMYFUNCTION("""COMPUTED_VALUE"""),"INTAS (ALECTA)")</f>
        <v>INTAS (ALECTA)</v>
      </c>
    </row>
    <row r="1525" ht="16.5" customHeight="1">
      <c r="H1525" s="1" t="str">
        <f>IFERROR(__xludf.DUMMYFUNCTION("""COMPUTED_VALUE"""),"INTAS (ALERON)")</f>
        <v>INTAS (ALERON)</v>
      </c>
    </row>
    <row r="1526" ht="16.5" customHeight="1">
      <c r="H1526" s="1" t="str">
        <f>IFERROR(__xludf.DUMMYFUNCTION("""COMPUTED_VALUE"""),"INTAS (ALTIMA)")</f>
        <v>INTAS (ALTIMA)</v>
      </c>
    </row>
    <row r="1527" ht="16.5" customHeight="1">
      <c r="H1527" s="1" t="str">
        <f>IFERROR(__xludf.DUMMYFUNCTION("""COMPUTED_VALUE"""),"INTAS (ALTIS)")</f>
        <v>INTAS (ALTIS)</v>
      </c>
    </row>
    <row r="1528" ht="16.5" customHeight="1">
      <c r="H1528" s="1" t="str">
        <f>IFERROR(__xludf.DUMMYFUNCTION("""COMPUTED_VALUE"""),"INTAS (ANDRE)")</f>
        <v>INTAS (ANDRE)</v>
      </c>
    </row>
    <row r="1529" ht="16.5" customHeight="1">
      <c r="H1529" s="1" t="str">
        <f>IFERROR(__xludf.DUMMYFUNCTION("""COMPUTED_VALUE"""),"INTAS (AQUILA)")</f>
        <v>INTAS (AQUILA)</v>
      </c>
    </row>
    <row r="1530" ht="16.5" customHeight="1">
      <c r="H1530" s="1" t="str">
        <f>IFERROR(__xludf.DUMMYFUNCTION("""COMPUTED_VALUE"""),"INTAS (ARRON)")</f>
        <v>INTAS (ARRON)</v>
      </c>
    </row>
    <row r="1531" ht="16.5" customHeight="1">
      <c r="H1531" s="1" t="str">
        <f>IFERROR(__xludf.DUMMYFUNCTION("""COMPUTED_VALUE"""),"INTAS (ASPIRA)")</f>
        <v>INTAS (ASPIRA)</v>
      </c>
    </row>
    <row r="1532" ht="16.5" customHeight="1">
      <c r="H1532" s="1" t="str">
        <f>IFERROR(__xludf.DUMMYFUNCTION("""COMPUTED_VALUE"""),"INTAS (ASTERA)")</f>
        <v>INTAS (ASTERA)</v>
      </c>
    </row>
    <row r="1533" ht="16.5" customHeight="1">
      <c r="H1533" s="1" t="str">
        <f>IFERROR(__xludf.DUMMYFUNCTION("""COMPUTED_VALUE"""),"INTAS (AVANTA)")</f>
        <v>INTAS (AVANTA)</v>
      </c>
    </row>
    <row r="1534" ht="16.5" customHeight="1">
      <c r="H1534" s="1" t="str">
        <f>IFERROR(__xludf.DUMMYFUNCTION("""COMPUTED_VALUE"""),"INTAS (AVIOR)")</f>
        <v>INTAS (AVIOR)</v>
      </c>
    </row>
    <row r="1535" ht="16.5" customHeight="1">
      <c r="H1535" s="1" t="str">
        <f>IFERROR(__xludf.DUMMYFUNCTION("""COMPUTED_VALUE"""),"INTAS (AYOKKA)")</f>
        <v>INTAS (AYOKKA)</v>
      </c>
    </row>
    <row r="1536" ht="16.5" customHeight="1">
      <c r="H1536" s="1" t="str">
        <f>IFERROR(__xludf.DUMMYFUNCTION("""COMPUTED_VALUE"""),"INTAS (INARA)")</f>
        <v>INTAS (INARA)</v>
      </c>
    </row>
    <row r="1537" ht="16.5" customHeight="1">
      <c r="H1537" s="1" t="str">
        <f>IFERROR(__xludf.DUMMYFUNCTION("""COMPUTED_VALUE"""),"INTAS (NEPHROLOGY)")</f>
        <v>INTAS (NEPHROLOGY)</v>
      </c>
    </row>
    <row r="1538" ht="16.5" customHeight="1">
      <c r="H1538" s="1" t="str">
        <f>IFERROR(__xludf.DUMMYFUNCTION("""COMPUTED_VALUE"""),"INTAS (ONCOLOGY)")</f>
        <v>INTAS (ONCOLOGY)</v>
      </c>
    </row>
    <row r="1539" ht="16.5" customHeight="1">
      <c r="H1539" s="1" t="str">
        <f>IFERROR(__xludf.DUMMYFUNCTION("""COMPUTED_VALUE"""),"INTAS (OPTIMA)")</f>
        <v>INTAS (OPTIMA)</v>
      </c>
    </row>
    <row r="1540" ht="16.5" customHeight="1">
      <c r="H1540" s="1" t="str">
        <f>IFERROR(__xludf.DUMMYFUNCTION("""COMPUTED_VALUE"""),"INTAS (PHARMA)")</f>
        <v>INTAS (PHARMA)</v>
      </c>
    </row>
    <row r="1541" ht="16.5" customHeight="1">
      <c r="H1541" s="1" t="str">
        <f>IFERROR(__xludf.DUMMYFUNCTION("""COMPUTED_VALUE"""),"INTAS (SPECIALITIES)")</f>
        <v>INTAS (SPECIALITIES)</v>
      </c>
    </row>
    <row r="1542" ht="16.5" customHeight="1">
      <c r="H1542" s="1" t="str">
        <f>IFERROR(__xludf.DUMMYFUNCTION("""COMPUTED_VALUE"""),"INTAS (SUPRIMA)")</f>
        <v>INTAS (SUPRIMA)</v>
      </c>
    </row>
    <row r="1543" ht="16.5" customHeight="1">
      <c r="H1543" s="1" t="str">
        <f>IFERROR(__xludf.DUMMYFUNCTION("""COMPUTED_VALUE"""),"INTAS (SUPRIVA)")</f>
        <v>INTAS (SUPRIVA)</v>
      </c>
    </row>
    <row r="1544" ht="16.5" customHeight="1">
      <c r="H1544" s="1" t="str">
        <f>IFERROR(__xludf.DUMMYFUNCTION("""COMPUTED_VALUE"""),"INTAS (SURIVA)")</f>
        <v>INTAS (SURIVA)</v>
      </c>
    </row>
    <row r="1545" ht="16.5" customHeight="1">
      <c r="H1545" s="1" t="str">
        <f>IFERROR(__xludf.DUMMYFUNCTION("""COMPUTED_VALUE"""),"INTAS (SYBELLA)")</f>
        <v>INTAS (SYBELLA)</v>
      </c>
    </row>
    <row r="1546" ht="16.5" customHeight="1">
      <c r="H1546" s="1" t="str">
        <f>IFERROR(__xludf.DUMMYFUNCTION("""COMPUTED_VALUE"""),"INTAS (UROLOGY)")</f>
        <v>INTAS (UROLOGY)</v>
      </c>
    </row>
    <row r="1547" ht="16.5" customHeight="1">
      <c r="H1547" s="1" t="str">
        <f>IFERROR(__xludf.DUMMYFUNCTION("""COMPUTED_VALUE"""),"INTAS (VECTOR)")</f>
        <v>INTAS (VECTOR)</v>
      </c>
    </row>
    <row r="1548" ht="16.5" customHeight="1">
      <c r="H1548" s="1" t="str">
        <f>IFERROR(__xludf.DUMMYFUNCTION("""COMPUTED_VALUE"""),"INTAS (VIVIA)")</f>
        <v>INTAS (VIVIA)</v>
      </c>
    </row>
    <row r="1549" ht="16.5" customHeight="1">
      <c r="H1549" s="1" t="str">
        <f>IFERROR(__xludf.DUMMYFUNCTION("""COMPUTED_VALUE"""),"INTAS (XENITH)")</f>
        <v>INTAS (XENITH)</v>
      </c>
    </row>
    <row r="1550" ht="16.5" customHeight="1">
      <c r="H1550" s="1" t="str">
        <f>IFERROR(__xludf.DUMMYFUNCTION("""COMPUTED_VALUE"""),"Intas Pharmaceuticals Ltd")</f>
        <v>Intas Pharmaceuticals Ltd</v>
      </c>
    </row>
    <row r="1551" ht="16.5" customHeight="1">
      <c r="H1551" s="1" t="str">
        <f>IFERROR(__xludf.DUMMYFUNCTION("""COMPUTED_VALUE"""),"Intas Pharmaceuticals Ltd (GENERIC)")</f>
        <v>Intas Pharmaceuticals Ltd (GENERIC)</v>
      </c>
    </row>
    <row r="1552" ht="16.5" customHeight="1">
      <c r="H1552" s="1" t="str">
        <f>IFERROR(__xludf.DUMMYFUNCTION("""COMPUTED_VALUE"""),"Integra Life Sciences (P) Ltd. (Alfa Igra Inc.)")</f>
        <v>Integra Life Sciences (P) Ltd. (Alfa Igra Inc.)</v>
      </c>
    </row>
    <row r="1553" ht="16.5" customHeight="1">
      <c r="H1553" s="1" t="str">
        <f>IFERROR(__xludf.DUMMYFUNCTION("""COMPUTED_VALUE"""),"Integra Life Sciences (P) Ltd. (Alfa Igra Inc.)
")</f>
        <v>Integra Life Sciences (P) Ltd. (Alfa Igra Inc.)
</v>
      </c>
    </row>
    <row r="1554" ht="16.5" customHeight="1">
      <c r="H1554" s="1" t="str">
        <f>IFERROR(__xludf.DUMMYFUNCTION("""COMPUTED_VALUE"""),"INTEGRAL LIFE SCIENCES")</f>
        <v>INTEGRAL LIFE SCIENCES</v>
      </c>
    </row>
    <row r="1555" ht="16.5" customHeight="1">
      <c r="H1555" s="1" t="str">
        <f>IFERROR(__xludf.DUMMYFUNCTION("""COMPUTED_VALUE"""),"INTEGRAL LIFE SCIENCES (SS)")</f>
        <v>INTEGRAL LIFE SCIENCES (SS)</v>
      </c>
    </row>
    <row r="1556" ht="16.5" customHeight="1">
      <c r="H1556" s="1" t="str">
        <f>IFERROR(__xludf.DUMMYFUNCTION("""COMPUTED_VALUE"""),"INTEGRATED LABORATORIES PVT LTD")</f>
        <v>INTEGRATED LABORATORIES PVT LTD</v>
      </c>
    </row>
    <row r="1557" ht="16.5" customHeight="1">
      <c r="H1557" s="1" t="str">
        <f>IFERROR(__xludf.DUMMYFUNCTION("""COMPUTED_VALUE"""),"INTELICURE LIFESCIENCES")</f>
        <v>INTELICURE LIFESCIENCES</v>
      </c>
    </row>
    <row r="1558" ht="16.5" customHeight="1">
      <c r="H1558" s="1" t="str">
        <f>IFERROR(__xludf.DUMMYFUNCTION("""COMPUTED_VALUE"""),"Intermed Pharma Pvt Ltd")</f>
        <v>Intermed Pharma Pvt Ltd</v>
      </c>
    </row>
    <row r="1559" ht="16.5" customHeight="1">
      <c r="H1559" s="1" t="str">
        <f>IFERROR(__xludf.DUMMYFUNCTION("""COMPUTED_VALUE"""),"Intra Labs India Pvt. Ltd")</f>
        <v>Intra Labs India Pvt. Ltd</v>
      </c>
    </row>
    <row r="1560" ht="16.5" customHeight="1">
      <c r="H1560" s="1" t="str">
        <f>IFERROR(__xludf.DUMMYFUNCTION("""COMPUTED_VALUE"""),"Intra Labs India Pvt. Ltd. (Intra Life)")</f>
        <v>Intra Labs India Pvt. Ltd. (Intra Life)</v>
      </c>
    </row>
    <row r="1561" ht="16.5" customHeight="1">
      <c r="H1561" s="1" t="str">
        <f>IFERROR(__xludf.DUMMYFUNCTION("""COMPUTED_VALUE"""),"Intra Labs India Pvt. Ltd. (Inventure)")</f>
        <v>Intra Labs India Pvt. Ltd. (Inventure)</v>
      </c>
    </row>
    <row r="1562" ht="16.5" customHeight="1">
      <c r="H1562" s="1" t="str">
        <f>IFERROR(__xludf.DUMMYFUNCTION("""COMPUTED_VALUE"""),"Intra Life (Doxis Laboratories)")</f>
        <v>Intra Life (Doxis Laboratories)</v>
      </c>
    </row>
    <row r="1563" ht="16.5" customHeight="1">
      <c r="H1563" s="1" t="str">
        <f>IFERROR(__xludf.DUMMYFUNCTION("""COMPUTED_VALUE"""),"INVEN PHARMACEUTICALS PVT LTD")</f>
        <v>INVEN PHARMACEUTICALS PVT LTD</v>
      </c>
    </row>
    <row r="1564" ht="16.5" customHeight="1">
      <c r="H1564" s="1" t="str">
        <f>IFERROR(__xludf.DUMMYFUNCTION("""COMPUTED_VALUE"""),"INVENTIVE (GENERIC)")</f>
        <v>INVENTIVE (GENERIC)</v>
      </c>
    </row>
    <row r="1565" ht="16.5" customHeight="1">
      <c r="H1565" s="1" t="str">
        <f>IFERROR(__xludf.DUMMYFUNCTION("""COMPUTED_VALUE"""),"Invida India Pvt. Ltd.")</f>
        <v>Invida India Pvt. Ltd.</v>
      </c>
    </row>
    <row r="1566" ht="16.5" customHeight="1">
      <c r="H1566" s="1" t="str">
        <f>IFERROR(__xludf.DUMMYFUNCTION("""COMPUTED_VALUE"""),"INVISCUS LIFE SCIENCES")</f>
        <v>INVISCUS LIFE SCIENCES</v>
      </c>
    </row>
    <row r="1567" ht="16.5" customHeight="1">
      <c r="H1567" s="1" t="str">
        <f>IFERROR(__xludf.DUMMYFUNCTION("""COMPUTED_VALUE"""),"Invision Medi Sciences Pvt. Ltd")</f>
        <v>Invision Medi Sciences Pvt. Ltd</v>
      </c>
    </row>
    <row r="1568" ht="16.5" customHeight="1">
      <c r="H1568" s="1" t="str">
        <f>IFERROR(__xludf.DUMMYFUNCTION("""COMPUTED_VALUE"""),"Invomed Cotab Pvt. Ltd")</f>
        <v>Invomed Cotab Pvt. Ltd</v>
      </c>
    </row>
    <row r="1569" ht="16.5" customHeight="1">
      <c r="H1569" s="1" t="str">
        <f>IFERROR(__xludf.DUMMYFUNCTION("""COMPUTED_VALUE"""),"ION HEALTHCARE")</f>
        <v>ION HEALTHCARE</v>
      </c>
    </row>
    <row r="1570" ht="16.5" customHeight="1">
      <c r="H1570" s="1" t="str">
        <f>IFERROR(__xludf.DUMMYFUNCTION("""COMPUTED_VALUE"""),"IPC HEALTHCARE PVT LTD")</f>
        <v>IPC HEALTHCARE PVT LTD</v>
      </c>
    </row>
    <row r="1571" ht="16.5" customHeight="1">
      <c r="H1571" s="1" t="str">
        <f>IFERROR(__xludf.DUMMYFUNCTION("""COMPUTED_VALUE"""),"IPCA (1)")</f>
        <v>IPCA (1)</v>
      </c>
    </row>
    <row r="1572" ht="16.5" customHeight="1">
      <c r="H1572" s="1" t="str">
        <f>IFERROR(__xludf.DUMMYFUNCTION("""COMPUTED_VALUE"""),"IPCA (2)")</f>
        <v>IPCA (2)</v>
      </c>
    </row>
    <row r="1573" ht="16.5" customHeight="1">
      <c r="H1573" s="1" t="str">
        <f>IFERROR(__xludf.DUMMYFUNCTION("""COMPUTED_VALUE"""),"IPCA (3C)")</f>
        <v>IPCA (3C)</v>
      </c>
    </row>
    <row r="1574" ht="16.5" customHeight="1">
      <c r="H1574" s="1" t="str">
        <f>IFERROR(__xludf.DUMMYFUNCTION("""COMPUTED_VALUE"""),"IPCA (3D)")</f>
        <v>IPCA (3D)</v>
      </c>
    </row>
    <row r="1575" ht="16.5" customHeight="1">
      <c r="H1575" s="1" t="str">
        <f>IFERROR(__xludf.DUMMYFUNCTION("""COMPUTED_VALUE"""),"IPCA (ACTIVA)")</f>
        <v>IPCA (ACTIVA)</v>
      </c>
    </row>
    <row r="1576" ht="16.5" customHeight="1">
      <c r="H1576" s="1" t="str">
        <f>IFERROR(__xludf.DUMMYFUNCTION("""COMPUTED_VALUE"""),"IPCA (BIONOVA  ACE)")</f>
        <v>IPCA (BIONOVA  ACE)</v>
      </c>
    </row>
    <row r="1577" ht="16.5" customHeight="1">
      <c r="H1577" s="1" t="str">
        <f>IFERROR(__xludf.DUMMYFUNCTION("""COMPUTED_VALUE"""),"IPCA (BIONOVA ACE)")</f>
        <v>IPCA (BIONOVA ACE)</v>
      </c>
    </row>
    <row r="1578" ht="16.5" customHeight="1">
      <c r="H1578" s="1" t="str">
        <f>IFERROR(__xludf.DUMMYFUNCTION("""COMPUTED_VALUE"""),"IPCA (BIONOVA SPECIALITY)")</f>
        <v>IPCA (BIONOVA SPECIALITY)</v>
      </c>
    </row>
    <row r="1579" ht="16.5" customHeight="1">
      <c r="H1579" s="1" t="str">
        <f>IFERROR(__xludf.DUMMYFUNCTION("""COMPUTED_VALUE"""),"IPCA (BIONOVA)")</f>
        <v>IPCA (BIONOVA)</v>
      </c>
    </row>
    <row r="1580" ht="16.5" customHeight="1">
      <c r="H1580" s="1" t="str">
        <f>IFERROR(__xludf.DUMMYFUNCTION("""COMPUTED_VALUE"""),"IPCA (CARDIMET)")</f>
        <v>IPCA (CARDIMET)</v>
      </c>
    </row>
    <row r="1581" ht="16.5" customHeight="1">
      <c r="H1581" s="1" t="str">
        <f>IFERROR(__xludf.DUMMYFUNCTION("""COMPUTED_VALUE"""),"IPCA (CARDINOVA)")</f>
        <v>IPCA (CARDINOVA)</v>
      </c>
    </row>
    <row r="1582" ht="16.5" customHeight="1">
      <c r="H1582" s="1" t="str">
        <f>IFERROR(__xludf.DUMMYFUNCTION("""COMPUTED_VALUE"""),"IPCA (DYNAMIX)")</f>
        <v>IPCA (DYNAMIX)</v>
      </c>
    </row>
    <row r="1583" ht="16.5" customHeight="1">
      <c r="H1583" s="1" t="str">
        <f>IFERROR(__xludf.DUMMYFUNCTION("""COMPUTED_VALUE"""),"IPCA (HYQ)")</f>
        <v>IPCA (HYQ)</v>
      </c>
    </row>
    <row r="1584" ht="16.5" customHeight="1">
      <c r="H1584" s="1" t="str">
        <f>IFERROR(__xludf.DUMMYFUNCTION("""COMPUTED_VALUE"""),"IPCA (INNOVA)")</f>
        <v>IPCA (INNOVA)</v>
      </c>
    </row>
    <row r="1585" ht="16.5" customHeight="1">
      <c r="H1585" s="1" t="str">
        <f>IFERROR(__xludf.DUMMYFUNCTION("""COMPUTED_VALUE"""),"IPCA (INTIMA)")</f>
        <v>IPCA (INTIMA)</v>
      </c>
    </row>
    <row r="1586" ht="16.5" customHeight="1">
      <c r="H1586" s="1" t="str">
        <f>IFERROR(__xludf.DUMMYFUNCTION("""COMPUTED_VALUE"""),"IPCA (IPM)")</f>
        <v>IPCA (IPM)</v>
      </c>
    </row>
    <row r="1587" ht="16.5" customHeight="1">
      <c r="H1587" s="1" t="str">
        <f>IFERROR(__xludf.DUMMYFUNCTION("""COMPUTED_VALUE"""),"IPCA (OPTIMA)")</f>
        <v>IPCA (OPTIMA)</v>
      </c>
    </row>
    <row r="1588" ht="16.5" customHeight="1">
      <c r="H1588" s="1" t="str">
        <f>IFERROR(__xludf.DUMMYFUNCTION("""COMPUTED_VALUE"""),"IPCA (PHARMA NEXT)")</f>
        <v>IPCA (PHARMA NEXT)</v>
      </c>
    </row>
    <row r="1589" ht="16.5" customHeight="1">
      <c r="H1589" s="1" t="str">
        <f>IFERROR(__xludf.DUMMYFUNCTION("""COMPUTED_VALUE"""),"IPCA (PHARMA)")</f>
        <v>IPCA (PHARMA)</v>
      </c>
    </row>
    <row r="1590" ht="16.5" customHeight="1">
      <c r="H1590" s="1" t="str">
        <f>IFERROR(__xludf.DUMMYFUNCTION("""COMPUTED_VALUE"""),"IPCA (URO SPECIALITY)")</f>
        <v>IPCA (URO SPECIALITY)</v>
      </c>
    </row>
    <row r="1591" ht="16.5" customHeight="1">
      <c r="H1591" s="1" t="str">
        <f>IFERROR(__xludf.DUMMYFUNCTION("""COMPUTED_VALUE"""),"IPCA (URO)")</f>
        <v>IPCA (URO)</v>
      </c>
    </row>
    <row r="1592" ht="16.5" customHeight="1">
      <c r="H1592" s="1" t="str">
        <f>IFERROR(__xludf.DUMMYFUNCTION("""COMPUTED_VALUE"""),"Ipca Laboratories Ltd")</f>
        <v>Ipca Laboratories Ltd</v>
      </c>
    </row>
    <row r="1593" ht="16.5" customHeight="1">
      <c r="H1593" s="1" t="str">
        <f>IFERROR(__xludf.DUMMYFUNCTION("""COMPUTED_VALUE"""),"Ipsa Labs Pvt Ltd")</f>
        <v>Ipsa Labs Pvt Ltd</v>
      </c>
    </row>
    <row r="1594" ht="16.5" customHeight="1">
      <c r="H1594" s="1" t="str">
        <f>IFERROR(__xludf.DUMMYFUNCTION("""COMPUTED_VALUE"""),"IQL HEALTHCARE P LTD")</f>
        <v>IQL HEALTHCARE P LTD</v>
      </c>
    </row>
    <row r="1595" ht="16.5" customHeight="1">
      <c r="H1595" s="1" t="str">
        <f>IFERROR(__xludf.DUMMYFUNCTION("""COMPUTED_VALUE"""),"IRX PHARMACEUTICALS PVT LTD")</f>
        <v>IRX PHARMACEUTICALS PVT LTD</v>
      </c>
    </row>
    <row r="1596" ht="16.5" customHeight="1">
      <c r="H1596" s="1" t="str">
        <f>IFERROR(__xludf.DUMMYFUNCTION("""COMPUTED_VALUE"""),"ISCON")</f>
        <v>ISCON</v>
      </c>
    </row>
    <row r="1597" ht="16.5" customHeight="1">
      <c r="H1597" s="1" t="str">
        <f>IFERROR(__xludf.DUMMYFUNCTION("""COMPUTED_VALUE"""),"ISCON LIFE SCIENCES")</f>
        <v>ISCON LIFE SCIENCES</v>
      </c>
    </row>
    <row r="1598" ht="16.5" customHeight="1">
      <c r="H1598" s="1" t="str">
        <f>IFERROR(__xludf.DUMMYFUNCTION("""COMPUTED_VALUE"""),"ISHAVARNI HEALTHCARE PVT LTD")</f>
        <v>ISHAVARNI HEALTHCARE PVT LTD</v>
      </c>
    </row>
    <row r="1599" ht="16.5" customHeight="1">
      <c r="H1599" s="1" t="str">
        <f>IFERROR(__xludf.DUMMYFUNCTION("""COMPUTED_VALUE"""),"ISIS Pharmaceuticals")</f>
        <v>ISIS Pharmaceuticals</v>
      </c>
    </row>
    <row r="1600" ht="16.5" customHeight="1">
      <c r="H1600" s="1" t="str">
        <f>IFERROR(__xludf.DUMMYFUNCTION("""COMPUTED_VALUE"""),"ISKON REMEDIES, SIRMOR")</f>
        <v>ISKON REMEDIES, SIRMOR</v>
      </c>
    </row>
    <row r="1601" ht="16.5" customHeight="1">
      <c r="H1601" s="1" t="str">
        <f>IFERROR(__xludf.DUMMYFUNCTION("""COMPUTED_VALUE"""),"ITC LIMITED")</f>
        <v>ITC LIMITED</v>
      </c>
    </row>
    <row r="1602" ht="16.5" customHeight="1">
      <c r="H1602" s="1" t="str">
        <f>IFERROR(__xludf.DUMMYFUNCTION("""COMPUTED_VALUE"""),"IZAR HEALTHCARE")</f>
        <v>IZAR HEALTHCARE</v>
      </c>
    </row>
    <row r="1603" ht="16.5" customHeight="1">
      <c r="H1603" s="1" t="str">
        <f>IFERROR(__xludf.DUMMYFUNCTION("""COMPUTED_VALUE"""),"J and J Dechane Pvt Ltd")</f>
        <v>J and J Dechane Pvt Ltd</v>
      </c>
    </row>
    <row r="1604" ht="16.5" customHeight="1">
      <c r="H1604" s="1" t="str">
        <f>IFERROR(__xludf.DUMMYFUNCTION("""COMPUTED_VALUE"""),"J L Morison India Ltd")</f>
        <v>J L Morison India Ltd</v>
      </c>
    </row>
    <row r="1605" ht="16.5" customHeight="1">
      <c r="H1605" s="1" t="str">
        <f>IFERROR(__xludf.DUMMYFUNCTION("""COMPUTED_VALUE"""),"J M REMEDIES")</f>
        <v>J M REMEDIES</v>
      </c>
    </row>
    <row r="1606" ht="16.5" customHeight="1">
      <c r="H1606" s="1" t="str">
        <f>IFERROR(__xludf.DUMMYFUNCTION("""COMPUTED_VALUE"""),"J M REMEDIES SOLAN")</f>
        <v>J M REMEDIES SOLAN</v>
      </c>
    </row>
    <row r="1607" ht="16.5" customHeight="1">
      <c r="H1607" s="1" t="str">
        <f>IFERROR(__xludf.DUMMYFUNCTION("""COMPUTED_VALUE"""),"J&amp;J BABY")</f>
        <v>J&amp;J BABY</v>
      </c>
    </row>
    <row r="1608" ht="16.5" customHeight="1">
      <c r="H1608" s="1" t="str">
        <f>IFERROR(__xludf.DUMMYFUNCTION("""COMPUTED_VALUE"""),"JABS BIOTECH")</f>
        <v>JABS BIOTECH</v>
      </c>
    </row>
    <row r="1609" ht="16.5" customHeight="1">
      <c r="H1609" s="1" t="str">
        <f>IFERROR(__xludf.DUMMYFUNCTION("""COMPUTED_VALUE"""),"JAGAT PHARMA")</f>
        <v>JAGAT PHARMA</v>
      </c>
    </row>
    <row r="1610" ht="16.5" customHeight="1">
      <c r="H1610" s="1" t="str">
        <f>IFERROR(__xludf.DUMMYFUNCTION("""COMPUTED_VALUE"""),"Jagdale Lifesciences")</f>
        <v>Jagdale Lifesciences</v>
      </c>
    </row>
    <row r="1611" ht="16.5" customHeight="1">
      <c r="H1611" s="1" t="str">
        <f>IFERROR(__xludf.DUMMYFUNCTION("""COMPUTED_VALUE"""),"JAGRAVE HERBAL PRODUCTS")</f>
        <v>JAGRAVE HERBAL PRODUCTS</v>
      </c>
    </row>
    <row r="1612" ht="16.5" customHeight="1">
      <c r="H1612" s="1" t="str">
        <f>IFERROR(__xludf.DUMMYFUNCTION("""COMPUTED_VALUE"""),"Jagsonpal Pharmaceuticals Ltd")</f>
        <v>Jagsonpal Pharmaceuticals Ltd</v>
      </c>
    </row>
    <row r="1613" ht="16.5" customHeight="1">
      <c r="H1613" s="1" t="str">
        <f>IFERROR(__xludf.DUMMYFUNCTION("""COMPUTED_VALUE"""),"JAIN GROUP PHARMACEUTICALS")</f>
        <v>JAIN GROUP PHARMACEUTICALS</v>
      </c>
    </row>
    <row r="1614" ht="16.5" customHeight="1">
      <c r="H1614" s="1" t="str">
        <f>IFERROR(__xludf.DUMMYFUNCTION("""COMPUTED_VALUE"""),"JAINSON BIOTECH")</f>
        <v>JAINSON BIOTECH</v>
      </c>
    </row>
    <row r="1615" ht="16.5" customHeight="1">
      <c r="H1615" s="1" t="str">
        <f>IFERROR(__xludf.DUMMYFUNCTION("""COMPUTED_VALUE"""),"JAINSON CHEMICALS")</f>
        <v>JAINSON CHEMICALS</v>
      </c>
    </row>
    <row r="1616" ht="16.5" customHeight="1">
      <c r="H1616" s="1" t="str">
        <f>IFERROR(__xludf.DUMMYFUNCTION("""COMPUTED_VALUE"""),"JAIWIK BIOTEK")</f>
        <v>JAIWIK BIOTEK</v>
      </c>
    </row>
    <row r="1617" ht="16.5" customHeight="1">
      <c r="H1617" s="1" t="str">
        <f>IFERROR(__xludf.DUMMYFUNCTION("""COMPUTED_VALUE"""),"JAMNA PHARMACEUTICALS")</f>
        <v>JAMNA PHARMACEUTICALS</v>
      </c>
    </row>
    <row r="1618" ht="16.5" customHeight="1">
      <c r="H1618" s="1" t="str">
        <f>IFERROR(__xludf.DUMMYFUNCTION("""COMPUTED_VALUE"""),"JAMSONS LABORTORIES")</f>
        <v>JAMSONS LABORTORIES</v>
      </c>
    </row>
    <row r="1619" ht="16.5" customHeight="1">
      <c r="H1619" s="1" t="str">
        <f>IFERROR(__xludf.DUMMYFUNCTION("""COMPUTED_VALUE"""),"JAMUWAY PHARMACEUTICALS")</f>
        <v>JAMUWAY PHARMACEUTICALS</v>
      </c>
    </row>
    <row r="1620" ht="16.5" customHeight="1">
      <c r="H1620" s="1" t="str">
        <f>IFERROR(__xludf.DUMMYFUNCTION("""COMPUTED_VALUE"""),"JANKEM LIFE SCIENCE")</f>
        <v>JANKEM LIFE SCIENCE</v>
      </c>
    </row>
    <row r="1621" ht="16.5" customHeight="1">
      <c r="H1621" s="1" t="str">
        <f>IFERROR(__xludf.DUMMYFUNCTION("""COMPUTED_VALUE"""),"JANMARK PHARMA LTD")</f>
        <v>JANMARK PHARMA LTD</v>
      </c>
    </row>
    <row r="1622" ht="16.5" customHeight="1">
      <c r="H1622" s="1" t="str">
        <f>IFERROR(__xludf.DUMMYFUNCTION("""COMPUTED_VALUE"""),"JANMERCH")</f>
        <v>JANMERCH</v>
      </c>
    </row>
    <row r="1623" ht="16.5" customHeight="1">
      <c r="H1623" s="1" t="str">
        <f>IFERROR(__xludf.DUMMYFUNCTION("""COMPUTED_VALUE"""),"JANTEC PHARMA")</f>
        <v>JANTEC PHARMA</v>
      </c>
    </row>
    <row r="1624" ht="16.5" customHeight="1">
      <c r="H1624" s="1" t="str">
        <f>IFERROR(__xludf.DUMMYFUNCTION("""COMPUTED_VALUE"""),"JANUS BIOTECH P LTD")</f>
        <v>JANUS BIOTECH P LTD</v>
      </c>
    </row>
    <row r="1625" ht="16.5" customHeight="1">
      <c r="H1625" s="1" t="str">
        <f>IFERROR(__xludf.DUMMYFUNCTION("""COMPUTED_VALUE"""),"JARK PHARMA PVT LTD")</f>
        <v>JARK PHARMA PVT LTD</v>
      </c>
    </row>
    <row r="1626" ht="16.5" customHeight="1">
      <c r="H1626" s="1" t="str">
        <f>IFERROR(__xludf.DUMMYFUNCTION("""COMPUTED_VALUE"""),"JARUN PHARMACEUTICALS")</f>
        <v>JARUN PHARMACEUTICALS</v>
      </c>
    </row>
    <row r="1627" ht="16.5" customHeight="1">
      <c r="H1627" s="1" t="str">
        <f>IFERROR(__xludf.DUMMYFUNCTION("""COMPUTED_VALUE"""),"JASCO NUTRI FOODS")</f>
        <v>JASCO NUTRI FOODS</v>
      </c>
    </row>
    <row r="1628" ht="16.5" customHeight="1">
      <c r="H1628" s="1" t="str">
        <f>IFERROR(__xludf.DUMMYFUNCTION("""COMPUTED_VALUE"""),"JASVIC LABORATORIES ROORKE")</f>
        <v>JASVIC LABORATORIES ROORKE</v>
      </c>
    </row>
    <row r="1629" ht="16.5" customHeight="1">
      <c r="H1629" s="1" t="str">
        <f>IFERROR(__xludf.DUMMYFUNCTION("""COMPUTED_VALUE"""),"Jawa Pharmaceuticals (I) Pvt. Ltd")</f>
        <v>Jawa Pharmaceuticals (I) Pvt. Ltd</v>
      </c>
    </row>
    <row r="1630" ht="16.5" customHeight="1">
      <c r="H1630" s="1" t="str">
        <f>IFERROR(__xludf.DUMMYFUNCTION("""COMPUTED_VALUE"""),"JAY ELL HEALTHCARE P LTD")</f>
        <v>JAY ELL HEALTHCARE P LTD</v>
      </c>
    </row>
    <row r="1631" ht="16.5" customHeight="1">
      <c r="H1631" s="1" t="str">
        <f>IFERROR(__xludf.DUMMYFUNCTION("""COMPUTED_VALUE"""),"JAY HEALTHCARE")</f>
        <v>JAY HEALTHCARE</v>
      </c>
    </row>
    <row r="1632" ht="16.5" customHeight="1">
      <c r="H1632" s="1" t="str">
        <f>IFERROR(__xludf.DUMMYFUNCTION("""COMPUTED_VALUE"""),"JAY LIFECARE")</f>
        <v>JAY LIFECARE</v>
      </c>
    </row>
    <row r="1633" ht="16.5" customHeight="1">
      <c r="H1633" s="1" t="str">
        <f>IFERROR(__xludf.DUMMYFUNCTION("""COMPUTED_VALUE"""),"JAY SHREE PHARMACEUTICALS")</f>
        <v>JAY SHREE PHARMACEUTICALS</v>
      </c>
    </row>
    <row r="1634" ht="16.5" customHeight="1">
      <c r="H1634" s="1" t="str">
        <f>IFERROR(__xludf.DUMMYFUNCTION("""COMPUTED_VALUE"""),"JAYSHREE PHARMACEUTICALS")</f>
        <v>JAYSHREE PHARMACEUTICALS</v>
      </c>
    </row>
    <row r="1635" ht="16.5" customHeight="1">
      <c r="H1635" s="1" t="str">
        <f>IFERROR(__xludf.DUMMYFUNCTION("""COMPUTED_VALUE"""),"JB Chemicals (DENTA)")</f>
        <v>JB Chemicals (DENTA)</v>
      </c>
    </row>
    <row r="1636" ht="16.5" customHeight="1">
      <c r="H1636" s="1" t="str">
        <f>IFERROR(__xludf.DUMMYFUNCTION("""COMPUTED_VALUE"""),"JB CHEMICALS (NEPHRO-URO)")</f>
        <v>JB CHEMICALS (NEPHRO-URO)</v>
      </c>
    </row>
    <row r="1637" ht="16.5" customHeight="1">
      <c r="H1637" s="1" t="str">
        <f>IFERROR(__xludf.DUMMYFUNCTION("""COMPUTED_VALUE"""),"JB Chemicals &amp; Pharmaceuticals Ltd")</f>
        <v>JB Chemicals &amp; Pharmaceuticals Ltd</v>
      </c>
    </row>
    <row r="1638" ht="16.5" customHeight="1">
      <c r="H1638" s="1" t="str">
        <f>IFERROR(__xludf.DUMMYFUNCTION("""COMPUTED_VALUE"""),"JB REMEDIES P LTD")</f>
        <v>JB REMEDIES P LTD</v>
      </c>
    </row>
    <row r="1639" ht="16.5" customHeight="1">
      <c r="H1639" s="1" t="str">
        <f>IFERROR(__xludf.DUMMYFUNCTION("""COMPUTED_VALUE"""),"JEEVAN JYOTI")</f>
        <v>JEEVAN JYOTI</v>
      </c>
    </row>
    <row r="1640" ht="16.5" customHeight="1">
      <c r="H1640" s="1" t="str">
        <f>IFERROR(__xludf.DUMMYFUNCTION("""COMPUTED_VALUE"""),"Jenburkt Pharmaceuticals Ltd")</f>
        <v>Jenburkt Pharmaceuticals Ltd</v>
      </c>
    </row>
    <row r="1641" ht="16.5" customHeight="1">
      <c r="H1641" s="1" t="str">
        <f>IFERROR(__xludf.DUMMYFUNCTION("""COMPUTED_VALUE"""),"JENOME BIOPHAR")</f>
        <v>JENOME BIOPHAR</v>
      </c>
    </row>
    <row r="1642" ht="16.5" customHeight="1">
      <c r="H1642" s="1" t="str">
        <f>IFERROR(__xludf.DUMMYFUNCTION("""COMPUTED_VALUE"""),"JHAWAR PHARMACY")</f>
        <v>JHAWAR PHARMACY</v>
      </c>
    </row>
    <row r="1643" ht="16.5" customHeight="1">
      <c r="H1643" s="1" t="str">
        <f>IFERROR(__xludf.DUMMYFUNCTION("""COMPUTED_VALUE"""),"JINESH PHARMA (OSP)")</f>
        <v>JINESH PHARMA (OSP)</v>
      </c>
    </row>
    <row r="1644" ht="16.5" customHeight="1">
      <c r="H1644" s="1" t="str">
        <f>IFERROR(__xludf.DUMMYFUNCTION("""COMPUTED_VALUE"""),"JIVYANA HEALTH CARE P LTD")</f>
        <v>JIVYANA HEALTH CARE P LTD</v>
      </c>
    </row>
    <row r="1645" ht="16.5" customHeight="1">
      <c r="H1645" s="1" t="str">
        <f>IFERROR(__xludf.DUMMYFUNCTION("""COMPUTED_VALUE"""),"JIWADAYA NETRAPRA")</f>
        <v>JIWADAYA NETRAPRA</v>
      </c>
    </row>
    <row r="1646" ht="16.5" customHeight="1">
      <c r="H1646" s="1" t="str">
        <f>IFERROR(__xludf.DUMMYFUNCTION("""COMPUTED_VALUE"""),"JK ANSELL P LTD")</f>
        <v>JK ANSELL P LTD</v>
      </c>
    </row>
    <row r="1647" ht="16.5" customHeight="1">
      <c r="H1647" s="1" t="str">
        <f>IFERROR(__xludf.DUMMYFUNCTION("""COMPUTED_VALUE"""),"JMK HEALTH CARE PVT LTD")</f>
        <v>JMK HEALTH CARE PVT LTD</v>
      </c>
    </row>
    <row r="1648" ht="16.5" customHeight="1">
      <c r="H1648" s="1" t="str">
        <f>IFERROR(__xludf.DUMMYFUNCTION("""COMPUTED_VALUE"""),"JNSON")</f>
        <v>JNSON</v>
      </c>
    </row>
    <row r="1649" ht="16.5" customHeight="1">
      <c r="H1649" s="1" t="str">
        <f>IFERROR(__xludf.DUMMYFUNCTION("""COMPUTED_VALUE"""),"John Biotech Pvt Ltd")</f>
        <v>John Biotech Pvt Ltd</v>
      </c>
    </row>
    <row r="1650" ht="16.5" customHeight="1">
      <c r="H1650" s="1" t="str">
        <f>IFERROR(__xludf.DUMMYFUNCTION("""COMPUTED_VALUE"""),"JOHNLEE PHARMACEUTICALS PVT LTD")</f>
        <v>JOHNLEE PHARMACEUTICALS PVT LTD</v>
      </c>
    </row>
    <row r="1651" ht="16.5" customHeight="1">
      <c r="H1651" s="1" t="str">
        <f>IFERROR(__xludf.DUMMYFUNCTION("""COMPUTED_VALUE"""),"Johnson &amp; Johnson")</f>
        <v>Johnson &amp; Johnson</v>
      </c>
    </row>
    <row r="1652" ht="16.5" customHeight="1">
      <c r="H1652" s="1" t="str">
        <f>IFERROR(__xludf.DUMMYFUNCTION("""COMPUTED_VALUE"""),"JOHNSON &amp; JOHNSON (CONSUMER)")</f>
        <v>JOHNSON &amp; JOHNSON (CONSUMER)</v>
      </c>
    </row>
    <row r="1653" ht="16.5" customHeight="1">
      <c r="H1653" s="1" t="str">
        <f>IFERROR(__xludf.DUMMYFUNCTION("""COMPUTED_VALUE"""),"JOHNSON &amp; JOHNSON (DERMA)")</f>
        <v>JOHNSON &amp; JOHNSON (DERMA)</v>
      </c>
    </row>
    <row r="1654" ht="16.5" customHeight="1">
      <c r="H1654" s="1" t="str">
        <f>IFERROR(__xludf.DUMMYFUNCTION("""COMPUTED_VALUE"""),"JOHNSON &amp; JOHNSON (ETHNOR)")</f>
        <v>JOHNSON &amp; JOHNSON (ETHNOR)</v>
      </c>
    </row>
    <row r="1655" ht="16.5" customHeight="1">
      <c r="H1655" s="1" t="str">
        <f>IFERROR(__xludf.DUMMYFUNCTION("""COMPUTED_VALUE"""),"JOHNSON &amp; JOHNSON (HOSPITAL)")</f>
        <v>JOHNSON &amp; JOHNSON (HOSPITAL)</v>
      </c>
    </row>
    <row r="1656" ht="16.5" customHeight="1">
      <c r="H1656" s="1" t="str">
        <f>IFERROR(__xludf.DUMMYFUNCTION("""COMPUTED_VALUE"""),"JOHNSON &amp; JOHNSON (MASS MARKET)")</f>
        <v>JOHNSON &amp; JOHNSON (MASS MARKET)</v>
      </c>
    </row>
    <row r="1657" ht="16.5" customHeight="1">
      <c r="H1657" s="1" t="str">
        <f>IFERROR(__xludf.DUMMYFUNCTION("""COMPUTED_VALUE"""),"JOHNSON &amp; JOHNSON (METABOLIX)")</f>
        <v>JOHNSON &amp; JOHNSON (METABOLIX)</v>
      </c>
    </row>
    <row r="1658" ht="16.5" customHeight="1">
      <c r="H1658" s="1" t="str">
        <f>IFERROR(__xludf.DUMMYFUNCTION("""COMPUTED_VALUE"""),"JOLLY HEALTH CARE")</f>
        <v>JOLLY HEALTH CARE</v>
      </c>
    </row>
    <row r="1659" ht="16.5" customHeight="1">
      <c r="H1659" s="1" t="str">
        <f>IFERROR(__xludf.DUMMYFUNCTION("""COMPUTED_VALUE"""),"JOYCARE LIFE SCIENCES")</f>
        <v>JOYCARE LIFE SCIENCES</v>
      </c>
    </row>
    <row r="1660" ht="16.5" customHeight="1">
      <c r="H1660" s="1" t="str">
        <f>IFERROR(__xludf.DUMMYFUNCTION("""COMPUTED_VALUE"""),"JOYEAPCE HEALTHCARE")</f>
        <v>JOYEAPCE HEALTHCARE</v>
      </c>
    </row>
    <row r="1661" ht="16.5" customHeight="1">
      <c r="H1661" s="1" t="str">
        <f>IFERROR(__xludf.DUMMYFUNCTION("""COMPUTED_VALUE"""),"JUBILANT (SPICA)")</f>
        <v>JUBILANT (SPICA)</v>
      </c>
    </row>
    <row r="1662" ht="16.5" customHeight="1">
      <c r="H1662" s="1" t="str">
        <f>IFERROR(__xludf.DUMMYFUNCTION("""COMPUTED_VALUE"""),"JUBILANT (VEGA)")</f>
        <v>JUBILANT (VEGA)</v>
      </c>
    </row>
    <row r="1663" ht="16.5" customHeight="1">
      <c r="H1663" s="1" t="str">
        <f>IFERROR(__xludf.DUMMYFUNCTION("""COMPUTED_VALUE"""),"Jubilant Life Sciences")</f>
        <v>Jubilant Life Sciences</v>
      </c>
    </row>
    <row r="1664" ht="16.5" customHeight="1">
      <c r="H1664" s="1" t="str">
        <f>IFERROR(__xludf.DUMMYFUNCTION("""COMPUTED_VALUE"""),"Juggat Pharma")</f>
        <v>Juggat Pharma</v>
      </c>
    </row>
    <row r="1665" ht="16.5" customHeight="1">
      <c r="H1665" s="1" t="str">
        <f>IFERROR(__xludf.DUMMYFUNCTION("""COMPUTED_VALUE"""),"Jupiter Pharmaceutical Ltd")</f>
        <v>Jupiter Pharmaceutical Ltd</v>
      </c>
    </row>
    <row r="1666" ht="16.5" customHeight="1">
      <c r="H1666" s="1" t="str">
        <f>IFERROR(__xludf.DUMMYFUNCTION("""COMPUTED_VALUE"""),"JUPITER PHARMACEUTICALS (Ayurvedic)")</f>
        <v>JUPITER PHARMACEUTICALS (Ayurvedic)</v>
      </c>
    </row>
    <row r="1667" ht="16.5" customHeight="1">
      <c r="H1667" s="1" t="str">
        <f>IFERROR(__xludf.DUMMYFUNCTION("""COMPUTED_VALUE"""),"JUPIVEN PHARMA PVT LTD")</f>
        <v>JUPIVEN PHARMA PVT LTD</v>
      </c>
    </row>
    <row r="1668" ht="16.5" customHeight="1">
      <c r="H1668" s="1" t="str">
        <f>IFERROR(__xludf.DUMMYFUNCTION("""COMPUTED_VALUE"""),"JUVENOR PHARMACEUTICALS INC")</f>
        <v>JUVENOR PHARMACEUTICALS INC</v>
      </c>
    </row>
    <row r="1669" ht="16.5" customHeight="1">
      <c r="H1669" s="1" t="str">
        <f>IFERROR(__xludf.DUMMYFUNCTION("""COMPUTED_VALUE"""),"JVJ PHARMACEUTICALS P LTD")</f>
        <v>JVJ PHARMACEUTICALS P LTD</v>
      </c>
    </row>
    <row r="1670" ht="16.5" customHeight="1">
      <c r="H1670" s="1" t="str">
        <f>IFERROR(__xludf.DUMMYFUNCTION("""COMPUTED_VALUE"""),"JVS")</f>
        <v>JVS</v>
      </c>
    </row>
    <row r="1671" ht="16.5" customHeight="1">
      <c r="H1671" s="1" t="str">
        <f>IFERROR(__xludf.DUMMYFUNCTION("""COMPUTED_VALUE"""),"JYOTHI")</f>
        <v>JYOTHI</v>
      </c>
    </row>
    <row r="1672" ht="16.5" customHeight="1">
      <c r="H1672" s="1" t="str">
        <f>IFERROR(__xludf.DUMMYFUNCTION("""COMPUTED_VALUE"""),"JYOTI HERBS (INDIA) P LTD")</f>
        <v>JYOTI HERBS (INDIA) P LTD</v>
      </c>
    </row>
    <row r="1673" ht="16.5" customHeight="1">
      <c r="H1673" s="1" t="str">
        <f>IFERROR(__xludf.DUMMYFUNCTION("""COMPUTED_VALUE"""),"K BIO HEARBS")</f>
        <v>K BIO HEARBS</v>
      </c>
    </row>
    <row r="1674" ht="16.5" customHeight="1">
      <c r="H1674" s="1" t="str">
        <f>IFERROR(__xludf.DUMMYFUNCTION("""COMPUTED_VALUE"""),"KABIR LIFESCIENCES AND RESEARCH PVT LTD")</f>
        <v>KABIR LIFESCIENCES AND RESEARCH PVT LTD</v>
      </c>
    </row>
    <row r="1675" ht="16.5" customHeight="1">
      <c r="H1675" s="1" t="str">
        <f>IFERROR(__xludf.DUMMYFUNCTION("""COMPUTED_VALUE"""),"KABRA DRUGS LTD")</f>
        <v>KABRA DRUGS LTD</v>
      </c>
    </row>
    <row r="1676" ht="16.5" customHeight="1">
      <c r="H1676" s="1" t="str">
        <f>IFERROR(__xludf.DUMMYFUNCTION("""COMPUTED_VALUE"""),"KAIYNAAT &amp; SABROZ")</f>
        <v>KAIYNAAT &amp; SABROZ</v>
      </c>
    </row>
    <row r="1677" ht="16.5" customHeight="1">
      <c r="H1677" s="1" t="str">
        <f>IFERROR(__xludf.DUMMYFUNCTION("""COMPUTED_VALUE"""),"KAIZEN LABORATORIES PVT LTD")</f>
        <v>KAIZEN LABORATORIES PVT LTD</v>
      </c>
    </row>
    <row r="1678" ht="16.5" customHeight="1">
      <c r="H1678" s="1" t="str">
        <f>IFERROR(__xludf.DUMMYFUNCTION("""COMPUTED_VALUE"""),"KAMAL &amp; SONS")</f>
        <v>KAMAL &amp; SONS</v>
      </c>
    </row>
    <row r="1679" ht="16.5" customHeight="1">
      <c r="H1679" s="1" t="str">
        <f>IFERROR(__xludf.DUMMYFUNCTION("""COMPUTED_VALUE"""),"KAMBRIL HEALTHCARE PVT LTD")</f>
        <v>KAMBRIL HEALTHCARE PVT LTD</v>
      </c>
    </row>
    <row r="1680" ht="16.5" customHeight="1">
      <c r="H1680" s="1" t="str">
        <f>IFERROR(__xludf.DUMMYFUNCTION("""COMPUTED_VALUE"""),"KANAM LATEX PVT LTD")</f>
        <v>KANAM LATEX PVT LTD</v>
      </c>
    </row>
    <row r="1681" ht="16.5" customHeight="1">
      <c r="H1681" s="1" t="str">
        <f>IFERROR(__xludf.DUMMYFUNCTION("""COMPUTED_VALUE"""),"KANGAROO")</f>
        <v>KANGAROO</v>
      </c>
    </row>
    <row r="1682" ht="16.5" customHeight="1">
      <c r="H1682" s="1" t="str">
        <f>IFERROR(__xludf.DUMMYFUNCTION("""COMPUTED_VALUE"""),"KANNU IMPEX INDIA PVT LTD")</f>
        <v>KANNU IMPEX INDIA PVT LTD</v>
      </c>
    </row>
    <row r="1683" ht="16.5" customHeight="1">
      <c r="H1683" s="1" t="str">
        <f>IFERROR(__xludf.DUMMYFUNCTION("""COMPUTED_VALUE"""),"KAPIRET LIFESCIENCES")</f>
        <v>KAPIRET LIFESCIENCES</v>
      </c>
    </row>
    <row r="1684" ht="16.5" customHeight="1">
      <c r="H1684" s="1" t="str">
        <f>IFERROR(__xludf.DUMMYFUNCTION("""COMPUTED_VALUE"""),"KARAM INDUSTRIES")</f>
        <v>KARAM INDUSTRIES</v>
      </c>
    </row>
    <row r="1685" ht="16.5" customHeight="1">
      <c r="H1685" s="1" t="str">
        <f>IFERROR(__xludf.DUMMYFUNCTION("""COMPUTED_VALUE"""),"KARNANI PHARMA")</f>
        <v>KARNANI PHARMA</v>
      </c>
    </row>
    <row r="1686" ht="16.5" customHeight="1">
      <c r="H1686" s="1" t="str">
        <f>IFERROR(__xludf.DUMMYFUNCTION("""COMPUTED_VALUE"""),"Karnataka Antibiotics &amp; Pharmaceuticals Ltd")</f>
        <v>Karnataka Antibiotics &amp; Pharmaceuticals Ltd</v>
      </c>
    </row>
    <row r="1687" ht="16.5" customHeight="1">
      <c r="H1687" s="1" t="str">
        <f>IFERROR(__xludf.DUMMYFUNCTION("""COMPUTED_VALUE"""),"KAVYA HEALTHCARE")</f>
        <v>KAVYA HEALTHCARE</v>
      </c>
    </row>
    <row r="1688" ht="16.5" customHeight="1">
      <c r="H1688" s="1" t="str">
        <f>IFERROR(__xludf.DUMMYFUNCTION("""COMPUTED_VALUE"""),"KAYTEE")</f>
        <v>KAYTEE</v>
      </c>
    </row>
    <row r="1689" ht="16.5" customHeight="1">
      <c r="H1689" s="1" t="str">
        <f>IFERROR(__xludf.DUMMYFUNCTION("""COMPUTED_VALUE"""),"KD CHEM-PHARMA")</f>
        <v>KD CHEM-PHARMA</v>
      </c>
    </row>
    <row r="1690" ht="16.5" customHeight="1">
      <c r="H1690" s="1" t="str">
        <f>IFERROR(__xludf.DUMMYFUNCTION("""COMPUTED_VALUE"""),"KEDRION BIOPHARMA")</f>
        <v>KEDRION BIOPHARMA</v>
      </c>
    </row>
    <row r="1691" ht="16.5" customHeight="1">
      <c r="H1691" s="1" t="str">
        <f>IFERROR(__xludf.DUMMYFUNCTION("""COMPUTED_VALUE"""),"Kee Pharma")</f>
        <v>Kee Pharma</v>
      </c>
    </row>
    <row r="1692" ht="16.5" customHeight="1">
      <c r="H1692" s="1" t="str">
        <f>IFERROR(__xludf.DUMMYFUNCTION("""COMPUTED_VALUE"""),"KENN PHARMACEUTICALS PVT LTD
")</f>
        <v>KENN PHARMACEUTICALS PVT LTD
</v>
      </c>
    </row>
    <row r="1693" ht="16.5" customHeight="1">
      <c r="H1693" s="1" t="str">
        <f>IFERROR(__xludf.DUMMYFUNCTION("""COMPUTED_VALUE"""),"KENT PHARMACEUTICALS")</f>
        <v>KENT PHARMACEUTICALS</v>
      </c>
    </row>
    <row r="1694" ht="16.5" customHeight="1">
      <c r="H1694" s="1" t="str">
        <f>IFERROR(__xludf.DUMMYFUNCTION("""COMPUTED_VALUE"""),"KENTOSSA PHARMACEUTICAL")</f>
        <v>KENTOSSA PHARMACEUTICAL</v>
      </c>
    </row>
    <row r="1695" ht="16.5" customHeight="1">
      <c r="H1695" s="1" t="str">
        <f>IFERROR(__xludf.DUMMYFUNCTION("""COMPUTED_VALUE"""),"KENTRECK LABORATORIES")</f>
        <v>KENTRECK LABORATORIES</v>
      </c>
    </row>
    <row r="1696" ht="16.5" customHeight="1">
      <c r="H1696" s="1" t="str">
        <f>IFERROR(__xludf.DUMMYFUNCTION("""COMPUTED_VALUE"""),"KEPLER (DERMA)")</f>
        <v>KEPLER (DERMA)</v>
      </c>
    </row>
    <row r="1697" ht="16.5" customHeight="1">
      <c r="H1697" s="1" t="str">
        <f>IFERROR(__xludf.DUMMYFUNCTION("""COMPUTED_VALUE"""),"KEPLER (SKIN INFINITY)")</f>
        <v>KEPLER (SKIN INFINITY)</v>
      </c>
    </row>
    <row r="1698" ht="16.5" customHeight="1">
      <c r="H1698" s="1" t="str">
        <f>IFERROR(__xludf.DUMMYFUNCTION("""COMPUTED_VALUE"""),"KEPLER HEALTHCARE")</f>
        <v>KEPLER HEALTHCARE</v>
      </c>
    </row>
    <row r="1699" ht="16.5" customHeight="1">
      <c r="H1699" s="1" t="str">
        <f>IFERROR(__xludf.DUMMYFUNCTION("""COMPUTED_VALUE"""),"KERMOUNT")</f>
        <v>KERMOUNT</v>
      </c>
    </row>
    <row r="1700" ht="16.5" customHeight="1">
      <c r="H1700" s="1" t="str">
        <f>IFERROR(__xludf.DUMMYFUNCTION("""COMPUTED_VALUE"""),"KEVENTIS HEALTHCARE (KEVENTIS)")</f>
        <v>KEVENTIS HEALTHCARE (KEVENTIS)</v>
      </c>
    </row>
    <row r="1701" ht="16.5" customHeight="1">
      <c r="H1701" s="1" t="str">
        <f>IFERROR(__xludf.DUMMYFUNCTION("""COMPUTED_VALUE"""),"KEYA CORPORATION")</f>
        <v>KEYA CORPORATION</v>
      </c>
    </row>
    <row r="1702" ht="16.5" customHeight="1">
      <c r="H1702" s="1" t="str">
        <f>IFERROR(__xludf.DUMMYFUNCTION("""COMPUTED_VALUE"""),"KEYA PHARMAWIN")</f>
        <v>KEYA PHARMAWIN</v>
      </c>
    </row>
    <row r="1703" ht="16.5" customHeight="1">
      <c r="H1703" s="1" t="str">
        <f>IFERROR(__xludf.DUMMYFUNCTION("""COMPUTED_VALUE"""),"KG PHARMA")</f>
        <v>KG PHARMA</v>
      </c>
    </row>
    <row r="1704" ht="16.5" customHeight="1">
      <c r="H1704" s="1" t="str">
        <f>IFERROR(__xludf.DUMMYFUNCTION("""COMPUTED_VALUE"""),"KHANDELWAL LABORATORIES (GENERIC)")</f>
        <v>KHANDELWAL LABORATORIES (GENERIC)</v>
      </c>
    </row>
    <row r="1705" ht="16.5" customHeight="1">
      <c r="H1705" s="1" t="str">
        <f>IFERROR(__xludf.DUMMYFUNCTION("""COMPUTED_VALUE"""),"Khandelwal Laboratories Pvt Ltd")</f>
        <v>Khandelwal Laboratories Pvt Ltd</v>
      </c>
    </row>
    <row r="1706" ht="16.5" customHeight="1">
      <c r="H1706" s="1" t="str">
        <f>IFERROR(__xludf.DUMMYFUNCTION("""COMPUTED_VALUE"""),"KHONA CHEMICAL WORKS")</f>
        <v>KHONA CHEMICAL WORKS</v>
      </c>
    </row>
    <row r="1707" ht="16.5" customHeight="1">
      <c r="H1707" s="1" t="str">
        <f>IFERROR(__xludf.DUMMYFUNCTION("""COMPUTED_VALUE"""),"Kinedex Healthcare Pvt Ltd")</f>
        <v>Kinedex Healthcare Pvt Ltd</v>
      </c>
    </row>
    <row r="1708" ht="16.5" customHeight="1">
      <c r="H1708" s="1" t="str">
        <f>IFERROR(__xludf.DUMMYFUNCTION("""COMPUTED_VALUE"""),"KINESIS BIOCARE")</f>
        <v>KINESIS BIOCARE</v>
      </c>
    </row>
    <row r="1709" ht="16.5" customHeight="1">
      <c r="H1709" s="1" t="str">
        <f>IFERROR(__xludf.DUMMYFUNCTION("""COMPUTED_VALUE"""),"KINJAL BIOTECH PVT LTD")</f>
        <v>KINJAL BIOTECH PVT LTD</v>
      </c>
    </row>
    <row r="1710" ht="16.5" customHeight="1">
      <c r="H1710" s="1" t="str">
        <f>IFERROR(__xludf.DUMMYFUNCTION("""COMPUTED_VALUE"""),"KIRI LABORATORIES")</f>
        <v>KIRI LABORATORIES</v>
      </c>
    </row>
    <row r="1711" ht="16.5" customHeight="1">
      <c r="H1711" s="1" t="str">
        <f>IFERROR(__xludf.DUMMYFUNCTION("""COMPUTED_VALUE"""),"Kivi Labs (DERMA)")</f>
        <v>Kivi Labs (DERMA)</v>
      </c>
    </row>
    <row r="1712" ht="16.5" customHeight="1">
      <c r="H1712" s="1" t="str">
        <f>IFERROR(__xludf.DUMMYFUNCTION("""COMPUTED_VALUE"""),"Kivi Labs (ENDURA)")</f>
        <v>Kivi Labs (ENDURA)</v>
      </c>
    </row>
    <row r="1713" ht="16.5" customHeight="1">
      <c r="H1713" s="1" t="str">
        <f>IFERROR(__xludf.DUMMYFUNCTION("""COMPUTED_VALUE"""),"Kivi Labs (MAIN)")</f>
        <v>Kivi Labs (MAIN)</v>
      </c>
    </row>
    <row r="1714" ht="16.5" customHeight="1">
      <c r="H1714" s="1" t="str">
        <f>IFERROR(__xludf.DUMMYFUNCTION("""COMPUTED_VALUE"""),"Kivi Labs Ltd")</f>
        <v>Kivi Labs Ltd</v>
      </c>
    </row>
    <row r="1715" ht="16.5" customHeight="1">
      <c r="H1715" s="1" t="str">
        <f>IFERROR(__xludf.DUMMYFUNCTION("""COMPUTED_VALUE"""),"KIVILIFE HEALTHCARE (CNS)")</f>
        <v>KIVILIFE HEALTHCARE (CNS)</v>
      </c>
    </row>
    <row r="1716" ht="16.5" customHeight="1">
      <c r="H1716" s="1" t="str">
        <f>IFERROR(__xludf.DUMMYFUNCTION("""COMPUTED_VALUE"""),"KLAR SEHEN")</f>
        <v>KLAR SEHEN</v>
      </c>
    </row>
    <row r="1717" ht="16.5" customHeight="1">
      <c r="H1717" s="1" t="str">
        <f>IFERROR(__xludf.DUMMYFUNCTION("""COMPUTED_VALUE"""),"KLM (PEDI)")</f>
        <v>KLM (PEDI)</v>
      </c>
    </row>
    <row r="1718" ht="16.5" customHeight="1">
      <c r="H1718" s="1" t="str">
        <f>IFERROR(__xludf.DUMMYFUNCTION("""COMPUTED_VALUE"""),"KLM Laboratories (COSMO)")</f>
        <v>KLM Laboratories (COSMO)</v>
      </c>
    </row>
    <row r="1719" ht="16.5" customHeight="1">
      <c r="H1719" s="1" t="str">
        <f>IFERROR(__xludf.DUMMYFUNCTION("""COMPUTED_VALUE"""),"KLM Laboratories (DERMA)")</f>
        <v>KLM Laboratories (DERMA)</v>
      </c>
    </row>
    <row r="1720" ht="16.5" customHeight="1">
      <c r="H1720" s="1" t="str">
        <f>IFERROR(__xludf.DUMMYFUNCTION("""COMPUTED_VALUE"""),"KLM LABORATORIES (EYE CARE)")</f>
        <v>KLM LABORATORIES (EYE CARE)</v>
      </c>
    </row>
    <row r="1721" ht="16.5" customHeight="1">
      <c r="H1721" s="1" t="str">
        <f>IFERROR(__xludf.DUMMYFUNCTION("""COMPUTED_VALUE"""),"KLM LABORATORIES (ORTHO)")</f>
        <v>KLM LABORATORIES (ORTHO)</v>
      </c>
    </row>
    <row r="1722" ht="16.5" customHeight="1">
      <c r="H1722" s="1" t="str">
        <f>IFERROR(__xludf.DUMMYFUNCTION("""COMPUTED_VALUE"""),"KLM Laboratories Pvt Ltd")</f>
        <v>KLM Laboratories Pvt Ltd</v>
      </c>
    </row>
    <row r="1723" ht="16.5" customHeight="1">
      <c r="H1723" s="1" t="str">
        <f>IFERROR(__xludf.DUMMYFUNCTION("""COMPUTED_VALUE"""),"KMS Health Center Pvt Ltd")</f>
        <v>KMS Health Center Pvt Ltd</v>
      </c>
    </row>
    <row r="1724" ht="16.5" customHeight="1">
      <c r="H1724" s="1" t="str">
        <f>IFERROR(__xludf.DUMMYFUNCTION("""COMPUTED_VALUE"""),"KN BIOTECH")</f>
        <v>KN BIOTECH</v>
      </c>
    </row>
    <row r="1725" ht="16.5" customHeight="1">
      <c r="H1725" s="1" t="str">
        <f>IFERROR(__xludf.DUMMYFUNCTION("""COMPUTED_VALUE"""),"Knoll Pharmaceuticals Ltd")</f>
        <v>Knoll Pharmaceuticals Ltd</v>
      </c>
    </row>
    <row r="1726" ht="16.5" customHeight="1">
      <c r="H1726" s="1" t="str">
        <f>IFERROR(__xludf.DUMMYFUNCTION("""COMPUTED_VALUE"""),"Knoll Pharmaceuticals Ltd (GENERIC)")</f>
        <v>Knoll Pharmaceuticals Ltd (GENERIC)</v>
      </c>
    </row>
    <row r="1727" ht="16.5" customHeight="1">
      <c r="H1727" s="1" t="str">
        <f>IFERROR(__xludf.DUMMYFUNCTION("""COMPUTED_VALUE"""),"KNOVIQ LIFESCIENCES")</f>
        <v>KNOVIQ LIFESCIENCES</v>
      </c>
    </row>
    <row r="1728" ht="16.5" customHeight="1">
      <c r="H1728" s="1" t="str">
        <f>IFERROR(__xludf.DUMMYFUNCTION("""COMPUTED_VALUE"""),"KONTEST CHEMICALS")</f>
        <v>KONTEST CHEMICALS</v>
      </c>
    </row>
    <row r="1729" ht="16.5" customHeight="1">
      <c r="H1729" s="1" t="str">
        <f>IFERROR(__xludf.DUMMYFUNCTION("""COMPUTED_VALUE"""),"KONVERGE HEALTHCARE")</f>
        <v>KONVERGE HEALTHCARE</v>
      </c>
    </row>
    <row r="1730" ht="16.5" customHeight="1">
      <c r="H1730" s="1" t="str">
        <f>IFERROR(__xludf.DUMMYFUNCTION("""COMPUTED_VALUE"""),"KOPRAN")</f>
        <v>KOPRAN</v>
      </c>
    </row>
    <row r="1731" ht="16.5" customHeight="1">
      <c r="H1731" s="1" t="str">
        <f>IFERROR(__xludf.DUMMYFUNCTION("""COMPUTED_VALUE"""),"KORNEPH")</f>
        <v>KORNEPH</v>
      </c>
    </row>
    <row r="1732" ht="16.5" customHeight="1">
      <c r="H1732" s="1" t="str">
        <f>IFERROR(__xludf.DUMMYFUNCTION("""COMPUTED_VALUE"""),"Koye Pharmaceuticals (CAIR)")</f>
        <v>Koye Pharmaceuticals (CAIR)</v>
      </c>
    </row>
    <row r="1733" ht="16.5" customHeight="1">
      <c r="H1733" s="1" t="str">
        <f>IFERROR(__xludf.DUMMYFUNCTION("""COMPUTED_VALUE"""),"Koye Pharmaceuticals (CARDIO)")</f>
        <v>Koye Pharmaceuticals (CARDIO)</v>
      </c>
    </row>
    <row r="1734" ht="16.5" customHeight="1">
      <c r="H1734" s="1" t="str">
        <f>IFERROR(__xludf.DUMMYFUNCTION("""COMPUTED_VALUE"""),"Koye Pharmaceuticals (GYNO)")</f>
        <v>Koye Pharmaceuticals (GYNO)</v>
      </c>
    </row>
    <row r="1735" ht="16.5" customHeight="1">
      <c r="H1735" s="1" t="str">
        <f>IFERROR(__xludf.DUMMYFUNCTION("""COMPUTED_VALUE"""),"Koye Pharmaceuticals (MAIN)")</f>
        <v>Koye Pharmaceuticals (MAIN)</v>
      </c>
    </row>
    <row r="1736" ht="16.5" customHeight="1">
      <c r="H1736" s="1" t="str">
        <f>IFERROR(__xludf.DUMMYFUNCTION("""COMPUTED_VALUE"""),"Koye Pharmaceuticals (ORIGYN)")</f>
        <v>Koye Pharmaceuticals (ORIGYN)</v>
      </c>
    </row>
    <row r="1737" ht="16.5" customHeight="1">
      <c r="H1737" s="1" t="str">
        <f>IFERROR(__xludf.DUMMYFUNCTION("""COMPUTED_VALUE"""),"koye Pharmaceuticals (OTC)")</f>
        <v>koye Pharmaceuticals (OTC)</v>
      </c>
    </row>
    <row r="1738" ht="16.5" customHeight="1">
      <c r="H1738" s="1" t="str">
        <f>IFERROR(__xludf.DUMMYFUNCTION("""COMPUTED_VALUE"""),"Koye Pharmaceuticals (OTH)")</f>
        <v>Koye Pharmaceuticals (OTH)</v>
      </c>
    </row>
    <row r="1739" ht="16.5" customHeight="1">
      <c r="H1739" s="1" t="str">
        <f>IFERROR(__xludf.DUMMYFUNCTION("""COMPUTED_VALUE"""),"Koye Pharmaceuticals Pvt ltd")</f>
        <v>Koye Pharmaceuticals Pvt ltd</v>
      </c>
    </row>
    <row r="1740" ht="16.5" customHeight="1">
      <c r="H1740" s="1" t="str">
        <f>IFERROR(__xludf.DUMMYFUNCTION("""COMPUTED_VALUE"""),"KR ENTERPRISES")</f>
        <v>KR ENTERPRISES</v>
      </c>
    </row>
    <row r="1741" ht="16.5" customHeight="1">
      <c r="H1741" s="1" t="str">
        <f>IFERROR(__xludf.DUMMYFUNCTION("""COMPUTED_VALUE"""),"KR INDO GERMAN")</f>
        <v>KR INDO GERMAN</v>
      </c>
    </row>
    <row r="1742" ht="16.5" customHeight="1">
      <c r="H1742" s="1" t="str">
        <f>IFERROR(__xludf.DUMMYFUNCTION("""COMPUTED_VALUE"""),"KRAFT INDIA FOOD LTD")</f>
        <v>KRAFT INDIA FOOD LTD</v>
      </c>
    </row>
    <row r="1743" ht="16.5" customHeight="1">
      <c r="H1743" s="1" t="str">
        <f>IFERROR(__xludf.DUMMYFUNCTION("""COMPUTED_VALUE"""),"KREIOS PHARMA")</f>
        <v>KREIOS PHARMA</v>
      </c>
    </row>
    <row r="1744" ht="16.5" customHeight="1">
      <c r="H1744" s="1" t="str">
        <f>IFERROR(__xludf.DUMMYFUNCTION("""COMPUTED_VALUE"""),"KRISHLAR PHARMACEUTICALS")</f>
        <v>KRISHLAR PHARMACEUTICALS</v>
      </c>
    </row>
    <row r="1745" ht="16.5" customHeight="1">
      <c r="H1745" s="1" t="str">
        <f>IFERROR(__xludf.DUMMYFUNCTION("""COMPUTED_VALUE"""),"KRISHNA MANFACTURING COMPANY")</f>
        <v>KRISHNA MANFACTURING COMPANY</v>
      </c>
    </row>
    <row r="1746" ht="16.5" customHeight="1">
      <c r="H1746" s="1" t="str">
        <f>IFERROR(__xludf.DUMMYFUNCTION("""COMPUTED_VALUE"""),"KSHIPRA HEALTH SOLUTIONS")</f>
        <v>KSHIPRA HEALTH SOLUTIONS</v>
      </c>
    </row>
    <row r="1747" ht="16.5" customHeight="1">
      <c r="H1747" s="1" t="str">
        <f>IFERROR(__xludf.DUMMYFUNCTION("""COMPUTED_VALUE"""),"KUDOS")</f>
        <v>KUDOS</v>
      </c>
    </row>
    <row r="1748" ht="16.5" customHeight="1">
      <c r="H1748" s="1" t="str">
        <f>IFERROR(__xludf.DUMMYFUNCTION("""COMPUTED_VALUE"""),"KUNNATH PHARMACEUTICALS")</f>
        <v>KUNNATH PHARMACEUTICALS</v>
      </c>
    </row>
    <row r="1749" ht="16.5" customHeight="1">
      <c r="H1749" s="1" t="str">
        <f>IFERROR(__xludf.DUMMYFUNCTION("""COMPUTED_VALUE"""),"KUSUM HEALTHCARE PVT LTD")</f>
        <v>KUSUM HEALTHCARE PVT LTD</v>
      </c>
    </row>
    <row r="1750" ht="16.5" customHeight="1">
      <c r="H1750" s="1" t="str">
        <f>IFERROR(__xludf.DUMMYFUNCTION("""COMPUTED_VALUE"""),"KWALITY PHARMACEUTICALS LTD")</f>
        <v>KWALITY PHARMACEUTICALS LTD</v>
      </c>
    </row>
    <row r="1751" ht="16.5" customHeight="1">
      <c r="H1751" s="1" t="str">
        <f>IFERROR(__xludf.DUMMYFUNCTION("""COMPUTED_VALUE"""),"KWIK HEALTHCARE")</f>
        <v>KWIK HEALTHCARE</v>
      </c>
    </row>
    <row r="1752" ht="16.5" customHeight="1">
      <c r="H1752" s="1" t="str">
        <f>IFERROR(__xludf.DUMMYFUNCTION("""COMPUTED_VALUE"""),"L AND V PHARMA")</f>
        <v>L AND V PHARMA</v>
      </c>
    </row>
    <row r="1753" ht="16.5" customHeight="1">
      <c r="H1753" s="1" t="str">
        <f>IFERROR(__xludf.DUMMYFUNCTION("""COMPUTED_VALUE"""),"L V LIFE SCIENCE SOLAN")</f>
        <v>L V LIFE SCIENCE SOLAN</v>
      </c>
    </row>
    <row r="1754" ht="16.5" customHeight="1">
      <c r="H1754" s="1" t="str">
        <f>IFERROR(__xludf.DUMMYFUNCTION("""COMPUTED_VALUE"""),"L'AMAR HEALTHCARE")</f>
        <v>L'AMAR HEALTHCARE</v>
      </c>
    </row>
    <row r="1755" ht="16.5" customHeight="1">
      <c r="H1755" s="1" t="str">
        <f>IFERROR(__xludf.DUMMYFUNCTION("""COMPUTED_VALUE"""),"L&amp;T PHARMA")</f>
        <v>L&amp;T PHARMA</v>
      </c>
    </row>
    <row r="1756" ht="16.5" customHeight="1">
      <c r="H1756" s="1" t="str">
        <f>IFERROR(__xludf.DUMMYFUNCTION("""COMPUTED_VALUE"""),"LA MANTE HEALTHCARE")</f>
        <v>LA MANTE HEALTHCARE</v>
      </c>
    </row>
    <row r="1757" ht="16.5" customHeight="1">
      <c r="H1757" s="1" t="str">
        <f>IFERROR(__xludf.DUMMYFUNCTION("""COMPUTED_VALUE"""),"LA MED INDIA")</f>
        <v>LA MED INDIA</v>
      </c>
    </row>
    <row r="1758" ht="16.5" customHeight="1">
      <c r="H1758" s="1" t="str">
        <f>IFERROR(__xludf.DUMMYFUNCTION("""COMPUTED_VALUE"""),"LA PENSER LIFE SCIENCES")</f>
        <v>LA PENSER LIFE SCIENCES</v>
      </c>
    </row>
    <row r="1759" ht="16.5" customHeight="1">
      <c r="H1759" s="1" t="str">
        <f>IFERROR(__xludf.DUMMYFUNCTION("""COMPUTED_VALUE"""),"LA PIEL BIOTECH P LTD")</f>
        <v>LA PIEL BIOTECH P LTD</v>
      </c>
    </row>
    <row r="1760" ht="16.5" customHeight="1">
      <c r="H1760" s="1" t="str">
        <f>IFERROR(__xludf.DUMMYFUNCTION("""COMPUTED_VALUE"""),"LA PRISTINE BIOCEUTICALS P LTD")</f>
        <v>LA PRISTINE BIOCEUTICALS P LTD</v>
      </c>
    </row>
    <row r="1761" ht="16.5" customHeight="1">
      <c r="H1761" s="1" t="str">
        <f>IFERROR(__xludf.DUMMYFUNCTION("""COMPUTED_VALUE"""),"LA RENON (CARDIO METABOLIC)")</f>
        <v>LA RENON (CARDIO METABOLIC)</v>
      </c>
    </row>
    <row r="1762" ht="16.5" customHeight="1">
      <c r="H1762" s="1" t="str">
        <f>IFERROR(__xludf.DUMMYFUNCTION("""COMPUTED_VALUE"""),"LA RENON (CNS-1)")</f>
        <v>LA RENON (CNS-1)</v>
      </c>
    </row>
    <row r="1763" ht="16.5" customHeight="1">
      <c r="H1763" s="1" t="str">
        <f>IFERROR(__xludf.DUMMYFUNCTION("""COMPUTED_VALUE"""),"LA RENON (CNS-2)")</f>
        <v>LA RENON (CNS-2)</v>
      </c>
    </row>
    <row r="1764" ht="16.5" customHeight="1">
      <c r="H1764" s="1" t="str">
        <f>IFERROR(__xludf.DUMMYFUNCTION("""COMPUTED_VALUE"""),"LA RENON (CRITICAL CARE)")</f>
        <v>LA RENON (CRITICAL CARE)</v>
      </c>
    </row>
    <row r="1765" ht="16.5" customHeight="1">
      <c r="H1765" s="1" t="str">
        <f>IFERROR(__xludf.DUMMYFUNCTION("""COMPUTED_VALUE"""),"LA RENON (GYNAECOLOGY)")</f>
        <v>LA RENON (GYNAECOLOGY)</v>
      </c>
    </row>
    <row r="1766" ht="16.5" customHeight="1">
      <c r="H1766" s="1" t="str">
        <f>IFERROR(__xludf.DUMMYFUNCTION("""COMPUTED_VALUE"""),"LA RENON (KIRRUS)")</f>
        <v>LA RENON (KIRRUS)</v>
      </c>
    </row>
    <row r="1767" ht="16.5" customHeight="1">
      <c r="H1767" s="1" t="str">
        <f>IFERROR(__xludf.DUMMYFUNCTION("""COMPUTED_VALUE"""),"LA RENON (LAUREATE)")</f>
        <v>LA RENON (LAUREATE)</v>
      </c>
    </row>
    <row r="1768" ht="16.5" customHeight="1">
      <c r="H1768" s="1" t="str">
        <f>IFERROR(__xludf.DUMMYFUNCTION("""COMPUTED_VALUE"""),"LA RENON (LAUREUS)")</f>
        <v>LA RENON (LAUREUS)</v>
      </c>
    </row>
    <row r="1769" ht="16.5" customHeight="1">
      <c r="H1769" s="1" t="str">
        <f>IFERROR(__xludf.DUMMYFUNCTION("""COMPUTED_VALUE"""),"LA RENON (LAVIATOR)")</f>
        <v>LA RENON (LAVIATOR)</v>
      </c>
    </row>
    <row r="1770" ht="16.5" customHeight="1">
      <c r="H1770" s="1" t="str">
        <f>IFERROR(__xludf.DUMMYFUNCTION("""COMPUTED_VALUE"""),"LA RENON (NEPHRO)")</f>
        <v>LA RENON (NEPHRO)</v>
      </c>
    </row>
    <row r="1771" ht="16.5" customHeight="1">
      <c r="H1771" s="1" t="str">
        <f>IFERROR(__xludf.DUMMYFUNCTION("""COMPUTED_VALUE"""),"LA RENON (ULTRA)")</f>
        <v>LA RENON (ULTRA)</v>
      </c>
    </row>
    <row r="1772" ht="16.5" customHeight="1">
      <c r="H1772" s="1" t="str">
        <f>IFERROR(__xludf.DUMMYFUNCTION("""COMPUTED_VALUE"""),"LA RENON (UROLOGY)")</f>
        <v>LA RENON (UROLOGY)</v>
      </c>
    </row>
    <row r="1773" ht="16.5" customHeight="1">
      <c r="H1773" s="1" t="str">
        <f>IFERROR(__xludf.DUMMYFUNCTION("""COMPUTED_VALUE"""),"La Renon Healthcare Pvt Ltd")</f>
        <v>La Renon Healthcare Pvt Ltd</v>
      </c>
    </row>
    <row r="1774" ht="16.5" customHeight="1">
      <c r="H1774" s="1" t="str">
        <f>IFERROR(__xludf.DUMMYFUNCTION("""COMPUTED_VALUE"""),"LA VELLA HEALTHCARE")</f>
        <v>LA VELLA HEALTHCARE</v>
      </c>
    </row>
    <row r="1775" ht="16.5" customHeight="1">
      <c r="H1775" s="1" t="str">
        <f>IFERROR(__xludf.DUMMYFUNCTION("""COMPUTED_VALUE"""),"LA-MED")</f>
        <v>LA-MED</v>
      </c>
    </row>
    <row r="1776" ht="16.5" customHeight="1">
      <c r="H1776" s="1" t="str">
        <f>IFERROR(__xludf.DUMMYFUNCTION("""COMPUTED_VALUE"""),"Laborate (GENERIC)")</f>
        <v>Laborate (GENERIC)</v>
      </c>
    </row>
    <row r="1777" ht="16.5" customHeight="1">
      <c r="H1777" s="1" t="str">
        <f>IFERROR(__xludf.DUMMYFUNCTION("""COMPUTED_VALUE"""),"LABORATE PHARMA")</f>
        <v>LABORATE PHARMA</v>
      </c>
    </row>
    <row r="1778" ht="16.5" customHeight="1">
      <c r="H1778" s="1" t="str">
        <f>IFERROR(__xludf.DUMMYFUNCTION("""COMPUTED_VALUE"""),"LABORATE PHARMACEUTICALS INDIA LTD")</f>
        <v>LABORATE PHARMACEUTICALS INDIA LTD</v>
      </c>
    </row>
    <row r="1779" ht="16.5" customHeight="1">
      <c r="H1779" s="1" t="str">
        <f>IFERROR(__xludf.DUMMYFUNCTION("""COMPUTED_VALUE"""),"LACELLE")</f>
        <v>LACELLE</v>
      </c>
    </row>
    <row r="1780" ht="16.5" customHeight="1">
      <c r="H1780" s="1" t="str">
        <f>IFERROR(__xludf.DUMMYFUNCTION("""COMPUTED_VALUE"""),"LAKSHYA")</f>
        <v>LAKSHYA</v>
      </c>
    </row>
    <row r="1781" ht="16.5" customHeight="1">
      <c r="H1781" s="1" t="str">
        <f>IFERROR(__xludf.DUMMYFUNCTION("""COMPUTED_VALUE"""),"LALIT PHARMACY")</f>
        <v>LALIT PHARMACY</v>
      </c>
    </row>
    <row r="1782" ht="16.5" customHeight="1">
      <c r="H1782" s="1" t="str">
        <f>IFERROR(__xludf.DUMMYFUNCTION("""COMPUTED_VALUE"""),"LAPIEL BIOTECH PVT LTD")</f>
        <v>LAPIEL BIOTECH PVT LTD</v>
      </c>
    </row>
    <row r="1783" ht="16.5" customHeight="1">
      <c r="H1783" s="1" t="str">
        <f>IFERROR(__xludf.DUMMYFUNCTION("""COMPUTED_VALUE"""),"LARK LABORATORIES LTD")</f>
        <v>LARK LABORATORIES LTD</v>
      </c>
    </row>
    <row r="1784" ht="16.5" customHeight="1">
      <c r="H1784" s="1" t="str">
        <f>IFERROR(__xludf.DUMMYFUNCTION("""COMPUTED_VALUE"""),"LAUREL LIFE SCIENCE")</f>
        <v>LAUREL LIFE SCIENCE</v>
      </c>
    </row>
    <row r="1785" ht="16.5" customHeight="1">
      <c r="H1785" s="1" t="str">
        <f>IFERROR(__xludf.DUMMYFUNCTION("""COMPUTED_VALUE"""),"LAVANYA BIOTECH")</f>
        <v>LAVANYA BIOTECH</v>
      </c>
    </row>
    <row r="1786" ht="16.5" customHeight="1">
      <c r="H1786" s="1" t="str">
        <f>IFERROR(__xludf.DUMMYFUNCTION("""COMPUTED_VALUE"""),"Laxian Incorporation")</f>
        <v>Laxian Incorporation</v>
      </c>
    </row>
    <row r="1787" ht="16.5" customHeight="1">
      <c r="H1787" s="1" t="str">
        <f>IFERROR(__xludf.DUMMYFUNCTION("""COMPUTED_VALUE"""),"LAXIAN PHARMACEUTICALS")</f>
        <v>LAXIAN PHARMACEUTICALS</v>
      </c>
    </row>
    <row r="1788" ht="16.5" customHeight="1">
      <c r="H1788" s="1" t="str">
        <f>IFERROR(__xludf.DUMMYFUNCTION("""COMPUTED_VALUE"""),"LAXMI DISTIBUTORS")</f>
        <v>LAXMI DISTIBUTORS</v>
      </c>
    </row>
    <row r="1789" ht="16.5" customHeight="1">
      <c r="H1789" s="1" t="str">
        <f>IFERROR(__xludf.DUMMYFUNCTION("""COMPUTED_VALUE"""),"LAXMI DRUG HOUSE (OTHER GENERAL PRODUCTS)")</f>
        <v>LAXMI DRUG HOUSE (OTHER GENERAL PRODUCTS)</v>
      </c>
    </row>
    <row r="1790" ht="16.5" customHeight="1">
      <c r="H1790" s="1" t="str">
        <f>IFERROR(__xludf.DUMMYFUNCTION("""COMPUTED_VALUE"""),"LAXO MEDICARE PVT LTD")</f>
        <v>LAXO MEDICARE PVT LTD</v>
      </c>
    </row>
    <row r="1791" ht="16.5" customHeight="1">
      <c r="H1791" s="1" t="str">
        <f>IFERROR(__xludf.DUMMYFUNCTION("""COMPUTED_VALUE"""),"LDD BIOSCIENCE PVT LTD")</f>
        <v>LDD BIOSCIENCE PVT LTD</v>
      </c>
    </row>
    <row r="1792" ht="16.5" customHeight="1">
      <c r="H1792" s="1" t="str">
        <f>IFERROR(__xludf.DUMMYFUNCTION("""COMPUTED_VALUE"""),"LE-VANZA PHARMA PVT LTD")</f>
        <v>LE-VANZA PHARMA PVT LTD</v>
      </c>
    </row>
    <row r="1793" ht="16.5" customHeight="1">
      <c r="H1793" s="1" t="str">
        <f>IFERROR(__xludf.DUMMYFUNCTION("""COMPUTED_VALUE"""),"LEAD CARE INTERNATIONAL")</f>
        <v>LEAD CARE INTERNATIONAL</v>
      </c>
    </row>
    <row r="1794" ht="16.5" customHeight="1">
      <c r="H1794" s="1" t="str">
        <f>IFERROR(__xludf.DUMMYFUNCTION("""COMPUTED_VALUE"""),"LEADERS HEALTHCARE LTD")</f>
        <v>LEADERS HEALTHCARE LTD</v>
      </c>
    </row>
    <row r="1795" ht="16.5" customHeight="1">
      <c r="H1795" s="1" t="str">
        <f>IFERROR(__xludf.DUMMYFUNCTION("""COMPUTED_VALUE"""),"LEBEN LABORATORIES PVT LTD")</f>
        <v>LEBEN LABORATORIES PVT LTD</v>
      </c>
    </row>
    <row r="1796" ht="16.5" customHeight="1">
      <c r="H1796" s="1" t="str">
        <f>IFERROR(__xludf.DUMMYFUNCTION("""COMPUTED_VALUE"""),"LEDERLE PHARMA")</f>
        <v>LEDERLE PHARMA</v>
      </c>
    </row>
    <row r="1797" ht="16.5" customHeight="1">
      <c r="H1797" s="1" t="str">
        <f>IFERROR(__xludf.DUMMYFUNCTION("""COMPUTED_VALUE"""),"LEE BENZ LIFESCIENCES")</f>
        <v>LEE BENZ LIFESCIENCES</v>
      </c>
    </row>
    <row r="1798" ht="16.5" customHeight="1">
      <c r="H1798" s="1" t="str">
        <f>IFERROR(__xludf.DUMMYFUNCTION("""COMPUTED_VALUE"""),"LEEFORD (COSMIC)")</f>
        <v>LEEFORD (COSMIC)</v>
      </c>
    </row>
    <row r="1799" ht="16.5" customHeight="1">
      <c r="H1799" s="1" t="str">
        <f>IFERROR(__xludf.DUMMYFUNCTION("""COMPUTED_VALUE"""),"LEEFORD (GENERIC)")</f>
        <v>LEEFORD (GENERIC)</v>
      </c>
    </row>
    <row r="1800" ht="16.5" customHeight="1">
      <c r="H1800" s="1" t="str">
        <f>IFERROR(__xludf.DUMMYFUNCTION("""COMPUTED_VALUE"""),"LEEFORD (HEALTHCARE)")</f>
        <v>LEEFORD (HEALTHCARE)</v>
      </c>
    </row>
    <row r="1801" ht="16.5" customHeight="1">
      <c r="H1801" s="1" t="str">
        <f>IFERROR(__xludf.DUMMYFUNCTION("""COMPUTED_VALUE"""),"LEEFORD (WELLNESS)")</f>
        <v>LEEFORD (WELLNESS)</v>
      </c>
    </row>
    <row r="1802" ht="16.5" customHeight="1">
      <c r="H1802" s="1" t="str">
        <f>IFERROR(__xludf.DUMMYFUNCTION("""COMPUTED_VALUE"""),"LEESUN PHARMACEUTICALS")</f>
        <v>LEESUN PHARMACEUTICALS</v>
      </c>
    </row>
    <row r="1803" ht="16.5" customHeight="1">
      <c r="H1803" s="1" t="str">
        <f>IFERROR(__xludf.DUMMYFUNCTION("""COMPUTED_VALUE"""),"LENVANIB 10MG")</f>
        <v>LENVANIB 10MG</v>
      </c>
    </row>
    <row r="1804" ht="16.5" customHeight="1">
      <c r="H1804" s="1" t="str">
        <f>IFERROR(__xludf.DUMMYFUNCTION("""COMPUTED_VALUE"""),"LENVANIB 4MG")</f>
        <v>LENVANIB 4MG</v>
      </c>
    </row>
    <row r="1805" ht="16.5" customHeight="1">
      <c r="H1805" s="1" t="str">
        <f>IFERROR(__xludf.DUMMYFUNCTION("""COMPUTED_VALUE"""),"LEO CHEMICALS")</f>
        <v>LEO CHEMICALS</v>
      </c>
    </row>
    <row r="1806" ht="16.5" customHeight="1">
      <c r="H1806" s="1" t="str">
        <f>IFERROR(__xludf.DUMMYFUNCTION("""COMPUTED_VALUE"""),"LEO FORMULATION P LTD")</f>
        <v>LEO FORMULATION P LTD</v>
      </c>
    </row>
    <row r="1807" ht="16.5" customHeight="1">
      <c r="H1807" s="1" t="str">
        <f>IFERROR(__xludf.DUMMYFUNCTION("""COMPUTED_VALUE"""),"LEXA LABS")</f>
        <v>LEXA LABS</v>
      </c>
    </row>
    <row r="1808" ht="16.5" customHeight="1">
      <c r="H1808" s="1" t="str">
        <f>IFERROR(__xludf.DUMMYFUNCTION("""COMPUTED_VALUE"""),"LEZAA BIOTECH")</f>
        <v>LEZAA BIOTECH</v>
      </c>
    </row>
    <row r="1809" ht="16.5" customHeight="1">
      <c r="H1809" s="1" t="str">
        <f>IFERROR(__xludf.DUMMYFUNCTION("""COMPUTED_VALUE"""),"LEZAPIN MD")</f>
        <v>LEZAPIN MD</v>
      </c>
    </row>
    <row r="1810" ht="16.5" customHeight="1">
      <c r="H1810" s="1" t="str">
        <f>IFERROR(__xludf.DUMMYFUNCTION("""COMPUTED_VALUE"""),"LG Lifesciences")</f>
        <v>LG Lifesciences</v>
      </c>
    </row>
    <row r="1811" ht="16.5" customHeight="1">
      <c r="H1811" s="1" t="str">
        <f>IFERROR(__xludf.DUMMYFUNCTION("""COMPUTED_VALUE"""),"LIFE LINE BIOTECH LTD")</f>
        <v>LIFE LINE BIOTECH LTD</v>
      </c>
    </row>
    <row r="1812" ht="16.5" customHeight="1">
      <c r="H1812" s="1" t="str">
        <f>IFERROR(__xludf.DUMMYFUNCTION("""COMPUTED_VALUE"""),"LIFE MEDICARE &amp; BIOTECH PVT.LT")</f>
        <v>LIFE MEDICARE &amp; BIOTECH PVT.LT</v>
      </c>
    </row>
    <row r="1813" ht="16.5" customHeight="1">
      <c r="H1813" s="1" t="str">
        <f>IFERROR(__xludf.DUMMYFUNCTION("""COMPUTED_VALUE"""),"LIFE O LINE TECHNOLOGIST")</f>
        <v>LIFE O LINE TECHNOLOGIST</v>
      </c>
    </row>
    <row r="1814" ht="16.5" customHeight="1">
      <c r="H1814" s="1" t="str">
        <f>IFERROR(__xludf.DUMMYFUNCTION("""COMPUTED_VALUE"""),"LIFE PHARMACEUTICALS PVT LTD")</f>
        <v>LIFE PHARMACEUTICALS PVT LTD</v>
      </c>
    </row>
    <row r="1815" ht="16.5" customHeight="1">
      <c r="H1815" s="1" t="str">
        <f>IFERROR(__xludf.DUMMYFUNCTION("""COMPUTED_VALUE"""),"LIFE VISION HEALTHCARE")</f>
        <v>LIFE VISION HEALTHCARE</v>
      </c>
    </row>
    <row r="1816" ht="16.5" customHeight="1">
      <c r="H1816" s="1" t="str">
        <f>IFERROR(__xludf.DUMMYFUNCTION("""COMPUTED_VALUE"""),"LIFECARE NEURO PRODUCTS LTD")</f>
        <v>LIFECARE NEURO PRODUCTS LTD</v>
      </c>
    </row>
    <row r="1817" ht="16.5" customHeight="1">
      <c r="H1817" s="1" t="str">
        <f>IFERROR(__xludf.DUMMYFUNCTION("""COMPUTED_VALUE"""),"LIFEGATE REMEDIES")</f>
        <v>LIFEGATE REMEDIES</v>
      </c>
    </row>
    <row r="1818" ht="16.5" customHeight="1">
      <c r="H1818" s="1" t="str">
        <f>IFERROR(__xludf.DUMMYFUNCTION("""COMPUTED_VALUE"""),"LIFEKYOR PHARMA")</f>
        <v>LIFEKYOR PHARMA</v>
      </c>
    </row>
    <row r="1819" ht="16.5" customHeight="1">
      <c r="H1819" s="1" t="str">
        <f>IFERROR(__xludf.DUMMYFUNCTION("""COMPUTED_VALUE"""),"LIFESOL MEDICAL LIMITED")</f>
        <v>LIFESOL MEDICAL LIMITED</v>
      </c>
    </row>
    <row r="1820" ht="16.5" customHeight="1">
      <c r="H1820" s="1" t="str">
        <f>IFERROR(__xludf.DUMMYFUNCTION("""COMPUTED_VALUE"""),"LIFEZ")</f>
        <v>LIFEZ</v>
      </c>
    </row>
    <row r="1821" ht="16.5" customHeight="1">
      <c r="H1821" s="1" t="str">
        <f>IFERROR(__xludf.DUMMYFUNCTION("""COMPUTED_VALUE"""),"LIFT LIFE BIOTECH")</f>
        <v>LIFT LIFE BIOTECH</v>
      </c>
    </row>
    <row r="1822" ht="16.5" customHeight="1">
      <c r="H1822" s="1" t="str">
        <f>IFERROR(__xludf.DUMMYFUNCTION("""COMPUTED_VALUE"""),"LIKAMEDA PHARMACEUTICALS PVT LTD")</f>
        <v>LIKAMEDA PHARMACEUTICALS PVT LTD</v>
      </c>
    </row>
    <row r="1823" ht="16.5" customHeight="1">
      <c r="H1823" s="1" t="str">
        <f>IFERROR(__xludf.DUMMYFUNCTION("""COMPUTED_VALUE"""),"LILANIA MEDICORP (INDIA) P LTD")</f>
        <v>LILANIA MEDICORP (INDIA) P LTD</v>
      </c>
    </row>
    <row r="1824" ht="16.5" customHeight="1">
      <c r="H1824" s="1" t="str">
        <f>IFERROR(__xludf.DUMMYFUNCTION("""COMPUTED_VALUE"""),"LIMBIC LIFE SCIENCES P LTD")</f>
        <v>LIMBIC LIFE SCIENCES P LTD</v>
      </c>
    </row>
    <row r="1825" ht="16.5" customHeight="1">
      <c r="H1825" s="1" t="str">
        <f>IFERROR(__xludf.DUMMYFUNCTION("""COMPUTED_VALUE"""),"LINCOLN (LORDS)")</f>
        <v>LINCOLN (LORDS)</v>
      </c>
    </row>
    <row r="1826" ht="16.5" customHeight="1">
      <c r="H1826" s="1" t="str">
        <f>IFERROR(__xludf.DUMMYFUNCTION("""COMPUTED_VALUE"""),"LINCOLN (TERESA)")</f>
        <v>LINCOLN (TERESA)</v>
      </c>
    </row>
    <row r="1827" ht="16.5" customHeight="1">
      <c r="H1827" s="1" t="str">
        <f>IFERROR(__xludf.DUMMYFUNCTION("""COMPUTED_VALUE"""),"Lincoln Pharmaceuticals Ltd")</f>
        <v>Lincoln Pharmaceuticals Ltd</v>
      </c>
    </row>
    <row r="1828" ht="16.5" customHeight="1">
      <c r="H1828" s="1" t="str">
        <f>IFERROR(__xludf.DUMMYFUNCTION("""COMPUTED_VALUE"""),"LINGDAO HEALTHCARE")</f>
        <v>LINGDAO HEALTHCARE</v>
      </c>
    </row>
    <row r="1829" ht="16.5" customHeight="1">
      <c r="H1829" s="1" t="str">
        <f>IFERROR(__xludf.DUMMYFUNCTION("""COMPUTED_VALUE"""),"LINK PHARMA")</f>
        <v>LINK PHARMA</v>
      </c>
    </row>
    <row r="1830" ht="16.5" customHeight="1">
      <c r="H1830" s="1" t="str">
        <f>IFERROR(__xludf.DUMMYFUNCTION("""COMPUTED_VALUE"""),"LINUX (INFINA)")</f>
        <v>LINUX (INFINA)</v>
      </c>
    </row>
    <row r="1831" ht="16.5" customHeight="1">
      <c r="H1831" s="1" t="str">
        <f>IFERROR(__xludf.DUMMYFUNCTION("""COMPUTED_VALUE"""),"Linux Laboratories")</f>
        <v>Linux Laboratories</v>
      </c>
    </row>
    <row r="1832" ht="16.5" customHeight="1">
      <c r="H1832" s="1" t="str">
        <f>IFERROR(__xludf.DUMMYFUNCTION("""COMPUTED_VALUE"""),"LION BRAND")</f>
        <v>LION BRAND</v>
      </c>
    </row>
    <row r="1833" ht="16.5" customHeight="1">
      <c r="H1833" s="1" t="str">
        <f>IFERROR(__xludf.DUMMYFUNCTION("""COMPUTED_VALUE"""),"LIP PINK")</f>
        <v>LIP PINK</v>
      </c>
    </row>
    <row r="1834" ht="16.5" customHeight="1">
      <c r="H1834" s="1" t="str">
        <f>IFERROR(__xludf.DUMMYFUNCTION("""COMPUTED_VALUE"""),"ListApp Technologies")</f>
        <v>ListApp Technologies</v>
      </c>
    </row>
    <row r="1835" ht="16.5" customHeight="1">
      <c r="H1835" s="1" t="str">
        <f>IFERROR(__xludf.DUMMYFUNCTION("""COMPUTED_VALUE"""),"LITAKA PHARMACEUTICALS LTD")</f>
        <v>LITAKA PHARMACEUTICALS LTD</v>
      </c>
    </row>
    <row r="1836" ht="16.5" customHeight="1">
      <c r="H1836" s="1" t="str">
        <f>IFERROR(__xludf.DUMMYFUNCTION("""COMPUTED_VALUE"""),"LITTLE ANGEL")</f>
        <v>LITTLE ANGEL</v>
      </c>
    </row>
    <row r="1837" ht="16.5" customHeight="1">
      <c r="H1837" s="1" t="str">
        <f>IFERROR(__xludf.DUMMYFUNCTION("""COMPUTED_VALUE"""),"Little Greave Pharmaceuticals Pvt. Ltd.")</f>
        <v>Little Greave Pharmaceuticals Pvt. Ltd.</v>
      </c>
    </row>
    <row r="1838" ht="16.5" customHeight="1">
      <c r="H1838" s="1" t="str">
        <f>IFERROR(__xludf.DUMMYFUNCTION("""COMPUTED_VALUE"""),"Liva Healthcare Ltd")</f>
        <v>Liva Healthcare Ltd</v>
      </c>
    </row>
    <row r="1839" ht="16.5" customHeight="1">
      <c r="H1839" s="1" t="str">
        <f>IFERROR(__xludf.DUMMYFUNCTION("""COMPUTED_VALUE"""),"LIVEON HEALTHCARE")</f>
        <v>LIVEON HEALTHCARE</v>
      </c>
    </row>
    <row r="1840" ht="16.5" customHeight="1">
      <c r="H1840" s="1" t="str">
        <f>IFERROR(__xludf.DUMMYFUNCTION("""COMPUTED_VALUE"""),"LIWEL HEALTHCARE")</f>
        <v>LIWEL HEALTHCARE</v>
      </c>
    </row>
    <row r="1841" ht="16.5" customHeight="1">
      <c r="H1841" s="1" t="str">
        <f>IFERROR(__xludf.DUMMYFUNCTION("""COMPUTED_VALUE"""),"LOK BETA PHARMACEUTICAL")</f>
        <v>LOK BETA PHARMACEUTICAL</v>
      </c>
    </row>
    <row r="1842" ht="16.5" customHeight="1">
      <c r="H1842" s="1" t="str">
        <f>IFERROR(__xludf.DUMMYFUNCTION("""COMPUTED_VALUE"""),"LORDS")</f>
        <v>LORDS</v>
      </c>
    </row>
    <row r="1843" ht="16.5" customHeight="1">
      <c r="H1843" s="1" t="str">
        <f>IFERROR(__xludf.DUMMYFUNCTION("""COMPUTED_VALUE"""),"LOTUS NUTRATECH")</f>
        <v>LOTUS NUTRATECH</v>
      </c>
    </row>
    <row r="1844" ht="16.5" customHeight="1">
      <c r="H1844" s="1" t="str">
        <f>IFERROR(__xludf.DUMMYFUNCTION("""COMPUTED_VALUE"""),"LOUIES LIFE SCIENCES")</f>
        <v>LOUIES LIFE SCIENCES</v>
      </c>
    </row>
    <row r="1845" ht="16.5" customHeight="1">
      <c r="H1845" s="1" t="str">
        <f>IFERROR(__xludf.DUMMYFUNCTION("""COMPUTED_VALUE"""),"LT&amp;T PHARMA PVT LTD")</f>
        <v>LT&amp;T PHARMA PVT LTD</v>
      </c>
    </row>
    <row r="1846" ht="16.5" customHeight="1">
      <c r="H1846" s="1" t="str">
        <f>IFERROR(__xludf.DUMMYFUNCTION("""COMPUTED_VALUE"""),"LUCIFER AND HESPER (INDIA) PVT LTD")</f>
        <v>LUCIFER AND HESPER (INDIA) PVT LTD</v>
      </c>
    </row>
    <row r="1847" ht="16.5" customHeight="1">
      <c r="H1847" s="1" t="str">
        <f>IFERROR(__xludf.DUMMYFUNCTION("""COMPUTED_VALUE"""),"LUCKYS PHARMA")</f>
        <v>LUCKYS PHARMA</v>
      </c>
    </row>
    <row r="1848" ht="16.5" customHeight="1">
      <c r="H1848" s="1" t="str">
        <f>IFERROR(__xludf.DUMMYFUNCTION("""COMPUTED_VALUE"""),"LUCO HEALTHCARE")</f>
        <v>LUCO HEALTHCARE</v>
      </c>
    </row>
    <row r="1849" ht="16.5" customHeight="1">
      <c r="H1849" s="1" t="str">
        <f>IFERROR(__xludf.DUMMYFUNCTION("""COMPUTED_VALUE"""),"LUNARIA LIFE SCIENCE")</f>
        <v>LUNARIA LIFE SCIENCE</v>
      </c>
    </row>
    <row r="1850" ht="16.5" customHeight="1">
      <c r="H1850" s="1" t="str">
        <f>IFERROR(__xludf.DUMMYFUNCTION("""COMPUTED_VALUE"""),"Lundbeck India Pvt Ltd")</f>
        <v>Lundbeck India Pvt Ltd</v>
      </c>
    </row>
    <row r="1851" ht="16.5" customHeight="1">
      <c r="H1851" s="1" t="str">
        <f>IFERROR(__xludf.DUMMYFUNCTION("""COMPUTED_VALUE"""),"LUPIN (ASCENDER)")</f>
        <v>LUPIN (ASCENDER)</v>
      </c>
    </row>
    <row r="1852" ht="16.5" customHeight="1">
      <c r="H1852" s="1" t="str">
        <f>IFERROR(__xludf.DUMMYFUNCTION("""COMPUTED_VALUE"""),"LUPIN (ASPIRA)")</f>
        <v>LUPIN (ASPIRA)</v>
      </c>
    </row>
    <row r="1853" ht="16.5" customHeight="1">
      <c r="H1853" s="1" t="str">
        <f>IFERROR(__xludf.DUMMYFUNCTION("""COMPUTED_VALUE"""),"LUPIN (BLUE EYES)")</f>
        <v>LUPIN (BLUE EYES)</v>
      </c>
    </row>
    <row r="1854" ht="16.5" customHeight="1">
      <c r="H1854" s="1" t="str">
        <f>IFERROR(__xludf.DUMMYFUNCTION("""COMPUTED_VALUE"""),"LUPIN (DERMA)")</f>
        <v>LUPIN (DERMA)</v>
      </c>
    </row>
    <row r="1855" ht="16.5" customHeight="1">
      <c r="H1855" s="1" t="str">
        <f>IFERROR(__xludf.DUMMYFUNCTION("""COMPUTED_VALUE"""),"LUPIN (DIABETES CARE)")</f>
        <v>LUPIN (DIABETES CARE)</v>
      </c>
    </row>
    <row r="1856" ht="16.5" customHeight="1">
      <c r="H1856" s="1" t="str">
        <f>IFERROR(__xludf.DUMMYFUNCTION("""COMPUTED_VALUE"""),"LUPIN (ENDEAVOUR)")</f>
        <v>LUPIN (ENDEAVOUR)</v>
      </c>
    </row>
    <row r="1857" ht="16.5" customHeight="1">
      <c r="H1857" s="1" t="str">
        <f>IFERROR(__xludf.DUMMYFUNCTION("""COMPUTED_VALUE"""),"LUPIN (FEMINA)")</f>
        <v>LUPIN (FEMINA)</v>
      </c>
    </row>
    <row r="1858" ht="16.5" customHeight="1">
      <c r="H1858" s="1" t="str">
        <f>IFERROR(__xludf.DUMMYFUNCTION("""COMPUTED_VALUE"""),"LUPIN (FORMICA)")</f>
        <v>LUPIN (FORMICA)</v>
      </c>
    </row>
    <row r="1859" ht="16.5" customHeight="1">
      <c r="H1859" s="1" t="str">
        <f>IFERROR(__xludf.DUMMYFUNCTION("""COMPUTED_VALUE"""),"LUPIN (GENERIC)")</f>
        <v>LUPIN (GENERIC)</v>
      </c>
    </row>
    <row r="1860" ht="16.5" customHeight="1">
      <c r="H1860" s="1" t="str">
        <f>IFERROR(__xludf.DUMMYFUNCTION("""COMPUTED_VALUE"""),"LUPIN (IKONIC)")</f>
        <v>LUPIN (IKONIC)</v>
      </c>
    </row>
    <row r="1861" ht="16.5" customHeight="1">
      <c r="H1861" s="1" t="str">
        <f>IFERROR(__xludf.DUMMYFUNCTION("""COMPUTED_VALUE"""),"LUPIN (LIFE)")</f>
        <v>LUPIN (LIFE)</v>
      </c>
    </row>
    <row r="1862" ht="16.5" customHeight="1">
      <c r="H1862" s="1" t="str">
        <f>IFERROR(__xludf.DUMMYFUNCTION("""COMPUTED_VALUE"""),"LUPIN (MAXTER)")</f>
        <v>LUPIN (MAXTER)</v>
      </c>
    </row>
    <row r="1863" ht="16.5" customHeight="1">
      <c r="H1863" s="1" t="str">
        <f>IFERROR(__xludf.DUMMYFUNCTION("""COMPUTED_VALUE"""),"LUPIN (METABOLICS)")</f>
        <v>LUPIN (METABOLICS)</v>
      </c>
    </row>
    <row r="1864" ht="16.5" customHeight="1">
      <c r="H1864" s="1" t="str">
        <f>IFERROR(__xludf.DUMMYFUNCTION("""COMPUTED_VALUE"""),"LUPIN (MIND VISION)")</f>
        <v>LUPIN (MIND VISION)</v>
      </c>
    </row>
    <row r="1865" ht="16.5" customHeight="1">
      <c r="H1865" s="1" t="str">
        <f>IFERROR(__xludf.DUMMYFUNCTION("""COMPUTED_VALUE"""),"LUPIN (NEPHRO)")</f>
        <v>LUPIN (NEPHRO)</v>
      </c>
    </row>
    <row r="1866" ht="16.5" customHeight="1">
      <c r="H1866" s="1" t="str">
        <f>IFERROR(__xludf.DUMMYFUNCTION("""COMPUTED_VALUE"""),"LUPIN (PHOENIX)")</f>
        <v>LUPIN (PHOENIX)</v>
      </c>
    </row>
    <row r="1867" ht="16.5" customHeight="1">
      <c r="H1867" s="1" t="str">
        <f>IFERROR(__xludf.DUMMYFUNCTION("""COMPUTED_VALUE"""),"LUPIN (PINACALLE)")</f>
        <v>LUPIN (PINACALLE)</v>
      </c>
    </row>
    <row r="1868" ht="16.5" customHeight="1">
      <c r="H1868" s="1" t="str">
        <f>IFERROR(__xludf.DUMMYFUNCTION("""COMPUTED_VALUE"""),"LUPIN (PINNACLE CVN)")</f>
        <v>LUPIN (PINNACLE CVN)</v>
      </c>
    </row>
    <row r="1869" ht="16.5" customHeight="1">
      <c r="H1869" s="1" t="str">
        <f>IFERROR(__xludf.DUMMYFUNCTION("""COMPUTED_VALUE"""),"LUPIN (PRIMUSO)")</f>
        <v>LUPIN (PRIMUSO)</v>
      </c>
    </row>
    <row r="1870" ht="16.5" customHeight="1">
      <c r="H1870" s="1" t="str">
        <f>IFERROR(__xludf.DUMMYFUNCTION("""COMPUTED_VALUE"""),"LUPIN (RESPIRA SPIRITUS)")</f>
        <v>LUPIN (RESPIRA SPIRITUS)</v>
      </c>
    </row>
    <row r="1871" ht="16.5" customHeight="1">
      <c r="H1871" s="1" t="str">
        <f>IFERROR(__xludf.DUMMYFUNCTION("""COMPUTED_VALUE"""),"LUPIN (RESPIRA-SPECIALITY)")</f>
        <v>LUPIN (RESPIRA-SPECIALITY)</v>
      </c>
    </row>
    <row r="1872" ht="16.5" customHeight="1">
      <c r="H1872" s="1" t="str">
        <f>IFERROR(__xludf.DUMMYFUNCTION("""COMPUTED_VALUE"""),"LUPIN (RESPIRA)")</f>
        <v>LUPIN (RESPIRA)</v>
      </c>
    </row>
    <row r="1873" ht="16.5" customHeight="1">
      <c r="H1873" s="1" t="str">
        <f>IFERROR(__xludf.DUMMYFUNCTION("""COMPUTED_VALUE"""),"LUPIN (STELLAR)")</f>
        <v>LUPIN (STELLAR)</v>
      </c>
    </row>
    <row r="1874" ht="16.5" customHeight="1">
      <c r="H1874" s="1" t="str">
        <f>IFERROR(__xludf.DUMMYFUNCTION("""COMPUTED_VALUE"""),"LUPIN (SYNOX)")</f>
        <v>LUPIN (SYNOX)</v>
      </c>
    </row>
    <row r="1875" ht="16.5" customHeight="1">
      <c r="H1875" s="1" t="str">
        <f>IFERROR(__xludf.DUMMYFUNCTION("""COMPUTED_VALUE"""),"LUPIN (TB)")</f>
        <v>LUPIN (TB)</v>
      </c>
    </row>
    <row r="1876" ht="16.5" customHeight="1">
      <c r="H1876" s="1" t="str">
        <f>IFERROR(__xludf.DUMMYFUNCTION("""COMPUTED_VALUE"""),"Lupin Ltd")</f>
        <v>Lupin Ltd</v>
      </c>
    </row>
    <row r="1877" ht="16.5" customHeight="1">
      <c r="H1877" s="1" t="str">
        <f>IFERROR(__xludf.DUMMYFUNCTION("""COMPUTED_VALUE"""),"LUSAN PHARMACEUTICALS")</f>
        <v>LUSAN PHARMACEUTICALS</v>
      </c>
    </row>
    <row r="1878" ht="16.5" customHeight="1">
      <c r="H1878" s="1" t="str">
        <f>IFERROR(__xludf.DUMMYFUNCTION("""COMPUTED_VALUE"""),"LUVIA LIFESCIENCES")</f>
        <v>LUVIA LIFESCIENCES</v>
      </c>
    </row>
    <row r="1879" ht="16.5" customHeight="1">
      <c r="H1879" s="1" t="str">
        <f>IFERROR(__xludf.DUMMYFUNCTION("""COMPUTED_VALUE"""),"LXIR MEDILABS PVT LTD")</f>
        <v>LXIR MEDILABS PVT LTD</v>
      </c>
    </row>
    <row r="1880" ht="16.5" customHeight="1">
      <c r="H1880" s="1" t="str">
        <f>IFERROR(__xludf.DUMMYFUNCTION("""COMPUTED_VALUE"""),"LYCON HEALTHCARE PVT LTD")</f>
        <v>LYCON HEALTHCARE PVT LTD</v>
      </c>
    </row>
    <row r="1881" ht="16.5" customHeight="1">
      <c r="H1881" s="1" t="str">
        <f>IFERROR(__xludf.DUMMYFUNCTION("""COMPUTED_VALUE"""),"LYF HEALTHCARE")</f>
        <v>LYF HEALTHCARE</v>
      </c>
    </row>
    <row r="1882" ht="16.5" customHeight="1">
      <c r="H1882" s="1" t="str">
        <f>IFERROR(__xludf.DUMMYFUNCTION("""COMPUTED_VALUE"""),"LYKA LABS LTD")</f>
        <v>LYKA LABS LTD</v>
      </c>
    </row>
    <row r="1883" ht="16.5" customHeight="1">
      <c r="H1883" s="1" t="str">
        <f>IFERROR(__xludf.DUMMYFUNCTION("""COMPUTED_VALUE"""),"LYRA LABORATORIES PVT LTD")</f>
        <v>LYRA LABORATORIES PVT LTD</v>
      </c>
    </row>
    <row r="1884" ht="16.5" customHeight="1">
      <c r="H1884" s="1" t="str">
        <f>IFERROR(__xludf.DUMMYFUNCTION("""COMPUTED_VALUE"""),"LYSTEN GLOBAL PHARMACEUTICAL")</f>
        <v>LYSTEN GLOBAL PHARMACEUTICAL</v>
      </c>
    </row>
    <row r="1885" ht="16.5" customHeight="1">
      <c r="H1885" s="1" t="str">
        <f>IFERROR(__xludf.DUMMYFUNCTION("""COMPUTED_VALUE"""),"M &amp; M PHARMA")</f>
        <v>M &amp; M PHARMA</v>
      </c>
    </row>
    <row r="1886" ht="16.5" customHeight="1">
      <c r="H1886" s="1" t="str">
        <f>IFERROR(__xludf.DUMMYFUNCTION("""COMPUTED_VALUE"""),"M H JAVERIAN N SONS")</f>
        <v>M H JAVERIAN N SONS</v>
      </c>
    </row>
    <row r="1887" ht="16.5" customHeight="1">
      <c r="H1887" s="1" t="str">
        <f>IFERROR(__xludf.DUMMYFUNCTION("""COMPUTED_VALUE"""),"MAA CHAMUNDA HEALTHCARE")</f>
        <v>MAA CHAMUNDA HEALTHCARE</v>
      </c>
    </row>
    <row r="1888" ht="16.5" customHeight="1">
      <c r="H1888" s="1" t="str">
        <f>IFERROR(__xludf.DUMMYFUNCTION("""COMPUTED_VALUE"""),"MAAN PHARMACEUTICAL LTD")</f>
        <v>MAAN PHARMACEUTICAL LTD</v>
      </c>
    </row>
    <row r="1889" ht="16.5" customHeight="1">
      <c r="H1889" s="1" t="str">
        <f>IFERROR(__xludf.DUMMYFUNCTION("""COMPUTED_VALUE"""),"MACELODS (CV)")</f>
        <v>MACELODS (CV)</v>
      </c>
    </row>
    <row r="1890" ht="16.5" customHeight="1">
      <c r="H1890" s="1" t="str">
        <f>IFERROR(__xludf.DUMMYFUNCTION("""COMPUTED_VALUE"""),"MACFORD PHARMACEUTICALS")</f>
        <v>MACFORD PHARMACEUTICALS</v>
      </c>
    </row>
    <row r="1891" ht="16.5" customHeight="1">
      <c r="H1891" s="1" t="str">
        <f>IFERROR(__xludf.DUMMYFUNCTION("""COMPUTED_VALUE"""),"MACIN'S PHARMA")</f>
        <v>MACIN'S PHARMA</v>
      </c>
    </row>
    <row r="1892" ht="16.5" customHeight="1">
      <c r="H1892" s="1" t="str">
        <f>IFERROR(__xludf.DUMMYFUNCTION("""COMPUTED_VALUE"""),"MACLEODS (ACCUPHAR)")</f>
        <v>MACLEODS (ACCUPHAR)</v>
      </c>
    </row>
    <row r="1893" ht="16.5" customHeight="1">
      <c r="H1893" s="1" t="str">
        <f>IFERROR(__xludf.DUMMYFUNCTION("""COMPUTED_VALUE"""),"MACLEODS (AEROMAC)")</f>
        <v>MACLEODS (AEROMAC)</v>
      </c>
    </row>
    <row r="1894" ht="16.5" customHeight="1">
      <c r="H1894" s="1" t="str">
        <f>IFERROR(__xludf.DUMMYFUNCTION("""COMPUTED_VALUE"""),"MACLEODS (GEN CARE)")</f>
        <v>MACLEODS (GEN CARE)</v>
      </c>
    </row>
    <row r="1895" ht="16.5" customHeight="1">
      <c r="H1895" s="1" t="str">
        <f>IFERROR(__xludf.DUMMYFUNCTION("""COMPUTED_VALUE"""),"MACLEODS (MACPHAR)")</f>
        <v>MACLEODS (MACPHAR)</v>
      </c>
    </row>
    <row r="1896" ht="16.5" customHeight="1">
      <c r="H1896" s="1" t="str">
        <f>IFERROR(__xludf.DUMMYFUNCTION("""COMPUTED_VALUE"""),"MACLEODS (OSTEVA)")</f>
        <v>MACLEODS (OSTEVA)</v>
      </c>
    </row>
    <row r="1897" ht="16.5" customHeight="1">
      <c r="H1897" s="1" t="str">
        <f>IFERROR(__xludf.DUMMYFUNCTION("""COMPUTED_VALUE"""),"MACLEODS (OXALIS)")</f>
        <v>MACLEODS (OXALIS)</v>
      </c>
    </row>
    <row r="1898" ht="16.5" customHeight="1">
      <c r="H1898" s="1" t="str">
        <f>IFERROR(__xludf.DUMMYFUNCTION("""COMPUTED_VALUE"""),"MACLEODS (PROCARE-AHT)")</f>
        <v>MACLEODS (PROCARE-AHT)</v>
      </c>
    </row>
    <row r="1899" ht="16.5" customHeight="1">
      <c r="H1899" s="1" t="str">
        <f>IFERROR(__xludf.DUMMYFUNCTION("""COMPUTED_VALUE"""),"MACLEODS (PROCARE-AHT2)")</f>
        <v>MACLEODS (PROCARE-AHT2)</v>
      </c>
    </row>
    <row r="1900" ht="16.5" customHeight="1">
      <c r="H1900" s="1" t="str">
        <f>IFERROR(__xludf.DUMMYFUNCTION("""COMPUTED_VALUE"""),"MACLEODS (PROCARE-CV)")</f>
        <v>MACLEODS (PROCARE-CV)</v>
      </c>
    </row>
    <row r="1901" ht="16.5" customHeight="1">
      <c r="H1901" s="1" t="str">
        <f>IFERROR(__xludf.DUMMYFUNCTION("""COMPUTED_VALUE"""),"MACLEODS (TB CARE)")</f>
        <v>MACLEODS (TB CARE)</v>
      </c>
    </row>
    <row r="1902" ht="16.5" customHeight="1">
      <c r="H1902" s="1" t="str">
        <f>IFERROR(__xludf.DUMMYFUNCTION("""COMPUTED_VALUE"""),"MACLEODS PHARMA (MAIN)")</f>
        <v>MACLEODS PHARMA (MAIN)</v>
      </c>
    </row>
    <row r="1903" ht="16.5" customHeight="1">
      <c r="H1903" s="1" t="str">
        <f>IFERROR(__xludf.DUMMYFUNCTION("""COMPUTED_VALUE"""),"Macleods Pharmaceuticals Pvt Ltd")</f>
        <v>Macleods Pharmaceuticals Pvt Ltd</v>
      </c>
    </row>
    <row r="1904" ht="16.5" customHeight="1">
      <c r="H1904" s="1" t="str">
        <f>IFERROR(__xludf.DUMMYFUNCTION("""COMPUTED_VALUE"""),"MACLIFE BIOTECH P LTD")</f>
        <v>MACLIFE BIOTECH P LTD</v>
      </c>
    </row>
    <row r="1905" ht="16.5" customHeight="1">
      <c r="H1905" s="1" t="str">
        <f>IFERROR(__xludf.DUMMYFUNCTION("""COMPUTED_VALUE"""),"MACLOEDS (PROCARE-HD)")</f>
        <v>MACLOEDS (PROCARE-HD)</v>
      </c>
    </row>
    <row r="1906" ht="16.5" customHeight="1">
      <c r="H1906" s="1" t="str">
        <f>IFERROR(__xludf.DUMMYFUNCTION("""COMPUTED_VALUE"""),"MACLOWIN LIFE SCIENCE")</f>
        <v>MACLOWIN LIFE SCIENCE</v>
      </c>
    </row>
    <row r="1907" ht="16.5" customHeight="1">
      <c r="H1907" s="1" t="str">
        <f>IFERROR(__xludf.DUMMYFUNCTION("""COMPUTED_VALUE"""),"MACPHAR REMEDIES")</f>
        <v>MACPHAR REMEDIES</v>
      </c>
    </row>
    <row r="1908" ht="16.5" customHeight="1">
      <c r="H1908" s="1" t="str">
        <f>IFERROR(__xludf.DUMMYFUNCTION("""COMPUTED_VALUE"""),"MACTEC LIFE SCIENCES")</f>
        <v>MACTEC LIFE SCIENCES</v>
      </c>
    </row>
    <row r="1909" ht="16.5" customHeight="1">
      <c r="H1909" s="1" t="str">
        <f>IFERROR(__xludf.DUMMYFUNCTION("""COMPUTED_VALUE"""),"MACWELL PHARMACEUTICALS")</f>
        <v>MACWELL PHARMACEUTICALS</v>
      </c>
    </row>
    <row r="1910" ht="16.5" customHeight="1">
      <c r="H1910" s="1" t="str">
        <f>IFERROR(__xludf.DUMMYFUNCTION("""COMPUTED_VALUE"""),"MACWIN PHARMACEUTICALS PVT LTD")</f>
        <v>MACWIN PHARMACEUTICALS PVT LTD</v>
      </c>
    </row>
    <row r="1911" ht="16.5" customHeight="1">
      <c r="H1911" s="1" t="str">
        <f>IFERROR(__xludf.DUMMYFUNCTION("""COMPUTED_VALUE"""),"MADBRIS LIFESCIENCES PVT LTD")</f>
        <v>MADBRIS LIFESCIENCES PVT LTD</v>
      </c>
    </row>
    <row r="1912" ht="16.5" customHeight="1">
      <c r="H1912" s="1" t="str">
        <f>IFERROR(__xludf.DUMMYFUNCTION("""COMPUTED_VALUE"""),"MADHU TRADERS")</f>
        <v>MADHU TRADERS</v>
      </c>
    </row>
    <row r="1913" ht="16.5" customHeight="1">
      <c r="H1913" s="1" t="str">
        <f>IFERROR(__xludf.DUMMYFUNCTION("""COMPUTED_VALUE"""),"MAESTROS MEDILINE SYSTEMS LIMITED")</f>
        <v>MAESTROS MEDILINE SYSTEMS LIMITED</v>
      </c>
    </row>
    <row r="1914" ht="16.5" customHeight="1">
      <c r="H1914" s="1" t="str">
        <f>IFERROR(__xludf.DUMMYFUNCTION("""COMPUTED_VALUE"""),"MAGMA ALLIANZ")</f>
        <v>MAGMA ALLIANZ</v>
      </c>
    </row>
    <row r="1915" ht="16.5" customHeight="1">
      <c r="H1915" s="1" t="str">
        <f>IFERROR(__xludf.DUMMYFUNCTION("""COMPUTED_VALUE"""),"Maharishi Ayurveda Products Pvt Ltd")</f>
        <v>Maharishi Ayurveda Products Pvt Ltd</v>
      </c>
    </row>
    <row r="1916" ht="16.5" customHeight="1">
      <c r="H1916" s="1" t="str">
        <f>IFERROR(__xludf.DUMMYFUNCTION("""COMPUTED_VALUE"""),"MAHARSHI BADRI PHARMACEUTICALS")</f>
        <v>MAHARSHI BADRI PHARMACEUTICALS</v>
      </c>
    </row>
    <row r="1917" ht="16.5" customHeight="1">
      <c r="H1917" s="1" t="str">
        <f>IFERROR(__xludf.DUMMYFUNCTION("""COMPUTED_VALUE"""),"MAHESHWARI FARMACEUTICAL LTD")</f>
        <v>MAHESHWARI FARMACEUTICAL LTD</v>
      </c>
    </row>
    <row r="1918" ht="16.5" customHeight="1">
      <c r="H1918" s="1" t="str">
        <f>IFERROR(__xludf.DUMMYFUNCTION("""COMPUTED_VALUE"""),"MAKERS LABORATORIES LTD")</f>
        <v>MAKERS LABORATORIES LTD</v>
      </c>
    </row>
    <row r="1919" ht="16.5" customHeight="1">
      <c r="H1919" s="1" t="str">
        <f>IFERROR(__xludf.DUMMYFUNCTION("""COMPUTED_VALUE"""),"MAKEWELL PHARMACEUTICAL")</f>
        <v>MAKEWELL PHARMACEUTICAL</v>
      </c>
    </row>
    <row r="1920" ht="16.5" customHeight="1">
      <c r="H1920" s="1" t="str">
        <f>IFERROR(__xludf.DUMMYFUNCTION("""COMPUTED_VALUE"""),"MAKIN LABORATORIES PVT LTD")</f>
        <v>MAKIN LABORATORIES PVT LTD</v>
      </c>
    </row>
    <row r="1921" ht="16.5" customHeight="1">
      <c r="H1921" s="1" t="str">
        <f>IFERROR(__xludf.DUMMYFUNCTION("""COMPUTED_VALUE"""),"MAKSUN BIOTECH P LTD")</f>
        <v>MAKSUN BIOTECH P LTD</v>
      </c>
    </row>
    <row r="1922" ht="16.5" customHeight="1">
      <c r="H1922" s="1" t="str">
        <f>IFERROR(__xludf.DUMMYFUNCTION("""COMPUTED_VALUE"""),"MAMTA PHARMACEUTICALS PVT LTD")</f>
        <v>MAMTA PHARMACEUTICALS PVT LTD</v>
      </c>
    </row>
    <row r="1923" ht="16.5" customHeight="1">
      <c r="H1923" s="1" t="str">
        <f>IFERROR(__xludf.DUMMYFUNCTION("""COMPUTED_VALUE"""),"MAN SERVE PHARMA")</f>
        <v>MAN SERVE PHARMA</v>
      </c>
    </row>
    <row r="1924" ht="16.5" customHeight="1">
      <c r="H1924" s="1" t="str">
        <f>IFERROR(__xludf.DUMMYFUNCTION("""COMPUTED_VALUE"""),"MANCARE LABS PVT LTD")</f>
        <v>MANCARE LABS PVT LTD</v>
      </c>
    </row>
    <row r="1925" ht="16.5" customHeight="1">
      <c r="H1925" s="1" t="str">
        <f>IFERROR(__xludf.DUMMYFUNCTION("""COMPUTED_VALUE"""),"MANEESH HEALTH CARE")</f>
        <v>MANEESH HEALTH CARE</v>
      </c>
    </row>
    <row r="1926" ht="16.5" customHeight="1">
      <c r="H1926" s="1" t="str">
        <f>IFERROR(__xludf.DUMMYFUNCTION("""COMPUTED_VALUE"""),"Maneesh Pharmaceuticals")</f>
        <v>Maneesh Pharmaceuticals</v>
      </c>
    </row>
    <row r="1927" ht="16.5" customHeight="1">
      <c r="H1927" s="1" t="str">
        <f>IFERROR(__xludf.DUMMYFUNCTION("""COMPUTED_VALUE"""),"MANKIND (3D)")</f>
        <v>MANKIND (3D)</v>
      </c>
    </row>
    <row r="1928" ht="16.5" customHeight="1">
      <c r="H1928" s="1" t="str">
        <f>IFERROR(__xludf.DUMMYFUNCTION("""COMPUTED_VALUE"""),"MANKIND (ASPIRA)")</f>
        <v>MANKIND (ASPIRA)</v>
      </c>
    </row>
    <row r="1929" ht="16.5" customHeight="1">
      <c r="H1929" s="1" t="str">
        <f>IFERROR(__xludf.DUMMYFUNCTION("""COMPUTED_VALUE"""),"MANKIND (CEREBRIS)")</f>
        <v>MANKIND (CEREBRIS)</v>
      </c>
    </row>
    <row r="1930" ht="16.5" customHeight="1">
      <c r="H1930" s="1" t="str">
        <f>IFERROR(__xludf.DUMMYFUNCTION("""COMPUTED_VALUE"""),"MANKIND (CURIS)")</f>
        <v>MANKIND (CURIS)</v>
      </c>
    </row>
    <row r="1931" ht="16.5" customHeight="1">
      <c r="H1931" s="1" t="str">
        <f>IFERROR(__xludf.DUMMYFUNCTION("""COMPUTED_VALUE"""),"MANKIND (DISCOVERY)")</f>
        <v>MANKIND (DISCOVERY)</v>
      </c>
    </row>
    <row r="1932" ht="16.5" customHeight="1">
      <c r="H1932" s="1" t="str">
        <f>IFERROR(__xludf.DUMMYFUNCTION("""COMPUTED_VALUE"""),"MANKIND (FUTURE)")</f>
        <v>MANKIND (FUTURE)</v>
      </c>
    </row>
    <row r="1933" ht="16.5" customHeight="1">
      <c r="H1933" s="1" t="str">
        <f>IFERROR(__xludf.DUMMYFUNCTION("""COMPUTED_VALUE"""),"MANKIND (GENERIC-AMAZING)")</f>
        <v>MANKIND (GENERIC-AMAZING)</v>
      </c>
    </row>
    <row r="1934" ht="16.5" customHeight="1">
      <c r="H1934" s="1" t="str">
        <f>IFERROR(__xludf.DUMMYFUNCTION("""COMPUTED_VALUE"""),"MANKIND (GENERIC)")</f>
        <v>MANKIND (GENERIC)</v>
      </c>
    </row>
    <row r="1935" ht="16.5" customHeight="1">
      <c r="H1935" s="1" t="str">
        <f>IFERROR(__xludf.DUMMYFUNCTION("""COMPUTED_VALUE"""),"MANKIND (GRAVITAS)")</f>
        <v>MANKIND (GRAVITAS)</v>
      </c>
    </row>
    <row r="1936" ht="16.5" customHeight="1">
      <c r="H1936" s="1" t="str">
        <f>IFERROR(__xludf.DUMMYFUNCTION("""COMPUTED_VALUE"""),"MANKIND (LIFESTAR-1)")</f>
        <v>MANKIND (LIFESTAR-1)</v>
      </c>
    </row>
    <row r="1937" ht="16.5" customHeight="1">
      <c r="H1937" s="1" t="str">
        <f>IFERROR(__xludf.DUMMYFUNCTION("""COMPUTED_VALUE"""),"MANKIND (LIFESTAR-2)")</f>
        <v>MANKIND (LIFESTAR-2)</v>
      </c>
    </row>
    <row r="1938" ht="16.5" customHeight="1">
      <c r="H1938" s="1" t="str">
        <f>IFERROR(__xludf.DUMMYFUNCTION("""COMPUTED_VALUE"""),"MANKIND (MAGNET)")</f>
        <v>MANKIND (MAGNET)</v>
      </c>
    </row>
    <row r="1939" ht="16.5" customHeight="1">
      <c r="H1939" s="1" t="str">
        <f>IFERROR(__xludf.DUMMYFUNCTION("""COMPUTED_VALUE"""),"MANKIND (MAIN)")</f>
        <v>MANKIND (MAIN)</v>
      </c>
    </row>
    <row r="1940" ht="16.5" customHeight="1">
      <c r="H1940" s="1" t="str">
        <f>IFERROR(__xludf.DUMMYFUNCTION("""COMPUTED_VALUE"""),"MANKIND (NOBELIS)")</f>
        <v>MANKIND (NOBELIS)</v>
      </c>
    </row>
    <row r="1941" ht="16.5" customHeight="1">
      <c r="H1941" s="1" t="str">
        <f>IFERROR(__xludf.DUMMYFUNCTION("""COMPUTED_VALUE"""),"MANKIND (OCULARIS)")</f>
        <v>MANKIND (OCULARIS)</v>
      </c>
    </row>
    <row r="1942" ht="16.5" customHeight="1">
      <c r="H1942" s="1" t="str">
        <f>IFERROR(__xludf.DUMMYFUNCTION("""COMPUTED_VALUE"""),"MANKIND (PRIME)")</f>
        <v>MANKIND (PRIME)</v>
      </c>
    </row>
    <row r="1943" ht="16.5" customHeight="1">
      <c r="H1943" s="1" t="str">
        <f>IFERROR(__xludf.DUMMYFUNCTION("""COMPUTED_VALUE"""),"MANKIND (PROCARE)")</f>
        <v>MANKIND (PROCARE)</v>
      </c>
    </row>
    <row r="1944" ht="16.5" customHeight="1">
      <c r="H1944" s="1" t="str">
        <f>IFERROR(__xludf.DUMMYFUNCTION("""COMPUTED_VALUE"""),"MANKIND (SPECIAL)")</f>
        <v>MANKIND (SPECIAL)</v>
      </c>
    </row>
    <row r="1945" ht="16.5" customHeight="1">
      <c r="H1945" s="1" t="str">
        <f>IFERROR(__xludf.DUMMYFUNCTION("""COMPUTED_VALUE"""),"MANKIND (ZESTEVA)")</f>
        <v>MANKIND (ZESTEVA)</v>
      </c>
    </row>
    <row r="1946" ht="16.5" customHeight="1">
      <c r="H1946" s="1" t="str">
        <f>IFERROR(__xludf.DUMMYFUNCTION("""COMPUTED_VALUE"""),"Mankind Pharma Ltd")</f>
        <v>Mankind Pharma Ltd</v>
      </c>
    </row>
    <row r="1947" ht="16.5" customHeight="1">
      <c r="H1947" s="1" t="str">
        <f>IFERROR(__xludf.DUMMYFUNCTION("""COMPUTED_VALUE"""),"MANTIS REMEDIES")</f>
        <v>MANTIS REMEDIES</v>
      </c>
    </row>
    <row r="1948" ht="16.5" customHeight="1">
      <c r="H1948" s="1" t="str">
        <f>IFERROR(__xludf.DUMMYFUNCTION("""COMPUTED_VALUE"""),"MANTRA PHARMACEUTICALS")</f>
        <v>MANTRA PHARMACEUTICALS</v>
      </c>
    </row>
    <row r="1949" ht="16.5" customHeight="1">
      <c r="H1949" s="1" t="str">
        <f>IFERROR(__xludf.DUMMYFUNCTION("""COMPUTED_VALUE"""),"MANTRAX HEALTHCARE")</f>
        <v>MANTRAX HEALTHCARE</v>
      </c>
    </row>
    <row r="1950" ht="16.5" customHeight="1">
      <c r="H1950" s="1" t="str">
        <f>IFERROR(__xludf.DUMMYFUNCTION("""COMPUTED_VALUE"""),"MAPLE DRUGS")</f>
        <v>MAPLE DRUGS</v>
      </c>
    </row>
    <row r="1951" ht="16.5" customHeight="1">
      <c r="H1951" s="1" t="str">
        <f>IFERROR(__xludf.DUMMYFUNCTION("""COMPUTED_VALUE"""),"MAPLE DRUGS &amp; PHARMACEUTICALS")</f>
        <v>MAPLE DRUGS &amp; PHARMACEUTICALS</v>
      </c>
    </row>
    <row r="1952" ht="16.5" customHeight="1">
      <c r="H1952" s="1" t="str">
        <f>IFERROR(__xludf.DUMMYFUNCTION("""COMPUTED_VALUE"""),"Mapra Laboratories Pvt Ltd")</f>
        <v>Mapra Laboratories Pvt Ltd</v>
      </c>
    </row>
    <row r="1953" ht="16.5" customHeight="1">
      <c r="H1953" s="1" t="str">
        <f>IFERROR(__xludf.DUMMYFUNCTION("""COMPUTED_VALUE"""),"MAPRO")</f>
        <v>MAPRO</v>
      </c>
    </row>
    <row r="1954" ht="16.5" customHeight="1">
      <c r="H1954" s="1" t="str">
        <f>IFERROR(__xludf.DUMMYFUNCTION("""COMPUTED_VALUE"""),"MAPRO LIFESCIENCE")</f>
        <v>MAPRO LIFESCIENCE</v>
      </c>
    </row>
    <row r="1955" ht="16.5" customHeight="1">
      <c r="H1955" s="1" t="str">
        <f>IFERROR(__xludf.DUMMYFUNCTION("""COMPUTED_VALUE"""),"MAPSCURC SUSPENSION")</f>
        <v>MAPSCURC SUSPENSION</v>
      </c>
    </row>
    <row r="1956" ht="16.5" customHeight="1">
      <c r="H1956" s="1" t="str">
        <f>IFERROR(__xludf.DUMMYFUNCTION("""COMPUTED_VALUE"""),"MAPSCURC TAB")</f>
        <v>MAPSCURC TAB</v>
      </c>
    </row>
    <row r="1957" ht="16.5" customHeight="1">
      <c r="H1957" s="1" t="str">
        <f>IFERROR(__xludf.DUMMYFUNCTION("""COMPUTED_VALUE"""),"MAPSCURE GEL")</f>
        <v>MAPSCURE GEL</v>
      </c>
    </row>
    <row r="1958" ht="16.5" customHeight="1">
      <c r="H1958" s="1" t="str">
        <f>IFERROR(__xludf.DUMMYFUNCTION("""COMPUTED_VALUE"""),"MAPSCURE TAB")</f>
        <v>MAPSCURE TAB</v>
      </c>
    </row>
    <row r="1959" ht="16.5" customHeight="1">
      <c r="H1959" s="1" t="str">
        <f>IFERROR(__xludf.DUMMYFUNCTION("""COMPUTED_VALUE"""),"MAPSGEM 1000")</f>
        <v>MAPSGEM 1000</v>
      </c>
    </row>
    <row r="1960" ht="16.5" customHeight="1">
      <c r="H1960" s="1" t="str">
        <f>IFERROR(__xludf.DUMMYFUNCTION("""COMPUTED_VALUE"""),"MAPSONIB 200MG")</f>
        <v>MAPSONIB 200MG</v>
      </c>
    </row>
    <row r="1961" ht="16.5" customHeight="1">
      <c r="H1961" s="1" t="str">
        <f>IFERROR(__xludf.DUMMYFUNCTION("""COMPUTED_VALUE"""),"MAPSTABINE 500MG")</f>
        <v>MAPSTABINE 500MG</v>
      </c>
    </row>
    <row r="1962" ht="16.5" customHeight="1">
      <c r="H1962" s="1" t="str">
        <f>IFERROR(__xludf.DUMMYFUNCTION("""COMPUTED_VALUE"""),"MAPSTHIONE 250MG")</f>
        <v>MAPSTHIONE 250MG</v>
      </c>
    </row>
    <row r="1963" ht="16.5" customHeight="1">
      <c r="H1963" s="1" t="str">
        <f>IFERROR(__xludf.DUMMYFUNCTION("""COMPUTED_VALUE"""),"Marc Laboratories Pvt Ltd")</f>
        <v>Marc Laboratories Pvt Ltd</v>
      </c>
    </row>
    <row r="1964" ht="16.5" customHeight="1">
      <c r="H1964" s="1" t="str">
        <f>IFERROR(__xludf.DUMMYFUNCTION("""COMPUTED_VALUE"""),"Marck Biosciences Ltd")</f>
        <v>Marck Biosciences Ltd</v>
      </c>
    </row>
    <row r="1965" ht="16.5" customHeight="1">
      <c r="H1965" s="1" t="str">
        <f>IFERROR(__xludf.DUMMYFUNCTION("""COMPUTED_VALUE"""),"MARDIA PHARMACEUTICALS")</f>
        <v>MARDIA PHARMACEUTICALS</v>
      </c>
    </row>
    <row r="1966" ht="16.5" customHeight="1">
      <c r="H1966" s="1" t="str">
        <f>IFERROR(__xludf.DUMMYFUNCTION("""COMPUTED_VALUE"""),"Mark India")</f>
        <v>Mark India</v>
      </c>
    </row>
    <row r="1967" ht="16.5" customHeight="1">
      <c r="H1967" s="1" t="str">
        <f>IFERROR(__xludf.DUMMYFUNCTION("""COMPUTED_VALUE"""),"MARKSANS PHARMA LTD (CNS CEREBELLA)")</f>
        <v>MARKSANS PHARMA LTD (CNS CEREBELLA)</v>
      </c>
    </row>
    <row r="1968" ht="16.5" customHeight="1">
      <c r="H1968" s="1" t="str">
        <f>IFERROR(__xludf.DUMMYFUNCTION("""COMPUTED_VALUE"""),"MARS COMMERCE (VALERIE)")</f>
        <v>MARS COMMERCE (VALERIE)</v>
      </c>
    </row>
    <row r="1969" ht="16.5" customHeight="1">
      <c r="H1969" s="1" t="str">
        <f>IFERROR(__xludf.DUMMYFUNCTION("""COMPUTED_VALUE"""),"MARTIN &amp; BROWN BIOSCIENCES")</f>
        <v>MARTIN &amp; BROWN BIOSCIENCES</v>
      </c>
    </row>
    <row r="1970" ht="16.5" customHeight="1">
      <c r="H1970" s="1" t="str">
        <f>IFERROR(__xludf.DUMMYFUNCTION("""COMPUTED_VALUE"""),"Martin &amp; Harris Pvt Ltd")</f>
        <v>Martin &amp; Harris Pvt Ltd</v>
      </c>
    </row>
    <row r="1971" ht="16.5" customHeight="1">
      <c r="H1971" s="1" t="str">
        <f>IFERROR(__xludf.DUMMYFUNCTION("""COMPUTED_VALUE"""),"MARVEK BIOSCIENCES")</f>
        <v>MARVEK BIOSCIENCES</v>
      </c>
    </row>
    <row r="1972" ht="16.5" customHeight="1">
      <c r="H1972" s="1" t="str">
        <f>IFERROR(__xludf.DUMMYFUNCTION("""COMPUTED_VALUE"""),"MARVEL BIOSCIENCES")</f>
        <v>MARVEL BIOSCIENCES</v>
      </c>
    </row>
    <row r="1973" ht="16.5" customHeight="1">
      <c r="H1973" s="1" t="str">
        <f>IFERROR(__xludf.DUMMYFUNCTION("""COMPUTED_VALUE"""),"MARX PHARMA")</f>
        <v>MARX PHARMA</v>
      </c>
    </row>
    <row r="1974" ht="16.5" customHeight="1">
      <c r="H1974" s="1" t="str">
        <f>IFERROR(__xludf.DUMMYFUNCTION("""COMPUTED_VALUE"""),"MARX REMEDIES")</f>
        <v>MARX REMEDIES</v>
      </c>
    </row>
    <row r="1975" ht="16.5" customHeight="1">
      <c r="H1975" s="1" t="str">
        <f>IFERROR(__xludf.DUMMYFUNCTION("""COMPUTED_VALUE"""),"MAS HEALTHCARE P LTD")</f>
        <v>MAS HEALTHCARE P LTD</v>
      </c>
    </row>
    <row r="1976" ht="16.5" customHeight="1">
      <c r="H1976" s="1" t="str">
        <f>IFERROR(__xludf.DUMMYFUNCTION("""COMPUTED_VALUE"""),"MAS PHARMACHEM SOLAN")</f>
        <v>MAS PHARMACHEM SOLAN</v>
      </c>
    </row>
    <row r="1977" ht="16.5" customHeight="1">
      <c r="H1977" s="1" t="str">
        <f>IFERROR(__xludf.DUMMYFUNCTION("""COMPUTED_VALUE"""),"MASCOT BIOTECH")</f>
        <v>MASCOT BIOTECH</v>
      </c>
    </row>
    <row r="1978" ht="16.5" customHeight="1">
      <c r="H1978" s="1" t="str">
        <f>IFERROR(__xludf.DUMMYFUNCTION("""COMPUTED_VALUE"""),"MASCOT HEALTH SERIES PVT LTD")</f>
        <v>MASCOT HEALTH SERIES PVT LTD</v>
      </c>
    </row>
    <row r="1979" ht="16.5" customHeight="1">
      <c r="H1979" s="1" t="str">
        <f>IFERROR(__xludf.DUMMYFUNCTION("""COMPUTED_VALUE"""),"MASCOT LIFESCIENCE P LTD")</f>
        <v>MASCOT LIFESCIENCE P LTD</v>
      </c>
    </row>
    <row r="1980" ht="16.5" customHeight="1">
      <c r="H1980" s="1" t="str">
        <f>IFERROR(__xludf.DUMMYFUNCTION("""COMPUTED_VALUE"""),"MATIAS HEALTHCARE")</f>
        <v>MATIAS HEALTHCARE</v>
      </c>
    </row>
    <row r="1981" ht="16.5" customHeight="1">
      <c r="H1981" s="1" t="str">
        <f>IFERROR(__xludf.DUMMYFUNCTION("""COMPUTED_VALUE"""),"MATRIA MEDICA")</f>
        <v>MATRIA MEDICA</v>
      </c>
    </row>
    <row r="1982" ht="16.5" customHeight="1">
      <c r="H1982" s="1" t="str">
        <f>IFERROR(__xludf.DUMMYFUNCTION("""COMPUTED_VALUE"""),"MATTEO (CVD)")</f>
        <v>MATTEO (CVD)</v>
      </c>
    </row>
    <row r="1983" ht="16.5" customHeight="1">
      <c r="H1983" s="1" t="str">
        <f>IFERROR(__xludf.DUMMYFUNCTION("""COMPUTED_VALUE"""),"MATTEO HEALTHCARE PVT LTD")</f>
        <v>MATTEO HEALTHCARE PVT LTD</v>
      </c>
    </row>
    <row r="1984" ht="16.5" customHeight="1">
      <c r="H1984" s="1" t="str">
        <f>IFERROR(__xludf.DUMMYFUNCTION("""COMPUTED_VALUE"""),"MAX CHEMICALS (INDIA)")</f>
        <v>MAX CHEMICALS (INDIA)</v>
      </c>
    </row>
    <row r="1985" ht="16.5" customHeight="1">
      <c r="H1985" s="1" t="str">
        <f>IFERROR(__xludf.DUMMYFUNCTION("""COMPUTED_VALUE"""),"MAX PHARMA")</f>
        <v>MAX PHARMA</v>
      </c>
    </row>
    <row r="1986" ht="16.5" customHeight="1">
      <c r="H1986" s="1" t="str">
        <f>IFERROR(__xludf.DUMMYFUNCTION("""COMPUTED_VALUE"""),"MAXCARE PHARMACEUTICAL PVT LTD")</f>
        <v>MAXCARE PHARMACEUTICAL PVT LTD</v>
      </c>
    </row>
    <row r="1987" ht="16.5" customHeight="1">
      <c r="H1987" s="1" t="str">
        <f>IFERROR(__xludf.DUMMYFUNCTION("""COMPUTED_VALUE"""),"MAXFORD HEALTHCARE")</f>
        <v>MAXFORD HEALTHCARE</v>
      </c>
    </row>
    <row r="1988" ht="16.5" customHeight="1">
      <c r="H1988" s="1" t="str">
        <f>IFERROR(__xludf.DUMMYFUNCTION("""COMPUTED_VALUE"""),"MAXFORD LABS PVT LTD")</f>
        <v>MAXFORD LABS PVT LTD</v>
      </c>
    </row>
    <row r="1989" ht="16.5" customHeight="1">
      <c r="H1989" s="1" t="str">
        <f>IFERROR(__xludf.DUMMYFUNCTION("""COMPUTED_VALUE"""),"MAXIMAA PROYURVEDA")</f>
        <v>MAXIMAA PROYURVEDA</v>
      </c>
    </row>
    <row r="1990" ht="16.5" customHeight="1">
      <c r="H1990" s="1" t="str">
        <f>IFERROR(__xludf.DUMMYFUNCTION("""COMPUTED_VALUE"""),"MAXIMUM LABS")</f>
        <v>MAXIMUM LABS</v>
      </c>
    </row>
    <row r="1991" ht="16.5" customHeight="1">
      <c r="H1991" s="1" t="str">
        <f>IFERROR(__xludf.DUMMYFUNCTION("""COMPUTED_VALUE"""),"MAXNOVA HEALTHCARE")</f>
        <v>MAXNOVA HEALTHCARE</v>
      </c>
    </row>
    <row r="1992" ht="16.5" customHeight="1">
      <c r="H1992" s="1" t="str">
        <f>IFERROR(__xludf.DUMMYFUNCTION("""COMPUTED_VALUE"""),"MAXQURE LABS")</f>
        <v>MAXQURE LABS</v>
      </c>
    </row>
    <row r="1993" ht="16.5" customHeight="1">
      <c r="H1993" s="1" t="str">
        <f>IFERROR(__xludf.DUMMYFUNCTION("""COMPUTED_VALUE"""),"MAXUS PHARMA")</f>
        <v>MAXUS PHARMA</v>
      </c>
    </row>
    <row r="1994" ht="16.5" customHeight="1">
      <c r="H1994" s="1" t="str">
        <f>IFERROR(__xludf.DUMMYFUNCTION("""COMPUTED_VALUE"""),"MAXX FARMACIA")</f>
        <v>MAXX FARMACIA</v>
      </c>
    </row>
    <row r="1995" ht="16.5" customHeight="1">
      <c r="H1995" s="1" t="str">
        <f>IFERROR(__xludf.DUMMYFUNCTION("""COMPUTED_VALUE"""),"MAXZEN BIOTECH")</f>
        <v>MAXZEN BIOTECH</v>
      </c>
    </row>
    <row r="1996" ht="16.5" customHeight="1">
      <c r="H1996" s="1" t="str">
        <f>IFERROR(__xludf.DUMMYFUNCTION("""COMPUTED_VALUE"""),"MAXZIMAA PHARMACEUTICALS")</f>
        <v>MAXZIMAA PHARMACEUTICALS</v>
      </c>
    </row>
    <row r="1997" ht="16.5" customHeight="1">
      <c r="H1997" s="1" t="str">
        <f>IFERROR(__xludf.DUMMYFUNCTION("""COMPUTED_VALUE"""),"MAY &amp; BAKER")</f>
        <v>MAY &amp; BAKER</v>
      </c>
    </row>
    <row r="1998" ht="16.5" customHeight="1">
      <c r="H1998" s="1" t="str">
        <f>IFERROR(__xludf.DUMMYFUNCTION("""COMPUTED_VALUE"""),"Mayflower India (MARIGOLD)")</f>
        <v>Mayflower India (MARIGOLD)</v>
      </c>
    </row>
    <row r="1999" ht="16.5" customHeight="1">
      <c r="H1999" s="1" t="str">
        <f>IFERROR(__xludf.DUMMYFUNCTION("""COMPUTED_VALUE"""),"MAYGRISS HEALTHCARE PVT LTD")</f>
        <v>MAYGRISS HEALTHCARE PVT LTD</v>
      </c>
    </row>
    <row r="2000" ht="16.5" customHeight="1">
      <c r="H2000" s="1" t="str">
        <f>IFERROR(__xludf.DUMMYFUNCTION("""COMPUTED_VALUE"""),"Mcastro Pharma")</f>
        <v>Mcastro Pharma</v>
      </c>
    </row>
    <row r="2001" ht="16.5" customHeight="1">
      <c r="H2001" s="1" t="str">
        <f>IFERROR(__xludf.DUMMYFUNCTION("""COMPUTED_VALUE"""),"MCFORDS PHARMACEUTICALS PVT LTD")</f>
        <v>MCFORDS PHARMACEUTICALS PVT LTD</v>
      </c>
    </row>
    <row r="2002" ht="16.5" customHeight="1">
      <c r="H2002" s="1" t="str">
        <f>IFERROR(__xludf.DUMMYFUNCTION("""COMPUTED_VALUE"""),"McW Healthcare")</f>
        <v>McW Healthcare</v>
      </c>
    </row>
    <row r="2003" ht="16.5" customHeight="1">
      <c r="H2003" s="1" t="str">
        <f>IFERROR(__xludf.DUMMYFUNCTION("""COMPUTED_VALUE"""),"MCWEL HEALTHCARE P LTD")</f>
        <v>MCWEL HEALTHCARE P LTD</v>
      </c>
    </row>
    <row r="2004" ht="16.5" customHeight="1">
      <c r="H2004" s="1" t="str">
        <f>IFERROR(__xludf.DUMMYFUNCTION("""COMPUTED_VALUE"""),"MDC PHARMACEUTICALS PVT LTD")</f>
        <v>MDC PHARMACEUTICALS PVT LTD</v>
      </c>
    </row>
    <row r="2005" ht="16.5" customHeight="1">
      <c r="H2005" s="1" t="str">
        <f>IFERROR(__xludf.DUMMYFUNCTION("""COMPUTED_VALUE"""),"MEAD JOHNSON &amp; COMPANY")</f>
        <v>MEAD JOHNSON &amp; COMPANY</v>
      </c>
    </row>
    <row r="2006" ht="16.5" customHeight="1">
      <c r="H2006" s="1" t="str">
        <f>IFERROR(__xludf.DUMMYFUNCTION("""COMPUTED_VALUE"""),"MECARTUS HEALTH CARE P LTD")</f>
        <v>MECARTUS HEALTH CARE P LTD</v>
      </c>
    </row>
    <row r="2007" ht="16.5" customHeight="1">
      <c r="H2007" s="1" t="str">
        <f>IFERROR(__xludf.DUMMYFUNCTION("""COMPUTED_VALUE"""),"MECOSON LABS")</f>
        <v>MECOSON LABS</v>
      </c>
    </row>
    <row r="2008" ht="16.5" customHeight="1">
      <c r="H2008" s="1" t="str">
        <f>IFERROR(__xludf.DUMMYFUNCTION("""COMPUTED_VALUE"""),"MED MANOR (GLORIA)")</f>
        <v>MED MANOR (GLORIA)</v>
      </c>
    </row>
    <row r="2009" ht="16.5" customHeight="1">
      <c r="H2009" s="1" t="str">
        <f>IFERROR(__xludf.DUMMYFUNCTION("""COMPUTED_VALUE"""),"MED MANOR (PEDIA)")</f>
        <v>MED MANOR (PEDIA)</v>
      </c>
    </row>
    <row r="2010" ht="16.5" customHeight="1">
      <c r="H2010" s="1" t="str">
        <f>IFERROR(__xludf.DUMMYFUNCTION("""COMPUTED_VALUE"""),"Med Manor Organics Pvt Ltd")</f>
        <v>Med Manor Organics Pvt Ltd</v>
      </c>
    </row>
    <row r="2011" ht="16.5" customHeight="1">
      <c r="H2011" s="1" t="str">
        <f>IFERROR(__xludf.DUMMYFUNCTION("""COMPUTED_VALUE"""),"MEDCONIC HEALTHCARE")</f>
        <v>MEDCONIC HEALTHCARE</v>
      </c>
    </row>
    <row r="2012" ht="16.5" customHeight="1">
      <c r="H2012" s="1" t="str">
        <f>IFERROR(__xludf.DUMMYFUNCTION("""COMPUTED_VALUE"""),"MEDCURE ORGANIC")</f>
        <v>MEDCURE ORGANIC</v>
      </c>
    </row>
    <row r="2013" ht="16.5" customHeight="1">
      <c r="H2013" s="1" t="str">
        <f>IFERROR(__xludf.DUMMYFUNCTION("""COMPUTED_VALUE"""),"MEDFE")</f>
        <v>MEDFE</v>
      </c>
    </row>
    <row r="2014" ht="16.5" customHeight="1">
      <c r="H2014" s="1" t="str">
        <f>IFERROR(__xludf.DUMMYFUNCTION("""COMPUTED_VALUE"""),"MEDFOR BIOSCIENCES PVT LTD")</f>
        <v>MEDFOR BIOSCIENCES PVT LTD</v>
      </c>
    </row>
    <row r="2015" ht="16.5" customHeight="1">
      <c r="H2015" s="1" t="str">
        <f>IFERROR(__xludf.DUMMYFUNCTION("""COMPUTED_VALUE"""),"MEDI JOHN BIOTECH")</f>
        <v>MEDI JOHN BIOTECH</v>
      </c>
    </row>
    <row r="2016" ht="16.5" customHeight="1">
      <c r="H2016" s="1" t="str">
        <f>IFERROR(__xludf.DUMMYFUNCTION("""COMPUTED_VALUE"""),"MEDI SURGE IMPEX")</f>
        <v>MEDI SURGE IMPEX</v>
      </c>
    </row>
    <row r="2017" ht="16.5" customHeight="1">
      <c r="H2017" s="1" t="str">
        <f>IFERROR(__xludf.DUMMYFUNCTION("""COMPUTED_VALUE"""),"MEDIART LIFESCIENCES")</f>
        <v>MEDIART LIFESCIENCES</v>
      </c>
    </row>
    <row r="2018" ht="16.5" customHeight="1">
      <c r="H2018" s="1" t="str">
        <f>IFERROR(__xludf.DUMMYFUNCTION("""COMPUTED_VALUE"""),"MEDIC")</f>
        <v>MEDIC</v>
      </c>
    </row>
    <row r="2019" ht="16.5" customHeight="1">
      <c r="H2019" s="1" t="str">
        <f>IFERROR(__xludf.DUMMYFUNCTION("""COMPUTED_VALUE"""),"MEDIC REMEDIES")</f>
        <v>MEDIC REMEDIES</v>
      </c>
    </row>
    <row r="2020" ht="16.5" customHeight="1">
      <c r="H2020" s="1" t="str">
        <f>IFERROR(__xludf.DUMMYFUNCTION("""COMPUTED_VALUE"""),"MEDICA HEALTHCARE")</f>
        <v>MEDICA HEALTHCARE</v>
      </c>
    </row>
    <row r="2021" ht="16.5" customHeight="1">
      <c r="H2021" s="1" t="str">
        <f>IFERROR(__xludf.DUMMYFUNCTION("""COMPUTED_VALUE"""),"MEDICAL INTERVENTIONS PVT LTD")</f>
        <v>MEDICAL INTERVENTIONS PVT LTD</v>
      </c>
    </row>
    <row r="2022" ht="16.5" customHeight="1">
      <c r="H2022" s="1" t="str">
        <f>IFERROR(__xludf.DUMMYFUNCTION("""COMPUTED_VALUE"""),"MEDICEVO HEALTHCARE")</f>
        <v>MEDICEVO HEALTHCARE</v>
      </c>
    </row>
    <row r="2023" ht="16.5" customHeight="1">
      <c r="H2023" s="1" t="str">
        <f>IFERROR(__xludf.DUMMYFUNCTION("""COMPUTED_VALUE"""),"MEDICHI BIO CARE")</f>
        <v>MEDICHI BIO CARE</v>
      </c>
    </row>
    <row r="2024" ht="16.5" customHeight="1">
      <c r="H2024" s="1" t="str">
        <f>IFERROR(__xludf.DUMMYFUNCTION("""COMPUTED_VALUE"""),"MEDICIS LIFE SCIENCES")</f>
        <v>MEDICIS LIFE SCIENCES</v>
      </c>
    </row>
    <row r="2025" ht="16.5" customHeight="1">
      <c r="H2025" s="1" t="str">
        <f>IFERROR(__xludf.DUMMYFUNCTION("""COMPUTED_VALUE"""),"MEDICO HEALTHCARE")</f>
        <v>MEDICO HEALTHCARE</v>
      </c>
    </row>
    <row r="2026" ht="16.5" customHeight="1">
      <c r="H2026" s="1" t="str">
        <f>IFERROR(__xludf.DUMMYFUNCTION("""COMPUTED_VALUE"""),"MEDICRUX HEALTHCARE")</f>
        <v>MEDICRUX HEALTHCARE</v>
      </c>
    </row>
    <row r="2027" ht="16.5" customHeight="1">
      <c r="H2027" s="1" t="str">
        <f>IFERROR(__xludf.DUMMYFUNCTION("""COMPUTED_VALUE"""),"MEDICULE HEALTHCARE")</f>
        <v>MEDICULE HEALTHCARE</v>
      </c>
    </row>
    <row r="2028" ht="16.5" customHeight="1">
      <c r="H2028" s="1" t="str">
        <f>IFERROR(__xludf.DUMMYFUNCTION("""COMPUTED_VALUE"""),"MEDICUS HEALTH")</f>
        <v>MEDICUS HEALTH</v>
      </c>
    </row>
    <row r="2029" ht="16.5" customHeight="1">
      <c r="H2029" s="1" t="str">
        <f>IFERROR(__xludf.DUMMYFUNCTION("""COMPUTED_VALUE"""),"MEDICUS LABS")</f>
        <v>MEDICUS LABS</v>
      </c>
    </row>
    <row r="2030" ht="16.5" customHeight="1">
      <c r="H2030" s="1" t="str">
        <f>IFERROR(__xludf.DUMMYFUNCTION("""COMPUTED_VALUE"""),"MEDIEX HEALTHCARE")</f>
        <v>MEDIEX HEALTHCARE</v>
      </c>
    </row>
    <row r="2031" ht="16.5" customHeight="1">
      <c r="H2031" s="1" t="str">
        <f>IFERROR(__xludf.DUMMYFUNCTION("""COMPUTED_VALUE"""),"MEDIFAITH BIOTECH")</f>
        <v>MEDIFAITH BIOTECH</v>
      </c>
    </row>
    <row r="2032" ht="16.5" customHeight="1">
      <c r="H2032" s="1" t="str">
        <f>IFERROR(__xludf.DUMMYFUNCTION("""COMPUTED_VALUE"""),"MEDIFILL")</f>
        <v>MEDIFILL</v>
      </c>
    </row>
    <row r="2033" ht="16.5" customHeight="1">
      <c r="H2033" s="1" t="str">
        <f>IFERROR(__xludf.DUMMYFUNCTION("""COMPUTED_VALUE"""),"MEDIFIT")</f>
        <v>MEDIFIT</v>
      </c>
    </row>
    <row r="2034" ht="16.5" customHeight="1">
      <c r="H2034" s="1" t="str">
        <f>IFERROR(__xludf.DUMMYFUNCTION("""COMPUTED_VALUE"""),"MEDIFLOW")</f>
        <v>MEDIFLOW</v>
      </c>
    </row>
    <row r="2035" ht="16.5" customHeight="1">
      <c r="H2035" s="1" t="str">
        <f>IFERROR(__xludf.DUMMYFUNCTION("""COMPUTED_VALUE"""),"MEDIGRIP (PRECISION COATINGS PVT LTD)")</f>
        <v>MEDIGRIP (PRECISION COATINGS PVT LTD)</v>
      </c>
    </row>
    <row r="2036" ht="16.5" customHeight="1">
      <c r="H2036" s="1" t="str">
        <f>IFERROR(__xludf.DUMMYFUNCTION("""COMPUTED_VALUE"""),"MEDIGROWTH PHARMACEUTICALS PVT LTD")</f>
        <v>MEDIGROWTH PHARMACEUTICALS PVT LTD</v>
      </c>
    </row>
    <row r="2037" ht="16.5" customHeight="1">
      <c r="H2037" s="1" t="str">
        <f>IFERROR(__xludf.DUMMYFUNCTION("""COMPUTED_VALUE"""),"MEDIGUARD MARKETING")</f>
        <v>MEDIGUARD MARKETING</v>
      </c>
    </row>
    <row r="2038" ht="16.5" customHeight="1">
      <c r="H2038" s="1" t="str">
        <f>IFERROR(__xludf.DUMMYFUNCTION("""COMPUTED_VALUE"""),"MEDILANCE HEALTHCARE")</f>
        <v>MEDILANCE HEALTHCARE</v>
      </c>
    </row>
    <row r="2039" ht="16.5" customHeight="1">
      <c r="H2039" s="1" t="str">
        <f>IFERROR(__xludf.DUMMYFUNCTION("""COMPUTED_VALUE"""),"MEDIMARK BIOTECH")</f>
        <v>MEDIMARK BIOTECH</v>
      </c>
    </row>
    <row r="2040" ht="16.5" customHeight="1">
      <c r="H2040" s="1" t="str">
        <f>IFERROR(__xludf.DUMMYFUNCTION("""COMPUTED_VALUE"""),"MEDINN BELLE HERBAL CARE PVT LTD")</f>
        <v>MEDINN BELLE HERBAL CARE PVT LTD</v>
      </c>
    </row>
    <row r="2041" ht="16.5" customHeight="1">
      <c r="H2041" s="1" t="str">
        <f>IFERROR(__xludf.DUMMYFUNCTION("""COMPUTED_VALUE"""),"MEDINOVA")</f>
        <v>MEDINOVA</v>
      </c>
    </row>
    <row r="2042" ht="16.5" customHeight="1">
      <c r="H2042" s="1" t="str">
        <f>IFERROR(__xludf.DUMMYFUNCTION("""COMPUTED_VALUE"""),"Medispan Ltd")</f>
        <v>Medispan Ltd</v>
      </c>
    </row>
    <row r="2043" ht="16.5" customHeight="1">
      <c r="H2043" s="1" t="str">
        <f>IFERROR(__xludf.DUMMYFUNCTION("""COMPUTED_VALUE"""),"MEDITECH DEVICES")</f>
        <v>MEDITECH DEVICES</v>
      </c>
    </row>
    <row r="2044" ht="16.5" customHeight="1">
      <c r="H2044" s="1" t="str">
        <f>IFERROR(__xludf.DUMMYFUNCTION("""COMPUTED_VALUE"""),"MEDITEK INDIA")</f>
        <v>MEDITEK INDIA</v>
      </c>
    </row>
    <row r="2045" ht="16.5" customHeight="1">
      <c r="H2045" s="1" t="str">
        <f>IFERROR(__xludf.DUMMYFUNCTION("""COMPUTED_VALUE"""),"MEDITEX PHARMA PVT LTD")</f>
        <v>MEDITEX PHARMA PVT LTD</v>
      </c>
    </row>
    <row r="2046" ht="16.5" customHeight="1">
      <c r="H2046" s="1" t="str">
        <f>IFERROR(__xludf.DUMMYFUNCTION("""COMPUTED_VALUE"""),"MEDIVAXIA PHARMA")</f>
        <v>MEDIVAXIA PHARMA</v>
      </c>
    </row>
    <row r="2047" ht="16.5" customHeight="1">
      <c r="H2047" s="1" t="str">
        <f>IFERROR(__xludf.DUMMYFUNCTION("""COMPUTED_VALUE"""),"MEDIVISON PHARM")</f>
        <v>MEDIVISON PHARM</v>
      </c>
    </row>
    <row r="2048" ht="16.5" customHeight="1">
      <c r="H2048" s="1" t="str">
        <f>IFERROR(__xludf.DUMMYFUNCTION("""COMPUTED_VALUE"""),"MEDIVISTA LIFE SCIENCES P LTD")</f>
        <v>MEDIVISTA LIFE SCIENCES P LTD</v>
      </c>
    </row>
    <row r="2049" ht="16.5" customHeight="1">
      <c r="H2049" s="1" t="str">
        <f>IFERROR(__xludf.DUMMYFUNCTION("""COMPUTED_VALUE"""),"MEDLEY (GLYCEKARE)")</f>
        <v>MEDLEY (GLYCEKARE)</v>
      </c>
    </row>
    <row r="2050" ht="16.5" customHeight="1">
      <c r="H2050" s="1" t="str">
        <f>IFERROR(__xludf.DUMMYFUNCTION("""COMPUTED_VALUE"""),"MEDLEY (NUTRAKARE)")</f>
        <v>MEDLEY (NUTRAKARE)</v>
      </c>
    </row>
    <row r="2051" ht="16.5" customHeight="1">
      <c r="H2051" s="1" t="str">
        <f>IFERROR(__xludf.DUMMYFUNCTION("""COMPUTED_VALUE"""),"MEDLEY (OSTEOCARE)")</f>
        <v>MEDLEY (OSTEOCARE)</v>
      </c>
    </row>
    <row r="2052" ht="16.5" customHeight="1">
      <c r="H2052" s="1" t="str">
        <f>IFERROR(__xludf.DUMMYFUNCTION("""COMPUTED_VALUE"""),"MEDLEY (SUPRAKARE)")</f>
        <v>MEDLEY (SUPRAKARE)</v>
      </c>
    </row>
    <row r="2053" ht="16.5" customHeight="1">
      <c r="H2053" s="1" t="str">
        <f>IFERROR(__xludf.DUMMYFUNCTION("""COMPUTED_VALUE"""),"MEDLEY (VAZOKARE)")</f>
        <v>MEDLEY (VAZOKARE)</v>
      </c>
    </row>
    <row r="2054" ht="16.5" customHeight="1">
      <c r="H2054" s="1" t="str">
        <f>IFERROR(__xludf.DUMMYFUNCTION("""COMPUTED_VALUE"""),"MEDLEY (ZENKARE)")</f>
        <v>MEDLEY (ZENKARE)</v>
      </c>
    </row>
    <row r="2055" ht="16.5" customHeight="1">
      <c r="H2055" s="1" t="str">
        <f>IFERROR(__xludf.DUMMYFUNCTION("""COMPUTED_VALUE"""),"Medley Pharmaceuticals")</f>
        <v>Medley Pharmaceuticals</v>
      </c>
    </row>
    <row r="2056" ht="16.5" customHeight="1">
      <c r="H2056" s="1" t="str">
        <f>IFERROR(__xludf.DUMMYFUNCTION("""COMPUTED_VALUE"""),"Medley Pharmaceuticals (GENERIC)")</f>
        <v>Medley Pharmaceuticals (GENERIC)</v>
      </c>
    </row>
    <row r="2057" ht="16.5" customHeight="1">
      <c r="H2057" s="1" t="str">
        <f>IFERROR(__xludf.DUMMYFUNCTION("""COMPUTED_VALUE"""),"Medo Pharma")</f>
        <v>Medo Pharma</v>
      </c>
    </row>
    <row r="2058" ht="16.5" customHeight="1">
      <c r="H2058" s="1" t="str">
        <f>IFERROR(__xludf.DUMMYFUNCTION("""COMPUTED_VALUE"""),"MEDO PHARMA (CARDICARE)")</f>
        <v>MEDO PHARMA (CARDICARE)</v>
      </c>
    </row>
    <row r="2059" ht="16.5" customHeight="1">
      <c r="H2059" s="1" t="str">
        <f>IFERROR(__xludf.DUMMYFUNCTION("""COMPUTED_VALUE"""),"MEDOK LIFESCIENCES PVT LTD")</f>
        <v>MEDOK LIFESCIENCES PVT LTD</v>
      </c>
    </row>
    <row r="2060" ht="16.5" customHeight="1">
      <c r="H2060" s="1" t="str">
        <f>IFERROR(__xludf.DUMMYFUNCTION("""COMPUTED_VALUE"""),"MEDOPHARM (JUBILANT)")</f>
        <v>MEDOPHARM (JUBILANT)</v>
      </c>
    </row>
    <row r="2061" ht="16.5" customHeight="1">
      <c r="H2061" s="1" t="str">
        <f>IFERROR(__xludf.DUMMYFUNCTION("""COMPUTED_VALUE"""),"MEDOZ PHARMA")</f>
        <v>MEDOZ PHARMA</v>
      </c>
    </row>
    <row r="2062" ht="16.5" customHeight="1">
      <c r="H2062" s="1" t="str">
        <f>IFERROR(__xludf.DUMMYFUNCTION("""COMPUTED_VALUE"""),"MEDPURE LIFE SCIENCE")</f>
        <v>MEDPURE LIFE SCIENCE</v>
      </c>
    </row>
    <row r="2063" ht="16.5" customHeight="1">
      <c r="H2063" s="1" t="str">
        <f>IFERROR(__xludf.DUMMYFUNCTION("""COMPUTED_VALUE"""),"Medreich Lifecare Ltd (SAIMIRA)")</f>
        <v>Medreich Lifecare Ltd (SAIMIRA)</v>
      </c>
    </row>
    <row r="2064" ht="16.5" customHeight="1">
      <c r="H2064" s="1" t="str">
        <f>IFERROR(__xludf.DUMMYFUNCTION("""COMPUTED_VALUE"""),"Medsol India Overseas Pvt Ltd")</f>
        <v>Medsol India Overseas Pvt Ltd</v>
      </c>
    </row>
    <row r="2065" ht="16.5" customHeight="1">
      <c r="H2065" s="1" t="str">
        <f>IFERROR(__xludf.DUMMYFUNCTION("""COMPUTED_VALUE"""),"MEDTRONIC")</f>
        <v>MEDTRONIC</v>
      </c>
    </row>
    <row r="2066" ht="16.5" customHeight="1">
      <c r="H2066" s="1" t="str">
        <f>IFERROR(__xludf.DUMMYFUNCTION("""COMPUTED_VALUE"""),"MEDWIN IMPEX PVT LTD")</f>
        <v>MEDWIN IMPEX PVT LTD</v>
      </c>
    </row>
    <row r="2067" ht="16.5" customHeight="1">
      <c r="H2067" s="1" t="str">
        <f>IFERROR(__xludf.DUMMYFUNCTION("""COMPUTED_VALUE"""),"MEDWIN PHARMA")</f>
        <v>MEDWIN PHARMA</v>
      </c>
    </row>
    <row r="2068" ht="16.5" customHeight="1">
      <c r="H2068" s="1" t="str">
        <f>IFERROR(__xludf.DUMMYFUNCTION("""COMPUTED_VALUE"""),"MEETHI PHARMACEUTICALS")</f>
        <v>MEETHI PHARMACEUTICALS</v>
      </c>
    </row>
    <row r="2069" ht="16.5" customHeight="1">
      <c r="H2069" s="1" t="str">
        <f>IFERROR(__xludf.DUMMYFUNCTION("""COMPUTED_VALUE"""),"Mefro Pharmaceuticals (P) Ltd")</f>
        <v>Mefro Pharmaceuticals (P) Ltd</v>
      </c>
    </row>
    <row r="2070" ht="16.5" customHeight="1">
      <c r="H2070" s="1" t="str">
        <f>IFERROR(__xludf.DUMMYFUNCTION("""COMPUTED_VALUE"""),"Megacorp Healthcare Pvt Ltd")</f>
        <v>Megacorp Healthcare Pvt Ltd</v>
      </c>
    </row>
    <row r="2071" ht="16.5" customHeight="1">
      <c r="H2071" s="1" t="str">
        <f>IFERROR(__xludf.DUMMYFUNCTION("""COMPUTED_VALUE"""),"MEGHDOOT GRAM UDYOG")</f>
        <v>MEGHDOOT GRAM UDYOG</v>
      </c>
    </row>
    <row r="2072" ht="16.5" customHeight="1">
      <c r="H2072" s="1" t="str">
        <f>IFERROR(__xludf.DUMMYFUNCTION("""COMPUTED_VALUE"""),"MEGHMANI ORGANICS LTD")</f>
        <v>MEGHMANI ORGANICS LTD</v>
      </c>
    </row>
    <row r="2073" ht="16.5" customHeight="1">
      <c r="H2073" s="1" t="str">
        <f>IFERROR(__xludf.DUMMYFUNCTION("""COMPUTED_VALUE"""),"MEGMA HEALTHCARE")</f>
        <v>MEGMA HEALTHCARE</v>
      </c>
    </row>
    <row r="2074" ht="16.5" customHeight="1">
      <c r="H2074" s="1" t="str">
        <f>IFERROR(__xludf.DUMMYFUNCTION("""COMPUTED_VALUE"""),"MEHAR LABORATORIE")</f>
        <v>MEHAR LABORATORIE</v>
      </c>
    </row>
    <row r="2075" ht="16.5" customHeight="1">
      <c r="H2075" s="1" t="str">
        <f>IFERROR(__xludf.DUMMYFUNCTION("""COMPUTED_VALUE"""),"MEHAR LABORATORIES")</f>
        <v>MEHAR LABORATORIES</v>
      </c>
    </row>
    <row r="2076" ht="16.5" customHeight="1">
      <c r="H2076" s="1" t="str">
        <f>IFERROR(__xludf.DUMMYFUNCTION("""COMPUTED_VALUE"""),"MEHTA PHARMACEUTICALS PVT LTD")</f>
        <v>MEHTA PHARMACEUTICALS PVT LTD</v>
      </c>
    </row>
    <row r="2077" ht="16.5" customHeight="1">
      <c r="H2077" s="1" t="str">
        <f>IFERROR(__xludf.DUMMYFUNCTION("""COMPUTED_VALUE"""),"Menarini India Pvt Ltd")</f>
        <v>Menarini India Pvt Ltd</v>
      </c>
    </row>
    <row r="2078" ht="16.5" customHeight="1">
      <c r="H2078" s="1" t="str">
        <f>IFERROR(__xludf.DUMMYFUNCTION("""COMPUTED_VALUE"""),"MENDCURE LIFE SCIENCES PVT LTD")</f>
        <v>MENDCURE LIFE SCIENCES PVT LTD</v>
      </c>
    </row>
    <row r="2079" ht="16.5" customHeight="1">
      <c r="H2079" s="1" t="str">
        <f>IFERROR(__xludf.DUMMYFUNCTION("""COMPUTED_VALUE"""),"MERCK (P&amp;G)")</f>
        <v>MERCK (P&amp;G)</v>
      </c>
    </row>
    <row r="2080" ht="16.5" customHeight="1">
      <c r="H2080" s="1" t="str">
        <f>IFERROR(__xludf.DUMMYFUNCTION("""COMPUTED_VALUE"""),"Merck Ltd")</f>
        <v>Merck Ltd</v>
      </c>
    </row>
    <row r="2081" ht="16.5" customHeight="1">
      <c r="H2081" s="1" t="str">
        <f>IFERROR(__xludf.DUMMYFUNCTION("""COMPUTED_VALUE"""),"Merck Ltd (CHC)")</f>
        <v>Merck Ltd (CHC)</v>
      </c>
    </row>
    <row r="2082" ht="16.5" customHeight="1">
      <c r="H2082" s="1" t="str">
        <f>IFERROR(__xludf.DUMMYFUNCTION("""COMPUTED_VALUE"""),"Merck Ltd (CMC)")</f>
        <v>Merck Ltd (CMC)</v>
      </c>
    </row>
    <row r="2083" ht="16.5" customHeight="1">
      <c r="H2083" s="1" t="str">
        <f>IFERROR(__xludf.DUMMYFUNCTION("""COMPUTED_VALUE"""),"Merck Ltd (GENERAL MEDCINE)")</f>
        <v>Merck Ltd (GENERAL MEDCINE)</v>
      </c>
    </row>
    <row r="2084" ht="16.5" customHeight="1">
      <c r="H2084" s="1" t="str">
        <f>IFERROR(__xludf.DUMMYFUNCTION("""COMPUTED_VALUE"""),"Merck Ltd (OTX)")</f>
        <v>Merck Ltd (OTX)</v>
      </c>
    </row>
    <row r="2085" ht="16.5" customHeight="1">
      <c r="H2085" s="1" t="str">
        <f>IFERROR(__xludf.DUMMYFUNCTION("""COMPUTED_VALUE"""),"Merck Ltd (WHC)")</f>
        <v>Merck Ltd (WHC)</v>
      </c>
    </row>
    <row r="2086" ht="16.5" customHeight="1">
      <c r="H2086" s="1" t="str">
        <f>IFERROR(__xludf.DUMMYFUNCTION("""COMPUTED_VALUE"""),"MERCK SPECIALITIES PVT LTD")</f>
        <v>MERCK SPECIALITIES PVT LTD</v>
      </c>
    </row>
    <row r="2087" ht="16.5" customHeight="1">
      <c r="H2087" s="1" t="str">
        <f>IFERROR(__xludf.DUMMYFUNCTION("""COMPUTED_VALUE"""),"Mercury Healthcare Pvt Ltd")</f>
        <v>Mercury Healthcare Pvt Ltd</v>
      </c>
    </row>
    <row r="2088" ht="16.5" customHeight="1">
      <c r="H2088" s="1" t="str">
        <f>IFERROR(__xludf.DUMMYFUNCTION("""COMPUTED_VALUE"""),"MERCURY LABORATORIES")</f>
        <v>MERCURY LABORATORIES</v>
      </c>
    </row>
    <row r="2089" ht="16.5" customHeight="1">
      <c r="H2089" s="1" t="str">
        <f>IFERROR(__xludf.DUMMYFUNCTION("""COMPUTED_VALUE"""),"MERIDIAN ENTERPRISES")</f>
        <v>MERIDIAN ENTERPRISES</v>
      </c>
    </row>
    <row r="2090" ht="16.5" customHeight="1">
      <c r="H2090" s="1" t="str">
        <f>IFERROR(__xludf.DUMMYFUNCTION("""COMPUTED_VALUE"""),"Meridian Medicare Ltd")</f>
        <v>Meridian Medicare Ltd</v>
      </c>
    </row>
    <row r="2091" ht="16.5" customHeight="1">
      <c r="H2091" s="1" t="str">
        <f>IFERROR(__xludf.DUMMYFUNCTION("""COMPUTED_VALUE"""),"MERIL LIFE")</f>
        <v>MERIL LIFE</v>
      </c>
    </row>
    <row r="2092" ht="16.5" customHeight="1">
      <c r="H2092" s="1" t="str">
        <f>IFERROR(__xludf.DUMMYFUNCTION("""COMPUTED_VALUE"""),"Merion Care")</f>
        <v>Merion Care</v>
      </c>
    </row>
    <row r="2093" ht="16.5" customHeight="1">
      <c r="H2093" s="1" t="str">
        <f>IFERROR(__xludf.DUMMYFUNCTION("""COMPUTED_VALUE"""),"MERLIN PHARMA PVT LTD")</f>
        <v>MERLIN PHARMA PVT LTD</v>
      </c>
    </row>
    <row r="2094" ht="16.5" customHeight="1">
      <c r="H2094" s="1" t="str">
        <f>IFERROR(__xludf.DUMMYFUNCTION("""COMPUTED_VALUE"""),"MERRUT HOMOEO PHARMACY")</f>
        <v>MERRUT HOMOEO PHARMACY</v>
      </c>
    </row>
    <row r="2095" ht="16.5" customHeight="1">
      <c r="H2095" s="1" t="str">
        <f>IFERROR(__xludf.DUMMYFUNCTION("""COMPUTED_VALUE"""),"Meryl Pharma")</f>
        <v>Meryl Pharma</v>
      </c>
    </row>
    <row r="2096" ht="16.5" customHeight="1">
      <c r="H2096" s="1" t="str">
        <f>IFERROR(__xludf.DUMMYFUNCTION("""COMPUTED_VALUE"""),"MESOVA PHARMACEUTICAL")</f>
        <v>MESOVA PHARMACEUTICAL</v>
      </c>
    </row>
    <row r="2097" ht="16.5" customHeight="1">
      <c r="H2097" s="1" t="str">
        <f>IFERROR(__xludf.DUMMYFUNCTION("""COMPUTED_VALUE"""),"METTA LIFE SCIENCES")</f>
        <v>METTA LIFE SCIENCES</v>
      </c>
    </row>
    <row r="2098" ht="16.5" customHeight="1">
      <c r="H2098" s="1" t="str">
        <f>IFERROR(__xludf.DUMMYFUNCTION("""COMPUTED_VALUE"""),"MEWAR AYURVEDIC WORKS")</f>
        <v>MEWAR AYURVEDIC WORKS</v>
      </c>
    </row>
    <row r="2099" ht="16.5" customHeight="1">
      <c r="H2099" s="1" t="str">
        <f>IFERROR(__xludf.DUMMYFUNCTION("""COMPUTED_VALUE"""),"MEWELL BIOTECH")</f>
        <v>MEWELL BIOTECH</v>
      </c>
    </row>
    <row r="2100" ht="16.5" customHeight="1">
      <c r="H2100" s="1" t="str">
        <f>IFERROR(__xludf.DUMMYFUNCTION("""COMPUTED_VALUE"""),"MEXX VISION PHARMA")</f>
        <v>MEXX VISION PHARMA</v>
      </c>
    </row>
    <row r="2101" ht="16.5" customHeight="1">
      <c r="H2101" s="1" t="str">
        <f>IFERROR(__xludf.DUMMYFUNCTION("""COMPUTED_VALUE"""),"MEYER ORGANICS (CELLAGE)")</f>
        <v>MEYER ORGANICS (CELLAGE)</v>
      </c>
    </row>
    <row r="2102" ht="16.5" customHeight="1">
      <c r="H2102" s="1" t="str">
        <f>IFERROR(__xludf.DUMMYFUNCTION("""COMPUTED_VALUE"""),"MEYER ORGANICS (EXCEL)")</f>
        <v>MEYER ORGANICS (EXCEL)</v>
      </c>
    </row>
    <row r="2103" ht="16.5" customHeight="1">
      <c r="H2103" s="1" t="str">
        <f>IFERROR(__xludf.DUMMYFUNCTION("""COMPUTED_VALUE"""),"MEYER ORGANICS (SALES)")</f>
        <v>MEYER ORGANICS (SALES)</v>
      </c>
    </row>
    <row r="2104" ht="16.5" customHeight="1">
      <c r="H2104" s="1" t="str">
        <f>IFERROR(__xludf.DUMMYFUNCTION("""COMPUTED_VALUE"""),"Meyer Organics Pvt Ltd")</f>
        <v>Meyer Organics Pvt Ltd</v>
      </c>
    </row>
    <row r="2105" ht="16.5" customHeight="1">
      <c r="H2105" s="1" t="str">
        <f>IFERROR(__xludf.DUMMYFUNCTION("""COMPUTED_VALUE"""),"MIBSONS PHARMACEUTICAL")</f>
        <v>MIBSONS PHARMACEUTICAL</v>
      </c>
    </row>
    <row r="2106" ht="16.5" customHeight="1">
      <c r="H2106" s="1" t="str">
        <f>IFERROR(__xludf.DUMMYFUNCTION("""COMPUTED_VALUE"""),"MICO")</f>
        <v>MICO</v>
      </c>
    </row>
    <row r="2107" ht="16.5" customHeight="1">
      <c r="H2107" s="1" t="str">
        <f>IFERROR(__xludf.DUMMYFUNCTION("""COMPUTED_VALUE"""),"MICRO (CARDICARE)")</f>
        <v>MICRO (CARDICARE)</v>
      </c>
    </row>
    <row r="2108" ht="16.5" customHeight="1">
      <c r="H2108" s="1" t="str">
        <f>IFERROR(__xludf.DUMMYFUNCTION("""COMPUTED_VALUE"""),"MICRO (CARSYON II)")</f>
        <v>MICRO (CARSYON II)</v>
      </c>
    </row>
    <row r="2109" ht="16.5" customHeight="1">
      <c r="H2109" s="1" t="str">
        <f>IFERROR(__xludf.DUMMYFUNCTION("""COMPUTED_VALUE"""),"MICRO (CARSYON III)")</f>
        <v>MICRO (CARSYON III)</v>
      </c>
    </row>
    <row r="2110" ht="16.5" customHeight="1">
      <c r="H2110" s="1" t="str">
        <f>IFERROR(__xludf.DUMMYFUNCTION("""COMPUTED_VALUE"""),"MICRO (CARSYON)")</f>
        <v>MICRO (CARSYON)</v>
      </c>
    </row>
    <row r="2111" ht="16.5" customHeight="1">
      <c r="H2111" s="1" t="str">
        <f>IFERROR(__xludf.DUMMYFUNCTION("""COMPUTED_VALUE"""),"MICRO (DERMA)")</f>
        <v>MICRO (DERMA)</v>
      </c>
    </row>
    <row r="2112" ht="16.5" customHeight="1">
      <c r="H2112" s="1" t="str">
        <f>IFERROR(__xludf.DUMMYFUNCTION("""COMPUTED_VALUE"""),"MICRO (DTF)")</f>
        <v>MICRO (DTF)</v>
      </c>
    </row>
    <row r="2113" ht="16.5" customHeight="1">
      <c r="H2113" s="1" t="str">
        <f>IFERROR(__xludf.DUMMYFUNCTION("""COMPUTED_VALUE"""),"MICRO (GRATIA)")</f>
        <v>MICRO (GRATIA)</v>
      </c>
    </row>
    <row r="2114" ht="16.5" customHeight="1">
      <c r="H2114" s="1" t="str">
        <f>IFERROR(__xludf.DUMMYFUNCTION("""COMPUTED_VALUE"""),"MICRO (GTF II)")</f>
        <v>MICRO (GTF II)</v>
      </c>
    </row>
    <row r="2115" ht="16.5" customHeight="1">
      <c r="H2115" s="1" t="str">
        <f>IFERROR(__xludf.DUMMYFUNCTION("""COMPUTED_VALUE"""),"MICRO (LUMIRA)")</f>
        <v>MICRO (LUMIRA)</v>
      </c>
    </row>
    <row r="2116" ht="16.5" customHeight="1">
      <c r="H2116" s="1" t="str">
        <f>IFERROR(__xludf.DUMMYFUNCTION("""COMPUTED_VALUE"""),"MICRO (MAIN)")</f>
        <v>MICRO (MAIN)</v>
      </c>
    </row>
    <row r="2117" ht="16.5" customHeight="1">
      <c r="H2117" s="1" t="str">
        <f>IFERROR(__xludf.DUMMYFUNCTION("""COMPUTED_VALUE"""),"MICRO (NUTRICA)")</f>
        <v>MICRO (NUTRICA)</v>
      </c>
    </row>
    <row r="2118" ht="16.5" customHeight="1">
      <c r="H2118" s="1" t="str">
        <f>IFERROR(__xludf.DUMMYFUNCTION("""COMPUTED_VALUE"""),"MICRO (OTF)")</f>
        <v>MICRO (OTF)</v>
      </c>
    </row>
    <row r="2119" ht="16.5" customHeight="1">
      <c r="H2119" s="1" t="str">
        <f>IFERROR(__xludf.DUMMYFUNCTION("""COMPUTED_VALUE"""),"MICRO (VISION 1)")</f>
        <v>MICRO (VISION 1)</v>
      </c>
    </row>
    <row r="2120" ht="16.5" customHeight="1">
      <c r="H2120" s="1" t="str">
        <f>IFERROR(__xludf.DUMMYFUNCTION("""COMPUTED_VALUE"""),"MICRO (VISION 2)")</f>
        <v>MICRO (VISION 2)</v>
      </c>
    </row>
    <row r="2121" ht="16.5" customHeight="1">
      <c r="H2121" s="1" t="str">
        <f>IFERROR(__xludf.DUMMYFUNCTION("""COMPUTED_VALUE"""),"MICRO (VIVAA)")</f>
        <v>MICRO (VIVAA)</v>
      </c>
    </row>
    <row r="2122" ht="16.5" customHeight="1">
      <c r="H2122" s="1" t="str">
        <f>IFERROR(__xludf.DUMMYFUNCTION("""COMPUTED_VALUE"""),"MICRO CARSYON CARDIAC")</f>
        <v>MICRO CARSYON CARDIAC</v>
      </c>
    </row>
    <row r="2123" ht="16.5" customHeight="1">
      <c r="H2123" s="1" t="str">
        <f>IFERROR(__xludf.DUMMYFUNCTION("""COMPUTED_VALUE"""),"MICRO HELTHCARE LTD.")</f>
        <v>MICRO HELTHCARE LTD.</v>
      </c>
    </row>
    <row r="2124" ht="16.5" customHeight="1">
      <c r="H2124" s="1" t="str">
        <f>IFERROR(__xludf.DUMMYFUNCTION("""COMPUTED_VALUE"""),"Micro Labs (BROWN &amp; BURK)")</f>
        <v>Micro Labs (BROWN &amp; BURK)</v>
      </c>
    </row>
    <row r="2125" ht="16.5" customHeight="1">
      <c r="H2125" s="1" t="str">
        <f>IFERROR(__xludf.DUMMYFUNCTION("""COMPUTED_VALUE"""),"Micro Labs Ltd")</f>
        <v>Micro Labs Ltd</v>
      </c>
    </row>
    <row r="2126" ht="16.5" customHeight="1">
      <c r="H2126" s="1" t="str">
        <f>IFERROR(__xludf.DUMMYFUNCTION("""COMPUTED_VALUE"""),"Micro Labs Ltd (NOVA)")</f>
        <v>Micro Labs Ltd (NOVA)</v>
      </c>
    </row>
    <row r="2127" ht="16.5" customHeight="1">
      <c r="H2127" s="1" t="str">
        <f>IFERROR(__xludf.DUMMYFUNCTION("""COMPUTED_VALUE"""),"Micro Labs Ltd (SPECIALITY)")</f>
        <v>Micro Labs Ltd (SPECIALITY)</v>
      </c>
    </row>
    <row r="2128" ht="16.5" customHeight="1">
      <c r="H2128" s="1" t="str">
        <f>IFERROR(__xludf.DUMMYFUNCTION("""COMPUTED_VALUE"""),"MICRO VISION (SKIN)")</f>
        <v>MICRO VISION (SKIN)</v>
      </c>
    </row>
    <row r="2129" ht="16.5" customHeight="1">
      <c r="H2129" s="1" t="str">
        <f>IFERROR(__xludf.DUMMYFUNCTION("""COMPUTED_VALUE"""),"MICROGEN HYGIENE PVT LTD")</f>
        <v>MICROGEN HYGIENE PVT LTD</v>
      </c>
    </row>
    <row r="2130" ht="16.5" customHeight="1">
      <c r="H2130" s="1" t="str">
        <f>IFERROR(__xludf.DUMMYFUNCTION("""COMPUTED_VALUE"""),"MICROPARK LOGISTICS PVT LTD (WELLNESS)")</f>
        <v>MICROPARK LOGISTICS PVT LTD (WELLNESS)</v>
      </c>
    </row>
    <row r="2131" ht="16.5" customHeight="1">
      <c r="H2131" s="1" t="str">
        <f>IFERROR(__xludf.DUMMYFUNCTION("""COMPUTED_VALUE"""),"MICROPOLIS LIFESCIENCES PVT LTD")</f>
        <v>MICROPOLIS LIFESCIENCES PVT LTD</v>
      </c>
    </row>
    <row r="2132" ht="16.5" customHeight="1">
      <c r="H2132" s="1" t="str">
        <f>IFERROR(__xludf.DUMMYFUNCTION("""COMPUTED_VALUE"""),"MICROPOLIS LIFESCIENCES PVT LTD (WIN FERTILITY)")</f>
        <v>MICROPOLIS LIFESCIENCES PVT LTD (WIN FERTILITY)</v>
      </c>
    </row>
    <row r="2133" ht="16.5" customHeight="1">
      <c r="H2133" s="1" t="str">
        <f>IFERROR(__xludf.DUMMYFUNCTION("""COMPUTED_VALUE"""),"MICROWIN LABORATORIES LTD")</f>
        <v>MICROWIN LABORATORIES LTD</v>
      </c>
    </row>
    <row r="2134" ht="16.5" customHeight="1">
      <c r="H2134" s="1" t="str">
        <f>IFERROR(__xludf.DUMMYFUNCTION("""COMPUTED_VALUE"""),"Midas Healthcare Ltd")</f>
        <v>Midas Healthcare Ltd</v>
      </c>
    </row>
    <row r="2135" ht="16.5" customHeight="1">
      <c r="H2135" s="1" t="str">
        <f>IFERROR(__xludf.DUMMYFUNCTION("""COMPUTED_VALUE"""),"MidasCare Pharmaceuticals Pvt Ltd")</f>
        <v>MidasCare Pharmaceuticals Pvt Ltd</v>
      </c>
    </row>
    <row r="2136" ht="16.5" customHeight="1">
      <c r="H2136" s="1" t="str">
        <f>IFERROR(__xludf.DUMMYFUNCTION("""COMPUTED_VALUE"""),"MILESTONE LIFESCIENCES")</f>
        <v>MILESTONE LIFESCIENCES</v>
      </c>
    </row>
    <row r="2137" ht="16.5" customHeight="1">
      <c r="H2137" s="1" t="str">
        <f>IFERROR(__xludf.DUMMYFUNCTION("""COMPUTED_VALUE"""),"Millennium Herbal Care")</f>
        <v>Millennium Herbal Care</v>
      </c>
    </row>
    <row r="2138" ht="16.5" customHeight="1">
      <c r="H2138" s="1" t="str">
        <f>IFERROR(__xludf.DUMMYFUNCTION("""COMPUTED_VALUE"""),"MIRACALUS")</f>
        <v>MIRACALUS</v>
      </c>
    </row>
    <row r="2139" ht="16.5" customHeight="1">
      <c r="H2139" s="1" t="str">
        <f>IFERROR(__xludf.DUMMYFUNCTION("""COMPUTED_VALUE"""),"MIRACALUS PHARMA PVT LTD")</f>
        <v>MIRACALUS PHARMA PVT LTD</v>
      </c>
    </row>
    <row r="2140" ht="16.5" customHeight="1">
      <c r="H2140" s="1" t="str">
        <f>IFERROR(__xludf.DUMMYFUNCTION("""COMPUTED_VALUE"""),"MIRCO ( SYNAPSE)")</f>
        <v>MIRCO ( SYNAPSE)</v>
      </c>
    </row>
    <row r="2141" ht="16.5" customHeight="1">
      <c r="H2141" s="1" t="str">
        <f>IFERROR(__xludf.DUMMYFUNCTION("""COMPUTED_VALUE"""),"MIRCO (CNS)")</f>
        <v>MIRCO (CNS)</v>
      </c>
    </row>
    <row r="2142" ht="16.5" customHeight="1">
      <c r="H2142" s="1" t="str">
        <f>IFERROR(__xludf.DUMMYFUNCTION("""COMPUTED_VALUE"""),"MIRCO (SYNAPSE)")</f>
        <v>MIRCO (SYNAPSE)</v>
      </c>
    </row>
    <row r="2143" ht="16.5" customHeight="1">
      <c r="H2143" s="1" t="str">
        <f>IFERROR(__xludf.DUMMYFUNCTION("""COMPUTED_VALUE"""),"MIRIX LABORATORIES")</f>
        <v>MIRIX LABORATORIES</v>
      </c>
    </row>
    <row r="2144" ht="16.5" customHeight="1">
      <c r="H2144" s="1" t="str">
        <f>IFERROR(__xludf.DUMMYFUNCTION("""COMPUTED_VALUE"""),"MISHA AYURVEDA")</f>
        <v>MISHA AYURVEDA</v>
      </c>
    </row>
    <row r="2145" ht="16.5" customHeight="1">
      <c r="H2145" s="1" t="str">
        <f>IFERROR(__xludf.DUMMYFUNCTION("""COMPUTED_VALUE"""),"MISSION RESEARCH LAB")</f>
        <v>MISSION RESEARCH LAB</v>
      </c>
    </row>
    <row r="2146" ht="16.5" customHeight="1">
      <c r="H2146" s="1" t="str">
        <f>IFERROR(__xludf.DUMMYFUNCTION("""COMPUTED_VALUE"""),"MMC HEALTHCARE")</f>
        <v>MMC HEALTHCARE</v>
      </c>
    </row>
    <row r="2147" ht="16.5" customHeight="1">
      <c r="H2147" s="1" t="str">
        <f>IFERROR(__xludf.DUMMYFUNCTION("""COMPUTED_VALUE"""),"MMG HEALTH CARE")</f>
        <v>MMG HEALTH CARE</v>
      </c>
    </row>
    <row r="2148" ht="16.5" customHeight="1">
      <c r="H2148" s="1" t="str">
        <f>IFERROR(__xludf.DUMMYFUNCTION("""COMPUTED_VALUE"""),"MODI MUNDI PHARMA (GROVIVA)")</f>
        <v>MODI MUNDI PHARMA (GROVIVA)</v>
      </c>
    </row>
    <row r="2149" ht="16.5" customHeight="1">
      <c r="H2149" s="1" t="str">
        <f>IFERROR(__xludf.DUMMYFUNCTION("""COMPUTED_VALUE"""),"MODI MUNDI PHARMA (MAXVIDA)")</f>
        <v>MODI MUNDI PHARMA (MAXVIDA)</v>
      </c>
    </row>
    <row r="2150" ht="16.5" customHeight="1">
      <c r="H2150" s="1" t="str">
        <f>IFERROR(__xludf.DUMMYFUNCTION("""COMPUTED_VALUE"""),"Modi Mundi Pharma Pvt Ltd")</f>
        <v>Modi Mundi Pharma Pvt Ltd</v>
      </c>
    </row>
    <row r="2151" ht="16.5" customHeight="1">
      <c r="H2151" s="1" t="str">
        <f>IFERROR(__xludf.DUMMYFUNCTION("""COMPUTED_VALUE"""),"MOHAMMEDIA PRODUCTS")</f>
        <v>MOHAMMEDIA PRODUCTS</v>
      </c>
    </row>
    <row r="2152" ht="16.5" customHeight="1">
      <c r="H2152" s="1" t="str">
        <f>IFERROR(__xludf.DUMMYFUNCTION("""COMPUTED_VALUE"""),"Molekule India Pvt Ltd")</f>
        <v>Molekule India Pvt Ltd</v>
      </c>
    </row>
    <row r="2153" ht="16.5" customHeight="1">
      <c r="H2153" s="1" t="str">
        <f>IFERROR(__xludf.DUMMYFUNCTION("""COMPUTED_VALUE"""),"MONJI VISHRAM &amp; COMPANY")</f>
        <v>MONJI VISHRAM &amp; COMPANY</v>
      </c>
    </row>
    <row r="2154" ht="16.5" customHeight="1">
      <c r="H2154" s="1" t="str">
        <f>IFERROR(__xludf.DUMMYFUNCTION("""COMPUTED_VALUE"""),"MONOPHARMA P LTD")</f>
        <v>MONOPHARMA P LTD</v>
      </c>
    </row>
    <row r="2155" ht="16.5" customHeight="1">
      <c r="H2155" s="1" t="str">
        <f>IFERROR(__xludf.DUMMYFUNCTION("""COMPUTED_VALUE"""),"MONTA REMEDIES")</f>
        <v>MONTA REMEDIES</v>
      </c>
    </row>
    <row r="2156" ht="16.5" customHeight="1">
      <c r="H2156" s="1" t="str">
        <f>IFERROR(__xludf.DUMMYFUNCTION("""COMPUTED_VALUE"""),"MONTANA REMEDIES")</f>
        <v>MONTANA REMEDIES</v>
      </c>
    </row>
    <row r="2157" ht="16.5" customHeight="1">
      <c r="H2157" s="1" t="str">
        <f>IFERROR(__xludf.DUMMYFUNCTION("""COMPUTED_VALUE"""),"MOREPEN LABORATORIES (GENERIC)")</f>
        <v>MOREPEN LABORATORIES (GENERIC)</v>
      </c>
    </row>
    <row r="2158" ht="16.5" customHeight="1">
      <c r="H2158" s="1" t="str">
        <f>IFERROR(__xludf.DUMMYFUNCTION("""COMPUTED_VALUE"""),"Morepen Laboratories Ltd")</f>
        <v>Morepen Laboratories Ltd</v>
      </c>
    </row>
    <row r="2159" ht="16.5" customHeight="1">
      <c r="H2159" s="1" t="str">
        <f>IFERROR(__xludf.DUMMYFUNCTION("""COMPUTED_VALUE"""),"MORPHUS PHARMACEUTICALS P LTD")</f>
        <v>MORPHUS PHARMACEUTICALS P LTD</v>
      </c>
    </row>
    <row r="2160" ht="16.5" customHeight="1">
      <c r="H2160" s="1" t="str">
        <f>IFERROR(__xludf.DUMMYFUNCTION("""COMPUTED_VALUE"""),"MORVIN")</f>
        <v>MORVIN</v>
      </c>
    </row>
    <row r="2161" ht="16.5" customHeight="1">
      <c r="H2161" s="1" t="str">
        <f>IFERROR(__xludf.DUMMYFUNCTION("""COMPUTED_VALUE"""),"MORWIN BIOPHARMA")</f>
        <v>MORWIN BIOPHARMA</v>
      </c>
    </row>
    <row r="2162" ht="16.5" customHeight="1">
      <c r="H2162" s="1" t="str">
        <f>IFERROR(__xludf.DUMMYFUNCTION("""COMPUTED_VALUE"""),"Mova Pharmaceutical Pvt Ltd")</f>
        <v>Mova Pharmaceutical Pvt Ltd</v>
      </c>
    </row>
    <row r="2163" ht="16.5" customHeight="1">
      <c r="H2163" s="1" t="str">
        <f>IFERROR(__xludf.DUMMYFUNCTION("""COMPUTED_VALUE"""),"MOVEO PHARMA")</f>
        <v>MOVEO PHARMA</v>
      </c>
    </row>
    <row r="2164" ht="16.5" customHeight="1">
      <c r="H2164" s="1" t="str">
        <f>IFERROR(__xludf.DUMMYFUNCTION("""COMPUTED_VALUE"""),"MOXY LABORATORIES PVT LTD")</f>
        <v>MOXY LABORATORIES PVT LTD</v>
      </c>
    </row>
    <row r="2165" ht="16.5" customHeight="1">
      <c r="H2165" s="1" t="str">
        <f>IFERROR(__xludf.DUMMYFUNCTION("""COMPUTED_VALUE"""),"MP PHARMA")</f>
        <v>MP PHARMA</v>
      </c>
    </row>
    <row r="2166" ht="16.5" customHeight="1">
      <c r="H2166" s="1" t="str">
        <f>IFERROR(__xludf.DUMMYFUNCTION("""COMPUTED_VALUE"""),"MRG LABORATORIES")</f>
        <v>MRG LABORATORIES</v>
      </c>
    </row>
    <row r="2167" ht="16.5" customHeight="1">
      <c r="H2167" s="1" t="str">
        <f>IFERROR(__xludf.DUMMYFUNCTION("""COMPUTED_VALUE"""),"MRG PHARMACEUTICALS")</f>
        <v>MRG PHARMACEUTICALS</v>
      </c>
    </row>
    <row r="2168" ht="16.5" customHeight="1">
      <c r="H2168" s="1" t="str">
        <f>IFERROR(__xludf.DUMMYFUNCTION("""COMPUTED_VALUE"""),"MRHM PHARMACEUTICALS PVT LTD")</f>
        <v>MRHM PHARMACEUTICALS PVT LTD</v>
      </c>
    </row>
    <row r="2169" ht="16.5" customHeight="1">
      <c r="H2169" s="1" t="str">
        <f>IFERROR(__xludf.DUMMYFUNCTION("""COMPUTED_VALUE"""),"MSD (FULFORD)")</f>
        <v>MSD (FULFORD)</v>
      </c>
    </row>
    <row r="2170" ht="16.5" customHeight="1">
      <c r="H2170" s="1" t="str">
        <f>IFERROR(__xludf.DUMMYFUNCTION("""COMPUTED_VALUE"""),"MSD (META)")</f>
        <v>MSD (META)</v>
      </c>
    </row>
    <row r="2171" ht="16.5" customHeight="1">
      <c r="H2171" s="1" t="str">
        <f>IFERROR(__xludf.DUMMYFUNCTION("""COMPUTED_VALUE"""),"MSD (ORGANON)")</f>
        <v>MSD (ORGANON)</v>
      </c>
    </row>
    <row r="2172" ht="16.5" customHeight="1">
      <c r="H2172" s="1" t="str">
        <f>IFERROR(__xludf.DUMMYFUNCTION("""COMPUTED_VALUE"""),"MSD Pharmaceuticals")</f>
        <v>MSD Pharmaceuticals</v>
      </c>
    </row>
    <row r="2173" ht="16.5" customHeight="1">
      <c r="H2173" s="1" t="str">
        <f>IFERROR(__xludf.DUMMYFUNCTION("""COMPUTED_VALUE"""),"MSN (CARDIAC)")</f>
        <v>MSN (CARDIAC)</v>
      </c>
    </row>
    <row r="2174" ht="16.5" customHeight="1">
      <c r="H2174" s="1" t="str">
        <f>IFERROR(__xludf.DUMMYFUNCTION("""COMPUTED_VALUE"""),"MSN (CNS)")</f>
        <v>MSN (CNS)</v>
      </c>
    </row>
    <row r="2175" ht="16.5" customHeight="1">
      <c r="H2175" s="1" t="str">
        <f>IFERROR(__xludf.DUMMYFUNCTION("""COMPUTED_VALUE"""),"MSN (CV 1)")</f>
        <v>MSN (CV 1)</v>
      </c>
    </row>
    <row r="2176" ht="16.5" customHeight="1">
      <c r="H2176" s="1" t="str">
        <f>IFERROR(__xludf.DUMMYFUNCTION("""COMPUTED_VALUE"""),"MSN (CV 2)")</f>
        <v>MSN (CV 2)</v>
      </c>
    </row>
    <row r="2177" ht="16.5" customHeight="1">
      <c r="H2177" s="1" t="str">
        <f>IFERROR(__xludf.DUMMYFUNCTION("""COMPUTED_VALUE"""),"MSN (NEPHRO)")</f>
        <v>MSN (NEPHRO)</v>
      </c>
    </row>
    <row r="2178" ht="16.5" customHeight="1">
      <c r="H2178" s="1" t="str">
        <f>IFERROR(__xludf.DUMMYFUNCTION("""COMPUTED_VALUE"""),"MSN (URO)")</f>
        <v>MSN (URO)</v>
      </c>
    </row>
    <row r="2179" ht="16.5" customHeight="1">
      <c r="H2179" s="1" t="str">
        <f>IFERROR(__xludf.DUMMYFUNCTION("""COMPUTED_VALUE"""),"MSN Laboratories")</f>
        <v>MSN Laboratories</v>
      </c>
    </row>
    <row r="2180" ht="16.5" customHeight="1">
      <c r="H2180" s="1" t="str">
        <f>IFERROR(__xludf.DUMMYFUNCTION("""COMPUTED_VALUE"""),"MU AMRELIA")</f>
        <v>MU AMRELIA</v>
      </c>
    </row>
    <row r="2181" ht="16.5" customHeight="1">
      <c r="H2181" s="1" t="str">
        <f>IFERROR(__xludf.DUMMYFUNCTION("""COMPUTED_VALUE"""),"MUCOS PHARMA(INDIA)PVT LTD")</f>
        <v>MUCOS PHARMA(INDIA)PVT LTD</v>
      </c>
    </row>
    <row r="2182" ht="16.5" customHeight="1">
      <c r="H2182" s="1" t="str">
        <f>IFERROR(__xludf.DUMMYFUNCTION("""COMPUTED_VALUE"""),"MULLER &amp; PHIPPS LTD")</f>
        <v>MULLER &amp; PHIPPS LTD</v>
      </c>
    </row>
    <row r="2183" ht="16.5" customHeight="1">
      <c r="H2183" s="1" t="str">
        <f>IFERROR(__xludf.DUMMYFUNCTION("""COMPUTED_VALUE"""),"MULTANI PHARMACEUTICALS")</f>
        <v>MULTANI PHARMACEUTICALS</v>
      </c>
    </row>
    <row r="2184" ht="16.5" customHeight="1">
      <c r="H2184" s="1" t="str">
        <f>IFERROR(__xludf.DUMMYFUNCTION("""COMPUTED_VALUE"""),"MULTI FOCAL")</f>
        <v>MULTI FOCAL</v>
      </c>
    </row>
    <row r="2185" ht="16.5" customHeight="1">
      <c r="H2185" s="1" t="str">
        <f>IFERROR(__xludf.DUMMYFUNCTION("""COMPUTED_VALUE"""),"MUNIMJI &amp;SONS")</f>
        <v>MUNIMJI &amp;SONS</v>
      </c>
    </row>
    <row r="2186" ht="16.5" customHeight="1">
      <c r="H2186" s="1" t="str">
        <f>IFERROR(__xludf.DUMMYFUNCTION("""COMPUTED_VALUE"""),"MUSHROOM WORLD AYURVED&amp; FOOD")</f>
        <v>MUSHROOM WORLD AYURVED&amp; FOOD</v>
      </c>
    </row>
    <row r="2187" ht="16.5" customHeight="1">
      <c r="H2187" s="1" t="str">
        <f>IFERROR(__xludf.DUMMYFUNCTION("""COMPUTED_VALUE"""),"MV ENTERPRISES")</f>
        <v>MV ENTERPRISES</v>
      </c>
    </row>
    <row r="2188" ht="16.5" customHeight="1">
      <c r="H2188" s="1" t="str">
        <f>IFERROR(__xludf.DUMMYFUNCTION("""COMPUTED_VALUE"""),"MVM BIOSCIENCE")</f>
        <v>MVM BIOSCIENCE</v>
      </c>
    </row>
    <row r="2189" ht="16.5" customHeight="1">
      <c r="H2189" s="1" t="str">
        <f>IFERROR(__xludf.DUMMYFUNCTION("""COMPUTED_VALUE"""),"MYCORION PHARMACEUTICAL")</f>
        <v>MYCORION PHARMACEUTICAL</v>
      </c>
    </row>
    <row r="2190" ht="16.5" customHeight="1">
      <c r="H2190" s="1" t="str">
        <f>IFERROR(__xludf.DUMMYFUNCTION("""COMPUTED_VALUE"""),"MYLAN PHARMA")</f>
        <v>MYLAN PHARMA</v>
      </c>
    </row>
    <row r="2191" ht="16.5" customHeight="1">
      <c r="H2191" s="1" t="str">
        <f>IFERROR(__xludf.DUMMYFUNCTION("""COMPUTED_VALUE"""),"NAGARJUN PHARMA")</f>
        <v>NAGARJUN PHARMA</v>
      </c>
    </row>
    <row r="2192" ht="16.5" customHeight="1">
      <c r="H2192" s="1" t="str">
        <f>IFERROR(__xludf.DUMMYFUNCTION("""COMPUTED_VALUE"""),"NAGARJUNA HERBAL CONCENTRATES")</f>
        <v>NAGARJUNA HERBAL CONCENTRATES</v>
      </c>
    </row>
    <row r="2193" ht="16.5" customHeight="1">
      <c r="H2193" s="1" t="str">
        <f>IFERROR(__xludf.DUMMYFUNCTION("""COMPUTED_VALUE"""),"NAMAN INDIA")</f>
        <v>NAMAN INDIA</v>
      </c>
    </row>
    <row r="2194" ht="16.5" customHeight="1">
      <c r="H2194" s="1" t="str">
        <f>IFERROR(__xludf.DUMMYFUNCTION("""COMPUTED_VALUE"""),"NAMCARE BIOTECH LLP")</f>
        <v>NAMCARE BIOTECH LLP</v>
      </c>
    </row>
    <row r="2195" ht="16.5" customHeight="1">
      <c r="H2195" s="1" t="str">
        <f>IFERROR(__xludf.DUMMYFUNCTION("""COMPUTED_VALUE"""),"NANDADEVI FOOTCARE LTD.")</f>
        <v>NANDADEVI FOOTCARE LTD.</v>
      </c>
    </row>
    <row r="2196" ht="16.5" customHeight="1">
      <c r="H2196" s="1" t="str">
        <f>IFERROR(__xludf.DUMMYFUNCTION("""COMPUTED_VALUE"""),"NANDEVI FOOT CARE LTD.")</f>
        <v>NANDEVI FOOT CARE LTD.</v>
      </c>
    </row>
    <row r="2197" ht="16.5" customHeight="1">
      <c r="H2197" s="1" t="str">
        <f>IFERROR(__xludf.DUMMYFUNCTION("""COMPUTED_VALUE"""),"NANO PHARMACEUTICALS")</f>
        <v>NANO PHARMACEUTICALS</v>
      </c>
    </row>
    <row r="2198" ht="16.5" customHeight="1">
      <c r="H2198" s="1" t="str">
        <f>IFERROR(__xludf.DUMMYFUNCTION("""COMPUTED_VALUE"""),"NANZ MED SCIENCE PHARMA PV")</f>
        <v>NANZ MED SCIENCE PHARMA PV</v>
      </c>
    </row>
    <row r="2199" ht="16.5" customHeight="1">
      <c r="H2199" s="1" t="str">
        <f>IFERROR(__xludf.DUMMYFUNCTION("""COMPUTED_VALUE"""),"NAR NARAYAN AYURVEDIC PHARMACY")</f>
        <v>NAR NARAYAN AYURVEDIC PHARMACY</v>
      </c>
    </row>
    <row r="2200" ht="16.5" customHeight="1">
      <c r="H2200" s="1" t="str">
        <f>IFERROR(__xludf.DUMMYFUNCTION("""COMPUTED_VALUE"""),"NAREENA LIFESCIENCES PVT LTD")</f>
        <v>NAREENA LIFESCIENCES PVT LTD</v>
      </c>
    </row>
    <row r="2201" ht="16.5" customHeight="1">
      <c r="H2201" s="1" t="str">
        <f>IFERROR(__xludf.DUMMYFUNCTION("""COMPUTED_VALUE"""),"NASEBERRY LABORATORIES")</f>
        <v>NASEBERRY LABORATORIES</v>
      </c>
    </row>
    <row r="2202" ht="16.5" customHeight="1">
      <c r="H2202" s="1" t="str">
        <f>IFERROR(__xludf.DUMMYFUNCTION("""COMPUTED_VALUE"""),"Natco Pharma Ltd")</f>
        <v>Natco Pharma Ltd</v>
      </c>
    </row>
    <row r="2203" ht="16.5" customHeight="1">
      <c r="H2203" s="1" t="str">
        <f>IFERROR(__xludf.DUMMYFUNCTION("""COMPUTED_VALUE"""),"Natco Pharma Ltd (CND DIVISION)")</f>
        <v>Natco Pharma Ltd (CND DIVISION)</v>
      </c>
    </row>
    <row r="2204" ht="16.5" customHeight="1">
      <c r="H2204" s="1" t="str">
        <f>IFERROR(__xludf.DUMMYFUNCTION("""COMPUTED_VALUE"""),"Natco Pharma Ltd (ONCO DIVISION)")</f>
        <v>Natco Pharma Ltd (ONCO DIVISION)</v>
      </c>
    </row>
    <row r="2205" ht="16.5" customHeight="1">
      <c r="H2205" s="1" t="str">
        <f>IFERROR(__xludf.DUMMYFUNCTION("""COMPUTED_VALUE"""),"Natco Pharma Ltd (SPL DIVISION)")</f>
        <v>Natco Pharma Ltd (SPL DIVISION)</v>
      </c>
    </row>
    <row r="2206" ht="16.5" customHeight="1">
      <c r="H2206" s="1" t="str">
        <f>IFERROR(__xludf.DUMMYFUNCTION("""COMPUTED_VALUE"""),"NATIONAL CHEMICAL &amp; PHARMACEUTICAL WORKS")</f>
        <v>NATIONAL CHEMICAL &amp; PHARMACEUTICAL WORKS</v>
      </c>
    </row>
    <row r="2207" ht="16.5" customHeight="1">
      <c r="H2207" s="1" t="str">
        <f>IFERROR(__xludf.DUMMYFUNCTION("""COMPUTED_VALUE"""),"NATIVE NATURAL HERBAL PRODUCT PVT LTD")</f>
        <v>NATIVE NATURAL HERBAL PRODUCT PVT LTD</v>
      </c>
    </row>
    <row r="2208" ht="16.5" customHeight="1">
      <c r="H2208" s="1" t="str">
        <f>IFERROR(__xludf.DUMMYFUNCTION("""COMPUTED_VALUE"""),"NATURAL LOOK")</f>
        <v>NATURAL LOOK</v>
      </c>
    </row>
    <row r="2209" ht="16.5" customHeight="1">
      <c r="H2209" s="1" t="str">
        <f>IFERROR(__xludf.DUMMYFUNCTION("""COMPUTED_VALUE"""),"NATURAL REMEDIS PVT LTD")</f>
        <v>NATURAL REMEDIS PVT LTD</v>
      </c>
    </row>
    <row r="2210" ht="16.5" customHeight="1">
      <c r="H2210" s="1" t="str">
        <f>IFERROR(__xludf.DUMMYFUNCTION("""COMPUTED_VALUE"""),"NAVIL LABORATORIES PVT LTD")</f>
        <v>NAVIL LABORATORIES PVT LTD</v>
      </c>
    </row>
    <row r="2211" ht="16.5" customHeight="1">
      <c r="H2211" s="1" t="str">
        <f>IFERROR(__xludf.DUMMYFUNCTION("""COMPUTED_VALUE"""),"NAVIL LABS (LIVAN)")</f>
        <v>NAVIL LABS (LIVAN)</v>
      </c>
    </row>
    <row r="2212" ht="16.5" customHeight="1">
      <c r="H2212" s="1" t="str">
        <f>IFERROR(__xludf.DUMMYFUNCTION("""COMPUTED_VALUE"""),"NAVKAR")</f>
        <v>NAVKAR</v>
      </c>
    </row>
    <row r="2213" ht="16.5" customHeight="1">
      <c r="H2213" s="1" t="str">
        <f>IFERROR(__xludf.DUMMYFUNCTION("""COMPUTED_VALUE"""),"NAXPAR HEALTH CONCEPTS PVT LTD")</f>
        <v>NAXPAR HEALTH CONCEPTS PVT LTD</v>
      </c>
    </row>
    <row r="2214" ht="16.5" customHeight="1">
      <c r="H2214" s="1" t="str">
        <f>IFERROR(__xludf.DUMMYFUNCTION("""COMPUTED_VALUE"""),"NECTAR BIOPHARMA PVT LTD")</f>
        <v>NECTAR BIOPHARMA PVT LTD</v>
      </c>
    </row>
    <row r="2215" ht="16.5" customHeight="1">
      <c r="H2215" s="1" t="str">
        <f>IFERROR(__xludf.DUMMYFUNCTION("""COMPUTED_VALUE"""),"Nectar Lifesciences Ltd.")</f>
        <v>Nectar Lifesciences Ltd.</v>
      </c>
    </row>
    <row r="2216" ht="16.5" customHeight="1">
      <c r="H2216" s="1" t="str">
        <f>IFERROR(__xludf.DUMMYFUNCTION("""COMPUTED_VALUE"""),"NECTAR MEDIPHARMA")</f>
        <v>NECTAR MEDIPHARMA</v>
      </c>
    </row>
    <row r="2217" ht="16.5" customHeight="1">
      <c r="H2217" s="1" t="str">
        <f>IFERROR(__xludf.DUMMYFUNCTION("""COMPUTED_VALUE"""),"NEISS LABS")</f>
        <v>NEISS LABS</v>
      </c>
    </row>
    <row r="2218" ht="16.5" customHeight="1">
      <c r="H2218" s="1" t="str">
        <f>IFERROR(__xludf.DUMMYFUNCTION("""COMPUTED_VALUE"""),"NEM LABORATORIES")</f>
        <v>NEM LABORATORIES</v>
      </c>
    </row>
    <row r="2219" ht="16.5" customHeight="1">
      <c r="H2219" s="1" t="str">
        <f>IFERROR(__xludf.DUMMYFUNCTION("""COMPUTED_VALUE"""),"NEMMY PHARMA")</f>
        <v>NEMMY PHARMA</v>
      </c>
    </row>
    <row r="2220" ht="16.5" customHeight="1">
      <c r="H2220" s="1" t="str">
        <f>IFERROR(__xludf.DUMMYFUNCTION("""COMPUTED_VALUE"""),"NEMUS PHARMACEUTICALS PVT LTD")</f>
        <v>NEMUS PHARMACEUTICALS PVT LTD</v>
      </c>
    </row>
    <row r="2221" ht="16.5" customHeight="1">
      <c r="H2221" s="1" t="str">
        <f>IFERROR(__xludf.DUMMYFUNCTION("""COMPUTED_VALUE"""),"Neo Vedic Drug Pharma")</f>
        <v>Neo Vedic Drug Pharma</v>
      </c>
    </row>
    <row r="2222" ht="16.5" customHeight="1">
      <c r="H2222" s="1" t="str">
        <f>IFERROR(__xludf.DUMMYFUNCTION("""COMPUTED_VALUE"""),"NEOCARDIAB CARE")</f>
        <v>NEOCARDIAB CARE</v>
      </c>
    </row>
    <row r="2223" ht="16.5" customHeight="1">
      <c r="H2223" s="1" t="str">
        <f>IFERROR(__xludf.DUMMYFUNCTION("""COMPUTED_VALUE"""),"NEOLINA PHARMACEUTICALS")</f>
        <v>NEOLINA PHARMACEUTICALS</v>
      </c>
    </row>
    <row r="2224" ht="16.5" customHeight="1">
      <c r="H2224" s="1" t="str">
        <f>IFERROR(__xludf.DUMMYFUNCTION("""COMPUTED_VALUE"""),"NEOMATRIS PHARMA")</f>
        <v>NEOMATRIS PHARMA</v>
      </c>
    </row>
    <row r="2225" ht="16.5" customHeight="1">
      <c r="H2225" s="1" t="str">
        <f>IFERROR(__xludf.DUMMYFUNCTION("""COMPUTED_VALUE"""),"Neon Laboratories Ltd")</f>
        <v>Neon Laboratories Ltd</v>
      </c>
    </row>
    <row r="2226" ht="16.5" customHeight="1">
      <c r="H2226" s="1" t="str">
        <f>IFERROR(__xludf.DUMMYFUNCTION("""COMPUTED_VALUE"""),"Neon Laboratories Ltd (ANESTHESIA)")</f>
        <v>Neon Laboratories Ltd (ANESTHESIA)</v>
      </c>
    </row>
    <row r="2227" ht="16.5" customHeight="1">
      <c r="H2227" s="1" t="str">
        <f>IFERROR(__xludf.DUMMYFUNCTION("""COMPUTED_VALUE"""),"Neon Laboratories Ltd (CANCER)")</f>
        <v>Neon Laboratories Ltd (CANCER)</v>
      </c>
    </row>
    <row r="2228" ht="16.5" customHeight="1">
      <c r="H2228" s="1" t="str">
        <f>IFERROR(__xludf.DUMMYFUNCTION("""COMPUTED_VALUE"""),"Neon Laboratories Ltd (CRITICAL CARE)")</f>
        <v>Neon Laboratories Ltd (CRITICAL CARE)</v>
      </c>
    </row>
    <row r="2229" ht="16.5" customHeight="1">
      <c r="H2229" s="1" t="str">
        <f>IFERROR(__xludf.DUMMYFUNCTION("""COMPUTED_VALUE"""),"Neon Laboratories Ltd (GYNAECOLOGY)")</f>
        <v>Neon Laboratories Ltd (GYNAECOLOGY)</v>
      </c>
    </row>
    <row r="2230" ht="16.5" customHeight="1">
      <c r="H2230" s="1" t="str">
        <f>IFERROR(__xludf.DUMMYFUNCTION("""COMPUTED_VALUE"""),"Neon Laboratories Ltd (STELLAR)")</f>
        <v>Neon Laboratories Ltd (STELLAR)</v>
      </c>
    </row>
    <row r="2231" ht="16.5" customHeight="1">
      <c r="H2231" s="1" t="str">
        <f>IFERROR(__xludf.DUMMYFUNCTION("""COMPUTED_VALUE"""),"NEOVAP BIOPHARMACEUTICALS")</f>
        <v>NEOVAP BIOPHARMACEUTICALS</v>
      </c>
    </row>
    <row r="2232" ht="16.5" customHeight="1">
      <c r="H2232" s="1" t="str">
        <f>IFERROR(__xludf.DUMMYFUNCTION("""COMPUTED_VALUE"""),"NEPHUROCARE PHARMA (NEPHRO)")</f>
        <v>NEPHUROCARE PHARMA (NEPHRO)</v>
      </c>
    </row>
    <row r="2233" ht="16.5" customHeight="1">
      <c r="H2233" s="1" t="str">
        <f>IFERROR(__xludf.DUMMYFUNCTION("""COMPUTED_VALUE"""),"NEPTUNE LIFE SCIENCE P LTD")</f>
        <v>NEPTUNE LIFE SCIENCE P LTD</v>
      </c>
    </row>
    <row r="2234" ht="16.5" customHeight="1">
      <c r="H2234" s="1" t="str">
        <f>IFERROR(__xludf.DUMMYFUNCTION("""COMPUTED_VALUE"""),"NERV-ERA LIFESCIENCES")</f>
        <v>NERV-ERA LIFESCIENCES</v>
      </c>
    </row>
    <row r="2235" ht="16.5" customHeight="1">
      <c r="H2235" s="1" t="str">
        <f>IFERROR(__xludf.DUMMYFUNCTION("""COMPUTED_VALUE"""),"NESTLE INDIA LIMITED")</f>
        <v>NESTLE INDIA LIMITED</v>
      </c>
    </row>
    <row r="2236" ht="16.5" customHeight="1">
      <c r="H2236" s="1" t="str">
        <f>IFERROR(__xludf.DUMMYFUNCTION("""COMPUTED_VALUE"""),"NETSURF")</f>
        <v>NETSURF</v>
      </c>
    </row>
    <row r="2237" ht="16.5" customHeight="1">
      <c r="H2237" s="1" t="str">
        <f>IFERROR(__xludf.DUMMYFUNCTION("""COMPUTED_VALUE"""),"NEUCLOX")</f>
        <v>NEUCLOX</v>
      </c>
    </row>
    <row r="2238" ht="16.5" customHeight="1">
      <c r="H2238" s="1" t="str">
        <f>IFERROR(__xludf.DUMMYFUNCTION("""COMPUTED_VALUE"""),"NEUCURE LIFESCIENCES P. LTD.")</f>
        <v>NEUCURE LIFESCIENCES P. LTD.</v>
      </c>
    </row>
    <row r="2239" ht="16.5" customHeight="1">
      <c r="H2239" s="1" t="str">
        <f>IFERROR(__xludf.DUMMYFUNCTION("""COMPUTED_VALUE"""),"NEURACLE LIFESCIENCES")</f>
        <v>NEURACLE LIFESCIENCES</v>
      </c>
    </row>
    <row r="2240" ht="16.5" customHeight="1">
      <c r="H2240" s="1" t="str">
        <f>IFERROR(__xludf.DUMMYFUNCTION("""COMPUTED_VALUE"""),"NEUTECHEALTHCARE PVT")</f>
        <v>NEUTECHEALTHCARE PVT</v>
      </c>
    </row>
    <row r="2241" ht="16.5" customHeight="1">
      <c r="H2241" s="1" t="str">
        <f>IFERROR(__xludf.DUMMYFUNCTION("""COMPUTED_VALUE"""),"NEW CONCEPT BIOTECH")</f>
        <v>NEW CONCEPT BIOTECH</v>
      </c>
    </row>
    <row r="2242" ht="16.5" customHeight="1">
      <c r="H2242" s="1" t="str">
        <f>IFERROR(__xludf.DUMMYFUNCTION("""COMPUTED_VALUE"""),"NEW GENERATION LIFE SCIENCES")</f>
        <v>NEW GENERATION LIFE SCIENCES</v>
      </c>
    </row>
    <row r="2243" ht="16.5" customHeight="1">
      <c r="H2243" s="1" t="str">
        <f>IFERROR(__xludf.DUMMYFUNCTION("""COMPUTED_VALUE"""),"NEW LIFE")</f>
        <v>NEW LIFE</v>
      </c>
    </row>
    <row r="2244" ht="16.5" customHeight="1">
      <c r="H2244" s="1" t="str">
        <f>IFERROR(__xludf.DUMMYFUNCTION("""COMPUTED_VALUE"""),"NEW MEDICON PHARMA LAB PVT.LTD")</f>
        <v>NEW MEDICON PHARMA LAB PVT.LTD</v>
      </c>
    </row>
    <row r="2245" ht="16.5" customHeight="1">
      <c r="H2245" s="1" t="str">
        <f>IFERROR(__xludf.DUMMYFUNCTION("""COMPUTED_VALUE"""),"NEW WORLD PHARMA P LTD")</f>
        <v>NEW WORLD PHARMA P LTD</v>
      </c>
    </row>
    <row r="2246" ht="16.5" customHeight="1">
      <c r="H2246" s="1" t="str">
        <f>IFERROR(__xludf.DUMMYFUNCTION("""COMPUTED_VALUE"""),"NEWTRAMAX HEALTHCARE, SIRMOR")</f>
        <v>NEWTRAMAX HEALTHCARE, SIRMOR</v>
      </c>
    </row>
    <row r="2247" ht="16.5" customHeight="1">
      <c r="H2247" s="1" t="str">
        <f>IFERROR(__xludf.DUMMYFUNCTION("""COMPUTED_VALUE"""),"NEWWORLD PHARMACEUTICALS P LTD")</f>
        <v>NEWWORLD PHARMACEUTICALS P LTD</v>
      </c>
    </row>
    <row r="2248" ht="16.5" customHeight="1">
      <c r="H2248" s="1" t="str">
        <f>IFERROR(__xludf.DUMMYFUNCTION("""COMPUTED_VALUE"""),"NEXA HEALTHCARE PVT LTD")</f>
        <v>NEXA HEALTHCARE PVT LTD</v>
      </c>
    </row>
    <row r="2249" ht="16.5" customHeight="1">
      <c r="H2249" s="1" t="str">
        <f>IFERROR(__xludf.DUMMYFUNCTION("""COMPUTED_VALUE"""),"NEXGEN LIFESCIENCES")</f>
        <v>NEXGEN LIFESCIENCES</v>
      </c>
    </row>
    <row r="2250" ht="16.5" customHeight="1">
      <c r="H2250" s="1" t="str">
        <f>IFERROR(__xludf.DUMMYFUNCTION("""COMPUTED_VALUE"""),"NEXGEN PHARMA")</f>
        <v>NEXGEN PHARMA</v>
      </c>
    </row>
    <row r="2251" ht="16.5" customHeight="1">
      <c r="H2251" s="1" t="str">
        <f>IFERROR(__xludf.DUMMYFUNCTION("""COMPUTED_VALUE"""),"NEXINA CD CARE PVT LTD")</f>
        <v>NEXINA CD CARE PVT LTD</v>
      </c>
    </row>
    <row r="2252" ht="16.5" customHeight="1">
      <c r="H2252" s="1" t="str">
        <f>IFERROR(__xludf.DUMMYFUNCTION("""COMPUTED_VALUE"""),"NEXINA LIFE SCIENCES")</f>
        <v>NEXINA LIFE SCIENCES</v>
      </c>
    </row>
    <row r="2253" ht="16.5" customHeight="1">
      <c r="H2253" s="1" t="str">
        <f>IFERROR(__xludf.DUMMYFUNCTION("""COMPUTED_VALUE"""),"NEXKEM PHARMA")</f>
        <v>NEXKEM PHARMA</v>
      </c>
    </row>
    <row r="2254" ht="16.5" customHeight="1">
      <c r="H2254" s="1" t="str">
        <f>IFERROR(__xludf.DUMMYFUNCTION("""COMPUTED_VALUE"""),"NEXTGEN HEALTHCARE")</f>
        <v>NEXTGEN HEALTHCARE</v>
      </c>
    </row>
    <row r="2255" ht="16.5" customHeight="1">
      <c r="H2255" s="1" t="str">
        <f>IFERROR(__xludf.DUMMYFUNCTION("""COMPUTED_VALUE"""),"NEXTGEN PHARMACEUTICAL AND FORMULATIONS PVT LTD")</f>
        <v>NEXTGEN PHARMACEUTICAL AND FORMULATIONS PVT LTD</v>
      </c>
    </row>
    <row r="2256" ht="16.5" customHeight="1">
      <c r="H2256" s="1" t="str">
        <f>IFERROR(__xludf.DUMMYFUNCTION("""COMPUTED_VALUE"""),"NEXUS PHARMACEUTICALS")</f>
        <v>NEXUS PHARMACEUTICALS</v>
      </c>
    </row>
    <row r="2257" ht="16.5" customHeight="1">
      <c r="H2257" s="1" t="str">
        <f>IFERROR(__xludf.DUMMYFUNCTION("""COMPUTED_VALUE"""),"NEXWIN PHARMA")</f>
        <v>NEXWIN PHARMA</v>
      </c>
    </row>
    <row r="2258" ht="16.5" customHeight="1">
      <c r="H2258" s="1" t="str">
        <f>IFERROR(__xludf.DUMMYFUNCTION("""COMPUTED_VALUE"""),"NICHOLAS PIRAMAL INDIA LTD")</f>
        <v>NICHOLAS PIRAMAL INDIA LTD</v>
      </c>
    </row>
    <row r="2259" ht="16.5" customHeight="1">
      <c r="H2259" s="1" t="str">
        <f>IFERROR(__xludf.DUMMYFUNCTION("""COMPUTED_VALUE"""),"NICIA")</f>
        <v>NICIA</v>
      </c>
    </row>
    <row r="2260" ht="16.5" customHeight="1">
      <c r="H2260" s="1" t="str">
        <f>IFERROR(__xludf.DUMMYFUNCTION("""COMPUTED_VALUE"""),"NICKS CORPORATION")</f>
        <v>NICKS CORPORATION</v>
      </c>
    </row>
    <row r="2261" ht="16.5" customHeight="1">
      <c r="H2261" s="1" t="str">
        <f>IFERROR(__xludf.DUMMYFUNCTION("""COMPUTED_VALUE"""),"NIKIR")</f>
        <v>NIKIR</v>
      </c>
    </row>
    <row r="2262" ht="16.5" customHeight="1">
      <c r="H2262" s="1" t="str">
        <f>IFERROR(__xludf.DUMMYFUNCTION("""COMPUTED_VALUE"""),"NILRISE PHARMACEUTICALS")</f>
        <v>NILRISE PHARMACEUTICALS</v>
      </c>
    </row>
    <row r="2263" ht="16.5" customHeight="1">
      <c r="H2263" s="1" t="str">
        <f>IFERROR(__xludf.DUMMYFUNCTION("""COMPUTED_VALUE"""),"NINELABS INDIA P LTD")</f>
        <v>NINELABS INDIA P LTD</v>
      </c>
    </row>
    <row r="2264" ht="16.5" customHeight="1">
      <c r="H2264" s="1" t="str">
        <f>IFERROR(__xludf.DUMMYFUNCTION("""COMPUTED_VALUE"""),"NIPM SURGICALS")</f>
        <v>NIPM SURGICALS</v>
      </c>
    </row>
    <row r="2265" ht="16.5" customHeight="1">
      <c r="H2265" s="1" t="str">
        <f>IFERROR(__xludf.DUMMYFUNCTION("""COMPUTED_VALUE"""),"NIPPON SEIYAKU")</f>
        <v>NIPPON SEIYAKU</v>
      </c>
    </row>
    <row r="2266" ht="16.5" customHeight="1">
      <c r="H2266" s="1" t="str">
        <f>IFERROR(__xludf.DUMMYFUNCTION("""COMPUTED_VALUE"""),"NIPRO")</f>
        <v>NIPRO</v>
      </c>
    </row>
    <row r="2267" ht="16.5" customHeight="1">
      <c r="H2267" s="1" t="str">
        <f>IFERROR(__xludf.DUMMYFUNCTION("""COMPUTED_VALUE"""),"NIRAMANCE HEALTH CARE")</f>
        <v>NIRAMANCE HEALTH CARE</v>
      </c>
    </row>
    <row r="2268" ht="16.5" customHeight="1">
      <c r="H2268" s="1" t="str">
        <f>IFERROR(__xludf.DUMMYFUNCTION("""COMPUTED_VALUE"""),"NIRAV HEALTHCARE")</f>
        <v>NIRAV HEALTHCARE</v>
      </c>
    </row>
    <row r="2269" ht="16.5" customHeight="1">
      <c r="H2269" s="1" t="str">
        <f>IFERROR(__xludf.DUMMYFUNCTION("""COMPUTED_VALUE"""),"NIRIX DERMA")</f>
        <v>NIRIX DERMA</v>
      </c>
    </row>
    <row r="2270" ht="16.5" customHeight="1">
      <c r="H2270" s="1" t="str">
        <f>IFERROR(__xludf.DUMMYFUNCTION("""COMPUTED_VALUE"""),"NIRLIFE")</f>
        <v>NIRLIFE</v>
      </c>
    </row>
    <row r="2271" ht="16.5" customHeight="1">
      <c r="H2271" s="1" t="str">
        <f>IFERROR(__xludf.DUMMYFUNCTION("""COMPUTED_VALUE"""),"NIRMA LTD")</f>
        <v>NIRMA LTD</v>
      </c>
    </row>
    <row r="2272" ht="16.5" customHeight="1">
      <c r="H2272" s="1" t="str">
        <f>IFERROR(__xludf.DUMMYFUNCTION("""COMPUTED_VALUE"""),"NIROG PHARMA")</f>
        <v>NIROG PHARMA</v>
      </c>
    </row>
    <row r="2273" ht="16.5" customHeight="1">
      <c r="H2273" s="1" t="str">
        <f>IFERROR(__xludf.DUMMYFUNCTION("""COMPUTED_VALUE"""),"NIROWELL HEALTHCARE PVT LTD")</f>
        <v>NIROWELL HEALTHCARE PVT LTD</v>
      </c>
    </row>
    <row r="2274" ht="16.5" customHeight="1">
      <c r="H2274" s="1" t="str">
        <f>IFERROR(__xludf.DUMMYFUNCTION("""COMPUTED_VALUE"""),"NISHI MEDICOSE (OTHER PRODUCTS)")</f>
        <v>NISHI MEDICOSE (OTHER PRODUCTS)</v>
      </c>
    </row>
    <row r="2275" ht="16.5" customHeight="1">
      <c r="H2275" s="1" t="str">
        <f>IFERROR(__xludf.DUMMYFUNCTION("""COMPUTED_VALUE"""),"NISHIRA PHARMA")</f>
        <v>NISHIRA PHARMA</v>
      </c>
    </row>
    <row r="2276" ht="16.5" customHeight="1">
      <c r="H2276" s="1" t="str">
        <f>IFERROR(__xludf.DUMMYFUNCTION("""COMPUTED_VALUE"""),"NITHYASHA HEALTHCARE PVT LTD")</f>
        <v>NITHYASHA HEALTHCARE PVT LTD</v>
      </c>
    </row>
    <row r="2277" ht="16.5" customHeight="1">
      <c r="H2277" s="1" t="str">
        <f>IFERROR(__xludf.DUMMYFUNCTION("""COMPUTED_VALUE"""),"Nitin Lifesciences Ltd")</f>
        <v>Nitin Lifesciences Ltd</v>
      </c>
    </row>
    <row r="2278" ht="16.5" customHeight="1">
      <c r="H2278" s="1" t="str">
        <f>IFERROR(__xludf.DUMMYFUNCTION("""COMPUTED_VALUE"""),"NITRO ORGANICES")</f>
        <v>NITRO ORGANICES</v>
      </c>
    </row>
    <row r="2279" ht="16.5" customHeight="1">
      <c r="H2279" s="1" t="str">
        <f>IFERROR(__xludf.DUMMYFUNCTION("""COMPUTED_VALUE"""),"NIYAMBA PHARMA")</f>
        <v>NIYAMBA PHARMA</v>
      </c>
    </row>
    <row r="2280" ht="16.5" customHeight="1">
      <c r="H2280" s="1" t="str">
        <f>IFERROR(__xludf.DUMMYFUNCTION("""COMPUTED_VALUE"""),"NOBLE DRUGS PVT.LTD.")</f>
        <v>NOBLE DRUGS PVT.LTD.</v>
      </c>
    </row>
    <row r="2281" ht="16.5" customHeight="1">
      <c r="H2281" s="1" t="str">
        <f>IFERROR(__xludf.DUMMYFUNCTION("""COMPUTED_VALUE"""),"NOEL PHARMA INDIA PVT LTD")</f>
        <v>NOEL PHARMA INDIA PVT LTD</v>
      </c>
    </row>
    <row r="2282" ht="16.5" customHeight="1">
      <c r="H2282" s="1" t="str">
        <f>IFERROR(__xludf.DUMMYFUNCTION("""COMPUTED_VALUE"""),"NONI BIOTECH P LTD")</f>
        <v>NONI BIOTECH P LTD</v>
      </c>
    </row>
    <row r="2283" ht="16.5" customHeight="1">
      <c r="H2283" s="1" t="str">
        <f>IFERROR(__xludf.DUMMYFUNCTION("""COMPUTED_VALUE"""),"NORRIS MEDICINES LTD.")</f>
        <v>NORRIS MEDICINES LTD.</v>
      </c>
    </row>
    <row r="2284" ht="16.5" customHeight="1">
      <c r="H2284" s="1" t="str">
        <f>IFERROR(__xludf.DUMMYFUNCTION("""COMPUTED_VALUE"""),"NORTIC HEALTHCARE")</f>
        <v>NORTIC HEALTHCARE</v>
      </c>
    </row>
    <row r="2285" ht="16.5" customHeight="1">
      <c r="H2285" s="1" t="str">
        <f>IFERROR(__xludf.DUMMYFUNCTION("""COMPUTED_VALUE"""),"NOSTRUM REMEDIES")</f>
        <v>NOSTRUM REMEDIES</v>
      </c>
    </row>
    <row r="2286" ht="16.5" customHeight="1">
      <c r="H2286" s="1" t="str">
        <f>IFERROR(__xludf.DUMMYFUNCTION("""COMPUTED_VALUE"""),"NOT TO BE ADDED")</f>
        <v>NOT TO BE ADDED</v>
      </c>
    </row>
    <row r="2287" ht="16.5" customHeight="1">
      <c r="H2287" s="1" t="str">
        <f>IFERROR(__xludf.DUMMYFUNCTION("""COMPUTED_VALUE"""),"NOURIER LAB")</f>
        <v>NOURIER LAB</v>
      </c>
    </row>
    <row r="2288" ht="16.5" customHeight="1">
      <c r="H2288" s="1" t="str">
        <f>IFERROR(__xludf.DUMMYFUNCTION("""COMPUTED_VALUE"""),"Nouveau Medicament Pvt Ltd")</f>
        <v>Nouveau Medicament Pvt Ltd</v>
      </c>
    </row>
    <row r="2289" ht="16.5" customHeight="1">
      <c r="H2289" s="1" t="str">
        <f>IFERROR(__xludf.DUMMYFUNCTION("""COMPUTED_VALUE"""),"NOVACHEM LAB")</f>
        <v>NOVACHEM LAB</v>
      </c>
    </row>
    <row r="2290" ht="16.5" customHeight="1">
      <c r="H2290" s="1" t="str">
        <f>IFERROR(__xludf.DUMMYFUNCTION("""COMPUTED_VALUE"""),"NOVACURE HEALTHCARE")</f>
        <v>NOVACURE HEALTHCARE</v>
      </c>
    </row>
    <row r="2291" ht="16.5" customHeight="1">
      <c r="H2291" s="1" t="str">
        <f>IFERROR(__xludf.DUMMYFUNCTION("""COMPUTED_VALUE"""),"NOVARTIS (BETA)")</f>
        <v>NOVARTIS (BETA)</v>
      </c>
    </row>
    <row r="2292" ht="16.5" customHeight="1">
      <c r="H2292" s="1" t="str">
        <f>IFERROR(__xludf.DUMMYFUNCTION("""COMPUTED_VALUE"""),"NOVARTIS (CARDIC)")</f>
        <v>NOVARTIS (CARDIC)</v>
      </c>
    </row>
    <row r="2293" ht="16.5" customHeight="1">
      <c r="H2293" s="1" t="str">
        <f>IFERROR(__xludf.DUMMYFUNCTION("""COMPUTED_VALUE"""),"NOVARTIS (CVM)")</f>
        <v>NOVARTIS (CVM)</v>
      </c>
    </row>
    <row r="2294" ht="16.5" customHeight="1">
      <c r="H2294" s="1" t="str">
        <f>IFERROR(__xludf.DUMMYFUNCTION("""COMPUTED_VALUE"""),"NOVARTIS (EMBU)")</f>
        <v>NOVARTIS (EMBU)</v>
      </c>
    </row>
    <row r="2295" ht="16.5" customHeight="1">
      <c r="H2295" s="1" t="str">
        <f>IFERROR(__xludf.DUMMYFUNCTION("""COMPUTED_VALUE"""),"NOVARTIS (GY)")</f>
        <v>NOVARTIS (GY)</v>
      </c>
    </row>
    <row r="2296" ht="16.5" customHeight="1">
      <c r="H2296" s="1" t="str">
        <f>IFERROR(__xludf.DUMMYFUNCTION("""COMPUTED_VALUE"""),"NOVARTIS (NEURO PSYCHIATRY)")</f>
        <v>NOVARTIS (NEURO PSYCHIATRY)</v>
      </c>
    </row>
    <row r="2297" ht="16.5" customHeight="1">
      <c r="H2297" s="1" t="str">
        <f>IFERROR(__xludf.DUMMYFUNCTION("""COMPUTED_VALUE"""),"NOVARTIS (PRASAAR)")</f>
        <v>NOVARTIS (PRASAAR)</v>
      </c>
    </row>
    <row r="2298" ht="16.5" customHeight="1">
      <c r="H2298" s="1" t="str">
        <f>IFERROR(__xludf.DUMMYFUNCTION("""COMPUTED_VALUE"""),"NOVARTIS (SANDOZ)")</f>
        <v>NOVARTIS (SANDOZ)</v>
      </c>
    </row>
    <row r="2299" ht="16.5" customHeight="1">
      <c r="H2299" s="1" t="str">
        <f>IFERROR(__xludf.DUMMYFUNCTION("""COMPUTED_VALUE"""),"NOVARTIS (TEAM)")</f>
        <v>NOVARTIS (TEAM)</v>
      </c>
    </row>
    <row r="2300" ht="16.5" customHeight="1">
      <c r="H2300" s="1" t="str">
        <f>IFERROR(__xludf.DUMMYFUNCTION("""COMPUTED_VALUE"""),"NOVARTIS (VACCINE)")</f>
        <v>NOVARTIS (VACCINE)</v>
      </c>
    </row>
    <row r="2301" ht="16.5" customHeight="1">
      <c r="H2301" s="1" t="str">
        <f>IFERROR(__xludf.DUMMYFUNCTION("""COMPUTED_VALUE"""),"Novartis India Ltd")</f>
        <v>Novartis India Ltd</v>
      </c>
    </row>
    <row r="2302" ht="16.5" customHeight="1">
      <c r="H2302" s="1" t="str">
        <f>IFERROR(__xludf.DUMMYFUNCTION("""COMPUTED_VALUE"""),"NOVASCOTT (GENERIC)")</f>
        <v>NOVASCOTT (GENERIC)</v>
      </c>
    </row>
    <row r="2303" ht="16.5" customHeight="1">
      <c r="H2303" s="1" t="str">
        <f>IFERROR(__xludf.DUMMYFUNCTION("""COMPUTED_VALUE"""),"NOVASURE HEALTHCARE")</f>
        <v>NOVASURE HEALTHCARE</v>
      </c>
    </row>
    <row r="2304" ht="16.5" customHeight="1">
      <c r="H2304" s="1" t="str">
        <f>IFERROR(__xludf.DUMMYFUNCTION("""COMPUTED_VALUE"""),"NOVAZING PHARMA")</f>
        <v>NOVAZING PHARMA</v>
      </c>
    </row>
    <row r="2305" ht="16.5" customHeight="1">
      <c r="H2305" s="1" t="str">
        <f>IFERROR(__xludf.DUMMYFUNCTION("""COMPUTED_VALUE"""),"NOVELTY HEALTHSHINE")</f>
        <v>NOVELTY HEALTHSHINE</v>
      </c>
    </row>
    <row r="2306" ht="16.5" customHeight="1">
      <c r="H2306" s="1" t="str">
        <f>IFERROR(__xludf.DUMMYFUNCTION("""COMPUTED_VALUE"""),"NOVIQUE LIFE SCIENCES PVT")</f>
        <v>NOVIQUE LIFE SCIENCES PVT</v>
      </c>
    </row>
    <row r="2307" ht="16.5" customHeight="1">
      <c r="H2307" s="1" t="str">
        <f>IFERROR(__xludf.DUMMYFUNCTION("""COMPUTED_VALUE"""),"NOVITA HEALTHCARE PVT LTD")</f>
        <v>NOVITA HEALTHCARE PVT LTD</v>
      </c>
    </row>
    <row r="2308" ht="16.5" customHeight="1">
      <c r="H2308" s="1" t="str">
        <f>IFERROR(__xludf.DUMMYFUNCTION("""COMPUTED_VALUE"""),"NOVITAS HEALTHCARE")</f>
        <v>NOVITAS HEALTHCARE</v>
      </c>
    </row>
    <row r="2309" ht="16.5" customHeight="1">
      <c r="H2309" s="1" t="str">
        <f>IFERROR(__xludf.DUMMYFUNCTION("""COMPUTED_VALUE"""),"NOVO INDUS PHARMACEUTICALS")</f>
        <v>NOVO INDUS PHARMACEUTICALS</v>
      </c>
    </row>
    <row r="2310" ht="16.5" customHeight="1">
      <c r="H2310" s="1" t="str">
        <f>IFERROR(__xludf.DUMMYFUNCTION("""COMPUTED_VALUE"""),"NOVO MEDI SCIENCES PVT LTD")</f>
        <v>NOVO MEDI SCIENCES PVT LTD</v>
      </c>
    </row>
    <row r="2311" ht="16.5" customHeight="1">
      <c r="H2311" s="1" t="str">
        <f>IFERROR(__xludf.DUMMYFUNCTION("""COMPUTED_VALUE"""),"Novo Nordisk India Pvt Ltd")</f>
        <v>Novo Nordisk India Pvt Ltd</v>
      </c>
    </row>
    <row r="2312" ht="16.5" customHeight="1">
      <c r="H2312" s="1" t="str">
        <f>IFERROR(__xludf.DUMMYFUNCTION("""COMPUTED_VALUE"""),"NOVOGEN CAPTAB")</f>
        <v>NOVOGEN CAPTAB</v>
      </c>
    </row>
    <row r="2313" ht="16.5" customHeight="1">
      <c r="H2313" s="1" t="str">
        <f>IFERROR(__xludf.DUMMYFUNCTION("""COMPUTED_VALUE"""),"NOVOSAVIOR")</f>
        <v>NOVOSAVIOR</v>
      </c>
    </row>
    <row r="2314" ht="16.5" customHeight="1">
      <c r="H2314" s="1" t="str">
        <f>IFERROR(__xludf.DUMMYFUNCTION("""COMPUTED_VALUE"""),"NOVUS BIOLOGICALS LLC")</f>
        <v>NOVUS BIOLOGICALS LLC</v>
      </c>
    </row>
    <row r="2315" ht="16.5" customHeight="1">
      <c r="H2315" s="1" t="str">
        <f>IFERROR(__xludf.DUMMYFUNCTION("""COMPUTED_VALUE"""),"NRI VISION CARE INDIA LTD")</f>
        <v>NRI VISION CARE INDIA LTD</v>
      </c>
    </row>
    <row r="2316" ht="16.5" customHeight="1">
      <c r="H2316" s="1" t="str">
        <f>IFERROR(__xludf.DUMMYFUNCTION("""COMPUTED_VALUE"""),"NUCLEO REMEDIES")</f>
        <v>NUCLEO REMEDIES</v>
      </c>
    </row>
    <row r="2317" ht="16.5" customHeight="1">
      <c r="H2317" s="1" t="str">
        <f>IFERROR(__xludf.DUMMYFUNCTION("""COMPUTED_VALUE"""),"NUKIND HEALTHCARE PVT LTD")</f>
        <v>NUKIND HEALTHCARE PVT LTD</v>
      </c>
    </row>
    <row r="2318" ht="16.5" customHeight="1">
      <c r="H2318" s="1" t="str">
        <f>IFERROR(__xludf.DUMMYFUNCTION("""COMPUTED_VALUE"""),"NuLife Pharmaceuticals")</f>
        <v>NuLife Pharmaceuticals</v>
      </c>
    </row>
    <row r="2319" ht="16.5" customHeight="1">
      <c r="H2319" s="1" t="str">
        <f>IFERROR(__xludf.DUMMYFUNCTION("""COMPUTED_VALUE"""),"NUMAC HEALTHCARE PVT LTD")</f>
        <v>NUMAC HEALTHCARE PVT LTD</v>
      </c>
    </row>
    <row r="2320" ht="16.5" customHeight="1">
      <c r="H2320" s="1" t="str">
        <f>IFERROR(__xludf.DUMMYFUNCTION("""COMPUTED_VALUE"""),"NUTRA WELLNESS")</f>
        <v>NUTRA WELLNESS</v>
      </c>
    </row>
    <row r="2321" ht="16.5" customHeight="1">
      <c r="H2321" s="1" t="str">
        <f>IFERROR(__xludf.DUMMYFUNCTION("""COMPUTED_VALUE"""),"NUTRACARE NUTRITION")</f>
        <v>NUTRACARE NUTRITION</v>
      </c>
    </row>
    <row r="2322" ht="16.5" customHeight="1">
      <c r="H2322" s="1" t="str">
        <f>IFERROR(__xludf.DUMMYFUNCTION("""COMPUTED_VALUE"""),"NUTRACOS LIFESCIENECES PVT LTD")</f>
        <v>NUTRACOS LIFESCIENECES PVT LTD</v>
      </c>
    </row>
    <row r="2323" ht="16.5" customHeight="1">
      <c r="H2323" s="1" t="str">
        <f>IFERROR(__xludf.DUMMYFUNCTION("""COMPUTED_VALUE"""),"NUTRAMEDICA INC.")</f>
        <v>NUTRAMEDICA INC.</v>
      </c>
    </row>
    <row r="2324" ht="16.5" customHeight="1">
      <c r="H2324" s="1" t="str">
        <f>IFERROR(__xludf.DUMMYFUNCTION("""COMPUTED_VALUE"""),"Nutricia International Pvt Ltd")</f>
        <v>Nutricia International Pvt Ltd</v>
      </c>
    </row>
    <row r="2325" ht="16.5" customHeight="1">
      <c r="H2325" s="1" t="str">
        <f>IFERROR(__xludf.DUMMYFUNCTION("""COMPUTED_VALUE"""),"NUTRINO HEALTH CARE")</f>
        <v>NUTRINO HEALTH CARE</v>
      </c>
    </row>
    <row r="2326" ht="16.5" customHeight="1">
      <c r="H2326" s="1" t="str">
        <f>IFERROR(__xludf.DUMMYFUNCTION("""COMPUTED_VALUE"""),"NUTRISROT")</f>
        <v>NUTRISROT</v>
      </c>
    </row>
    <row r="2327" ht="16.5" customHeight="1">
      <c r="H2327" s="1" t="str">
        <f>IFERROR(__xludf.DUMMYFUNCTION("""COMPUTED_VALUE"""),"NV Lifecare Pvt. Ltd.")</f>
        <v>NV Lifecare Pvt. Ltd.</v>
      </c>
    </row>
    <row r="2328" ht="16.5" customHeight="1">
      <c r="H2328" s="1" t="str">
        <f>IFERROR(__xludf.DUMMYFUNCTION("""COMPUTED_VALUE"""),"NYSUS BIOTECH PVT LTD")</f>
        <v>NYSUS BIOTECH PVT LTD</v>
      </c>
    </row>
    <row r="2329" ht="16.5" customHeight="1">
      <c r="H2329" s="1" t="str">
        <f>IFERROR(__xludf.DUMMYFUNCTION("""COMPUTED_VALUE"""),"OAKNET HEALTHCARE PVT LTD")</f>
        <v>OAKNET HEALTHCARE PVT LTD</v>
      </c>
    </row>
    <row r="2330" ht="16.5" customHeight="1">
      <c r="H2330" s="1" t="str">
        <f>IFERROR(__xludf.DUMMYFUNCTION("""COMPUTED_VALUE"""),"OAKNET HEALTHCARE PVT LTD (COSMECARE)")</f>
        <v>OAKNET HEALTHCARE PVT LTD (COSMECARE)</v>
      </c>
    </row>
    <row r="2331" ht="16.5" customHeight="1">
      <c r="H2331" s="1" t="str">
        <f>IFERROR(__xludf.DUMMYFUNCTION("""COMPUTED_VALUE"""),"OAKNET HEALTHCARE PVT LTD (SKINCARE)")</f>
        <v>OAKNET HEALTHCARE PVT LTD (SKINCARE)</v>
      </c>
    </row>
    <row r="2332" ht="16.5" customHeight="1">
      <c r="H2332" s="1" t="str">
        <f>IFERROR(__xludf.DUMMYFUNCTION("""COMPUTED_VALUE"""),"OAKNET LIFESCIENCES PVT LTD")</f>
        <v>OAKNET LIFESCIENCES PVT LTD</v>
      </c>
    </row>
    <row r="2333" ht="16.5" customHeight="1">
      <c r="H2333" s="1" t="str">
        <f>IFERROR(__xludf.DUMMYFUNCTION("""COMPUTED_VALUE"""),"OASIS BIOTECH PVT LTD")</f>
        <v>OASIS BIOTECH PVT LTD</v>
      </c>
    </row>
    <row r="2334" ht="16.5" customHeight="1">
      <c r="H2334" s="1" t="str">
        <f>IFERROR(__xludf.DUMMYFUNCTION("""COMPUTED_VALUE"""),"OATH HEALTHCARE")</f>
        <v>OATH HEALTHCARE</v>
      </c>
    </row>
    <row r="2335" ht="16.5" customHeight="1">
      <c r="H2335" s="1" t="str">
        <f>IFERROR(__xludf.DUMMYFUNCTION("""COMPUTED_VALUE"""),"OBERLIN HEALTHCARE")</f>
        <v>OBERLIN HEALTHCARE</v>
      </c>
    </row>
    <row r="2336" ht="16.5" customHeight="1">
      <c r="H2336" s="1" t="str">
        <f>IFERROR(__xludf.DUMMYFUNCTION("""COMPUTED_VALUE"""),"OCEAN CARE")</f>
        <v>OCEAN CARE</v>
      </c>
    </row>
    <row r="2337" ht="16.5" customHeight="1">
      <c r="H2337" s="1" t="str">
        <f>IFERROR(__xludf.DUMMYFUNCTION("""COMPUTED_VALUE"""),"OCEAN FORMULATIONS")</f>
        <v>OCEAN FORMULATIONS</v>
      </c>
    </row>
    <row r="2338" ht="16.5" customHeight="1">
      <c r="H2338" s="1" t="str">
        <f>IFERROR(__xludf.DUMMYFUNCTION("""COMPUTED_VALUE"""),"OCEAN HERBAL &amp; LIFECARE")</f>
        <v>OCEAN HERBAL &amp; LIFECARE</v>
      </c>
    </row>
    <row r="2339" ht="16.5" customHeight="1">
      <c r="H2339" s="1" t="str">
        <f>IFERROR(__xludf.DUMMYFUNCTION("""COMPUTED_VALUE"""),"OCEAN OPHTHALMICS")</f>
        <v>OCEAN OPHTHALMICS</v>
      </c>
    </row>
    <row r="2340" ht="16.5" customHeight="1">
      <c r="H2340" s="1" t="str">
        <f>IFERROR(__xludf.DUMMYFUNCTION("""COMPUTED_VALUE"""),"OCHOA LABORATORIES")</f>
        <v>OCHOA LABORATORIES</v>
      </c>
    </row>
    <row r="2341" ht="16.5" customHeight="1">
      <c r="H2341" s="1" t="str">
        <f>IFERROR(__xludf.DUMMYFUNCTION("""COMPUTED_VALUE"""),"OCTALIFE PHARMA")</f>
        <v>OCTALIFE PHARMA</v>
      </c>
    </row>
    <row r="2342" ht="16.5" customHeight="1">
      <c r="H2342" s="1" t="str">
        <f>IFERROR(__xludf.DUMMYFUNCTION("""COMPUTED_VALUE"""),"OCUSIGHT PHARMA")</f>
        <v>OCUSIGHT PHARMA</v>
      </c>
    </row>
    <row r="2343" ht="16.5" customHeight="1">
      <c r="H2343" s="1" t="str">
        <f>IFERROR(__xludf.DUMMYFUNCTION("""COMPUTED_VALUE"""),"OJAL LIFESCIENCES P LTD")</f>
        <v>OJAL LIFESCIENCES P LTD</v>
      </c>
    </row>
    <row r="2344" ht="16.5" customHeight="1">
      <c r="H2344" s="1" t="str">
        <f>IFERROR(__xludf.DUMMYFUNCTION("""COMPUTED_VALUE"""),"OJAL PHARMACEUTICAL PVT LTD")</f>
        <v>OJAL PHARMACEUTICAL PVT LTD</v>
      </c>
    </row>
    <row r="2345" ht="16.5" customHeight="1">
      <c r="H2345" s="1" t="str">
        <f>IFERROR(__xludf.DUMMYFUNCTION("""COMPUTED_VALUE"""),"OJAL PHARMACEUTICALS")</f>
        <v>OJAL PHARMACEUTICALS</v>
      </c>
    </row>
    <row r="2346" ht="16.5" customHeight="1">
      <c r="H2346" s="1" t="str">
        <f>IFERROR(__xludf.DUMMYFUNCTION("""COMPUTED_VALUE"""),"OJAS HUMAN SCIENCES INDIA PVT LTD")</f>
        <v>OJAS HUMAN SCIENCES INDIA PVT LTD</v>
      </c>
    </row>
    <row r="2347" ht="16.5" customHeight="1">
      <c r="H2347" s="1" t="str">
        <f>IFERROR(__xludf.DUMMYFUNCTION("""COMPUTED_VALUE"""),"OLAMIC HEALTH CARE")</f>
        <v>OLAMIC HEALTH CARE</v>
      </c>
    </row>
    <row r="2348" ht="16.5" customHeight="1">
      <c r="H2348" s="1" t="str">
        <f>IFERROR(__xludf.DUMMYFUNCTION("""COMPUTED_VALUE"""),"OLAMIC HEALTHCARE")</f>
        <v>OLAMIC HEALTHCARE</v>
      </c>
    </row>
    <row r="2349" ht="16.5" customHeight="1">
      <c r="H2349" s="1" t="str">
        <f>IFERROR(__xludf.DUMMYFUNCTION("""COMPUTED_VALUE"""),"OLCARE LABORATORIES")</f>
        <v>OLCARE LABORATORIES</v>
      </c>
    </row>
    <row r="2350" ht="16.5" customHeight="1">
      <c r="H2350" s="1" t="str">
        <f>IFERROR(__xludf.DUMMYFUNCTION("""COMPUTED_VALUE"""),"OLCARE LABORATORIES PVT LTD")</f>
        <v>OLCARE LABORATORIES PVT LTD</v>
      </c>
    </row>
    <row r="2351" ht="16.5" customHeight="1">
      <c r="H2351" s="1" t="str">
        <f>IFERROR(__xludf.DUMMYFUNCTION("""COMPUTED_VALUE"""),"OLWEN LIFESCIENCES PVT LTD")</f>
        <v>OLWEN LIFESCIENCES PVT LTD</v>
      </c>
    </row>
    <row r="2352" ht="16.5" customHeight="1">
      <c r="H2352" s="1" t="str">
        <f>IFERROR(__xludf.DUMMYFUNCTION("""COMPUTED_VALUE"""),"OLYMPUS CONTROL")</f>
        <v>OLYMPUS CONTROL</v>
      </c>
    </row>
    <row r="2353" ht="16.5" customHeight="1">
      <c r="H2353" s="1" t="str">
        <f>IFERROR(__xludf.DUMMYFUNCTION("""COMPUTED_VALUE"""),"OM S INTERNATIONAL P LTD")</f>
        <v>OM S INTERNATIONAL P LTD</v>
      </c>
    </row>
    <row r="2354" ht="16.5" customHeight="1">
      <c r="H2354" s="1" t="str">
        <f>IFERROR(__xludf.DUMMYFUNCTION("""COMPUTED_VALUE"""),"OMCURE BIOTECH")</f>
        <v>OMCURE BIOTECH</v>
      </c>
    </row>
    <row r="2355" ht="16.5" customHeight="1">
      <c r="H2355" s="1" t="str">
        <f>IFERROR(__xludf.DUMMYFUNCTION("""COMPUTED_VALUE"""),"ON&amp;ON")</f>
        <v>ON&amp;ON</v>
      </c>
    </row>
    <row r="2356" ht="16.5" customHeight="1">
      <c r="H2356" s="1" t="str">
        <f>IFERROR(__xludf.DUMMYFUNCTION("""COMPUTED_VALUE"""),"ONCARE LIFE SCIENSES")</f>
        <v>ONCARE LIFE SCIENSES</v>
      </c>
    </row>
    <row r="2357" ht="16.5" customHeight="1">
      <c r="H2357" s="1" t="str">
        <f>IFERROR(__xludf.DUMMYFUNCTION("""COMPUTED_VALUE"""),"ONCOBIOTEK DRUG PVT.LTD")</f>
        <v>ONCOBIOTEK DRUG PVT.LTD</v>
      </c>
    </row>
    <row r="2358" ht="16.5" customHeight="1">
      <c r="H2358" s="1" t="str">
        <f>IFERROR(__xludf.DUMMYFUNCTION("""COMPUTED_VALUE"""),"ONESTEP HEALTHCARE")</f>
        <v>ONESTEP HEALTHCARE</v>
      </c>
    </row>
    <row r="2359" ht="16.5" customHeight="1">
      <c r="H2359" s="1" t="str">
        <f>IFERROR(__xludf.DUMMYFUNCTION("""COMPUTED_VALUE"""),"ONEX")</f>
        <v>ONEX</v>
      </c>
    </row>
    <row r="2360" ht="16.5" customHeight="1">
      <c r="H2360" s="1" t="str">
        <f>IFERROR(__xludf.DUMMYFUNCTION("""COMPUTED_VALUE"""),"ONEX (GINPAX)")</f>
        <v>ONEX (GINPAX)</v>
      </c>
    </row>
    <row r="2361" ht="16.5" customHeight="1">
      <c r="H2361" s="1" t="str">
        <f>IFERROR(__xludf.DUMMYFUNCTION("""COMPUTED_VALUE"""),"ONIDA HEALTHCARE")</f>
        <v>ONIDA HEALTHCARE</v>
      </c>
    </row>
    <row r="2362" ht="16.5" customHeight="1">
      <c r="H2362" s="1" t="str">
        <f>IFERROR(__xludf.DUMMYFUNCTION("""COMPUTED_VALUE"""),"OPCIN PHARMA")</f>
        <v>OPCIN PHARMA</v>
      </c>
    </row>
    <row r="2363" ht="16.5" customHeight="1">
      <c r="H2363" s="1" t="str">
        <f>IFERROR(__xludf.DUMMYFUNCTION("""COMPUTED_VALUE"""),"OPCIN PHARMA PVT LTD")</f>
        <v>OPCIN PHARMA PVT LTD</v>
      </c>
    </row>
    <row r="2364" ht="16.5" customHeight="1">
      <c r="H2364" s="1" t="str">
        <f>IFERROR(__xludf.DUMMYFUNCTION("""COMPUTED_VALUE"""),"OPSISCARE LIFESCIENCES PVT LTD")</f>
        <v>OPSISCARE LIFESCIENCES PVT LTD</v>
      </c>
    </row>
    <row r="2365" ht="16.5" customHeight="1">
      <c r="H2365" s="1" t="str">
        <f>IFERROR(__xludf.DUMMYFUNCTION("""COMPUTED_VALUE"""),"OPTHAL REMEDIES PVT LTD")</f>
        <v>OPTHAL REMEDIES PVT LTD</v>
      </c>
    </row>
    <row r="2366" ht="16.5" customHeight="1">
      <c r="H2366" s="1" t="str">
        <f>IFERROR(__xludf.DUMMYFUNCTION("""COMPUTED_VALUE"""),"OPTHO REMEDIES (LIFE SCIENCES)")</f>
        <v>OPTHO REMEDIES (LIFE SCIENCES)</v>
      </c>
    </row>
    <row r="2367" ht="16.5" customHeight="1">
      <c r="H2367" s="1" t="str">
        <f>IFERROR(__xludf.DUMMYFUNCTION("""COMPUTED_VALUE"""),"Optho Remedies Pvt Ltd")</f>
        <v>Optho Remedies Pvt Ltd</v>
      </c>
    </row>
    <row r="2368" ht="16.5" customHeight="1">
      <c r="H2368" s="1" t="str">
        <f>IFERROR(__xludf.DUMMYFUNCTION("""COMPUTED_VALUE"""),"OPTIDERMA SKINCARE")</f>
        <v>OPTIDERMA SKINCARE</v>
      </c>
    </row>
    <row r="2369" ht="16.5" customHeight="1">
      <c r="H2369" s="1" t="str">
        <f>IFERROR(__xludf.DUMMYFUNCTION("""COMPUTED_VALUE"""),"OPTIGMA HEALTHCARE P LTD")</f>
        <v>OPTIGMA HEALTHCARE P LTD</v>
      </c>
    </row>
    <row r="2370" ht="16.5" customHeight="1">
      <c r="H2370" s="1" t="str">
        <f>IFERROR(__xludf.DUMMYFUNCTION("""COMPUTED_VALUE"""),"OPTIM HEALTH")</f>
        <v>OPTIM HEALTH</v>
      </c>
    </row>
    <row r="2371" ht="16.5" customHeight="1">
      <c r="H2371" s="1" t="str">
        <f>IFERROR(__xludf.DUMMYFUNCTION("""COMPUTED_VALUE"""),"OPTIMA HEALTHCARE")</f>
        <v>OPTIMA HEALTHCARE</v>
      </c>
    </row>
    <row r="2372" ht="16.5" customHeight="1">
      <c r="H2372" s="1" t="str">
        <f>IFERROR(__xludf.DUMMYFUNCTION("""COMPUTED_VALUE"""),"OPTIMA LENS")</f>
        <v>OPTIMA LENS</v>
      </c>
    </row>
    <row r="2373" ht="16.5" customHeight="1">
      <c r="H2373" s="1" t="str">
        <f>IFERROR(__xludf.DUMMYFUNCTION("""COMPUTED_VALUE"""),"OPTIMUS HEALTH CARE")</f>
        <v>OPTIMUS HEALTH CARE</v>
      </c>
    </row>
    <row r="2374" ht="16.5" customHeight="1">
      <c r="H2374" s="1" t="str">
        <f>IFERROR(__xludf.DUMMYFUNCTION("""COMPUTED_VALUE"""),"ORAGYN CURIS P LTD")</f>
        <v>ORAGYN CURIS P LTD</v>
      </c>
    </row>
    <row r="2375" ht="16.5" customHeight="1">
      <c r="H2375" s="1" t="str">
        <f>IFERROR(__xludf.DUMMYFUNCTION("""COMPUTED_VALUE"""),"ORAMA LIFESCIENCES")</f>
        <v>ORAMA LIFESCIENCES</v>
      </c>
    </row>
    <row r="2376" ht="16.5" customHeight="1">
      <c r="H2376" s="1" t="str">
        <f>IFERROR(__xludf.DUMMYFUNCTION("""COMPUTED_VALUE"""),"ORANGE BIOTECH PVT LTD")</f>
        <v>ORANGE BIOTECH PVT LTD</v>
      </c>
    </row>
    <row r="2377" ht="16.5" customHeight="1">
      <c r="H2377" s="1" t="str">
        <f>IFERROR(__xludf.DUMMYFUNCTION("""COMPUTED_VALUE"""),"ORANGE RESEARCH LABS")</f>
        <v>ORANGE RESEARCH LABS</v>
      </c>
    </row>
    <row r="2378" ht="16.5" customHeight="1">
      <c r="H2378" s="1" t="str">
        <f>IFERROR(__xludf.DUMMYFUNCTION("""COMPUTED_VALUE"""),"Orchid Chemicals &amp; Pharmaceuticals Ltd")</f>
        <v>Orchid Chemicals &amp; Pharmaceuticals Ltd</v>
      </c>
    </row>
    <row r="2379" ht="16.5" customHeight="1">
      <c r="H2379" s="1" t="str">
        <f>IFERROR(__xludf.DUMMYFUNCTION("""COMPUTED_VALUE"""),"ORCO LIFESCIENCES")</f>
        <v>ORCO LIFESCIENCES</v>
      </c>
    </row>
    <row r="2380" ht="16.5" customHeight="1">
      <c r="H2380" s="1" t="str">
        <f>IFERROR(__xludf.DUMMYFUNCTION("""COMPUTED_VALUE"""),"Ordain Health Care Global Pvt Ltd")</f>
        <v>Ordain Health Care Global Pvt Ltd</v>
      </c>
    </row>
    <row r="2381" ht="16.5" customHeight="1">
      <c r="H2381" s="1" t="str">
        <f>IFERROR(__xludf.DUMMYFUNCTION("""COMPUTED_VALUE"""),"ORDAIN HEALTHCARE (ESPERZ)")</f>
        <v>ORDAIN HEALTHCARE (ESPERZ)</v>
      </c>
    </row>
    <row r="2382" ht="16.5" customHeight="1">
      <c r="H2382" s="1" t="str">
        <f>IFERROR(__xludf.DUMMYFUNCTION("""COMPUTED_VALUE"""),"ORDAIN HEALTHCARE (ESPRITZ)")</f>
        <v>ORDAIN HEALTHCARE (ESPRITZ)</v>
      </c>
    </row>
    <row r="2383" ht="16.5" customHeight="1">
      <c r="H2383" s="1" t="str">
        <f>IFERROR(__xludf.DUMMYFUNCTION("""COMPUTED_VALUE"""),"ORDAIN HEALTHCARE (INTENZ)")</f>
        <v>ORDAIN HEALTHCARE (INTENZ)</v>
      </c>
    </row>
    <row r="2384" ht="16.5" customHeight="1">
      <c r="H2384" s="1" t="str">
        <f>IFERROR(__xludf.DUMMYFUNCTION("""COMPUTED_VALUE"""),"ORDAIN HEALTHCARE (NUREX)")</f>
        <v>ORDAIN HEALTHCARE (NUREX)</v>
      </c>
    </row>
    <row r="2385" ht="16.5" customHeight="1">
      <c r="H2385" s="1" t="str">
        <f>IFERROR(__xludf.DUMMYFUNCTION("""COMPUTED_VALUE"""),"ORDAIN HEALTHCARE (OPTHAL)")</f>
        <v>ORDAIN HEALTHCARE (OPTHAL)</v>
      </c>
    </row>
    <row r="2386" ht="16.5" customHeight="1">
      <c r="H2386" s="1" t="str">
        <f>IFERROR(__xludf.DUMMYFUNCTION("""COMPUTED_VALUE"""),"ORDAIN HEALTHCARE (PERZISTA)")</f>
        <v>ORDAIN HEALTHCARE (PERZISTA)</v>
      </c>
    </row>
    <row r="2387" ht="16.5" customHeight="1">
      <c r="H2387" s="1" t="str">
        <f>IFERROR(__xludf.DUMMYFUNCTION("""COMPUTED_VALUE"""),"OREVA DERMACARE")</f>
        <v>OREVA DERMACARE</v>
      </c>
    </row>
    <row r="2388" ht="16.5" customHeight="1">
      <c r="H2388" s="1" t="str">
        <f>IFERROR(__xludf.DUMMYFUNCTION("""COMPUTED_VALUE"""),"ORGANIC INDIA")</f>
        <v>ORGANIC INDIA</v>
      </c>
    </row>
    <row r="2389" ht="16.5" customHeight="1">
      <c r="H2389" s="1" t="str">
        <f>IFERROR(__xludf.DUMMYFUNCTION("""COMPUTED_VALUE"""),"ORGANIC LABS PVT LTD")</f>
        <v>ORGANIC LABS PVT LTD</v>
      </c>
    </row>
    <row r="2390" ht="16.5" customHeight="1">
      <c r="H2390" s="1" t="str">
        <f>IFERROR(__xludf.DUMMYFUNCTION("""COMPUTED_VALUE"""),"Organon (India) Ltd")</f>
        <v>Organon (India) Ltd</v>
      </c>
    </row>
    <row r="2391" ht="16.5" customHeight="1">
      <c r="H2391" s="1" t="str">
        <f>IFERROR(__xludf.DUMMYFUNCTION("""COMPUTED_VALUE"""),"ORGYN LABS")</f>
        <v>ORGYN LABS</v>
      </c>
    </row>
    <row r="2392" ht="16.5" customHeight="1">
      <c r="H2392" s="1" t="str">
        <f>IFERROR(__xludf.DUMMYFUNCTION("""COMPUTED_VALUE"""),"ORIEL HEALTHCARE PVT LTD")</f>
        <v>ORIEL HEALTHCARE PVT LTD</v>
      </c>
    </row>
    <row r="2393" ht="16.5" customHeight="1">
      <c r="H2393" s="1" t="str">
        <f>IFERROR(__xludf.DUMMYFUNCTION("""COMPUTED_VALUE"""),"ORIENTAL CHEMICALS WORKS")</f>
        <v>ORIENTAL CHEMICALS WORKS</v>
      </c>
    </row>
    <row r="2394" ht="16.5" customHeight="1">
      <c r="H2394" s="1" t="str">
        <f>IFERROR(__xludf.DUMMYFUNCTION("""COMPUTED_VALUE"""),"ORION PHARMA")</f>
        <v>ORION PHARMA</v>
      </c>
    </row>
    <row r="2395" ht="16.5" customHeight="1">
      <c r="H2395" s="1" t="str">
        <f>IFERROR(__xludf.DUMMYFUNCTION("""COMPUTED_VALUE"""),"ORISON PHARMA INTERNATIONAL")</f>
        <v>ORISON PHARMA INTERNATIONAL</v>
      </c>
    </row>
    <row r="2396" ht="16.5" customHeight="1">
      <c r="H2396" s="1" t="str">
        <f>IFERROR(__xludf.DUMMYFUNCTION("""COMPUTED_VALUE"""),"ORIVA NUTRITION")</f>
        <v>ORIVA NUTRITION</v>
      </c>
    </row>
    <row r="2397" ht="16.5" customHeight="1">
      <c r="H2397" s="1" t="str">
        <f>IFERROR(__xludf.DUMMYFUNCTION("""COMPUTED_VALUE"""),"ORLLYFORD HEALTHCARE")</f>
        <v>ORLLYFORD HEALTHCARE</v>
      </c>
    </row>
    <row r="2398" ht="16.5" customHeight="1">
      <c r="H2398" s="1" t="str">
        <f>IFERROR(__xludf.DUMMYFUNCTION("""COMPUTED_VALUE"""),"Oscar Remedies")</f>
        <v>Oscar Remedies</v>
      </c>
    </row>
    <row r="2399" ht="16.5" customHeight="1">
      <c r="H2399" s="1" t="str">
        <f>IFERROR(__xludf.DUMMYFUNCTION("""COMPUTED_VALUE"""),"Oscar Remedies (EVANS Pharma)")</f>
        <v>Oscar Remedies (EVANS Pharma)</v>
      </c>
    </row>
    <row r="2400" ht="16.5" customHeight="1">
      <c r="H2400" s="1" t="str">
        <f>IFERROR(__xludf.DUMMYFUNCTION("""COMPUTED_VALUE"""),"Oscar Remedies (Indoss Life Sciences)")</f>
        <v>Oscar Remedies (Indoss Life Sciences)</v>
      </c>
    </row>
    <row r="2401" ht="16.5" customHeight="1">
      <c r="H2401" s="1" t="str">
        <f>IFERROR(__xludf.DUMMYFUNCTION("""COMPUTED_VALUE"""),"Oscar Remedies (MAK Pharmaceuticals)")</f>
        <v>Oscar Remedies (MAK Pharmaceuticals)</v>
      </c>
    </row>
    <row r="2402" ht="16.5" customHeight="1">
      <c r="H2402" s="1" t="str">
        <f>IFERROR(__xludf.DUMMYFUNCTION("""COMPUTED_VALUE"""),"Oscar Remedies (Next Way India)")</f>
        <v>Oscar Remedies (Next Way India)</v>
      </c>
    </row>
    <row r="2403" ht="16.5" customHeight="1">
      <c r="H2403" s="1" t="str">
        <f>IFERROR(__xludf.DUMMYFUNCTION("""COMPUTED_VALUE"""),"Oscar Remedies Pvt Ltd")</f>
        <v>Oscar Remedies Pvt Ltd</v>
      </c>
    </row>
    <row r="2404" ht="16.5" customHeight="1">
      <c r="H2404" s="1" t="str">
        <f>IFERROR(__xludf.DUMMYFUNCTION("""COMPUTED_VALUE"""),"OSMED FORMULATIONS")</f>
        <v>OSMED FORMULATIONS</v>
      </c>
    </row>
    <row r="2405" ht="16.5" customHeight="1">
      <c r="H2405" s="1" t="str">
        <f>IFERROR(__xludf.DUMMYFUNCTION("""COMPUTED_VALUE"""),"OSPICARE LIFE SCIENCES PVT LTD")</f>
        <v>OSPICARE LIFE SCIENCES PVT LTD</v>
      </c>
    </row>
    <row r="2406" ht="16.5" customHeight="1">
      <c r="H2406" s="1" t="str">
        <f>IFERROR(__xludf.DUMMYFUNCTION("""COMPUTED_VALUE"""),"OSQUE PHARMA PVT LTD")</f>
        <v>OSQUE PHARMA PVT LTD</v>
      </c>
    </row>
    <row r="2407" ht="16.5" customHeight="1">
      <c r="H2407" s="1" t="str">
        <f>IFERROR(__xludf.DUMMYFUNCTION("""COMPUTED_VALUE"""),"OTHANTIC (DERMA)")</f>
        <v>OTHANTIC (DERMA)</v>
      </c>
    </row>
    <row r="2408" ht="16.5" customHeight="1">
      <c r="H2408" s="1" t="str">
        <f>IFERROR(__xludf.DUMMYFUNCTION("""COMPUTED_VALUE"""),"OTHANTIC (KIYOMI)")</f>
        <v>OTHANTIC (KIYOMI)</v>
      </c>
    </row>
    <row r="2409" ht="16.5" customHeight="1">
      <c r="H2409" s="1" t="str">
        <f>IFERROR(__xludf.DUMMYFUNCTION("""COMPUTED_VALUE"""),"OTSUKA")</f>
        <v>OTSUKA</v>
      </c>
    </row>
    <row r="2410" ht="16.5" customHeight="1">
      <c r="H2410" s="1" t="str">
        <f>IFERROR(__xludf.DUMMYFUNCTION("""COMPUTED_VALUE"""),"OVAL ORGANICS")</f>
        <v>OVAL ORGANICS</v>
      </c>
    </row>
    <row r="2411" ht="16.5" customHeight="1">
      <c r="H2411" s="1" t="str">
        <f>IFERROR(__xludf.DUMMYFUNCTION("""COMPUTED_VALUE"""),"Overseas Healthcare Pvt Ltd")</f>
        <v>Overseas Healthcare Pvt Ltd</v>
      </c>
    </row>
    <row r="2412" ht="16.5" customHeight="1">
      <c r="H2412" s="1" t="str">
        <f>IFERROR(__xludf.DUMMYFUNCTION("""COMPUTED_VALUE"""),"OVERSES HEALTHCARE")</f>
        <v>OVERSES HEALTHCARE</v>
      </c>
    </row>
    <row r="2413" ht="16.5" customHeight="1">
      <c r="H2413" s="1" t="str">
        <f>IFERROR(__xludf.DUMMYFUNCTION("""COMPUTED_VALUE"""),"OXFORD PHARMA")</f>
        <v>OXFORD PHARMA</v>
      </c>
    </row>
    <row r="2414" ht="16.5" customHeight="1">
      <c r="H2414" s="1" t="str">
        <f>IFERROR(__xludf.DUMMYFUNCTION("""COMPUTED_VALUE"""),"OZONE (NUCLEUS)")</f>
        <v>OZONE (NUCLEUS)</v>
      </c>
    </row>
    <row r="2415" ht="16.5" customHeight="1">
      <c r="H2415" s="1" t="str">
        <f>IFERROR(__xludf.DUMMYFUNCTION("""COMPUTED_VALUE"""),"OZONE (PROTON)")</f>
        <v>OZONE (PROTON)</v>
      </c>
    </row>
    <row r="2416" ht="16.5" customHeight="1">
      <c r="H2416" s="1" t="str">
        <f>IFERROR(__xludf.DUMMYFUNCTION("""COMPUTED_VALUE"""),"OZONE AYURVEDICS")</f>
        <v>OZONE AYURVEDICS</v>
      </c>
    </row>
    <row r="2417" ht="16.5" customHeight="1">
      <c r="H2417" s="1" t="str">
        <f>IFERROR(__xludf.DUMMYFUNCTION("""COMPUTED_VALUE"""),"OZONE PHARMA CYCONAL")</f>
        <v>OZONE PHARMA CYCONAL</v>
      </c>
    </row>
    <row r="2418" ht="16.5" customHeight="1">
      <c r="H2418" s="1" t="str">
        <f>IFERROR(__xludf.DUMMYFUNCTION("""COMPUTED_VALUE"""),"Ozone Pharmaceuticals Ltd")</f>
        <v>Ozone Pharmaceuticals Ltd</v>
      </c>
    </row>
    <row r="2419" ht="16.5" customHeight="1">
      <c r="H2419" s="1" t="str">
        <f>IFERROR(__xludf.DUMMYFUNCTION("""COMPUTED_VALUE"""),"P M RATHOD COMPANY")</f>
        <v>P M RATHOD COMPANY</v>
      </c>
    </row>
    <row r="2420" ht="16.5" customHeight="1">
      <c r="H2420" s="1" t="str">
        <f>IFERROR(__xludf.DUMMYFUNCTION("""COMPUTED_VALUE"""),"P&amp;B PHARMA")</f>
        <v>P&amp;B PHARMA</v>
      </c>
    </row>
    <row r="2421" ht="16.5" customHeight="1">
      <c r="H2421" s="1" t="str">
        <f>IFERROR(__xludf.DUMMYFUNCTION("""COMPUTED_VALUE"""),"P&amp;G PHARMA")</f>
        <v>P&amp;G PHARMA</v>
      </c>
    </row>
    <row r="2422" ht="16.5" customHeight="1">
      <c r="H2422" s="1" t="str">
        <f>IFERROR(__xludf.DUMMYFUNCTION("""COMPUTED_VALUE"""),"PACE PHARMACEUTICALS")</f>
        <v>PACE PHARMACEUTICALS</v>
      </c>
    </row>
    <row r="2423" ht="16.5" customHeight="1">
      <c r="H2423" s="1" t="str">
        <f>IFERROR(__xludf.DUMMYFUNCTION("""COMPUTED_VALUE"""),"PACIFIC MED.&amp; BIO.")</f>
        <v>PACIFIC MED.&amp; BIO.</v>
      </c>
    </row>
    <row r="2424" ht="16.5" customHeight="1">
      <c r="H2424" s="1" t="str">
        <f>IFERROR(__xludf.DUMMYFUNCTION("""COMPUTED_VALUE"""),"PACITORA BIOTECH")</f>
        <v>PACITORA BIOTECH</v>
      </c>
    </row>
    <row r="2425" ht="16.5" customHeight="1">
      <c r="H2425" s="1" t="str">
        <f>IFERROR(__xludf.DUMMYFUNCTION("""COMPUTED_VALUE"""),"PACKSULES PHARMA PVT LTD")</f>
        <v>PACKSULES PHARMA PVT LTD</v>
      </c>
    </row>
    <row r="2426" ht="16.5" customHeight="1">
      <c r="H2426" s="1" t="str">
        <f>IFERROR(__xludf.DUMMYFUNCTION("""COMPUTED_VALUE"""),"PACT INDIA")</f>
        <v>PACT INDIA</v>
      </c>
    </row>
    <row r="2427" ht="16.5" customHeight="1">
      <c r="H2427" s="1" t="str">
        <f>IFERROR(__xludf.DUMMYFUNCTION("""COMPUTED_VALUE"""),"PAEON PHARMACEUTICALS PVT LTD")</f>
        <v>PAEON PHARMACEUTICALS PVT LTD</v>
      </c>
    </row>
    <row r="2428" ht="16.5" customHeight="1">
      <c r="H2428" s="1" t="str">
        <f>IFERROR(__xludf.DUMMYFUNCTION("""COMPUTED_VALUE"""),"Paksons Pharmaceuticals P Ltd")</f>
        <v>Paksons Pharmaceuticals P Ltd</v>
      </c>
    </row>
    <row r="2429" ht="16.5" customHeight="1">
      <c r="H2429" s="1" t="str">
        <f>IFERROR(__xludf.DUMMYFUNCTION("""COMPUTED_VALUE"""),"PALSON DRUG")</f>
        <v>PALSON DRUG</v>
      </c>
    </row>
    <row r="2430" ht="16.5" customHeight="1">
      <c r="H2430" s="1" t="str">
        <f>IFERROR(__xludf.DUMMYFUNCTION("""COMPUTED_VALUE"""),"Palsons Derma")</f>
        <v>Palsons Derma</v>
      </c>
    </row>
    <row r="2431" ht="16.5" customHeight="1">
      <c r="H2431" s="1" t="str">
        <f>IFERROR(__xludf.DUMMYFUNCTION("""COMPUTED_VALUE"""),"PANACEA (DIACAR ALPHA)")</f>
        <v>PANACEA (DIACAR ALPHA)</v>
      </c>
    </row>
    <row r="2432" ht="16.5" customHeight="1">
      <c r="H2432" s="1" t="str">
        <f>IFERROR(__xludf.DUMMYFUNCTION("""COMPUTED_VALUE"""),"PANACEA BIOTEC")</f>
        <v>PANACEA BIOTEC</v>
      </c>
    </row>
    <row r="2433" ht="16.5" customHeight="1">
      <c r="H2433" s="1" t="str">
        <f>IFERROR(__xludf.DUMMYFUNCTION("""COMPUTED_VALUE"""),"PANACEA BIOTEC (GROW CARE)")</f>
        <v>PANACEA BIOTEC (GROW CARE)</v>
      </c>
    </row>
    <row r="2434" ht="16.5" customHeight="1">
      <c r="H2434" s="1" t="str">
        <f>IFERROR(__xludf.DUMMYFUNCTION("""COMPUTED_VALUE"""),"PANACEA BIOTEC (PRO CARE)")</f>
        <v>PANACEA BIOTEC (PRO CARE)</v>
      </c>
    </row>
    <row r="2435" ht="16.5" customHeight="1">
      <c r="H2435" s="1" t="str">
        <f>IFERROR(__xludf.DUMMYFUNCTION("""COMPUTED_VALUE"""),"Panacea Biotec Ltd")</f>
        <v>Panacea Biotec Ltd</v>
      </c>
    </row>
    <row r="2436" ht="16.5" customHeight="1">
      <c r="H2436" s="1" t="str">
        <f>IFERROR(__xludf.DUMMYFUNCTION("""COMPUTED_VALUE"""),"PANCHEM LIFE CARE PVT LTD")</f>
        <v>PANCHEM LIFE CARE PVT LTD</v>
      </c>
    </row>
    <row r="2437" ht="16.5" customHeight="1">
      <c r="H2437" s="1" t="str">
        <f>IFERROR(__xludf.DUMMYFUNCTION("""COMPUTED_VALUE"""),"PANJON LIMITED")</f>
        <v>PANJON LIMITED</v>
      </c>
    </row>
    <row r="2438" ht="16.5" customHeight="1">
      <c r="H2438" s="1" t="str">
        <f>IFERROR(__xludf.DUMMYFUNCTION("""COMPUTED_VALUE"""),"PANJON PHARMA")</f>
        <v>PANJON PHARMA</v>
      </c>
    </row>
    <row r="2439" ht="16.5" customHeight="1">
      <c r="H2439" s="1" t="str">
        <f>IFERROR(__xludf.DUMMYFUNCTION("""COMPUTED_VALUE"""),"PANZER PHARMACEUTICALS")</f>
        <v>PANZER PHARMACEUTICALS</v>
      </c>
    </row>
    <row r="2440" ht="16.5" customHeight="1">
      <c r="H2440" s="1" t="str">
        <f>IFERROR(__xludf.DUMMYFUNCTION("""COMPUTED_VALUE"""),"PARABOLIC DRUGS LTD")</f>
        <v>PARABOLIC DRUGS LTD</v>
      </c>
    </row>
    <row r="2441" ht="16.5" customHeight="1">
      <c r="H2441" s="1" t="str">
        <f>IFERROR(__xludf.DUMMYFUNCTION("""COMPUTED_VALUE"""),"Paras Pharmaceuticals Ltd")</f>
        <v>Paras Pharmaceuticals Ltd</v>
      </c>
    </row>
    <row r="2442" ht="16.5" customHeight="1">
      <c r="H2442" s="1" t="str">
        <f>IFERROR(__xludf.DUMMYFUNCTION("""COMPUTED_VALUE"""),"PARASOL LAB")</f>
        <v>PARASOL LAB</v>
      </c>
    </row>
    <row r="2443" ht="16.5" customHeight="1">
      <c r="H2443" s="1" t="str">
        <f>IFERROR(__xludf.DUMMYFUNCTION("""COMPUTED_VALUE"""),"Parenteral Drugs (PDPL)")</f>
        <v>Parenteral Drugs (PDPL)</v>
      </c>
    </row>
    <row r="2444" ht="16.5" customHeight="1">
      <c r="H2444" s="1" t="str">
        <f>IFERROR(__xludf.DUMMYFUNCTION("""COMPUTED_VALUE"""),"PARENTERAL DRUGS INDIA LTD")</f>
        <v>PARENTERAL DRUGS INDIA LTD</v>
      </c>
    </row>
    <row r="2445" ht="16.5" customHeight="1">
      <c r="H2445" s="1" t="str">
        <f>IFERROR(__xludf.DUMMYFUNCTION("""COMPUTED_VALUE"""),"PARK PHARMA")</f>
        <v>PARK PHARMA</v>
      </c>
    </row>
    <row r="2446" ht="16.5" customHeight="1">
      <c r="H2446" s="1" t="str">
        <f>IFERROR(__xludf.DUMMYFUNCTION("""COMPUTED_VALUE"""),"PARK PHARMACITUCALS SOLAN")</f>
        <v>PARK PHARMACITUCALS SOLAN</v>
      </c>
    </row>
    <row r="2447" ht="16.5" customHeight="1">
      <c r="H2447" s="1" t="str">
        <f>IFERROR(__xludf.DUMMYFUNCTION("""COMPUTED_VALUE"""),"PARRY PHARMA PVT LTD")</f>
        <v>PARRY PHARMA PVT LTD</v>
      </c>
    </row>
    <row r="2448" ht="16.5" customHeight="1">
      <c r="H2448" s="1" t="str">
        <f>IFERROR(__xludf.DUMMYFUNCTION("""COMPUTED_VALUE"""),"PARSH PHARMA NEMANVASA")</f>
        <v>PARSH PHARMA NEMANVASA</v>
      </c>
    </row>
    <row r="2449" ht="16.5" customHeight="1">
      <c r="H2449" s="1" t="str">
        <f>IFERROR(__xludf.DUMMYFUNCTION("""COMPUTED_VALUE"""),"PARSHWA LIFE SCIENCES")</f>
        <v>PARSHWA LIFE SCIENCES</v>
      </c>
    </row>
    <row r="2450" ht="16.5" customHeight="1">
      <c r="H2450" s="1" t="str">
        <f>IFERROR(__xludf.DUMMYFUNCTION("""COMPUTED_VALUE"""),"PARTH")</f>
        <v>PARTH</v>
      </c>
    </row>
    <row r="2451" ht="16.5" customHeight="1">
      <c r="H2451" s="1" t="str">
        <f>IFERROR(__xludf.DUMMYFUNCTION("""COMPUTED_VALUE"""),"PARTH REMEDIES")</f>
        <v>PARTH REMEDIES</v>
      </c>
    </row>
    <row r="2452" ht="16.5" customHeight="1">
      <c r="H2452" s="1" t="str">
        <f>IFERROR(__xludf.DUMMYFUNCTION("""COMPUTED_VALUE"""),"PARUL")</f>
        <v>PARUL</v>
      </c>
    </row>
    <row r="2453" ht="16.5" customHeight="1">
      <c r="H2453" s="1" t="str">
        <f>IFERROR(__xludf.DUMMYFUNCTION("""COMPUTED_VALUE"""),"PATANJALI AYURVED LTD")</f>
        <v>PATANJALI AYURVED LTD</v>
      </c>
    </row>
    <row r="2454" ht="16.5" customHeight="1">
      <c r="H2454" s="1" t="str">
        <f>IFERROR(__xludf.DUMMYFUNCTION("""COMPUTED_VALUE"""),"PATLI DABUR HEALTHCARE")</f>
        <v>PATLI DABUR HEALTHCARE</v>
      </c>
    </row>
    <row r="2455" ht="16.5" customHeight="1">
      <c r="H2455" s="1" t="str">
        <f>IFERROR(__xludf.DUMMYFUNCTION("""COMPUTED_VALUE"""),"PATSON LABORATORIES")</f>
        <v>PATSON LABORATORIES</v>
      </c>
    </row>
    <row r="2456" ht="16.5" customHeight="1">
      <c r="H2456" s="1" t="str">
        <f>IFERROR(__xludf.DUMMYFUNCTION("""COMPUTED_VALUE"""),"PCI")</f>
        <v>PCI</v>
      </c>
    </row>
    <row r="2457" ht="16.5" customHeight="1">
      <c r="H2457" s="1" t="str">
        <f>IFERROR(__xludf.DUMMYFUNCTION("""COMPUTED_VALUE"""),"PEDIACARE BIOTECH")</f>
        <v>PEDIACARE BIOTECH</v>
      </c>
    </row>
    <row r="2458" ht="16.5" customHeight="1">
      <c r="H2458" s="1" t="str">
        <f>IFERROR(__xludf.DUMMYFUNCTION("""COMPUTED_VALUE"""),"PEDIGREE")</f>
        <v>PEDIGREE</v>
      </c>
    </row>
    <row r="2459" ht="16.5" customHeight="1">
      <c r="H2459" s="1" t="str">
        <f>IFERROR(__xludf.DUMMYFUNCTION("""COMPUTED_VALUE"""),"PEELIFE PHARMACEUTICAL PVT LTD")</f>
        <v>PEELIFE PHARMACEUTICAL PVT LTD</v>
      </c>
    </row>
    <row r="2460" ht="16.5" customHeight="1">
      <c r="H2460" s="1" t="str">
        <f>IFERROR(__xludf.DUMMYFUNCTION("""COMPUTED_VALUE"""),"PEHAL LIFE SCIENCE P LTD")</f>
        <v>PEHAL LIFE SCIENCE P LTD</v>
      </c>
    </row>
    <row r="2461" ht="16.5" customHeight="1">
      <c r="H2461" s="1" t="str">
        <f>IFERROR(__xludf.DUMMYFUNCTION("""COMPUTED_VALUE"""),"PENTA PHARMA")</f>
        <v>PENTA PHARMA</v>
      </c>
    </row>
    <row r="2462" ht="16.5" customHeight="1">
      <c r="H2462" s="1" t="str">
        <f>IFERROR(__xludf.DUMMYFUNCTION("""COMPUTED_VALUE"""),"PERCEPT PHARMA LTD")</f>
        <v>PERCEPT PHARMA LTD</v>
      </c>
    </row>
    <row r="2463" ht="16.5" customHeight="1">
      <c r="H2463" s="1" t="str">
        <f>IFERROR(__xludf.DUMMYFUNCTION("""COMPUTED_VALUE"""),"Percos India Pvt Ltd")</f>
        <v>Percos India Pvt Ltd</v>
      </c>
    </row>
    <row r="2464" ht="16.5" customHeight="1">
      <c r="H2464" s="1" t="str">
        <f>IFERROR(__xludf.DUMMYFUNCTION("""COMPUTED_VALUE"""),"PERILLA LIFE SCIENCE PVT LTD")</f>
        <v>PERILLA LIFE SCIENCE PVT LTD</v>
      </c>
    </row>
    <row r="2465" ht="16.5" customHeight="1">
      <c r="H2465" s="1" t="str">
        <f>IFERROR(__xludf.DUMMYFUNCTION("""COMPUTED_VALUE"""),"PFIZER (ALTIUS)")</f>
        <v>PFIZER (ALTIUS)</v>
      </c>
    </row>
    <row r="2466" ht="16.5" customHeight="1">
      <c r="H2466" s="1" t="str">
        <f>IFERROR(__xludf.DUMMYFUNCTION("""COMPUTED_VALUE"""),"PFIZER (CNS)")</f>
        <v>PFIZER (CNS)</v>
      </c>
    </row>
    <row r="2467" ht="16.5" customHeight="1">
      <c r="H2467" s="1" t="str">
        <f>IFERROR(__xludf.DUMMYFUNCTION("""COMPUTED_VALUE"""),"PFIZER (CRITICAL)")</f>
        <v>PFIZER (CRITICAL)</v>
      </c>
    </row>
    <row r="2468" ht="16.5" customHeight="1">
      <c r="H2468" s="1" t="str">
        <f>IFERROR(__xludf.DUMMYFUNCTION("""COMPUTED_VALUE"""),"PFIZER (FUTURA)")</f>
        <v>PFIZER (FUTURA)</v>
      </c>
    </row>
    <row r="2469" ht="16.5" customHeight="1">
      <c r="H2469" s="1" t="str">
        <f>IFERROR(__xludf.DUMMYFUNCTION("""COMPUTED_VALUE"""),"PFIZER (INTIMA)")</f>
        <v>PFIZER (INTIMA)</v>
      </c>
    </row>
    <row r="2470" ht="16.5" customHeight="1">
      <c r="H2470" s="1" t="str">
        <f>IFERROR(__xludf.DUMMYFUNCTION("""COMPUTED_VALUE"""),"PFIZER (MAGNUM)")</f>
        <v>PFIZER (MAGNUM)</v>
      </c>
    </row>
    <row r="2471" ht="16.5" customHeight="1">
      <c r="H2471" s="1" t="str">
        <f>IFERROR(__xludf.DUMMYFUNCTION("""COMPUTED_VALUE"""),"PFIZER (OTC)")</f>
        <v>PFIZER (OTC)</v>
      </c>
    </row>
    <row r="2472" ht="16.5" customHeight="1">
      <c r="H2472" s="1" t="str">
        <f>IFERROR(__xludf.DUMMYFUNCTION("""COMPUTED_VALUE"""),"PFIZER (PAIN TEAM)")</f>
        <v>PFIZER (PAIN TEAM)</v>
      </c>
    </row>
    <row r="2473" ht="16.5" customHeight="1">
      <c r="H2473" s="1" t="str">
        <f>IFERROR(__xludf.DUMMYFUNCTION("""COMPUTED_VALUE"""),"PFIZER (RESPIRATORY TEAM)")</f>
        <v>PFIZER (RESPIRATORY TEAM)</v>
      </c>
    </row>
    <row r="2474" ht="16.5" customHeight="1">
      <c r="H2474" s="1" t="str">
        <f>IFERROR(__xludf.DUMMYFUNCTION("""COMPUTED_VALUE"""),"PFIZER (ULTIMA)")</f>
        <v>PFIZER (ULTIMA)</v>
      </c>
    </row>
    <row r="2475" ht="16.5" customHeight="1">
      <c r="H2475" s="1" t="str">
        <f>IFERROR(__xludf.DUMMYFUNCTION("""COMPUTED_VALUE"""),"Pfizer Ltd")</f>
        <v>Pfizer Ltd</v>
      </c>
    </row>
    <row r="2476" ht="16.5" customHeight="1">
      <c r="H2476" s="1" t="str">
        <f>IFERROR(__xludf.DUMMYFUNCTION("""COMPUTED_VALUE"""),"Pfizer Ltd (CRITICAL)")</f>
        <v>Pfizer Ltd (CRITICAL)</v>
      </c>
    </row>
    <row r="2477" ht="16.5" customHeight="1">
      <c r="H2477" s="1" t="str">
        <f>IFERROR(__xludf.DUMMYFUNCTION("""COMPUTED_VALUE"""),"Pfizer Ltd&amp; UPJOHN PVT.LTD.")</f>
        <v>Pfizer Ltd&amp; UPJOHN PVT.LTD.</v>
      </c>
    </row>
    <row r="2478" ht="16.5" customHeight="1">
      <c r="H2478" s="1" t="str">
        <f>IFERROR(__xludf.DUMMYFUNCTION("""COMPUTED_VALUE"""),"PHARMA ASIA DRUG")</f>
        <v>PHARMA ASIA DRUG</v>
      </c>
    </row>
    <row r="2479" ht="16.5" customHeight="1">
      <c r="H2479" s="1" t="str">
        <f>IFERROR(__xludf.DUMMYFUNCTION("""COMPUTED_VALUE"""),"PHARMA CORP INC (GENERIC)")</f>
        <v>PHARMA CORP INC (GENERIC)</v>
      </c>
    </row>
    <row r="2480" ht="16.5" customHeight="1">
      <c r="H2480" s="1" t="str">
        <f>IFERROR(__xludf.DUMMYFUNCTION("""COMPUTED_VALUE"""),"Pharma Fabrikon")</f>
        <v>Pharma Fabrikon</v>
      </c>
    </row>
    <row r="2481" ht="16.5" customHeight="1">
      <c r="H2481" s="1" t="str">
        <f>IFERROR(__xludf.DUMMYFUNCTION("""COMPUTED_VALUE"""),"Pharma Link Pvt Ltd")</f>
        <v>Pharma Link Pvt Ltd</v>
      </c>
    </row>
    <row r="2482" ht="16.5" customHeight="1">
      <c r="H2482" s="1" t="str">
        <f>IFERROR(__xludf.DUMMYFUNCTION("""COMPUTED_VALUE"""),"PHARMA NOVA")</f>
        <v>PHARMA NOVA</v>
      </c>
    </row>
    <row r="2483" ht="16.5" customHeight="1">
      <c r="H2483" s="1" t="str">
        <f>IFERROR(__xludf.DUMMYFUNCTION("""COMPUTED_VALUE"""),"PHARMA PLANET INDIA")</f>
        <v>PHARMA PLANET INDIA</v>
      </c>
    </row>
    <row r="2484" ht="16.5" customHeight="1">
      <c r="H2484" s="1" t="str">
        <f>IFERROR(__xludf.DUMMYFUNCTION("""COMPUTED_VALUE"""),"PHARMA SYNTH FORMULATIONS LTD")</f>
        <v>PHARMA SYNTH FORMULATIONS LTD</v>
      </c>
    </row>
    <row r="2485" ht="16.5" customHeight="1">
      <c r="H2485" s="1" t="str">
        <f>IFERROR(__xludf.DUMMYFUNCTION("""COMPUTED_VALUE"""),"Pharma-Tech India")</f>
        <v>Pharma-Tech India</v>
      </c>
    </row>
    <row r="2486" ht="16.5" customHeight="1">
      <c r="H2486" s="1" t="str">
        <f>IFERROR(__xludf.DUMMYFUNCTION("""COMPUTED_VALUE"""),"PHARMACHEM PVT LTD")</f>
        <v>PHARMACHEM PVT LTD</v>
      </c>
    </row>
    <row r="2487" ht="16.5" customHeight="1">
      <c r="H2487" s="1" t="str">
        <f>IFERROR(__xludf.DUMMYFUNCTION("""COMPUTED_VALUE"""),"PHARMACORPO INDIA")</f>
        <v>PHARMACORPO INDIA</v>
      </c>
    </row>
    <row r="2488" ht="16.5" customHeight="1">
      <c r="H2488" s="1" t="str">
        <f>IFERROR(__xludf.DUMMYFUNCTION("""COMPUTED_VALUE"""),"PHARMAKON LIFESCIENCES")</f>
        <v>PHARMAKON LIFESCIENCES</v>
      </c>
    </row>
    <row r="2489" ht="16.5" customHeight="1">
      <c r="H2489" s="1" t="str">
        <f>IFERROR(__xludf.DUMMYFUNCTION("""COMPUTED_VALUE"""),"PHARMALINK")</f>
        <v>PHARMALINK</v>
      </c>
    </row>
    <row r="2490" ht="16.5" customHeight="1">
      <c r="H2490" s="1" t="str">
        <f>IFERROR(__xludf.DUMMYFUNCTION("""COMPUTED_VALUE"""),"PHARMAMAN MEDITECH PVT LTD")</f>
        <v>PHARMAMAN MEDITECH PVT LTD</v>
      </c>
    </row>
    <row r="2491" ht="16.5" customHeight="1">
      <c r="H2491" s="1" t="str">
        <f>IFERROR(__xludf.DUMMYFUNCTION("""COMPUTED_VALUE"""),"PHARMANOVA (OSTEOID)")</f>
        <v>PHARMANOVA (OSTEOID)</v>
      </c>
    </row>
    <row r="2492" ht="16.5" customHeight="1">
      <c r="H2492" s="1" t="str">
        <f>IFERROR(__xludf.DUMMYFUNCTION("""COMPUTED_VALUE"""),"Pharmanova India")</f>
        <v>Pharmanova India</v>
      </c>
    </row>
    <row r="2493" ht="16.5" customHeight="1">
      <c r="H2493" s="1" t="str">
        <f>IFERROR(__xludf.DUMMYFUNCTION("""COMPUTED_VALUE"""),"PHARMANOVA INDIA DRUGS PVT LTD")</f>
        <v>PHARMANOVA INDIA DRUGS PVT LTD</v>
      </c>
    </row>
    <row r="2494" ht="16.5" customHeight="1">
      <c r="H2494" s="1" t="str">
        <f>IFERROR(__xludf.DUMMYFUNCTION("""COMPUTED_VALUE"""),"PHARMANOVA SPECIALITIES")</f>
        <v>PHARMANOVA SPECIALITIES</v>
      </c>
    </row>
    <row r="2495" ht="16.5" customHeight="1">
      <c r="H2495" s="1" t="str">
        <f>IFERROR(__xludf.DUMMYFUNCTION("""COMPUTED_VALUE"""),"PHARMASIA")</f>
        <v>PHARMASIA</v>
      </c>
    </row>
    <row r="2496" ht="16.5" customHeight="1">
      <c r="H2496" s="1" t="str">
        <f>IFERROR(__xludf.DUMMYFUNCTION("""COMPUTED_VALUE"""),"PHARMASUN")</f>
        <v>PHARMASUN</v>
      </c>
    </row>
    <row r="2497" ht="16.5" customHeight="1">
      <c r="H2497" s="1" t="str">
        <f>IFERROR(__xludf.DUMMYFUNCTION("""COMPUTED_VALUE"""),"Pharmatak Opthalmics Pvt Ltd")</f>
        <v>Pharmatak Opthalmics Pvt Ltd</v>
      </c>
    </row>
    <row r="2498" ht="16.5" customHeight="1">
      <c r="H2498" s="1" t="str">
        <f>IFERROR(__xludf.DUMMYFUNCTION("""COMPUTED_VALUE"""),"Pharmatak Opthalmics Pvt Ltd OPTHALMICS")</f>
        <v>Pharmatak Opthalmics Pvt Ltd OPTHALMICS</v>
      </c>
    </row>
    <row r="2499" ht="16.5" customHeight="1">
      <c r="H2499" s="1" t="str">
        <f>IFERROR(__xludf.DUMMYFUNCTION("""COMPUTED_VALUE"""),"PHARMAX INDIA PVT LTD")</f>
        <v>PHARMAX INDIA PVT LTD</v>
      </c>
    </row>
    <row r="2500" ht="16.5" customHeight="1">
      <c r="H2500" s="1" t="str">
        <f>IFERROR(__xludf.DUMMYFUNCTION("""COMPUTED_VALUE"""),"Pharmed Ltd")</f>
        <v>Pharmed Ltd</v>
      </c>
    </row>
    <row r="2501" ht="16.5" customHeight="1">
      <c r="H2501" s="1" t="str">
        <f>IFERROR(__xludf.DUMMYFUNCTION("""COMPUTED_VALUE"""),"PHARMTAK")</f>
        <v>PHARMTAK</v>
      </c>
    </row>
    <row r="2502" ht="16.5" customHeight="1">
      <c r="H2502" s="1" t="str">
        <f>IFERROR(__xludf.DUMMYFUNCTION("""COMPUTED_VALUE"""),"PICWELL PHARMACEUTICALS P LTD")</f>
        <v>PICWELL PHARMACEUTICALS P LTD</v>
      </c>
    </row>
    <row r="2503" ht="16.5" customHeight="1">
      <c r="H2503" s="1" t="str">
        <f>IFERROR(__xludf.DUMMYFUNCTION("""COMPUTED_VALUE"""),"PIFER PHARMACEUTICALS")</f>
        <v>PIFER PHARMACEUTICALS</v>
      </c>
    </row>
    <row r="2504" ht="16.5" customHeight="1">
      <c r="H2504" s="1" t="str">
        <f>IFERROR(__xludf.DUMMYFUNCTION("""COMPUTED_VALUE"""),"PILCO PHARMA PVT LTD")</f>
        <v>PILCO PHARMA PVT LTD</v>
      </c>
    </row>
    <row r="2505" ht="16.5" customHeight="1">
      <c r="H2505" s="1" t="str">
        <f>IFERROR(__xludf.DUMMYFUNCTION("""COMPUTED_VALUE"""),"PINEHEARTS HEALTHCARE")</f>
        <v>PINEHEARTS HEALTHCARE</v>
      </c>
    </row>
    <row r="2506" ht="16.5" customHeight="1">
      <c r="H2506" s="1" t="str">
        <f>IFERROR(__xludf.DUMMYFUNCTION("""COMPUTED_VALUE"""),"PINK HEALTH (BRD GROUP)")</f>
        <v>PINK HEALTH (BRD GROUP)</v>
      </c>
    </row>
    <row r="2507" ht="16.5" customHeight="1">
      <c r="H2507" s="1" t="str">
        <f>IFERROR(__xludf.DUMMYFUNCTION("""COMPUTED_VALUE"""),"PINK Health (Deleted)")</f>
        <v>PINK Health (Deleted)</v>
      </c>
    </row>
    <row r="2508" ht="16.5" customHeight="1">
      <c r="H2508" s="1" t="str">
        <f>IFERROR(__xludf.DUMMYFUNCTION("""COMPUTED_VALUE"""),"PIOMA CHEMICALS")</f>
        <v>PIOMA CHEMICALS</v>
      </c>
    </row>
    <row r="2509" ht="16.5" customHeight="1">
      <c r="H2509" s="1" t="str">
        <f>IFERROR(__xludf.DUMMYFUNCTION("""COMPUTED_VALUE"""),"PIRAMAL (ACUTE CARE)")</f>
        <v>PIRAMAL (ACUTE CARE)</v>
      </c>
    </row>
    <row r="2510" ht="16.5" customHeight="1">
      <c r="H2510" s="1" t="str">
        <f>IFERROR(__xludf.DUMMYFUNCTION("""COMPUTED_VALUE"""),"PIRAMAL (CARDIAC)")</f>
        <v>PIRAMAL (CARDIAC)</v>
      </c>
    </row>
    <row r="2511" ht="16.5" customHeight="1">
      <c r="H2511" s="1" t="str">
        <f>IFERROR(__xludf.DUMMYFUNCTION("""COMPUTED_VALUE"""),"PIRAMAL (CARDIO DIABETES)")</f>
        <v>PIRAMAL (CARDIO DIABETES)</v>
      </c>
    </row>
    <row r="2512" ht="16.5" customHeight="1">
      <c r="H2512" s="1" t="str">
        <f>IFERROR(__xludf.DUMMYFUNCTION("""COMPUTED_VALUE"""),"PIRAMAL (CNS TASK)")</f>
        <v>PIRAMAL (CNS TASK)</v>
      </c>
    </row>
    <row r="2513" ht="16.5" customHeight="1">
      <c r="H2513" s="1" t="str">
        <f>IFERROR(__xludf.DUMMYFUNCTION("""COMPUTED_VALUE"""),"PIRAMAL (CONSUMER)")</f>
        <v>PIRAMAL (CONSUMER)</v>
      </c>
    </row>
    <row r="2514" ht="16.5" customHeight="1">
      <c r="H2514" s="1" t="str">
        <f>IFERROR(__xludf.DUMMYFUNCTION("""COMPUTED_VALUE"""),"PIRAMAL (CRITICAL CARDIOLOGY)")</f>
        <v>PIRAMAL (CRITICAL CARDIOLOGY)</v>
      </c>
    </row>
    <row r="2515" ht="16.5" customHeight="1">
      <c r="H2515" s="1" t="str">
        <f>IFERROR(__xludf.DUMMYFUNCTION("""COMPUTED_VALUE"""),"PIRAMAL (CTF)")</f>
        <v>PIRAMAL (CTF)</v>
      </c>
    </row>
    <row r="2516" ht="16.5" customHeight="1">
      <c r="H2516" s="1" t="str">
        <f>IFERROR(__xludf.DUMMYFUNCTION("""COMPUTED_VALUE"""),"PIRAMAL (DERMA COSMETICS)")</f>
        <v>PIRAMAL (DERMA COSMETICS)</v>
      </c>
    </row>
    <row r="2517" ht="16.5" customHeight="1">
      <c r="H2517" s="1" t="str">
        <f>IFERROR(__xludf.DUMMYFUNCTION("""COMPUTED_VALUE"""),"PIRAMAL (DERMA)")</f>
        <v>PIRAMAL (DERMA)</v>
      </c>
    </row>
    <row r="2518" ht="16.5" customHeight="1">
      <c r="H2518" s="1" t="str">
        <f>IFERROR(__xludf.DUMMYFUNCTION("""COMPUTED_VALUE"""),"PIRAMAL (DIABETES)")</f>
        <v>PIRAMAL (DIABETES)</v>
      </c>
    </row>
    <row r="2519" ht="16.5" customHeight="1">
      <c r="H2519" s="1" t="str">
        <f>IFERROR(__xludf.DUMMYFUNCTION("""COMPUTED_VALUE"""),"PIRAMAL (DIABITIES TASK FORCE)")</f>
        <v>PIRAMAL (DIABITIES TASK FORCE)</v>
      </c>
    </row>
    <row r="2520" ht="16.5" customHeight="1">
      <c r="H2520" s="1" t="str">
        <f>IFERROR(__xludf.DUMMYFUNCTION("""COMPUTED_VALUE"""),"PIRAMAL (ENDURA)")</f>
        <v>PIRAMAL (ENDURA)</v>
      </c>
    </row>
    <row r="2521" ht="16.5" customHeight="1">
      <c r="H2521" s="1" t="str">
        <f>IFERROR(__xludf.DUMMYFUNCTION("""COMPUTED_VALUE"""),"PIRAMAL (ENTERPRISES)")</f>
        <v>PIRAMAL (ENTERPRISES)</v>
      </c>
    </row>
    <row r="2522" ht="16.5" customHeight="1">
      <c r="H2522" s="1" t="str">
        <f>IFERROR(__xludf.DUMMYFUNCTION("""COMPUTED_VALUE"""),"PIRAMAL (GENERAL MEDICINE)")</f>
        <v>PIRAMAL (GENERAL MEDICINE)</v>
      </c>
    </row>
    <row r="2523" ht="16.5" customHeight="1">
      <c r="H2523" s="1" t="str">
        <f>IFERROR(__xludf.DUMMYFUNCTION("""COMPUTED_VALUE"""),"PIRAMAL (GENNEXT)")</f>
        <v>PIRAMAL (GENNEXT)</v>
      </c>
    </row>
    <row r="2524" ht="16.5" customHeight="1">
      <c r="H2524" s="1" t="str">
        <f>IFERROR(__xludf.DUMMYFUNCTION("""COMPUTED_VALUE"""),"PIRAMAL (MULTI SPECIALITY)")</f>
        <v>PIRAMAL (MULTI SPECIALITY)</v>
      </c>
    </row>
    <row r="2525" ht="16.5" customHeight="1">
      <c r="H2525" s="1" t="str">
        <f>IFERROR(__xludf.DUMMYFUNCTION("""COMPUTED_VALUE"""),"PIRAMAL (MULTY THERAPY)")</f>
        <v>PIRAMAL (MULTY THERAPY)</v>
      </c>
    </row>
    <row r="2526" ht="16.5" customHeight="1">
      <c r="H2526" s="1" t="str">
        <f>IFERROR(__xludf.DUMMYFUNCTION("""COMPUTED_VALUE"""),"PIRAMAL (NEURO PSYCHIATRY)")</f>
        <v>PIRAMAL (NEURO PSYCHIATRY)</v>
      </c>
    </row>
    <row r="2527" ht="16.5" customHeight="1">
      <c r="H2527" s="1" t="str">
        <f>IFERROR(__xludf.DUMMYFUNCTION("""COMPUTED_VALUE"""),"PIRAMAL (NPD)")</f>
        <v>PIRAMAL (NPD)</v>
      </c>
    </row>
    <row r="2528" ht="16.5" customHeight="1">
      <c r="H2528" s="1" t="str">
        <f>IFERROR(__xludf.DUMMYFUNCTION("""COMPUTED_VALUE"""),"PIRAMAL (ORTHO TASK FORCE)")</f>
        <v>PIRAMAL (ORTHO TASK FORCE)</v>
      </c>
    </row>
    <row r="2529" ht="16.5" customHeight="1">
      <c r="H2529" s="1" t="str">
        <f>IFERROR(__xludf.DUMMYFUNCTION("""COMPUTED_VALUE"""),"PIRAMAL (ORTHO)")</f>
        <v>PIRAMAL (ORTHO)</v>
      </c>
    </row>
    <row r="2530" ht="16.5" customHeight="1">
      <c r="H2530" s="1" t="str">
        <f>IFERROR(__xludf.DUMMYFUNCTION("""COMPUTED_VALUE"""),"PIRAMAL (PAIN MANAGEMENT)")</f>
        <v>PIRAMAL (PAIN MANAGEMENT)</v>
      </c>
    </row>
    <row r="2531" ht="16.5" customHeight="1">
      <c r="H2531" s="1" t="str">
        <f>IFERROR(__xludf.DUMMYFUNCTION("""COMPUTED_VALUE"""),"PIRAMAL (PLATINA)")</f>
        <v>PIRAMAL (PLATINA)</v>
      </c>
    </row>
    <row r="2532" ht="16.5" customHeight="1">
      <c r="H2532" s="1" t="str">
        <f>IFERROR(__xludf.DUMMYFUNCTION("""COMPUTED_VALUE"""),"PIRAMAL (RESPICARE)")</f>
        <v>PIRAMAL (RESPICARE)</v>
      </c>
    </row>
    <row r="2533" ht="16.5" customHeight="1">
      <c r="H2533" s="1" t="str">
        <f>IFERROR(__xludf.DUMMYFUNCTION("""COMPUTED_VALUE"""),"PIRAMAL (RESTORA)")</f>
        <v>PIRAMAL (RESTORA)</v>
      </c>
    </row>
    <row r="2534" ht="16.5" customHeight="1">
      <c r="H2534" s="1" t="str">
        <f>IFERROR(__xludf.DUMMYFUNCTION("""COMPUTED_VALUE"""),"PIRAMAL (S C GLEDEPA)")</f>
        <v>PIRAMAL (S C GLEDEPA)</v>
      </c>
    </row>
    <row r="2535" ht="16.5" customHeight="1">
      <c r="H2535" s="1" t="str">
        <f>IFERROR(__xludf.DUMMYFUNCTION("""COMPUTED_VALUE"""),"PIRAMAL (S C METALIFE)")</f>
        <v>PIRAMAL (S C METALIFE)</v>
      </c>
    </row>
    <row r="2536" ht="16.5" customHeight="1">
      <c r="H2536" s="1" t="str">
        <f>IFERROR(__xludf.DUMMYFUNCTION("""COMPUTED_VALUE"""),"PIRAMAL (SOLVAY)")</f>
        <v>PIRAMAL (SOLVAY)</v>
      </c>
    </row>
    <row r="2537" ht="16.5" customHeight="1">
      <c r="H2537" s="1" t="str">
        <f>IFERROR(__xludf.DUMMYFUNCTION("""COMPUTED_VALUE"""),"PIRAMAL (TM PENTIDS)")</f>
        <v>PIRAMAL (TM PENTIDS)</v>
      </c>
    </row>
    <row r="2538" ht="16.5" customHeight="1">
      <c r="H2538" s="1" t="str">
        <f>IFERROR(__xludf.DUMMYFUNCTION("""COMPUTED_VALUE"""),"Piramal Healthcare Limited")</f>
        <v>Piramal Healthcare Limited</v>
      </c>
    </row>
    <row r="2539" ht="16.5" customHeight="1">
      <c r="H2539" s="1" t="str">
        <f>IFERROR(__xludf.DUMMYFUNCTION("""COMPUTED_VALUE"""),"PIRAMAL SPCLTS")</f>
        <v>PIRAMAL SPCLTS</v>
      </c>
    </row>
    <row r="2540" ht="16.5" customHeight="1">
      <c r="H2540" s="1" t="str">
        <f>IFERROR(__xludf.DUMMYFUNCTION("""COMPUTED_VALUE"""),"PITAMBARI PRODUCTS")</f>
        <v>PITAMBARI PRODUCTS</v>
      </c>
    </row>
    <row r="2541" ht="16.5" customHeight="1">
      <c r="H2541" s="1" t="str">
        <f>IFERROR(__xludf.DUMMYFUNCTION("""COMPUTED_VALUE"""),"Planet Ayurveda")</f>
        <v>Planet Ayurveda</v>
      </c>
    </row>
    <row r="2542" ht="16.5" customHeight="1">
      <c r="H2542" s="1" t="str">
        <f>IFERROR(__xludf.DUMMYFUNCTION("""COMPUTED_VALUE"""),"PLANET HERBS LIFESCIENCES")</f>
        <v>PLANET HERBS LIFESCIENCES</v>
      </c>
    </row>
    <row r="2543" ht="16.5" customHeight="1">
      <c r="H2543" s="1" t="str">
        <f>IFERROR(__xludf.DUMMYFUNCTION("""COMPUTED_VALUE"""),"PLASMA HEALTH CARE")</f>
        <v>PLASMA HEALTH CARE</v>
      </c>
    </row>
    <row r="2544" ht="16.5" customHeight="1">
      <c r="H2544" s="1" t="str">
        <f>IFERROR(__xludf.DUMMYFUNCTION("""COMPUTED_VALUE"""),"PLASMAGEN BIOSCIENCES PVT LTD")</f>
        <v>PLASMAGEN BIOSCIENCES PVT LTD</v>
      </c>
    </row>
    <row r="2545" ht="16.5" customHeight="1">
      <c r="H2545" s="1" t="str">
        <f>IFERROR(__xludf.DUMMYFUNCTION("""COMPUTED_VALUE"""),"PLASMID HEALTH CARE")</f>
        <v>PLASMID HEALTH CARE</v>
      </c>
    </row>
    <row r="2546" ht="16.5" customHeight="1">
      <c r="H2546" s="1" t="str">
        <f>IFERROR(__xludf.DUMMYFUNCTION("""COMPUTED_VALUE"""),"PLASMOGEN BIOSCIENCES")</f>
        <v>PLASMOGEN BIOSCIENCES</v>
      </c>
    </row>
    <row r="2547" ht="16.5" customHeight="1">
      <c r="H2547" s="1" t="str">
        <f>IFERROR(__xludf.DUMMYFUNCTION("""COMPUTED_VALUE"""),"PLEASANT PHARMACEUTICAL PVT LTD")</f>
        <v>PLEASANT PHARMACEUTICAL PVT LTD</v>
      </c>
    </row>
    <row r="2548" ht="16.5" customHeight="1">
      <c r="H2548" s="1" t="str">
        <f>IFERROR(__xludf.DUMMYFUNCTION("""COMPUTED_VALUE"""),"PLENTEOUS PHARMACEUTICALS LTD")</f>
        <v>PLENTEOUS PHARMACEUTICALS LTD</v>
      </c>
    </row>
    <row r="2549" ht="16.5" customHeight="1">
      <c r="H2549" s="1" t="str">
        <f>IFERROR(__xludf.DUMMYFUNCTION("""COMPUTED_VALUE"""),"PLETHICO (VOLANT)")</f>
        <v>PLETHICO (VOLANT)</v>
      </c>
    </row>
    <row r="2550" ht="16.5" customHeight="1">
      <c r="H2550" s="1" t="str">
        <f>IFERROR(__xludf.DUMMYFUNCTION("""COMPUTED_VALUE"""),"POCKET HEALTHCARE PVT LTD")</f>
        <v>POCKET HEALTHCARE PVT LTD</v>
      </c>
    </row>
    <row r="2551" ht="16.5" customHeight="1">
      <c r="H2551" s="1" t="str">
        <f>IFERROR(__xludf.DUMMYFUNCTION("""COMPUTED_VALUE"""),"POCKET PHARMACY")</f>
        <v>POCKET PHARMACY</v>
      </c>
    </row>
    <row r="2552" ht="16.5" customHeight="1">
      <c r="H2552" s="1" t="str">
        <f>IFERROR(__xludf.DUMMYFUNCTION("""COMPUTED_VALUE"""),"POLARSTAR LTD.")</f>
        <v>POLARSTAR LTD.</v>
      </c>
    </row>
    <row r="2553" ht="16.5" customHeight="1">
      <c r="H2553" s="1" t="str">
        <f>IFERROR(__xludf.DUMMYFUNCTION("""COMPUTED_VALUE"""),"POLY MEDICURE PVT LTD")</f>
        <v>POLY MEDICURE PVT LTD</v>
      </c>
    </row>
    <row r="2554" ht="16.5" customHeight="1">
      <c r="H2554" s="1" t="str">
        <f>IFERROR(__xludf.DUMMYFUNCTION("""COMPUTED_VALUE"""),"POLYBOND INDIA PVT LTD")</f>
        <v>POLYBOND INDIA PVT LTD</v>
      </c>
    </row>
    <row r="2555" ht="16.5" customHeight="1">
      <c r="H2555" s="1" t="str">
        <f>IFERROR(__xludf.DUMMYFUNCTION("""COMPUTED_VALUE"""),"PONOOGUN HEALTHCARE PVT LTD")</f>
        <v>PONOOGUN HEALTHCARE PVT LTD</v>
      </c>
    </row>
    <row r="2556" ht="16.5" customHeight="1">
      <c r="H2556" s="1" t="str">
        <f>IFERROR(__xludf.DUMMYFUNCTION("""COMPUTED_VALUE"""),"POPULATION HEALTH SERVICE INDIA")</f>
        <v>POPULATION HEALTH SERVICE INDIA</v>
      </c>
    </row>
    <row r="2557" ht="16.5" customHeight="1">
      <c r="H2557" s="1" t="str">
        <f>IFERROR(__xludf.DUMMYFUNCTION("""COMPUTED_VALUE"""),"POSITIF PHARMA")</f>
        <v>POSITIF PHARMA</v>
      </c>
    </row>
    <row r="2558" ht="16.5" customHeight="1">
      <c r="H2558" s="1" t="str">
        <f>IFERROR(__xludf.DUMMYFUNCTION("""COMPUTED_VALUE"""),"PPL HEALTH CARE")</f>
        <v>PPL HEALTH CARE</v>
      </c>
    </row>
    <row r="2559" ht="16.5" customHeight="1">
      <c r="H2559" s="1" t="str">
        <f>IFERROR(__xludf.DUMMYFUNCTION("""COMPUTED_VALUE"""),"PRAANACHARYA")</f>
        <v>PRAANACHARYA</v>
      </c>
    </row>
    <row r="2560" ht="16.5" customHeight="1">
      <c r="H2560" s="1" t="str">
        <f>IFERROR(__xludf.DUMMYFUNCTION("""COMPUTED_VALUE"""),"PRAD PHARMA PRODUCT UJJAIN")</f>
        <v>PRAD PHARMA PRODUCT UJJAIN</v>
      </c>
    </row>
    <row r="2561" ht="16.5" customHeight="1">
      <c r="H2561" s="1" t="str">
        <f>IFERROR(__xludf.DUMMYFUNCTION("""COMPUTED_VALUE"""),"PRAISE PHARMA")</f>
        <v>PRAISE PHARMA</v>
      </c>
    </row>
    <row r="2562" ht="16.5" customHeight="1">
      <c r="H2562" s="1" t="str">
        <f>IFERROR(__xludf.DUMMYFUNCTION("""COMPUTED_VALUE"""),"PRANO FLEX (INDIA) PVT LTD")</f>
        <v>PRANO FLEX (INDIA) PVT LTD</v>
      </c>
    </row>
    <row r="2563" ht="16.5" customHeight="1">
      <c r="H2563" s="1" t="str">
        <f>IFERROR(__xludf.DUMMYFUNCTION("""COMPUTED_VALUE"""),"PRATHANA PHARMA")</f>
        <v>PRATHANA PHARMA</v>
      </c>
    </row>
    <row r="2564" ht="16.5" customHeight="1">
      <c r="H2564" s="1" t="str">
        <f>IFERROR(__xludf.DUMMYFUNCTION("""COMPUTED_VALUE"""),"PRAVEK KALP HERBAL")</f>
        <v>PRAVEK KALP HERBAL</v>
      </c>
    </row>
    <row r="2565" ht="16.5" customHeight="1">
      <c r="H2565" s="1" t="str">
        <f>IFERROR(__xludf.DUMMYFUNCTION("""COMPUTED_VALUE"""),"PRAYAS PHARMACEUTICALS")</f>
        <v>PRAYAS PHARMACEUTICALS</v>
      </c>
    </row>
    <row r="2566" ht="16.5" customHeight="1">
      <c r="H2566" s="1" t="str">
        <f>IFERROR(__xludf.DUMMYFUNCTION("""COMPUTED_VALUE"""),"Precia Pharma")</f>
        <v>Precia Pharma</v>
      </c>
    </row>
    <row r="2567" ht="16.5" customHeight="1">
      <c r="H2567" s="1" t="str">
        <f>IFERROR(__xludf.DUMMYFUNCTION("""COMPUTED_VALUE"""),"PRECIOUS LIFE SCIENCE")</f>
        <v>PRECIOUS LIFE SCIENCE</v>
      </c>
    </row>
    <row r="2568" ht="16.5" customHeight="1">
      <c r="H2568" s="1" t="str">
        <f>IFERROR(__xludf.DUMMYFUNCTION("""COMPUTED_VALUE"""),"PRECIOUS PHARMA")</f>
        <v>PRECIOUS PHARMA</v>
      </c>
    </row>
    <row r="2569" ht="16.5" customHeight="1">
      <c r="H2569" s="1" t="str">
        <f>IFERROR(__xludf.DUMMYFUNCTION("""COMPUTED_VALUE"""),"PRECISE HEALTHCARE PVT LTD")</f>
        <v>PRECISE HEALTHCARE PVT LTD</v>
      </c>
    </row>
    <row r="2570" ht="16.5" customHeight="1">
      <c r="H2570" s="1" t="str">
        <f>IFERROR(__xludf.DUMMYFUNCTION("""COMPUTED_VALUE"""),"PRECTOR LIFESCIENCES")</f>
        <v>PRECTOR LIFESCIENCES</v>
      </c>
    </row>
    <row r="2571" ht="16.5" customHeight="1">
      <c r="H2571" s="1" t="str">
        <f>IFERROR(__xludf.DUMMYFUNCTION("""COMPUTED_VALUE"""),"PREKEM PHARMACEUTICALS")</f>
        <v>PREKEM PHARMACEUTICALS</v>
      </c>
    </row>
    <row r="2572" ht="16.5" customHeight="1">
      <c r="H2572" s="1" t="str">
        <f>IFERROR(__xludf.DUMMYFUNCTION("""COMPUTED_VALUE"""),"Prem Pharmaceuticals Ltd")</f>
        <v>Prem Pharmaceuticals Ltd</v>
      </c>
    </row>
    <row r="2573" ht="16.5" customHeight="1">
      <c r="H2573" s="1" t="str">
        <f>IFERROR(__xludf.DUMMYFUNCTION("""COMPUTED_VALUE"""),"Premier Nutraceuticals Pvt Ltd")</f>
        <v>Premier Nutraceuticals Pvt Ltd</v>
      </c>
    </row>
    <row r="2574" ht="16.5" customHeight="1">
      <c r="H2574" s="1" t="str">
        <f>IFERROR(__xludf.DUMMYFUNCTION("""COMPUTED_VALUE"""),"PREMIUM SERUMS AND VACCINES PVT LTD")</f>
        <v>PREMIUM SERUMS AND VACCINES PVT LTD</v>
      </c>
    </row>
    <row r="2575" ht="16.5" customHeight="1">
      <c r="H2575" s="1" t="str">
        <f>IFERROR(__xludf.DUMMYFUNCTION("""COMPUTED_VALUE"""),"PRESCRIPTION MEDICINES PVT LTD")</f>
        <v>PRESCRIPTION MEDICINES PVT LTD</v>
      </c>
    </row>
    <row r="2576" ht="16.5" customHeight="1">
      <c r="H2576" s="1" t="str">
        <f>IFERROR(__xludf.DUMMYFUNCTION("""COMPUTED_VALUE"""),"PRESINUS PHARMACEUTICAL")</f>
        <v>PRESINUS PHARMACEUTICAL</v>
      </c>
    </row>
    <row r="2577" ht="16.5" customHeight="1">
      <c r="H2577" s="1" t="str">
        <f>IFERROR(__xludf.DUMMYFUNCTION("""COMPUTED_VALUE"""),"PRETIUM PHARMACEUTICALS")</f>
        <v>PRETIUM PHARMACEUTICALS</v>
      </c>
    </row>
    <row r="2578" ht="16.5" customHeight="1">
      <c r="H2578" s="1" t="str">
        <f>IFERROR(__xludf.DUMMYFUNCTION("""COMPUTED_VALUE"""),"PRICON SYRINGES AND NEEDLES")</f>
        <v>PRICON SYRINGES AND NEEDLES</v>
      </c>
    </row>
    <row r="2579" ht="16.5" customHeight="1">
      <c r="H2579" s="1" t="str">
        <f>IFERROR(__xludf.DUMMYFUNCTION("""COMPUTED_VALUE"""),"PRIDE HEALTHCARE LLP")</f>
        <v>PRIDE HEALTHCARE LLP</v>
      </c>
    </row>
    <row r="2580" ht="16.5" customHeight="1">
      <c r="H2580" s="1" t="str">
        <f>IFERROR(__xludf.DUMMYFUNCTION("""COMPUTED_VALUE"""),"PRIME LIFE SCIENCES")</f>
        <v>PRIME LIFE SCIENCES</v>
      </c>
    </row>
    <row r="2581" ht="16.5" customHeight="1">
      <c r="H2581" s="1" t="str">
        <f>IFERROR(__xludf.DUMMYFUNCTION("""COMPUTED_VALUE"""),"PRIMUS PHARMACEUTICALS")</f>
        <v>PRIMUS PHARMACEUTICALS</v>
      </c>
    </row>
    <row r="2582" ht="16.5" customHeight="1">
      <c r="H2582" s="1" t="str">
        <f>IFERROR(__xludf.DUMMYFUNCTION("""COMPUTED_VALUE"""),"PRINCE CARE PHARMA PVT LTD")</f>
        <v>PRINCE CARE PHARMA PVT LTD</v>
      </c>
    </row>
    <row r="2583" ht="16.5" customHeight="1">
      <c r="H2583" s="1" t="str">
        <f>IFERROR(__xludf.DUMMYFUNCTION("""COMPUTED_VALUE"""),"PRISM (DERMA)")</f>
        <v>PRISM (DERMA)</v>
      </c>
    </row>
    <row r="2584" ht="16.5" customHeight="1">
      <c r="H2584" s="1" t="str">
        <f>IFERROR(__xludf.DUMMYFUNCTION("""COMPUTED_VALUE"""),"PRISM LIFE SCIENCES")</f>
        <v>PRISM LIFE SCIENCES</v>
      </c>
    </row>
    <row r="2585" ht="16.5" customHeight="1">
      <c r="H2585" s="1" t="str">
        <f>IFERROR(__xludf.DUMMYFUNCTION("""COMPUTED_VALUE"""),"PRO LABORATORIES PVT LTD")</f>
        <v>PRO LABORATORIES PVT LTD</v>
      </c>
    </row>
    <row r="2586" ht="16.5" customHeight="1">
      <c r="H2586" s="1" t="str">
        <f>IFERROR(__xludf.DUMMYFUNCTION("""COMPUTED_VALUE"""),"PROCTER &amp; GAMBLE")</f>
        <v>PROCTER &amp; GAMBLE</v>
      </c>
    </row>
    <row r="2587" ht="16.5" customHeight="1">
      <c r="H2587" s="1" t="str">
        <f>IFERROR(__xludf.DUMMYFUNCTION("""COMPUTED_VALUE"""),"PROCTOR ORGANICS PVT LTD")</f>
        <v>PROCTOR ORGANICS PVT LTD</v>
      </c>
    </row>
    <row r="2588" ht="16.5" customHeight="1">
      <c r="H2588" s="1" t="str">
        <f>IFERROR(__xludf.DUMMYFUNCTION("""COMPUTED_VALUE"""),"Product Name")</f>
        <v>Product Name</v>
      </c>
    </row>
    <row r="2589" ht="16.5" customHeight="1">
      <c r="H2589" s="1" t="str">
        <f>IFERROR(__xludf.DUMMYFUNCTION("""COMPUTED_VALUE"""),"PROFAM HEALTHCARE")</f>
        <v>PROFAM HEALTHCARE</v>
      </c>
    </row>
    <row r="2590" ht="16.5" customHeight="1">
      <c r="H2590" s="1" t="str">
        <f>IFERROR(__xludf.DUMMYFUNCTION("""COMPUTED_VALUE"""),"PROFIC ORGANIC LIMITED")</f>
        <v>PROFIC ORGANIC LIMITED</v>
      </c>
    </row>
    <row r="2591" ht="16.5" customHeight="1">
      <c r="H2591" s="1" t="str">
        <f>IFERROR(__xludf.DUMMYFUNCTION("""COMPUTED_VALUE"""),"PROGRESSIVE LIFE CARE")</f>
        <v>PROGRESSIVE LIFE CARE</v>
      </c>
    </row>
    <row r="2592" ht="16.5" customHeight="1">
      <c r="H2592" s="1" t="str">
        <f>IFERROR(__xludf.DUMMYFUNCTION("""COMPUTED_VALUE"""),"PROHEALTH VITAMIN")</f>
        <v>PROHEALTH VITAMIN</v>
      </c>
    </row>
    <row r="2593" ht="16.5" customHeight="1">
      <c r="H2593" s="1" t="str">
        <f>IFERROR(__xludf.DUMMYFUNCTION("""COMPUTED_VALUE"""),"PROLIDAC HEALTHCARE")</f>
        <v>PROLIDAC HEALTHCARE</v>
      </c>
    </row>
    <row r="2594" ht="16.5" customHeight="1">
      <c r="H2594" s="1" t="str">
        <f>IFERROR(__xludf.DUMMYFUNCTION("""COMPUTED_VALUE"""),"PRONTOCURE PHARMA P LTD")</f>
        <v>PRONTOCURE PHARMA P LTD</v>
      </c>
    </row>
    <row r="2595" ht="16.5" customHeight="1">
      <c r="H2595" s="1" t="str">
        <f>IFERROR(__xludf.DUMMYFUNCTION("""COMPUTED_VALUE"""),"PROSAIC PHARMACEUTICALS (MEDICINE)")</f>
        <v>PROSAIC PHARMACEUTICALS (MEDICINE)</v>
      </c>
    </row>
    <row r="2596" ht="16.5" customHeight="1">
      <c r="H2596" s="1" t="str">
        <f>IFERROR(__xludf.DUMMYFUNCTION("""COMPUTED_VALUE"""),"PROSPER")</f>
        <v>PROSPER</v>
      </c>
    </row>
    <row r="2597" ht="16.5" customHeight="1">
      <c r="H2597" s="1" t="str">
        <f>IFERROR(__xludf.DUMMYFUNCTION("""COMPUTED_VALUE"""),"PROVIS")</f>
        <v>PROVIS</v>
      </c>
    </row>
    <row r="2598" ht="16.5" customHeight="1">
      <c r="H2598" s="1" t="str">
        <f>IFERROR(__xludf.DUMMYFUNCTION("""COMPUTED_VALUE"""),"PSI INDIA PVT LTD")</f>
        <v>PSI INDIA PVT LTD</v>
      </c>
    </row>
    <row r="2599" ht="16.5" customHeight="1">
      <c r="H2599" s="1" t="str">
        <f>IFERROR(__xludf.DUMMYFUNCTION("""COMPUTED_VALUE"""),"PSYCHOCARE")</f>
        <v>PSYCHOCARE</v>
      </c>
    </row>
    <row r="2600" ht="16.5" customHeight="1">
      <c r="H2600" s="1" t="str">
        <f>IFERROR(__xludf.DUMMYFUNCTION("""COMPUTED_VALUE"""),"PSYCHOTROPICS INDIA LIMITED (GENERIC)")</f>
        <v>PSYCHOTROPICS INDIA LIMITED (GENERIC)</v>
      </c>
    </row>
    <row r="2601" ht="16.5" customHeight="1">
      <c r="H2601" s="1" t="str">
        <f>IFERROR(__xludf.DUMMYFUNCTION("""COMPUTED_VALUE"""),"PSYCHOTROPICS INDIA LTD")</f>
        <v>PSYCHOTROPICS INDIA LTD</v>
      </c>
    </row>
    <row r="2602" ht="16.5" customHeight="1">
      <c r="H2602" s="1" t="str">
        <f>IFERROR(__xludf.DUMMYFUNCTION("""COMPUTED_VALUE"""),"PSYCHOTROPICS INDIA LTD (FORMULATION)")</f>
        <v>PSYCHOTROPICS INDIA LTD (FORMULATION)</v>
      </c>
    </row>
    <row r="2603" ht="16.5" customHeight="1">
      <c r="H2603" s="1" t="str">
        <f>IFERROR(__xludf.DUMMYFUNCTION("""COMPUTED_VALUE"""),"PSYCHOTROPICS INDIA LTD (RADICAL)")</f>
        <v>PSYCHOTROPICS INDIA LTD (RADICAL)</v>
      </c>
    </row>
    <row r="2604" ht="16.5" customHeight="1">
      <c r="H2604" s="1" t="str">
        <f>IFERROR(__xludf.DUMMYFUNCTION("""COMPUTED_VALUE"""),"PSYCOGEN CAPTAB")</f>
        <v>PSYCOGEN CAPTAB</v>
      </c>
    </row>
    <row r="2605" ht="16.5" customHeight="1">
      <c r="H2605" s="1" t="str">
        <f>IFERROR(__xludf.DUMMYFUNCTION("""COMPUTED_VALUE"""),"Psycormedies")</f>
        <v>Psycormedies</v>
      </c>
    </row>
    <row r="2606" ht="16.5" customHeight="1">
      <c r="H2606" s="1" t="str">
        <f>IFERROR(__xludf.DUMMYFUNCTION("""COMPUTED_VALUE"""),"PULSE (STIMULUS)")</f>
        <v>PULSE (STIMULUS)</v>
      </c>
    </row>
    <row r="2607" ht="16.5" customHeight="1">
      <c r="H2607" s="1" t="str">
        <f>IFERROR(__xludf.DUMMYFUNCTION("""COMPUTED_VALUE"""),"Pulse Pharmaceuticals")</f>
        <v>Pulse Pharmaceuticals</v>
      </c>
    </row>
    <row r="2608" ht="16.5" customHeight="1">
      <c r="H2608" s="1" t="str">
        <f>IFERROR(__xludf.DUMMYFUNCTION("""COMPUTED_VALUE"""),"PULVIN PHARMACEUTICALS")</f>
        <v>PULVIN PHARMACEUTICALS</v>
      </c>
    </row>
    <row r="2609" ht="16.5" customHeight="1">
      <c r="H2609" s="1" t="str">
        <f>IFERROR(__xludf.DUMMYFUNCTION("""COMPUTED_VALUE"""),"Pure Derma")</f>
        <v>Pure Derma</v>
      </c>
    </row>
    <row r="2610" ht="16.5" customHeight="1">
      <c r="H2610" s="1" t="str">
        <f>IFERROR(__xludf.DUMMYFUNCTION("""COMPUTED_VALUE"""),"PUREMED BIOTECH")</f>
        <v>PUREMED BIOTECH</v>
      </c>
    </row>
    <row r="2611" ht="16.5" customHeight="1">
      <c r="H2611" s="1" t="str">
        <f>IFERROR(__xludf.DUMMYFUNCTION("""COMPUTED_VALUE"""),"PUREMED BIOTECH (CARDIMED)")</f>
        <v>PUREMED BIOTECH (CARDIMED)</v>
      </c>
    </row>
    <row r="2612" ht="16.5" customHeight="1">
      <c r="H2612" s="1" t="str">
        <f>IFERROR(__xludf.DUMMYFUNCTION("""COMPUTED_VALUE"""),"PURVISION MALTIFOCAL")</f>
        <v>PURVISION MALTIFOCAL</v>
      </c>
    </row>
    <row r="2613" ht="16.5" customHeight="1">
      <c r="H2613" s="1" t="str">
        <f>IFERROR(__xludf.DUMMYFUNCTION("""COMPUTED_VALUE"""),"PV TORIC")</f>
        <v>PV TORIC</v>
      </c>
    </row>
    <row r="2614" ht="16.5" customHeight="1">
      <c r="H2614" s="1" t="str">
        <f>IFERROR(__xludf.DUMMYFUNCTION("""COMPUTED_VALUE"""),"QUALITRON")</f>
        <v>QUALITRON</v>
      </c>
    </row>
    <row r="2615" ht="16.5" customHeight="1">
      <c r="H2615" s="1" t="str">
        <f>IFERROR(__xludf.DUMMYFUNCTION("""COMPUTED_VALUE"""),"QUALITY PHARMA")</f>
        <v>QUALITY PHARMA</v>
      </c>
    </row>
    <row r="2616" ht="16.5" customHeight="1">
      <c r="H2616" s="1" t="str">
        <f>IFERROR(__xludf.DUMMYFUNCTION("""COMPUTED_VALUE"""),"QUANTRIX HEALTHCARE")</f>
        <v>QUANTRIX HEALTHCARE</v>
      </c>
    </row>
    <row r="2617" ht="16.5" customHeight="1">
      <c r="H2617" s="1" t="str">
        <f>IFERROR(__xludf.DUMMYFUNCTION("""COMPUTED_VALUE"""),"QUEEN PHARMA")</f>
        <v>QUEEN PHARMA</v>
      </c>
    </row>
    <row r="2618" ht="16.5" customHeight="1">
      <c r="H2618" s="1" t="str">
        <f>IFERROR(__xludf.DUMMYFUNCTION("""COMPUTED_VALUE"""),"QUERWELL LIFE SCIENCE")</f>
        <v>QUERWELL LIFE SCIENCE</v>
      </c>
    </row>
    <row r="2619" ht="16.5" customHeight="1">
      <c r="H2619" s="1" t="str">
        <f>IFERROR(__xludf.DUMMYFUNCTION("""COMPUTED_VALUE"""),"QUEST PHARMA")</f>
        <v>QUEST PHARMA</v>
      </c>
    </row>
    <row r="2620" ht="16.5" customHeight="1">
      <c r="H2620" s="1" t="str">
        <f>IFERROR(__xludf.DUMMYFUNCTION("""COMPUTED_VALUE"""),"QUICK HEAL LIFESCIENCES")</f>
        <v>QUICK HEAL LIFESCIENCES</v>
      </c>
    </row>
    <row r="2621" ht="16.5" customHeight="1">
      <c r="H2621" s="1" t="str">
        <f>IFERROR(__xludf.DUMMYFUNCTION("""COMPUTED_VALUE"""),"QUIXOTIC PHARMA PVT LTD")</f>
        <v>QUIXOTIC PHARMA PVT LTD</v>
      </c>
    </row>
    <row r="2622" ht="16.5" customHeight="1">
      <c r="H2622" s="1" t="str">
        <f>IFERROR(__xludf.DUMMYFUNCTION("""COMPUTED_VALUE"""),"QUORA PHARMACEUTICALS (MASK)")</f>
        <v>QUORA PHARMACEUTICALS (MASK)</v>
      </c>
    </row>
    <row r="2623" ht="16.5" customHeight="1">
      <c r="H2623" s="1" t="str">
        <f>IFERROR(__xludf.DUMMYFUNCTION("""COMPUTED_VALUE"""),"QUREWELL LIFESCIENCES")</f>
        <v>QUREWELL LIFESCIENCES</v>
      </c>
    </row>
    <row r="2624" ht="16.5" customHeight="1">
      <c r="H2624" s="1" t="str">
        <f>IFERROR(__xludf.DUMMYFUNCTION("""COMPUTED_VALUE"""),"R+ PHARMACEUTICALS")</f>
        <v>R+ PHARMACEUTICALS</v>
      </c>
    </row>
    <row r="2625" ht="16.5" customHeight="1">
      <c r="H2625" s="1" t="str">
        <f>IFERROR(__xludf.DUMMYFUNCTION("""COMPUTED_VALUE"""),"RAAYN DRUGS")</f>
        <v>RAAYN DRUGS</v>
      </c>
    </row>
    <row r="2626" ht="16.5" customHeight="1">
      <c r="H2626" s="1" t="str">
        <f>IFERROR(__xludf.DUMMYFUNCTION("""COMPUTED_VALUE"""),"RADICO REMEDIES")</f>
        <v>RADICO REMEDIES</v>
      </c>
    </row>
    <row r="2627" ht="16.5" customHeight="1">
      <c r="H2627" s="1" t="str">
        <f>IFERROR(__xludf.DUMMYFUNCTION("""COMPUTED_VALUE"""),"RADICURA PHARMACEUTICALS")</f>
        <v>RADICURA PHARMACEUTICALS</v>
      </c>
    </row>
    <row r="2628" ht="16.5" customHeight="1">
      <c r="H2628" s="1" t="str">
        <f>IFERROR(__xludf.DUMMYFUNCTION("""COMPUTED_VALUE"""),"RADIUS HERBAL")</f>
        <v>RADIUS HERBAL</v>
      </c>
    </row>
    <row r="2629" ht="16.5" customHeight="1">
      <c r="H2629" s="1" t="str">
        <f>IFERROR(__xludf.DUMMYFUNCTION("""COMPUTED_VALUE"""),"RAFFLES PHARMA")</f>
        <v>RAFFLES PHARMA</v>
      </c>
    </row>
    <row r="2630" ht="16.5" customHeight="1">
      <c r="H2630" s="1" t="str">
        <f>IFERROR(__xludf.DUMMYFUNCTION("""COMPUTED_VALUE"""),"RAFPHEAL'S PHARMACEUTICALS")</f>
        <v>RAFPHEAL'S PHARMACEUTICALS</v>
      </c>
    </row>
    <row r="2631" ht="16.5" customHeight="1">
      <c r="H2631" s="1" t="str">
        <f>IFERROR(__xludf.DUMMYFUNCTION("""COMPUTED_VALUE"""),"RAGHAV VAIDYASHALA")</f>
        <v>RAGHAV VAIDYASHALA</v>
      </c>
    </row>
    <row r="2632" ht="16.5" customHeight="1">
      <c r="H2632" s="1" t="str">
        <f>IFERROR(__xludf.DUMMYFUNCTION("""COMPUTED_VALUE"""),"RAHAT INDUSTRIES")</f>
        <v>RAHAT INDUSTRIES</v>
      </c>
    </row>
    <row r="2633" ht="16.5" customHeight="1">
      <c r="H2633" s="1" t="str">
        <f>IFERROR(__xludf.DUMMYFUNCTION("""COMPUTED_VALUE"""),"RAHUL HEALTH CARE")</f>
        <v>RAHUL HEALTH CARE</v>
      </c>
    </row>
    <row r="2634" ht="16.5" customHeight="1">
      <c r="H2634" s="1" t="str">
        <f>IFERROR(__xludf.DUMMYFUNCTION("""COMPUTED_VALUE"""),"RAICHEM LIFE SCIENCES")</f>
        <v>RAICHEM LIFE SCIENCES</v>
      </c>
    </row>
    <row r="2635" ht="16.5" customHeight="1">
      <c r="H2635" s="1" t="str">
        <f>IFERROR(__xludf.DUMMYFUNCTION("""COMPUTED_VALUE"""),"RAINA HEALTHCARE")</f>
        <v>RAINA HEALTHCARE</v>
      </c>
    </row>
    <row r="2636" ht="16.5" customHeight="1">
      <c r="H2636" s="1" t="str">
        <f>IFERROR(__xludf.DUMMYFUNCTION("""COMPUTED_VALUE"""),"RAINBOW")</f>
        <v>RAINBOW</v>
      </c>
    </row>
    <row r="2637" ht="16.5" customHeight="1">
      <c r="H2637" s="1" t="str">
        <f>IFERROR(__xludf.DUMMYFUNCTION("""COMPUTED_VALUE"""),"RAINS HEALTHCARE")</f>
        <v>RAINS HEALTHCARE</v>
      </c>
    </row>
    <row r="2638" ht="16.5" customHeight="1">
      <c r="H2638" s="1" t="str">
        <f>IFERROR(__xludf.DUMMYFUNCTION("""COMPUTED_VALUE"""),"RAJDEEP HERBAL FORMULATION")</f>
        <v>RAJDEEP HERBAL FORMULATION</v>
      </c>
    </row>
    <row r="2639" ht="16.5" customHeight="1">
      <c r="H2639" s="1" t="str">
        <f>IFERROR(__xludf.DUMMYFUNCTION("""COMPUTED_VALUE"""),"RAJVAIDYA SHITAL PRASAD &amp; SONS")</f>
        <v>RAJVAIDYA SHITAL PRASAD &amp; SONS</v>
      </c>
    </row>
    <row r="2640" ht="16.5" customHeight="1">
      <c r="H2640" s="1" t="str">
        <f>IFERROR(__xludf.DUMMYFUNCTION("""COMPUTED_VALUE"""),"RALLIS INDIA LTD")</f>
        <v>RALLIS INDIA LTD</v>
      </c>
    </row>
    <row r="2641" ht="16.5" customHeight="1">
      <c r="H2641" s="1" t="str">
        <f>IFERROR(__xludf.DUMMYFUNCTION("""COMPUTED_VALUE"""),"RALSON")</f>
        <v>RALSON</v>
      </c>
    </row>
    <row r="2642" ht="16.5" customHeight="1">
      <c r="H2642" s="1" t="str">
        <f>IFERROR(__xludf.DUMMYFUNCTION("""COMPUTED_VALUE"""),"RAMAN &amp; WELL PVT LTD")</f>
        <v>RAMAN &amp; WELL PVT LTD</v>
      </c>
    </row>
    <row r="2643" ht="16.5" customHeight="1">
      <c r="H2643" s="1" t="str">
        <f>IFERROR(__xludf.DUMMYFUNCTION("""COMPUTED_VALUE"""),"RAMKRISHNA RAMNARAYAN BAGDI")</f>
        <v>RAMKRISHNA RAMNARAYAN BAGDI</v>
      </c>
    </row>
    <row r="2644" ht="16.5" customHeight="1">
      <c r="H2644" s="1" t="str">
        <f>IFERROR(__xludf.DUMMYFUNCTION("""COMPUTED_VALUE"""),"RAMKRISHNA VIDYUT AYURVEDIC")</f>
        <v>RAMKRISHNA VIDYUT AYURVEDIC</v>
      </c>
    </row>
    <row r="2645" ht="16.5" customHeight="1">
      <c r="H2645" s="1" t="str">
        <f>IFERROR(__xludf.DUMMYFUNCTION("""COMPUTED_VALUE"""),"RAMOSE LABORATORIES")</f>
        <v>RAMOSE LABORATORIES</v>
      </c>
    </row>
    <row r="2646" ht="16.5" customHeight="1">
      <c r="H2646" s="1" t="str">
        <f>IFERROR(__xludf.DUMMYFUNCTION("""COMPUTED_VALUE"""),"RANBAXY (1)")</f>
        <v>RANBAXY (1)</v>
      </c>
    </row>
    <row r="2647" ht="16.5" customHeight="1">
      <c r="H2647" s="1" t="str">
        <f>IFERROR(__xludf.DUMMYFUNCTION("""COMPUTED_VALUE"""),"RANBAXY (2)")</f>
        <v>RANBAXY (2)</v>
      </c>
    </row>
    <row r="2648" ht="16.5" customHeight="1">
      <c r="H2648" s="1" t="str">
        <f>IFERROR(__xludf.DUMMYFUNCTION("""COMPUTED_VALUE"""),"RANBAXY (CROSLANDS LIFE)")</f>
        <v>RANBAXY (CROSLANDS LIFE)</v>
      </c>
    </row>
    <row r="2649" ht="16.5" customHeight="1">
      <c r="H2649" s="1" t="str">
        <f>IFERROR(__xludf.DUMMYFUNCTION("""COMPUTED_VALUE"""),"RANBAXY (CROSSLAND)")</f>
        <v>RANBAXY (CROSSLAND)</v>
      </c>
    </row>
    <row r="2650" ht="16.5" customHeight="1">
      <c r="H2650" s="1" t="str">
        <f>IFERROR(__xludf.DUMMYFUNCTION("""COMPUTED_VALUE"""),"RANBAXY (CV-LIFE)")</f>
        <v>RANBAXY (CV-LIFE)</v>
      </c>
    </row>
    <row r="2651" ht="16.5" customHeight="1">
      <c r="H2651" s="1" t="str">
        <f>IFERROR(__xludf.DUMMYFUNCTION("""COMPUTED_VALUE"""),"RANBAXY (CV)")</f>
        <v>RANBAXY (CV)</v>
      </c>
    </row>
    <row r="2652" ht="16.5" customHeight="1">
      <c r="H2652" s="1" t="str">
        <f>IFERROR(__xludf.DUMMYFUNCTION("""COMPUTED_VALUE"""),"RANBAXY (DERMALANDS)")</f>
        <v>RANBAXY (DERMALANDS)</v>
      </c>
    </row>
    <row r="2653" ht="16.5" customHeight="1">
      <c r="H2653" s="1" t="str">
        <f>IFERROR(__xludf.DUMMYFUNCTION("""COMPUTED_VALUE"""),"Ranbaxy (GENERIC)")</f>
        <v>Ranbaxy (GENERIC)</v>
      </c>
    </row>
    <row r="2654" ht="16.5" customHeight="1">
      <c r="H2654" s="1" t="str">
        <f>IFERROR(__xludf.DUMMYFUNCTION("""COMPUTED_VALUE"""),"RANBAXY (MAXXIM)")</f>
        <v>RANBAXY (MAXXIM)</v>
      </c>
    </row>
    <row r="2655" ht="16.5" customHeight="1">
      <c r="H2655" s="1" t="str">
        <f>IFERROR(__xludf.DUMMYFUNCTION("""COMPUTED_VALUE"""),"RANBAXY (ORTHOLAND)")</f>
        <v>RANBAXY (ORTHOLAND)</v>
      </c>
    </row>
    <row r="2656" ht="16.5" customHeight="1">
      <c r="H2656" s="1" t="str">
        <f>IFERROR(__xludf.DUMMYFUNCTION("""COMPUTED_VALUE"""),"RANBAXY (OTC)")</f>
        <v>RANBAXY (OTC)</v>
      </c>
    </row>
    <row r="2657" ht="16.5" customHeight="1">
      <c r="H2657" s="1" t="str">
        <f>IFERROR(__xludf.DUMMYFUNCTION("""COMPUTED_VALUE"""),"RANBAXY (PHARMA)")</f>
        <v>RANBAXY (PHARMA)</v>
      </c>
    </row>
    <row r="2658" ht="16.5" customHeight="1">
      <c r="H2658" s="1" t="str">
        <f>IFERROR(__xludf.DUMMYFUNCTION("""COMPUTED_VALUE"""),"RANBAXY (PRIMALANDS)")</f>
        <v>RANBAXY (PRIMALANDS)</v>
      </c>
    </row>
    <row r="2659" ht="16.5" customHeight="1">
      <c r="H2659" s="1" t="str">
        <f>IFERROR(__xludf.DUMMYFUNCTION("""COMPUTED_VALUE"""),"RANBAXY (RESPIRATORY)")</f>
        <v>RANBAXY (RESPIRATORY)</v>
      </c>
    </row>
    <row r="2660" ht="16.5" customHeight="1">
      <c r="H2660" s="1" t="str">
        <f>IFERROR(__xludf.DUMMYFUNCTION("""COMPUTED_VALUE"""),"RANBAXY (REXCEL)")</f>
        <v>RANBAXY (REXCEL)</v>
      </c>
    </row>
    <row r="2661" ht="16.5" customHeight="1">
      <c r="H2661" s="1" t="str">
        <f>IFERROR(__xludf.DUMMYFUNCTION("""COMPUTED_VALUE"""),"RANBAXY (RIGEL)")</f>
        <v>RANBAXY (RIGEL)</v>
      </c>
    </row>
    <row r="2662" ht="16.5" customHeight="1">
      <c r="H2662" s="1" t="str">
        <f>IFERROR(__xludf.DUMMYFUNCTION("""COMPUTED_VALUE"""),"RANBAXY (SUNCROS)")</f>
        <v>RANBAXY (SUNCROS)</v>
      </c>
    </row>
    <row r="2663" ht="16.5" customHeight="1">
      <c r="H2663" s="1" t="str">
        <f>IFERROR(__xludf.DUMMYFUNCTION("""COMPUTED_VALUE"""),"RANBAXY (UROCARE)")</f>
        <v>RANBAXY (UROCARE)</v>
      </c>
    </row>
    <row r="2664" ht="16.5" customHeight="1">
      <c r="H2664" s="1" t="str">
        <f>IFERROR(__xludf.DUMMYFUNCTION("""COMPUTED_VALUE"""),"Ranbaxy Laboratories Ltd")</f>
        <v>Ranbaxy Laboratories Ltd</v>
      </c>
    </row>
    <row r="2665" ht="16.5" customHeight="1">
      <c r="H2665" s="1" t="str">
        <f>IFERROR(__xludf.DUMMYFUNCTION("""COMPUTED_VALUE"""),"RANISH PHARMA")</f>
        <v>RANISH PHARMA</v>
      </c>
    </row>
    <row r="2666" ht="16.5" customHeight="1">
      <c r="H2666" s="1" t="str">
        <f>IFERROR(__xludf.DUMMYFUNCTION("""COMPUTED_VALUE"""),"RAPROSS PHARMACEUTICALS")</f>
        <v>RAPROSS PHARMACEUTICALS</v>
      </c>
    </row>
    <row r="2667" ht="16.5" customHeight="1">
      <c r="H2667" s="1" t="str">
        <f>IFERROR(__xludf.DUMMYFUNCTION("""COMPUTED_VALUE"""),"Raptakos Brett &amp; Co Ltd")</f>
        <v>Raptakos Brett &amp; Co Ltd</v>
      </c>
    </row>
    <row r="2668" ht="16.5" customHeight="1">
      <c r="H2668" s="1" t="str">
        <f>IFERROR(__xludf.DUMMYFUNCTION("""COMPUTED_VALUE"""),"RASNA CHEM")</f>
        <v>RASNA CHEM</v>
      </c>
    </row>
    <row r="2669" ht="16.5" customHeight="1">
      <c r="H2669" s="1" t="str">
        <f>IFERROR(__xludf.DUMMYFUNCTION("""COMPUTED_VALUE"""),"RATAN AYURVEDIC SANSTHAN")</f>
        <v>RATAN AYURVEDIC SANSTHAN</v>
      </c>
    </row>
    <row r="2670" ht="16.5" customHeight="1">
      <c r="H2670" s="1" t="str">
        <f>IFERROR(__xludf.DUMMYFUNCTION("""COMPUTED_VALUE"""),"RATAN ORGANICA INTERNATIONAL")</f>
        <v>RATAN ORGANICA INTERNATIONAL</v>
      </c>
    </row>
    <row r="2671" ht="16.5" customHeight="1">
      <c r="H2671" s="1" t="str">
        <f>IFERROR(__xludf.DUMMYFUNCTION("""COMPUTED_VALUE"""),"Rathi Laboratories (Hindustan) Pvt. Ltd.")</f>
        <v>Rathi Laboratories (Hindustan) Pvt. Ltd.</v>
      </c>
    </row>
    <row r="2672" ht="16.5" customHeight="1">
      <c r="H2672" s="1" t="str">
        <f>IFERROR(__xludf.DUMMYFUNCTION("""COMPUTED_VALUE"""),"RATNAMANI HEALTH P LTD")</f>
        <v>RATNAMANI HEALTH P LTD</v>
      </c>
    </row>
    <row r="2673" ht="16.5" customHeight="1">
      <c r="H2673" s="1" t="str">
        <f>IFERROR(__xludf.DUMMYFUNCTION("""COMPUTED_VALUE"""),"RATNAMANI HEALTH PVT LTD")</f>
        <v>RATNAMANI HEALTH PVT LTD</v>
      </c>
    </row>
    <row r="2674" ht="16.5" customHeight="1">
      <c r="H2674" s="1" t="str">
        <f>IFERROR(__xludf.DUMMYFUNCTION("""COMPUTED_VALUE"""),"RAVENBHEL HEALTHCARE")</f>
        <v>RAVENBHEL HEALTHCARE</v>
      </c>
    </row>
    <row r="2675" ht="16.5" customHeight="1">
      <c r="H2675" s="1" t="str">
        <f>IFERROR(__xludf.DUMMYFUNCTION("""COMPUTED_VALUE"""),"RAYANS GLAM SCIENCE")</f>
        <v>RAYANS GLAM SCIENCE</v>
      </c>
    </row>
    <row r="2676" ht="16.5" customHeight="1">
      <c r="H2676" s="1" t="str">
        <f>IFERROR(__xludf.DUMMYFUNCTION("""COMPUTED_VALUE"""),"RAYH HEALTH CARE PVT LTD")</f>
        <v>RAYH HEALTH CARE PVT LTD</v>
      </c>
    </row>
    <row r="2677" ht="16.5" customHeight="1">
      <c r="H2677" s="1" t="str">
        <f>IFERROR(__xludf.DUMMYFUNCTION("""COMPUTED_VALUE"""),"RAYMED")</f>
        <v>RAYMED</v>
      </c>
    </row>
    <row r="2678" ht="16.5" customHeight="1">
      <c r="H2678" s="1" t="str">
        <f>IFERROR(__xludf.DUMMYFUNCTION("""COMPUTED_VALUE"""),"RAYMED PHARMACEUTICALS")</f>
        <v>RAYMED PHARMACEUTICALS</v>
      </c>
    </row>
    <row r="2679" ht="16.5" customHeight="1">
      <c r="H2679" s="1" t="str">
        <f>IFERROR(__xludf.DUMMYFUNCTION("""COMPUTED_VALUE"""),"RAZENTA PHARMACEUTICALS PVT LTD")</f>
        <v>RAZENTA PHARMACEUTICALS PVT LTD</v>
      </c>
    </row>
    <row r="2680" ht="16.5" customHeight="1">
      <c r="H2680" s="1" t="str">
        <f>IFERROR(__xludf.DUMMYFUNCTION("""COMPUTED_VALUE"""),"RECENT HEALTHCARE LTD.")</f>
        <v>RECENT HEALTHCARE LTD.</v>
      </c>
    </row>
    <row r="2681" ht="16.5" customHeight="1">
      <c r="H2681" s="1" t="str">
        <f>IFERROR(__xludf.DUMMYFUNCTION("""COMPUTED_VALUE"""),"RECH ELIST PHARMA")</f>
        <v>RECH ELIST PHARMA</v>
      </c>
    </row>
    <row r="2682" ht="16.5" customHeight="1">
      <c r="H2682" s="1" t="str">
        <f>IFERROR(__xludf.DUMMYFUNCTION("""COMPUTED_VALUE"""),"RECKEWEG")</f>
        <v>RECKEWEG</v>
      </c>
    </row>
    <row r="2683" ht="16.5" customHeight="1">
      <c r="H2683" s="1" t="str">
        <f>IFERROR(__xludf.DUMMYFUNCTION("""COMPUTED_VALUE"""),"Reckitt Benckiser")</f>
        <v>Reckitt Benckiser</v>
      </c>
    </row>
    <row r="2684" ht="16.5" customHeight="1">
      <c r="H2684" s="1" t="str">
        <f>IFERROR(__xludf.DUMMYFUNCTION("""COMPUTED_VALUE"""),"RECOVER HEALTHCARE")</f>
        <v>RECOVER HEALTHCARE</v>
      </c>
    </row>
    <row r="2685" ht="16.5" customHeight="1">
      <c r="H2685" s="1" t="str">
        <f>IFERROR(__xludf.DUMMYFUNCTION("""COMPUTED_VALUE"""),"REDVIA PHARMACEUTICALS")</f>
        <v>REDVIA PHARMACEUTICALS</v>
      </c>
    </row>
    <row r="2686" ht="16.5" customHeight="1">
      <c r="H2686" s="1" t="str">
        <f>IFERROR(__xludf.DUMMYFUNCTION("""COMPUTED_VALUE"""),"REEHEL PHARMACEUTICALS PVT LTD")</f>
        <v>REEHEL PHARMACEUTICALS PVT LTD</v>
      </c>
    </row>
    <row r="2687" ht="16.5" customHeight="1">
      <c r="H2687" s="1" t="str">
        <f>IFERROR(__xludf.DUMMYFUNCTION("""COMPUTED_VALUE"""),"REGAL CHEMICAL WORKS")</f>
        <v>REGAL CHEMICAL WORKS</v>
      </c>
    </row>
    <row r="2688" ht="16.5" customHeight="1">
      <c r="H2688" s="1" t="str">
        <f>IFERROR(__xludf.DUMMYFUNCTION("""COMPUTED_VALUE"""),"REGALIZ MEDICARE LTD")</f>
        <v>REGALIZ MEDICARE LTD</v>
      </c>
    </row>
    <row r="2689" ht="16.5" customHeight="1">
      <c r="H2689" s="1" t="str">
        <f>IFERROR(__xludf.DUMMYFUNCTION("""COMPUTED_VALUE"""),"REGENCY HEALTH CARE")</f>
        <v>REGENCY HEALTH CARE</v>
      </c>
    </row>
    <row r="2690" ht="16.5" customHeight="1">
      <c r="H2690" s="1" t="str">
        <f>IFERROR(__xludf.DUMMYFUNCTION("""COMPUTED_VALUE"""),"REGENT HEALTHCARE")</f>
        <v>REGENT HEALTHCARE</v>
      </c>
    </row>
    <row r="2691" ht="16.5" customHeight="1">
      <c r="H2691" s="1" t="str">
        <f>IFERROR(__xludf.DUMMYFUNCTION("""COMPUTED_VALUE"""),"REGENT MARKETING")</f>
        <v>REGENT MARKETING</v>
      </c>
    </row>
    <row r="2692" ht="16.5" customHeight="1">
      <c r="H2692" s="1" t="str">
        <f>IFERROR(__xludf.DUMMYFUNCTION("""COMPUTED_VALUE"""),"REGRESS LIFESCIENCES")</f>
        <v>REGRESS LIFESCIENCES</v>
      </c>
    </row>
    <row r="2693" ht="16.5" customHeight="1">
      <c r="H2693" s="1" t="str">
        <f>IFERROR(__xludf.DUMMYFUNCTION("""COMPUTED_VALUE"""),"REGRESS LIFESCIENCES (2)")</f>
        <v>REGRESS LIFESCIENCES (2)</v>
      </c>
    </row>
    <row r="2694" ht="16.5" customHeight="1">
      <c r="H2694" s="1" t="str">
        <f>IFERROR(__xludf.DUMMYFUNCTION("""COMPUTED_VALUE"""),"REJLI HEALTHCARE")</f>
        <v>REJLI HEALTHCARE</v>
      </c>
    </row>
    <row r="2695" ht="16.5" customHeight="1">
      <c r="H2695" s="1" t="str">
        <f>IFERROR(__xludf.DUMMYFUNCTION("""COMPUTED_VALUE"""),"Rekvina Laboratories Ltd")</f>
        <v>Rekvina Laboratories Ltd</v>
      </c>
    </row>
    <row r="2696" ht="16.5" customHeight="1">
      <c r="H2696" s="1" t="str">
        <f>IFERROR(__xludf.DUMMYFUNCTION("""COMPUTED_VALUE"""),"RELAX PHARMACEUTICALS PVT LTD")</f>
        <v>RELAX PHARMACEUTICALS PVT LTD</v>
      </c>
    </row>
    <row r="2697" ht="16.5" customHeight="1">
      <c r="H2697" s="1" t="str">
        <f>IFERROR(__xludf.DUMMYFUNCTION("""COMPUTED_VALUE"""),"RELAXE REHABILITATION AIDS")</f>
        <v>RELAXE REHABILITATION AIDS</v>
      </c>
    </row>
    <row r="2698" ht="16.5" customHeight="1">
      <c r="H2698" s="1" t="str">
        <f>IFERROR(__xludf.DUMMYFUNCTION("""COMPUTED_VALUE"""),"RELAXSAN")</f>
        <v>RELAXSAN</v>
      </c>
    </row>
    <row r="2699" ht="16.5" customHeight="1">
      <c r="H2699" s="1" t="str">
        <f>IFERROR(__xludf.DUMMYFUNCTION("""COMPUTED_VALUE"""),"RELIANCE FORMULATION PVT LTD")</f>
        <v>RELIANCE FORMULATION PVT LTD</v>
      </c>
    </row>
    <row r="2700" ht="16.5" customHeight="1">
      <c r="H2700" s="1" t="str">
        <f>IFERROR(__xludf.DUMMYFUNCTION("""COMPUTED_VALUE"""),"Reliance Life Sciences")</f>
        <v>Reliance Life Sciences</v>
      </c>
    </row>
    <row r="2701" ht="16.5" customHeight="1">
      <c r="H2701" s="1" t="str">
        <f>IFERROR(__xludf.DUMMYFUNCTION("""COMPUTED_VALUE"""),"RELIC BIOTECNOLOGY PVT LTD")</f>
        <v>RELIC BIOTECNOLOGY PVT LTD</v>
      </c>
    </row>
    <row r="2702" ht="16.5" customHeight="1">
      <c r="H2702" s="1" t="str">
        <f>IFERROR(__xludf.DUMMYFUNCTION("""COMPUTED_VALUE"""),"RELIEF FORMULATIONS")</f>
        <v>RELIEF FORMULATIONS</v>
      </c>
    </row>
    <row r="2703" ht="16.5" customHeight="1">
      <c r="H2703" s="1" t="str">
        <f>IFERROR(__xludf.DUMMYFUNCTION("""COMPUTED_VALUE"""),"REMEDIAL HEALTHCARE")</f>
        <v>REMEDIAL HEALTHCARE</v>
      </c>
    </row>
    <row r="2704" ht="16.5" customHeight="1">
      <c r="H2704" s="1" t="str">
        <f>IFERROR(__xludf.DUMMYFUNCTION("""COMPUTED_VALUE"""),"RENA EXPORTS PVT LTD")</f>
        <v>RENA EXPORTS PVT LTD</v>
      </c>
    </row>
    <row r="2705" ht="16.5" customHeight="1">
      <c r="H2705" s="1" t="str">
        <f>IFERROR(__xludf.DUMMYFUNCTION("""COMPUTED_VALUE"""),"RENCORD LIFE SCIENCES (NEPHRO)")</f>
        <v>RENCORD LIFE SCIENCES (NEPHRO)</v>
      </c>
    </row>
    <row r="2706" ht="16.5" customHeight="1">
      <c r="H2706" s="1" t="str">
        <f>IFERROR(__xludf.DUMMYFUNCTION("""COMPUTED_VALUE"""),"RENE LIFESCIENCE")</f>
        <v>RENE LIFESCIENCE</v>
      </c>
    </row>
    <row r="2707" ht="16.5" customHeight="1">
      <c r="H2707" s="1" t="str">
        <f>IFERROR(__xludf.DUMMYFUNCTION("""COMPUTED_VALUE"""),"RENE LIFESCIENCES")</f>
        <v>RENE LIFESCIENCES</v>
      </c>
    </row>
    <row r="2708" ht="16.5" customHeight="1">
      <c r="H2708" s="1" t="str">
        <f>IFERROR(__xludf.DUMMYFUNCTION("""COMPUTED_VALUE"""),"RENE PHARMACEUTICALS")</f>
        <v>RENE PHARMACEUTICALS</v>
      </c>
    </row>
    <row r="2709" ht="16.5" customHeight="1">
      <c r="H2709" s="1" t="str">
        <f>IFERROR(__xludf.DUMMYFUNCTION("""COMPUTED_VALUE"""),"RENOVISION EXPORTS PVT")</f>
        <v>RENOVISION EXPORTS PVT</v>
      </c>
    </row>
    <row r="2710" ht="16.5" customHeight="1">
      <c r="H2710" s="1" t="str">
        <f>IFERROR(__xludf.DUMMYFUNCTION("""COMPUTED_VALUE"""),"REPLICA REMEDIES")</f>
        <v>REPLICA REMEDIES</v>
      </c>
    </row>
    <row r="2711" ht="16.5" customHeight="1">
      <c r="H2711" s="1" t="str">
        <f>IFERROR(__xludf.DUMMYFUNCTION("""COMPUTED_VALUE"""),"REPLIN PHARMA")</f>
        <v>REPLIN PHARMA</v>
      </c>
    </row>
    <row r="2712" ht="16.5" customHeight="1">
      <c r="H2712" s="1" t="str">
        <f>IFERROR(__xludf.DUMMYFUNCTION("""COMPUTED_VALUE"""),"RES SANCTA  SOLAN")</f>
        <v>RES SANCTA  SOLAN</v>
      </c>
    </row>
    <row r="2713" ht="16.5" customHeight="1">
      <c r="H2713" s="1" t="str">
        <f>IFERROR(__xludf.DUMMYFUNCTION("""COMPUTED_VALUE"""),"Resilient Cosmecueticals Pvt Ltd")</f>
        <v>Resilient Cosmecueticals Pvt Ltd</v>
      </c>
    </row>
    <row r="2714" ht="16.5" customHeight="1">
      <c r="H2714" s="1" t="str">
        <f>IFERROR(__xludf.DUMMYFUNCTION("""COMPUTED_VALUE"""),"REVASTO LABORATORIES")</f>
        <v>REVASTO LABORATORIES</v>
      </c>
    </row>
    <row r="2715" ht="16.5" customHeight="1">
      <c r="H2715" s="1" t="str">
        <f>IFERROR(__xludf.DUMMYFUNCTION("""COMPUTED_VALUE"""),"REVERIE PHARMACEUTICALS")</f>
        <v>REVERIE PHARMACEUTICALS</v>
      </c>
    </row>
    <row r="2716" ht="16.5" customHeight="1">
      <c r="H2716" s="1" t="str">
        <f>IFERROR(__xludf.DUMMYFUNCTION("""COMPUTED_VALUE"""),"REVLUK LIFE SCIENCES")</f>
        <v>REVLUK LIFE SCIENCES</v>
      </c>
    </row>
    <row r="2717" ht="16.5" customHeight="1">
      <c r="H2717" s="1" t="str">
        <f>IFERROR(__xludf.DUMMYFUNCTION("""COMPUTED_VALUE"""),"REVOZIP")</f>
        <v>REVOZIP</v>
      </c>
    </row>
    <row r="2718" ht="16.5" customHeight="1">
      <c r="H2718" s="1" t="str">
        <f>IFERROR(__xludf.DUMMYFUNCTION("""COMPUTED_VALUE"""),"REVOZIP MD")</f>
        <v>REVOZIP MD</v>
      </c>
    </row>
    <row r="2719" ht="16.5" customHeight="1">
      <c r="H2719" s="1" t="str">
        <f>IFERROR(__xludf.DUMMYFUNCTION("""COMPUTED_VALUE"""),"RHINE BIOGENICS PVT. LTD.")</f>
        <v>RHINE BIOGENICS PVT. LTD.</v>
      </c>
    </row>
    <row r="2720" ht="16.5" customHeight="1">
      <c r="H2720" s="1" t="str">
        <f>IFERROR(__xludf.DUMMYFUNCTION("""COMPUTED_VALUE"""),"RHOMBIC LAB")</f>
        <v>RHOMBIC LAB</v>
      </c>
    </row>
    <row r="2721" ht="16.5" customHeight="1">
      <c r="H2721" s="1" t="str">
        <f>IFERROR(__xludf.DUMMYFUNCTION("""COMPUTED_VALUE"""),"RHOMBUS PHARMA PVT LTD")</f>
        <v>RHOMBUS PHARMA PVT LTD</v>
      </c>
    </row>
    <row r="2722" ht="16.5" customHeight="1">
      <c r="H2722" s="1" t="str">
        <f>IFERROR(__xludf.DUMMYFUNCTION("""COMPUTED_VALUE"""),"RHONE PHARMACIE PVT LTD")</f>
        <v>RHONE PHARMACIE PVT LTD</v>
      </c>
    </row>
    <row r="2723" ht="16.5" customHeight="1">
      <c r="H2723" s="1" t="str">
        <f>IFERROR(__xludf.DUMMYFUNCTION("""COMPUTED_VALUE"""),"RHONE POULEN RORER (INDIA) LTD")</f>
        <v>RHONE POULEN RORER (INDIA) LTD</v>
      </c>
    </row>
    <row r="2724" ht="16.5" customHeight="1">
      <c r="H2724" s="1" t="str">
        <f>IFERROR(__xludf.DUMMYFUNCTION("""COMPUTED_VALUE"""),"RIASMO LIFE SCIENCES")</f>
        <v>RIASMO LIFE SCIENCES</v>
      </c>
    </row>
    <row r="2725" ht="16.5" customHeight="1">
      <c r="H2725" s="1" t="str">
        <f>IFERROR(__xludf.DUMMYFUNCTION("""COMPUTED_VALUE"""),"RICH FAITH PHARMA")</f>
        <v>RICH FAITH PHARMA</v>
      </c>
    </row>
    <row r="2726" ht="16.5" customHeight="1">
      <c r="H2726" s="1" t="str">
        <f>IFERROR(__xludf.DUMMYFUNCTION("""COMPUTED_VALUE"""),"RICH HEALTHCARE")</f>
        <v>RICH HEALTHCARE</v>
      </c>
    </row>
    <row r="2727" ht="16.5" customHeight="1">
      <c r="H2727" s="1" t="str">
        <f>IFERROR(__xludf.DUMMYFUNCTION("""COMPUTED_VALUE"""),"RIDLEY LIFE SCIENCE PVT LTD")</f>
        <v>RIDLEY LIFE SCIENCE PVT LTD</v>
      </c>
    </row>
    <row r="2728" ht="16.5" customHeight="1">
      <c r="H2728" s="1" t="str">
        <f>IFERROR(__xludf.DUMMYFUNCTION("""COMPUTED_VALUE"""),"RIEMANN LAB")</f>
        <v>RIEMANN LAB</v>
      </c>
    </row>
    <row r="2729" ht="16.5" customHeight="1">
      <c r="H2729" s="1" t="str">
        <f>IFERROR(__xludf.DUMMYFUNCTION("""COMPUTED_VALUE"""),"RISHIT PHARMACEUTICALS")</f>
        <v>RISHIT PHARMACEUTICALS</v>
      </c>
    </row>
    <row r="2730" ht="16.5" customHeight="1">
      <c r="H2730" s="1" t="str">
        <f>IFERROR(__xludf.DUMMYFUNCTION("""COMPUTED_VALUE"""),"RISTRYL")</f>
        <v>RISTRYL</v>
      </c>
    </row>
    <row r="2731" ht="16.5" customHeight="1">
      <c r="H2731" s="1" t="str">
        <f>IFERROR(__xludf.DUMMYFUNCTION("""COMPUTED_VALUE"""),"RISTRYL FORTE")</f>
        <v>RISTRYL FORTE</v>
      </c>
    </row>
    <row r="2732" ht="16.5" customHeight="1">
      <c r="H2732" s="1" t="str">
        <f>IFERROR(__xludf.DUMMYFUNCTION("""COMPUTED_VALUE"""),"RITZ PHARMA")</f>
        <v>RITZ PHARMA</v>
      </c>
    </row>
    <row r="2733" ht="16.5" customHeight="1">
      <c r="H2733" s="1" t="str">
        <f>IFERROR(__xludf.DUMMYFUNCTION("""COMPUTED_VALUE"""),"RIVAN PHARMACEUTICALS PVT LTD")</f>
        <v>RIVAN PHARMACEUTICALS PVT LTD</v>
      </c>
    </row>
    <row r="2734" ht="16.5" customHeight="1">
      <c r="H2734" s="1" t="str">
        <f>IFERROR(__xludf.DUMMYFUNCTION("""COMPUTED_VALUE"""),"RKM")</f>
        <v>RKM</v>
      </c>
    </row>
    <row r="2735" ht="16.5" customHeight="1">
      <c r="H2735" s="1" t="str">
        <f>IFERROR(__xludf.DUMMYFUNCTION("""COMPUTED_VALUE"""),"RKON PHARMACEUTICALS")</f>
        <v>RKON PHARMACEUTICALS</v>
      </c>
    </row>
    <row r="2736" ht="16.5" customHeight="1">
      <c r="H2736" s="1" t="str">
        <f>IFERROR(__xludf.DUMMYFUNCTION("""COMPUTED_VALUE"""),"ROCHE (1)")</f>
        <v>ROCHE (1)</v>
      </c>
    </row>
    <row r="2737" ht="16.5" customHeight="1">
      <c r="H2737" s="1" t="str">
        <f>IFERROR(__xludf.DUMMYFUNCTION("""COMPUTED_VALUE"""),"ROCHE (NEPHROLOGY)")</f>
        <v>ROCHE (NEPHROLOGY)</v>
      </c>
    </row>
    <row r="2738" ht="16.5" customHeight="1">
      <c r="H2738" s="1" t="str">
        <f>IFERROR(__xludf.DUMMYFUNCTION("""COMPUTED_VALUE"""),"ROCHE (ONCOLOGY)")</f>
        <v>ROCHE (ONCOLOGY)</v>
      </c>
    </row>
    <row r="2739" ht="16.5" customHeight="1">
      <c r="H2739" s="1" t="str">
        <f>IFERROR(__xludf.DUMMYFUNCTION("""COMPUTED_VALUE"""),"ROCHE (VIROLOGY)")</f>
        <v>ROCHE (VIROLOGY)</v>
      </c>
    </row>
    <row r="2740" ht="16.5" customHeight="1">
      <c r="H2740" s="1" t="str">
        <f>IFERROR(__xludf.DUMMYFUNCTION("""COMPUTED_VALUE"""),"Roche Products India Pvt Ltd")</f>
        <v>Roche Products India Pvt Ltd</v>
      </c>
    </row>
    <row r="2741" ht="16.5" customHeight="1">
      <c r="H2741" s="1" t="str">
        <f>IFERROR(__xludf.DUMMYFUNCTION("""COMPUTED_VALUE"""),"ROCKMED PHARMA P LTD")</f>
        <v>ROCKMED PHARMA P LTD</v>
      </c>
    </row>
    <row r="2742" ht="16.5" customHeight="1">
      <c r="H2742" s="1" t="str">
        <f>IFERROR(__xludf.DUMMYFUNCTION("""COMPUTED_VALUE"""),"ROHAN HERBAL")</f>
        <v>ROHAN HERBAL</v>
      </c>
    </row>
    <row r="2743" ht="16.5" customHeight="1">
      <c r="H2743" s="1" t="str">
        <f>IFERROR(__xludf.DUMMYFUNCTION("""COMPUTED_VALUE"""),"ROLLICK HEALTHCARE PVT LTD")</f>
        <v>ROLLICK HEALTHCARE PVT LTD</v>
      </c>
    </row>
    <row r="2744" ht="16.5" customHeight="1">
      <c r="H2744" s="1" t="str">
        <f>IFERROR(__xludf.DUMMYFUNCTION("""COMPUTED_VALUE"""),"ROMA HEALTHCARE")</f>
        <v>ROMA HEALTHCARE</v>
      </c>
    </row>
    <row r="2745" ht="16.5" customHeight="1">
      <c r="H2745" s="1" t="str">
        <f>IFERROR(__xludf.DUMMYFUNCTION("""COMPUTED_VALUE"""),"ROMSONS SCIENTIFIC AND SURGICAL P LTD")</f>
        <v>ROMSONS SCIENTIFIC AND SURGICAL P LTD</v>
      </c>
    </row>
    <row r="2746" ht="16.5" customHeight="1">
      <c r="H2746" s="1" t="str">
        <f>IFERROR(__xludf.DUMMYFUNCTION("""COMPUTED_VALUE"""),"RONALD PHARMACUTICALS")</f>
        <v>RONALD PHARMACUTICALS</v>
      </c>
    </row>
    <row r="2747" ht="16.5" customHeight="1">
      <c r="H2747" s="1" t="str">
        <f>IFERROR(__xludf.DUMMYFUNCTION("""COMPUTED_VALUE"""),"RONAM HEALTHCARE PVT LTD")</f>
        <v>RONAM HEALTHCARE PVT LTD</v>
      </c>
    </row>
    <row r="2748" ht="16.5" customHeight="1">
      <c r="H2748" s="1" t="str">
        <f>IFERROR(__xludf.DUMMYFUNCTION("""COMPUTED_VALUE"""),"ROOTS &amp; HERBS")</f>
        <v>ROOTS &amp; HERBS</v>
      </c>
    </row>
    <row r="2749" ht="16.5" customHeight="1">
      <c r="H2749" s="1" t="str">
        <f>IFERROR(__xludf.DUMMYFUNCTION("""COMPUTED_VALUE"""),"ROSELABS BIOSCIENCE LTD")</f>
        <v>ROSELABS BIOSCIENCE LTD</v>
      </c>
    </row>
    <row r="2750" ht="16.5" customHeight="1">
      <c r="H2750" s="1" t="str">
        <f>IFERROR(__xludf.DUMMYFUNCTION("""COMPUTED_VALUE"""),"ROSSWELL")</f>
        <v>ROSSWELL</v>
      </c>
    </row>
    <row r="2751" ht="16.5" customHeight="1">
      <c r="H2751" s="1" t="str">
        <f>IFERROR(__xludf.DUMMYFUNCTION("""COMPUTED_VALUE"""),"ROSSWELT BIOSCIENCES PVT LTD")</f>
        <v>ROSSWELT BIOSCIENCES PVT LTD</v>
      </c>
    </row>
    <row r="2752" ht="16.5" customHeight="1">
      <c r="H2752" s="1" t="str">
        <f>IFERROR(__xludf.DUMMYFUNCTION("""COMPUTED_VALUE"""),"ROUSSEL INDIA LIMITED")</f>
        <v>ROUSSEL INDIA LIMITED</v>
      </c>
    </row>
    <row r="2753" ht="16.5" customHeight="1">
      <c r="H2753" s="1" t="str">
        <f>IFERROR(__xludf.DUMMYFUNCTION("""COMPUTED_VALUE"""),"ROUSSET BIOTECH")</f>
        <v>ROUSSET BIOTECH</v>
      </c>
    </row>
    <row r="2754" ht="16.5" customHeight="1">
      <c r="H2754" s="1" t="str">
        <f>IFERROR(__xludf.DUMMYFUNCTION("""COMPUTED_VALUE"""),"ROUZEL PHARMA")</f>
        <v>ROUZEL PHARMA</v>
      </c>
    </row>
    <row r="2755" ht="16.5" customHeight="1">
      <c r="H2755" s="1" t="str">
        <f>IFERROR(__xludf.DUMMYFUNCTION("""COMPUTED_VALUE"""),"ROWLINGES LIFE SCIENCES")</f>
        <v>ROWLINGES LIFE SCIENCES</v>
      </c>
    </row>
    <row r="2756" ht="16.5" customHeight="1">
      <c r="H2756" s="1" t="str">
        <f>IFERROR(__xludf.DUMMYFUNCTION("""COMPUTED_VALUE"""),"ROYAL BEE NATURAL PRODUCTS")</f>
        <v>ROYAL BEE NATURAL PRODUCTS</v>
      </c>
    </row>
    <row r="2757" ht="16.5" customHeight="1">
      <c r="H2757" s="1" t="str">
        <f>IFERROR(__xludf.DUMMYFUNCTION("""COMPUTED_VALUE"""),"ROYAL HEALTHCARE")</f>
        <v>ROYAL HEALTHCARE</v>
      </c>
    </row>
    <row r="2758" ht="16.5" customHeight="1">
      <c r="H2758" s="1" t="str">
        <f>IFERROR(__xludf.DUMMYFUNCTION("""COMPUTED_VALUE"""),"RP")</f>
        <v>RP</v>
      </c>
    </row>
    <row r="2759" ht="16.5" customHeight="1">
      <c r="H2759" s="1" t="str">
        <f>IFERROR(__xludf.DUMMYFUNCTION("""COMPUTED_VALUE"""),"RPG (SEARLE)")</f>
        <v>RPG (SEARLE)</v>
      </c>
    </row>
    <row r="2760" ht="16.5" customHeight="1">
      <c r="H2760" s="1" t="str">
        <f>IFERROR(__xludf.DUMMYFUNCTION("""COMPUTED_VALUE"""),"RPG Life Sciences (NEPHRO)")</f>
        <v>RPG Life Sciences (NEPHRO)</v>
      </c>
    </row>
    <row r="2761" ht="16.5" customHeight="1">
      <c r="H2761" s="1" t="str">
        <f>IFERROR(__xludf.DUMMYFUNCTION("""COMPUTED_VALUE"""),"RPG Life Sciences Ltd")</f>
        <v>RPG Life Sciences Ltd</v>
      </c>
    </row>
    <row r="2762" ht="16.5" customHeight="1">
      <c r="H2762" s="1" t="str">
        <f>IFERROR(__xludf.DUMMYFUNCTION("""COMPUTED_VALUE"""),"RSBP")</f>
        <v>RSBP</v>
      </c>
    </row>
    <row r="2763" ht="16.5" customHeight="1">
      <c r="H2763" s="1" t="str">
        <f>IFERROR(__xludf.DUMMYFUNCTION("""COMPUTED_VALUE"""),"RUBRA PHARMACEUTICALS")</f>
        <v>RUBRA PHARMACEUTICALS</v>
      </c>
    </row>
    <row r="2764" ht="16.5" customHeight="1">
      <c r="H2764" s="1" t="str">
        <f>IFERROR(__xludf.DUMMYFUNCTION("""COMPUTED_VALUE"""),"RUPAK ENTERPRISES PVT LTD")</f>
        <v>RUPAK ENTERPRISES PVT LTD</v>
      </c>
    </row>
    <row r="2765" ht="16.5" customHeight="1">
      <c r="H2765" s="1" t="str">
        <f>IFERROR(__xludf.DUMMYFUNCTION("""COMPUTED_VALUE"""),"RUSAN HEALTHCARE PVT LTD")</f>
        <v>RUSAN HEALTHCARE PVT LTD</v>
      </c>
    </row>
    <row r="2766" ht="16.5" customHeight="1">
      <c r="H2766" s="1" t="str">
        <f>IFERROR(__xludf.DUMMYFUNCTION("""COMPUTED_VALUE"""),"RUSAN PHARMA")</f>
        <v>RUSAN PHARMA</v>
      </c>
    </row>
    <row r="2767" ht="16.5" customHeight="1">
      <c r="H2767" s="1" t="str">
        <f>IFERROR(__xludf.DUMMYFUNCTION("""COMPUTED_VALUE"""),"Rusi Remedies P Ltd")</f>
        <v>Rusi Remedies P Ltd</v>
      </c>
    </row>
    <row r="2768" ht="16.5" customHeight="1">
      <c r="H2768" s="1" t="str">
        <f>IFERROR(__xludf.DUMMYFUNCTION("""COMPUTED_VALUE"""),"RUSLAN NOVO PHARMACEUTICALS")</f>
        <v>RUSLAN NOVO PHARMACEUTICALS</v>
      </c>
    </row>
    <row r="2769" ht="16.5" customHeight="1">
      <c r="H2769" s="1" t="str">
        <f>IFERROR(__xludf.DUMMYFUNCTION("""COMPUTED_VALUE"""),"RUSLAN NOVO PHARMACIAUTICALS")</f>
        <v>RUSLAN NOVO PHARMACIAUTICALS</v>
      </c>
    </row>
    <row r="2770" ht="16.5" customHeight="1">
      <c r="H2770" s="1" t="str">
        <f>IFERROR(__xludf.DUMMYFUNCTION("""COMPUTED_VALUE"""),"RUSOMA LABORATORIES PVT LTD")</f>
        <v>RUSOMA LABORATORIES PVT LTD</v>
      </c>
    </row>
    <row r="2771" ht="16.5" customHeight="1">
      <c r="H2771" s="1" t="str">
        <f>IFERROR(__xludf.DUMMYFUNCTION("""COMPUTED_VALUE"""),"RUTURAJ AYURVEDIC GRUH UDHYOG")</f>
        <v>RUTURAJ AYURVEDIC GRUH UDHYOG</v>
      </c>
    </row>
    <row r="2772" ht="16.5" customHeight="1">
      <c r="H2772" s="1" t="str">
        <f>IFERROR(__xludf.DUMMYFUNCTION("""COMPUTED_VALUE"""),"RYAN HEALTHCARE")</f>
        <v>RYAN HEALTHCARE</v>
      </c>
    </row>
    <row r="2773" ht="16.5" customHeight="1">
      <c r="H2773" s="1" t="str">
        <f>IFERROR(__xludf.DUMMYFUNCTION("""COMPUTED_VALUE"""),"RYZE LIFECARE")</f>
        <v>RYZE LIFECARE</v>
      </c>
    </row>
    <row r="2774" ht="16.5" customHeight="1">
      <c r="H2774" s="1" t="str">
        <f>IFERROR(__xludf.DUMMYFUNCTION("""COMPUTED_VALUE"""),"S A REMEDIES")</f>
        <v>S A REMEDIES</v>
      </c>
    </row>
    <row r="2775" ht="16.5" customHeight="1">
      <c r="H2775" s="1" t="str">
        <f>IFERROR(__xludf.DUMMYFUNCTION("""COMPUTED_VALUE"""),"S ABDUR RASHEED")</f>
        <v>S ABDUR RASHEED</v>
      </c>
    </row>
    <row r="2776" ht="16.5" customHeight="1">
      <c r="H2776" s="1" t="str">
        <f>IFERROR(__xludf.DUMMYFUNCTION("""COMPUTED_VALUE"""),"S R BIOTECH")</f>
        <v>S R BIOTECH</v>
      </c>
    </row>
    <row r="2777" ht="16.5" customHeight="1">
      <c r="H2777" s="1" t="str">
        <f>IFERROR(__xludf.DUMMYFUNCTION("""COMPUTED_VALUE"""),"S R PHARMACEUTICALS")</f>
        <v>S R PHARMACEUTICALS</v>
      </c>
    </row>
    <row r="2778" ht="16.5" customHeight="1">
      <c r="H2778" s="1" t="str">
        <f>IFERROR(__xludf.DUMMYFUNCTION("""COMPUTED_VALUE"""),"S V BIOVAC PHARMACEUTICALS")</f>
        <v>S V BIOVAC PHARMACEUTICALS</v>
      </c>
    </row>
    <row r="2779" ht="16.5" customHeight="1">
      <c r="H2779" s="1" t="str">
        <f>IFERROR(__xludf.DUMMYFUNCTION("""COMPUTED_VALUE"""),"S.K.J.S. PHARMACEUTICALS")</f>
        <v>S.K.J.S. PHARMACEUTICALS</v>
      </c>
    </row>
    <row r="2780" ht="16.5" customHeight="1">
      <c r="H2780" s="1" t="str">
        <f>IFERROR(__xludf.DUMMYFUNCTION("""COMPUTED_VALUE"""),"SAC PHARMACEUTICAL")</f>
        <v>SAC PHARMACEUTICAL</v>
      </c>
    </row>
    <row r="2781" ht="16.5" customHeight="1">
      <c r="H2781" s="1" t="str">
        <f>IFERROR(__xludf.DUMMYFUNCTION("""COMPUTED_VALUE"""),"SACHIO PHARMA PVT LTD")</f>
        <v>SACHIO PHARMA PVT LTD</v>
      </c>
    </row>
    <row r="2782" ht="16.5" customHeight="1">
      <c r="H2782" s="1" t="str">
        <f>IFERROR(__xludf.DUMMYFUNCTION("""COMPUTED_VALUE"""),"SAF FERMION (NUVO)")</f>
        <v>SAF FERMION (NUVO)</v>
      </c>
    </row>
    <row r="2783" ht="16.5" customHeight="1">
      <c r="H2783" s="1" t="str">
        <f>IFERROR(__xludf.DUMMYFUNCTION("""COMPUTED_VALUE"""),"SAF Fermion Ltd")</f>
        <v>SAF Fermion Ltd</v>
      </c>
    </row>
    <row r="2784" ht="16.5" customHeight="1">
      <c r="H2784" s="1" t="str">
        <f>IFERROR(__xludf.DUMMYFUNCTION("""COMPUTED_VALUE"""),"SAFFRON FORMULATION")</f>
        <v>SAFFRON FORMULATION</v>
      </c>
    </row>
    <row r="2785" ht="16.5" customHeight="1">
      <c r="H2785" s="1" t="str">
        <f>IFERROR(__xludf.DUMMYFUNCTION("""COMPUTED_VALUE"""),"Saffron Therapeutics Pvt Ltd")</f>
        <v>Saffron Therapeutics Pvt Ltd</v>
      </c>
    </row>
    <row r="2786" ht="16.5" customHeight="1">
      <c r="H2786" s="1" t="str">
        <f>IFERROR(__xludf.DUMMYFUNCTION("""COMPUTED_VALUE"""),"SAG HEALTH SCIENCE PVT LTD")</f>
        <v>SAG HEALTH SCIENCE PVT LTD</v>
      </c>
    </row>
    <row r="2787" ht="16.5" customHeight="1">
      <c r="H2787" s="1" t="str">
        <f>IFERROR(__xludf.DUMMYFUNCTION("""COMPUTED_VALUE"""),"SAGA LABORATORIES")</f>
        <v>SAGA LABORATORIES</v>
      </c>
    </row>
    <row r="2788" ht="16.5" customHeight="1">
      <c r="H2788" s="1" t="str">
        <f>IFERROR(__xludf.DUMMYFUNCTION("""COMPUTED_VALUE"""),"SAGE NUTRAVEDICS")</f>
        <v>SAGE NUTRAVEDICS</v>
      </c>
    </row>
    <row r="2789" ht="16.5" customHeight="1">
      <c r="H2789" s="1" t="str">
        <f>IFERROR(__xludf.DUMMYFUNCTION("""COMPUTED_VALUE"""),"SAHAJANAND HEALTH CARE (SHC)")</f>
        <v>SAHAJANAND HEALTH CARE (SHC)</v>
      </c>
    </row>
    <row r="2790" ht="16.5" customHeight="1">
      <c r="H2790" s="1" t="str">
        <f>IFERROR(__xludf.DUMMYFUNCTION("""COMPUTED_VALUE"""),"SAHAJANAND HERBALS")</f>
        <v>SAHAJANAND HERBALS</v>
      </c>
    </row>
    <row r="2791" ht="16.5" customHeight="1">
      <c r="H2791" s="1" t="str">
        <f>IFERROR(__xludf.DUMMYFUNCTION("""COMPUTED_VALUE"""),"SAIBOON LIFECARE")</f>
        <v>SAIBOON LIFECARE</v>
      </c>
    </row>
    <row r="2792" ht="16.5" customHeight="1">
      <c r="H2792" s="1" t="str">
        <f>IFERROR(__xludf.DUMMYFUNCTION("""COMPUTED_VALUE"""),"SAIFA SEVAAASHRAM")</f>
        <v>SAIFA SEVAAASHRAM</v>
      </c>
    </row>
    <row r="2793" ht="16.5" customHeight="1">
      <c r="H2793" s="1" t="str">
        <f>IFERROR(__xludf.DUMMYFUNCTION("""COMPUTED_VALUE"""),"SAIN MICHEAL BIOTECH")</f>
        <v>SAIN MICHEAL BIOTECH</v>
      </c>
    </row>
    <row r="2794" ht="16.5" customHeight="1">
      <c r="H2794" s="1" t="str">
        <f>IFERROR(__xludf.DUMMYFUNCTION("""COMPUTED_VALUE"""),"SAINTLIFE PHARMACEUTICALS LTD")</f>
        <v>SAINTLIFE PHARMACEUTICALS LTD</v>
      </c>
    </row>
    <row r="2795" ht="16.5" customHeight="1">
      <c r="H2795" s="1" t="str">
        <f>IFERROR(__xludf.DUMMYFUNCTION("""COMPUTED_VALUE"""),"SAITECH MEDICARE PVT.LTD.K")</f>
        <v>SAITECH MEDICARE PVT.LTD.K</v>
      </c>
    </row>
    <row r="2796" ht="16.5" customHeight="1">
      <c r="H2796" s="1" t="str">
        <f>IFERROR(__xludf.DUMMYFUNCTION("""COMPUTED_VALUE"""),"SALASAR BLESSED HERBALS")</f>
        <v>SALASAR BLESSED HERBALS</v>
      </c>
    </row>
    <row r="2797" ht="16.5" customHeight="1">
      <c r="H2797" s="1" t="str">
        <f>IFERROR(__xludf.DUMMYFUNCTION("""COMPUTED_VALUE"""),"SALASAR PHARMACEUTICALS")</f>
        <v>SALASAR PHARMACEUTICALS</v>
      </c>
    </row>
    <row r="2798" ht="16.5" customHeight="1">
      <c r="H2798" s="1" t="str">
        <f>IFERROR(__xludf.DUMMYFUNCTION("""COMPUTED_VALUE"""),"SALIUS PHARMA PVT LTD")</f>
        <v>SALIUS PHARMA PVT LTD</v>
      </c>
    </row>
    <row r="2799" ht="16.5" customHeight="1">
      <c r="H2799" s="1" t="str">
        <f>IFERROR(__xludf.DUMMYFUNCTION("""COMPUTED_VALUE"""),"Salud Care India Pvt Ltd")</f>
        <v>Salud Care India Pvt Ltd</v>
      </c>
    </row>
    <row r="2800" ht="16.5" customHeight="1">
      <c r="H2800" s="1" t="str">
        <f>IFERROR(__xludf.DUMMYFUNCTION("""COMPUTED_VALUE"""),"SALUTE")</f>
        <v>SALUTE</v>
      </c>
    </row>
    <row r="2801" ht="16.5" customHeight="1">
      <c r="H2801" s="1" t="str">
        <f>IFERROR(__xludf.DUMMYFUNCTION("""COMPUTED_VALUE"""),"SALVADOR BIOTECH")</f>
        <v>SALVADOR BIOTECH</v>
      </c>
    </row>
    <row r="2802" ht="16.5" customHeight="1">
      <c r="H2802" s="1" t="str">
        <f>IFERROR(__xludf.DUMMYFUNCTION("""COMPUTED_VALUE"""),"SALVEO LIFE SCIENCES LTD")</f>
        <v>SALVEO LIFE SCIENCES LTD</v>
      </c>
    </row>
    <row r="2803" ht="16.5" customHeight="1">
      <c r="H2803" s="1" t="str">
        <f>IFERROR(__xludf.DUMMYFUNCTION("""COMPUTED_VALUE"""),"SAMARTH LIFE SCIENCES")</f>
        <v>SAMARTH LIFE SCIENCES</v>
      </c>
    </row>
    <row r="2804" ht="16.5" customHeight="1">
      <c r="H2804" s="1" t="str">
        <f>IFERROR(__xludf.DUMMYFUNCTION("""COMPUTED_VALUE"""),"SAMARTH PHARMA")</f>
        <v>SAMARTH PHARMA</v>
      </c>
    </row>
    <row r="2805" ht="16.5" customHeight="1">
      <c r="H2805" s="1" t="str">
        <f>IFERROR(__xludf.DUMMYFUNCTION("""COMPUTED_VALUE"""),"SAMARTH PHARMA (ANCARD)")</f>
        <v>SAMARTH PHARMA (ANCARD)</v>
      </c>
    </row>
    <row r="2806" ht="16.5" customHeight="1">
      <c r="H2806" s="1" t="str">
        <f>IFERROR(__xludf.DUMMYFUNCTION("""COMPUTED_VALUE"""),"SAMARTH PHARMA (CRITIGEN)")</f>
        <v>SAMARTH PHARMA (CRITIGEN)</v>
      </c>
    </row>
    <row r="2807" ht="16.5" customHeight="1">
      <c r="H2807" s="1" t="str">
        <f>IFERROR(__xludf.DUMMYFUNCTION("""COMPUTED_VALUE"""),"SAMARTH PHARMA (EUGENIC)")</f>
        <v>SAMARTH PHARMA (EUGENIC)</v>
      </c>
    </row>
    <row r="2808" ht="16.5" customHeight="1">
      <c r="H2808" s="1" t="str">
        <f>IFERROR(__xludf.DUMMYFUNCTION("""COMPUTED_VALUE"""),"SAMARTH PHARMA (SAMGEN)")</f>
        <v>SAMARTH PHARMA (SAMGEN)</v>
      </c>
    </row>
    <row r="2809" ht="16.5" customHeight="1">
      <c r="H2809" s="1" t="str">
        <f>IFERROR(__xludf.DUMMYFUNCTION("""COMPUTED_VALUE"""),"SAMAY SURGICALS")</f>
        <v>SAMAY SURGICALS</v>
      </c>
    </row>
    <row r="2810" ht="16.5" customHeight="1">
      <c r="H2810" s="1" t="str">
        <f>IFERROR(__xludf.DUMMYFUNCTION("""COMPUTED_VALUE"""),"SAMKEM PHARMACEUTICALS PVT LTD")</f>
        <v>SAMKEM PHARMACEUTICALS PVT LTD</v>
      </c>
    </row>
    <row r="2811" ht="16.5" customHeight="1">
      <c r="H2811" s="1" t="str">
        <f>IFERROR(__xludf.DUMMYFUNCTION("""COMPUTED_VALUE"""),"SAMSON LAB P LTD, SOLAN")</f>
        <v>SAMSON LAB P LTD, SOLAN</v>
      </c>
    </row>
    <row r="2812" ht="16.5" customHeight="1">
      <c r="H2812" s="1" t="str">
        <f>IFERROR(__xludf.DUMMYFUNCTION("""COMPUTED_VALUE"""),"SAMTECH REMEDIES")</f>
        <v>SAMTECH REMEDIES</v>
      </c>
    </row>
    <row r="2813" ht="16.5" customHeight="1">
      <c r="H2813" s="1" t="str">
        <f>IFERROR(__xludf.DUMMYFUNCTION("""COMPUTED_VALUE"""),"SANA GENETICA")</f>
        <v>SANA GENETICA</v>
      </c>
    </row>
    <row r="2814" ht="16.5" customHeight="1">
      <c r="H2814" s="1" t="str">
        <f>IFERROR(__xludf.DUMMYFUNCTION("""COMPUTED_VALUE"""),"Sanat Products Ltd")</f>
        <v>Sanat Products Ltd</v>
      </c>
    </row>
    <row r="2815" ht="16.5" customHeight="1">
      <c r="H2815" s="1" t="str">
        <f>IFERROR(__xludf.DUMMYFUNCTION("""COMPUTED_VALUE"""),"Sanctus Global")</f>
        <v>Sanctus Global</v>
      </c>
    </row>
    <row r="2816" ht="16.5" customHeight="1">
      <c r="H2816" s="1" t="str">
        <f>IFERROR(__xludf.DUMMYFUNCTION("""COMPUTED_VALUE"""),"SANDOZ (GENERIC)")</f>
        <v>SANDOZ (GENERIC)</v>
      </c>
    </row>
    <row r="2817" ht="16.5" customHeight="1">
      <c r="H2817" s="1" t="str">
        <f>IFERROR(__xludf.DUMMYFUNCTION("""COMPUTED_VALUE"""),"SANDU BROTHERS")</f>
        <v>SANDU BROTHERS</v>
      </c>
    </row>
    <row r="2818" ht="16.5" customHeight="1">
      <c r="H2818" s="1" t="str">
        <f>IFERROR(__xludf.DUMMYFUNCTION("""COMPUTED_VALUE"""),"SANIFY HEALTHCARE")</f>
        <v>SANIFY HEALTHCARE</v>
      </c>
    </row>
    <row r="2819" ht="16.5" customHeight="1">
      <c r="H2819" s="1" t="str">
        <f>IFERROR(__xludf.DUMMYFUNCTION("""COMPUTED_VALUE"""),"SANITY PHARMA")</f>
        <v>SANITY PHARMA</v>
      </c>
    </row>
    <row r="2820" ht="16.5" customHeight="1">
      <c r="H2820" s="1" t="str">
        <f>IFERROR(__xludf.DUMMYFUNCTION("""COMPUTED_VALUE"""),"SANIX FORMULATION PVT LTD")</f>
        <v>SANIX FORMULATION PVT LTD</v>
      </c>
    </row>
    <row r="2821" ht="16.5" customHeight="1">
      <c r="H2821" s="1" t="str">
        <f>IFERROR(__xludf.DUMMYFUNCTION("""COMPUTED_VALUE"""),"SANJIVNI PARENTERAL")</f>
        <v>SANJIVNI PARENTERAL</v>
      </c>
    </row>
    <row r="2822" ht="16.5" customHeight="1">
      <c r="H2822" s="1" t="str">
        <f>IFERROR(__xludf.DUMMYFUNCTION("""COMPUTED_VALUE"""),"SANMATI UDYOG")</f>
        <v>SANMATI UDYOG</v>
      </c>
    </row>
    <row r="2823" ht="16.5" customHeight="1">
      <c r="H2823" s="1" t="str">
        <f>IFERROR(__xludf.DUMMYFUNCTION("""COMPUTED_VALUE"""),"SANOFI GENZYME")</f>
        <v>SANOFI GENZYME</v>
      </c>
    </row>
    <row r="2824" ht="16.5" customHeight="1">
      <c r="H2824" s="1" t="str">
        <f>IFERROR(__xludf.DUMMYFUNCTION("""COMPUTED_VALUE"""),"Sanofi India Ltd")</f>
        <v>Sanofi India Ltd</v>
      </c>
    </row>
    <row r="2825" ht="16.5" customHeight="1">
      <c r="H2825" s="1" t="str">
        <f>IFERROR(__xludf.DUMMYFUNCTION("""COMPUTED_VALUE"""),"SANOFI PASTEUR")</f>
        <v>SANOFI PASTEUR</v>
      </c>
    </row>
    <row r="2826" ht="16.5" customHeight="1">
      <c r="H2826" s="1" t="str">
        <f>IFERROR(__xludf.DUMMYFUNCTION("""COMPUTED_VALUE"""),"SANTIAGO LIFE SCIENCES")</f>
        <v>SANTIAGO LIFE SCIENCES</v>
      </c>
    </row>
    <row r="2827" ht="16.5" customHeight="1">
      <c r="H2827" s="1" t="str">
        <f>IFERROR(__xludf.DUMMYFUNCTION("""COMPUTED_VALUE"""),"SANTO MEDI SCIENCES")</f>
        <v>SANTO MEDI SCIENCES</v>
      </c>
    </row>
    <row r="2828" ht="16.5" customHeight="1">
      <c r="H2828" s="1" t="str">
        <f>IFERROR(__xludf.DUMMYFUNCTION("""COMPUTED_VALUE"""),"SANZYME (ART)")</f>
        <v>SANZYME (ART)</v>
      </c>
    </row>
    <row r="2829" ht="16.5" customHeight="1">
      <c r="H2829" s="1" t="str">
        <f>IFERROR(__xludf.DUMMYFUNCTION("""COMPUTED_VALUE"""),"Sanzyme Ltd (NEPHRO URO)")</f>
        <v>Sanzyme Ltd (NEPHRO URO)</v>
      </c>
    </row>
    <row r="2830" ht="16.5" customHeight="1">
      <c r="H2830" s="1" t="str">
        <f>IFERROR(__xludf.DUMMYFUNCTION("""COMPUTED_VALUE"""),"Sanzyme Ltd (UNI SANKYO)")</f>
        <v>Sanzyme Ltd (UNI SANKYO)</v>
      </c>
    </row>
    <row r="2831" ht="16.5" customHeight="1">
      <c r="H2831" s="1" t="str">
        <f>IFERROR(__xludf.DUMMYFUNCTION("""COMPUTED_VALUE"""),"Sanzyme Ltd (ZEST)")</f>
        <v>Sanzyme Ltd (ZEST)</v>
      </c>
    </row>
    <row r="2832" ht="16.5" customHeight="1">
      <c r="H2832" s="1" t="str">
        <f>IFERROR(__xludf.DUMMYFUNCTION("""COMPUTED_VALUE"""),"SAPAT &amp; COMPANY")</f>
        <v>SAPAT &amp; COMPANY</v>
      </c>
    </row>
    <row r="2833" ht="16.5" customHeight="1">
      <c r="H2833" s="1" t="str">
        <f>IFERROR(__xludf.DUMMYFUNCTION("""COMPUTED_VALUE"""),"SAPHNIX LIFE SCIENCES")</f>
        <v>SAPHNIX LIFE SCIENCES</v>
      </c>
    </row>
    <row r="2834" ht="16.5" customHeight="1">
      <c r="H2834" s="1" t="str">
        <f>IFERROR(__xludf.DUMMYFUNCTION("""COMPUTED_VALUE"""),"SAPIENT LABORATORIES")</f>
        <v>SAPIENT LABORATORIES</v>
      </c>
    </row>
    <row r="2835" ht="16.5" customHeight="1">
      <c r="H2835" s="1" t="str">
        <f>IFERROR(__xludf.DUMMYFUNCTION("""COMPUTED_VALUE"""),"SARA LIFE SCIENCE")</f>
        <v>SARA LIFE SCIENCE</v>
      </c>
    </row>
    <row r="2836" ht="16.5" customHeight="1">
      <c r="H2836" s="1" t="str">
        <f>IFERROR(__xludf.DUMMYFUNCTION("""COMPUTED_VALUE"""),"SARA REMEDIES LTD")</f>
        <v>SARA REMEDIES LTD</v>
      </c>
    </row>
    <row r="2837" ht="16.5" customHeight="1">
      <c r="H2837" s="1" t="str">
        <f>IFERROR(__xludf.DUMMYFUNCTION("""COMPUTED_VALUE"""),"SARABHAI CHEMICALS")</f>
        <v>SARABHAI CHEMICALS</v>
      </c>
    </row>
    <row r="2838" ht="16.5" customHeight="1">
      <c r="H2838" s="1" t="str">
        <f>IFERROR(__xludf.DUMMYFUNCTION("""COMPUTED_VALUE"""),"SARANSH PHARMACEUTICALS")</f>
        <v>SARANSH PHARMACEUTICALS</v>
      </c>
    </row>
    <row r="2839" ht="16.5" customHeight="1">
      <c r="H2839" s="1" t="str">
        <f>IFERROR(__xludf.DUMMYFUNCTION("""COMPUTED_VALUE"""),"SARIAN HEALTHCARE")</f>
        <v>SARIAN HEALTHCARE</v>
      </c>
    </row>
    <row r="2840" ht="16.5" customHeight="1">
      <c r="H2840" s="1" t="str">
        <f>IFERROR(__xludf.DUMMYFUNCTION("""COMPUTED_VALUE"""),"SARTHAK BIOTECHNICS")</f>
        <v>SARTHAK BIOTECHNICS</v>
      </c>
    </row>
    <row r="2841" ht="16.5" customHeight="1">
      <c r="H2841" s="1" t="str">
        <f>IFERROR(__xludf.DUMMYFUNCTION("""COMPUTED_VALUE"""),"SAS BIOSYNTH")</f>
        <v>SAS BIOSYNTH</v>
      </c>
    </row>
    <row r="2842" ht="16.5" customHeight="1">
      <c r="H2842" s="1" t="str">
        <f>IFERROR(__xludf.DUMMYFUNCTION("""COMPUTED_VALUE"""),"SATNAM HERBALS")</f>
        <v>SATNAM HERBALS</v>
      </c>
    </row>
    <row r="2843" ht="16.5" customHeight="1">
      <c r="H2843" s="1" t="str">
        <f>IFERROR(__xludf.DUMMYFUNCTION("""COMPUTED_VALUE"""),"SATURN LAB")</f>
        <v>SATURN LAB</v>
      </c>
    </row>
    <row r="2844" ht="16.5" customHeight="1">
      <c r="H2844" s="1" t="str">
        <f>IFERROR(__xludf.DUMMYFUNCTION("""COMPUTED_VALUE"""),"SATYAM HEALTHCARE P.LTD.")</f>
        <v>SATYAM HEALTHCARE P.LTD.</v>
      </c>
    </row>
    <row r="2845" ht="16.5" customHeight="1">
      <c r="H2845" s="1" t="str">
        <f>IFERROR(__xludf.DUMMYFUNCTION("""COMPUTED_VALUE"""),"SATYAM OPHTHALMICS")</f>
        <v>SATYAM OPHTHALMICS</v>
      </c>
    </row>
    <row r="2846" ht="16.5" customHeight="1">
      <c r="H2846" s="1" t="str">
        <f>IFERROR(__xludf.DUMMYFUNCTION("""COMPUTED_VALUE"""),"SATYAM REMEDIES")</f>
        <v>SATYAM REMEDIES</v>
      </c>
    </row>
    <row r="2847" ht="16.5" customHeight="1">
      <c r="H2847" s="1" t="str">
        <f>IFERROR(__xludf.DUMMYFUNCTION("""COMPUTED_VALUE"""),"SAVA MEDICA LTD")</f>
        <v>SAVA MEDICA LTD</v>
      </c>
    </row>
    <row r="2848" ht="16.5" customHeight="1">
      <c r="H2848" s="1" t="str">
        <f>IFERROR(__xludf.DUMMYFUNCTION("""COMPUTED_VALUE"""),"SAVESOL PHARMA")</f>
        <v>SAVESOL PHARMA</v>
      </c>
    </row>
    <row r="2849" ht="16.5" customHeight="1">
      <c r="H2849" s="1" t="str">
        <f>IFERROR(__xludf.DUMMYFUNCTION("""COMPUTED_VALUE"""),"SAYRE THERAPEUTICS")</f>
        <v>SAYRE THERAPEUTICS</v>
      </c>
    </row>
    <row r="2850" ht="16.5" customHeight="1">
      <c r="H2850" s="1" t="str">
        <f>IFERROR(__xludf.DUMMYFUNCTION("""COMPUTED_VALUE"""),"SAYUJYA PHARMACEUTICALS")</f>
        <v>SAYUJYA PHARMACEUTICALS</v>
      </c>
    </row>
    <row r="2851" ht="16.5" customHeight="1">
      <c r="H2851" s="1" t="str">
        <f>IFERROR(__xludf.DUMMYFUNCTION("""COMPUTED_VALUE"""),"SB LIFESCIENCE")</f>
        <v>SB LIFESCIENCE</v>
      </c>
    </row>
    <row r="2852" ht="16.5" customHeight="1">
      <c r="H2852" s="1" t="str">
        <f>IFERROR(__xludf.DUMMYFUNCTION("""COMPUTED_VALUE"""),"Sbeed Pharmaceuticals")</f>
        <v>Sbeed Pharmaceuticals</v>
      </c>
    </row>
    <row r="2853" ht="16.5" customHeight="1">
      <c r="H2853" s="1" t="str">
        <f>IFERROR(__xludf.DUMMYFUNCTION("""COMPUTED_VALUE"""),"SBL")</f>
        <v>SBL</v>
      </c>
    </row>
    <row r="2854" ht="16.5" customHeight="1">
      <c r="H2854" s="1" t="str">
        <f>IFERROR(__xludf.DUMMYFUNCTION("""COMPUTED_VALUE"""),"SBS BIOTECH")</f>
        <v>SBS BIOTECH</v>
      </c>
    </row>
    <row r="2855" ht="16.5" customHeight="1">
      <c r="H2855" s="1" t="str">
        <f>IFERROR(__xludf.DUMMYFUNCTION("""COMPUTED_VALUE"""),"SCALA PHARMACEUTICALS")</f>
        <v>SCALA PHARMACEUTICALS</v>
      </c>
    </row>
    <row r="2856" ht="16.5" customHeight="1">
      <c r="H2856" s="1" t="str">
        <f>IFERROR(__xludf.DUMMYFUNCTION("""COMPUTED_VALUE"""),"SCHNELLER HEATHCARE")</f>
        <v>SCHNELLER HEATHCARE</v>
      </c>
    </row>
    <row r="2857" ht="16.5" customHeight="1">
      <c r="H2857" s="1" t="str">
        <f>IFERROR(__xludf.DUMMYFUNCTION("""COMPUTED_VALUE"""),"SCHON PHARMACEUTICALS LTD")</f>
        <v>SCHON PHARMACEUTICALS LTD</v>
      </c>
    </row>
    <row r="2858" ht="16.5" customHeight="1">
      <c r="H2858" s="1" t="str">
        <f>IFERROR(__xludf.DUMMYFUNCTION("""COMPUTED_VALUE"""),"SCORRTIS PHARMA")</f>
        <v>SCORRTIS PHARMA</v>
      </c>
    </row>
    <row r="2859" ht="16.5" customHeight="1">
      <c r="H2859" s="1" t="str">
        <f>IFERROR(__xludf.DUMMYFUNCTION("""COMPUTED_VALUE"""),"SCOT DERMA PVT LTD")</f>
        <v>SCOT DERMA PVT LTD</v>
      </c>
    </row>
    <row r="2860" ht="16.5" customHeight="1">
      <c r="H2860" s="1" t="str">
        <f>IFERROR(__xludf.DUMMYFUNCTION("""COMPUTED_VALUE"""),"Scott Edil Pharmacia Ltd")</f>
        <v>Scott Edil Pharmacia Ltd</v>
      </c>
    </row>
    <row r="2861" ht="16.5" customHeight="1">
      <c r="H2861" s="1" t="str">
        <f>IFERROR(__xludf.DUMMYFUNCTION("""COMPUTED_VALUE"""),"SCUTONIX LIFESCIENCES PVT LTD")</f>
        <v>SCUTONIX LIFESCIENCES PVT LTD</v>
      </c>
    </row>
    <row r="2862" ht="16.5" customHeight="1">
      <c r="H2862" s="1" t="str">
        <f>IFERROR(__xludf.DUMMYFUNCTION("""COMPUTED_VALUE"""),"SDD TORIC")</f>
        <v>SDD TORIC</v>
      </c>
    </row>
    <row r="2863" ht="16.5" customHeight="1">
      <c r="H2863" s="1" t="str">
        <f>IFERROR(__xludf.DUMMYFUNCTION("""COMPUTED_VALUE"""),"SDS NUTRACEUTICALS")</f>
        <v>SDS NUTRACEUTICALS</v>
      </c>
    </row>
    <row r="2864" ht="16.5" customHeight="1">
      <c r="H2864" s="1" t="str">
        <f>IFERROR(__xludf.DUMMYFUNCTION("""COMPUTED_VALUE"""),"SEAGULL PHARMACEUTICALS PVT LTD")</f>
        <v>SEAGULL PHARMACEUTICALS PVT LTD</v>
      </c>
    </row>
    <row r="2865" ht="16.5" customHeight="1">
      <c r="H2865" s="1" t="str">
        <f>IFERROR(__xludf.DUMMYFUNCTION("""COMPUTED_VALUE"""),"SEARCH CREATION")</f>
        <v>SEARCH CREATION</v>
      </c>
    </row>
    <row r="2866" ht="16.5" customHeight="1">
      <c r="H2866" s="1" t="str">
        <f>IFERROR(__xludf.DUMMYFUNCTION("""COMPUTED_VALUE"""),"SEARUB")</f>
        <v>SEARUB</v>
      </c>
    </row>
    <row r="2867" ht="16.5" customHeight="1">
      <c r="H2867" s="1" t="str">
        <f>IFERROR(__xludf.DUMMYFUNCTION("""COMPUTED_VALUE"""),"SEEMA INTERNATIONAL")</f>
        <v>SEEMA INTERNATIONAL</v>
      </c>
    </row>
    <row r="2868" ht="16.5" customHeight="1">
      <c r="H2868" s="1" t="str">
        <f>IFERROR(__xludf.DUMMYFUNCTION("""COMPUTED_VALUE"""),"SEGMENT CARE")</f>
        <v>SEGMENT CARE</v>
      </c>
    </row>
    <row r="2869" ht="16.5" customHeight="1">
      <c r="H2869" s="1" t="str">
        <f>IFERROR(__xludf.DUMMYFUNCTION("""COMPUTED_VALUE"""),"SELVADOR LTD")</f>
        <v>SELVADOR LTD</v>
      </c>
    </row>
    <row r="2870" ht="16.5" customHeight="1">
      <c r="H2870" s="1" t="str">
        <f>IFERROR(__xludf.DUMMYFUNCTION("""COMPUTED_VALUE"""),"SELWAY LIFE SCIENCES PVT LTD")</f>
        <v>SELWAY LIFE SCIENCES PVT LTD</v>
      </c>
    </row>
    <row r="2871" ht="16.5" customHeight="1">
      <c r="H2871" s="1" t="str">
        <f>IFERROR(__xludf.DUMMYFUNCTION("""COMPUTED_VALUE"""),"SENATE LABORATORIES ROORKE")</f>
        <v>SENATE LABORATORIES ROORKE</v>
      </c>
    </row>
    <row r="2872" ht="16.5" customHeight="1">
      <c r="H2872" s="1" t="str">
        <f>IFERROR(__xludf.DUMMYFUNCTION("""COMPUTED_VALUE"""),"SENCARE LIFE SCIENCES")</f>
        <v>SENCARE LIFE SCIENCES</v>
      </c>
    </row>
    <row r="2873" ht="16.5" customHeight="1">
      <c r="H2873" s="1" t="str">
        <f>IFERROR(__xludf.DUMMYFUNCTION("""COMPUTED_VALUE"""),"SENEN BIOTECH")</f>
        <v>SENEN BIOTECH</v>
      </c>
    </row>
    <row r="2874" ht="16.5" customHeight="1">
      <c r="H2874" s="1" t="str">
        <f>IFERROR(__xludf.DUMMYFUNCTION("""COMPUTED_VALUE"""),"SENERA ESSENTIALS")</f>
        <v>SENERA ESSENTIALS</v>
      </c>
    </row>
    <row r="2875" ht="16.5" customHeight="1">
      <c r="H2875" s="1" t="str">
        <f>IFERROR(__xludf.DUMMYFUNCTION("""COMPUTED_VALUE"""),"SENERA ETHICAL")</f>
        <v>SENERA ETHICAL</v>
      </c>
    </row>
    <row r="2876" ht="16.5" customHeight="1">
      <c r="H2876" s="1" t="str">
        <f>IFERROR(__xludf.DUMMYFUNCTION("""COMPUTED_VALUE"""),"SENSES PHARMACEUTICALS")</f>
        <v>SENSES PHARMACEUTICALS</v>
      </c>
    </row>
    <row r="2877" ht="16.5" customHeight="1">
      <c r="H2877" s="1" t="str">
        <f>IFERROR(__xludf.DUMMYFUNCTION("""COMPUTED_VALUE"""),"SENTISS PHARMA")</f>
        <v>SENTISS PHARMA</v>
      </c>
    </row>
    <row r="2878" ht="16.5" customHeight="1">
      <c r="H2878" s="1" t="str">
        <f>IFERROR(__xludf.DUMMYFUNCTION("""COMPUTED_VALUE"""),"SENTRO PHARMA &amp; HEALTH CARE LLP")</f>
        <v>SENTRO PHARMA &amp; HEALTH CARE LLP</v>
      </c>
    </row>
    <row r="2879" ht="16.5" customHeight="1">
      <c r="H2879" s="1" t="str">
        <f>IFERROR(__xludf.DUMMYFUNCTION("""COMPUTED_VALUE"""),"SEPTALYST LIFESCIENCES (CNS)")</f>
        <v>SEPTALYST LIFESCIENCES (CNS)</v>
      </c>
    </row>
    <row r="2880" ht="16.5" customHeight="1">
      <c r="H2880" s="1" t="str">
        <f>IFERROR(__xludf.DUMMYFUNCTION("""COMPUTED_VALUE"""),"SEPTALYST LIFESCIENCES (NEPHRO)")</f>
        <v>SEPTALYST LIFESCIENCES (NEPHRO)</v>
      </c>
    </row>
    <row r="2881" ht="16.5" customHeight="1">
      <c r="H2881" s="1" t="str">
        <f>IFERROR(__xludf.DUMMYFUNCTION("""COMPUTED_VALUE"""),"Septalyst Lifesciences Pvt. Ltd")</f>
        <v>Septalyst Lifesciences Pvt. Ltd</v>
      </c>
    </row>
    <row r="2882" ht="16.5" customHeight="1">
      <c r="H2882" s="1" t="str">
        <f>IFERROR(__xludf.DUMMYFUNCTION("""COMPUTED_VALUE"""),"Serdia Pharmaceuticals India Pvt Ltd")</f>
        <v>Serdia Pharmaceuticals India Pvt Ltd</v>
      </c>
    </row>
    <row r="2883" ht="16.5" customHeight="1">
      <c r="H2883" s="1" t="str">
        <f>IFERROR(__xludf.DUMMYFUNCTION("""COMPUTED_VALUE"""),"SERUM BIOTECH LTD")</f>
        <v>SERUM BIOTECH LTD</v>
      </c>
    </row>
    <row r="2884" ht="16.5" customHeight="1">
      <c r="H2884" s="1" t="str">
        <f>IFERROR(__xludf.DUMMYFUNCTION("""COMPUTED_VALUE"""),"Serum Institute Of India Ltd")</f>
        <v>Serum Institute Of India Ltd</v>
      </c>
    </row>
    <row r="2885" ht="16.5" customHeight="1">
      <c r="H2885" s="1" t="str">
        <f>IFERROR(__xludf.DUMMYFUNCTION("""COMPUTED_VALUE"""),"SERVETUS")</f>
        <v>SERVETUS</v>
      </c>
    </row>
    <row r="2886" ht="16.5" customHeight="1">
      <c r="H2886" s="1" t="str">
        <f>IFERROR(__xludf.DUMMYFUNCTION("""COMPUTED_VALUE"""),"SERWINA PHARMACEUTICALS (GENERIC)")</f>
        <v>SERWINA PHARMACEUTICALS (GENERIC)</v>
      </c>
    </row>
    <row r="2887" ht="16.5" customHeight="1">
      <c r="H2887" s="1" t="str">
        <f>IFERROR(__xludf.DUMMYFUNCTION("""COMPUTED_VALUE"""),"SESDERMA INDIA PVT LTD")</f>
        <v>SESDERMA INDIA PVT LTD</v>
      </c>
    </row>
    <row r="2888" ht="16.5" customHeight="1">
      <c r="H2888" s="1" t="str">
        <f>IFERROR(__xludf.DUMMYFUNCTION("""COMPUTED_VALUE"""),"SEVA HEALTHCARE(P)LTD")</f>
        <v>SEVA HEALTHCARE(P)LTD</v>
      </c>
    </row>
    <row r="2889" ht="16.5" customHeight="1">
      <c r="H2889" s="1" t="str">
        <f>IFERROR(__xludf.DUMMYFUNCTION("""COMPUTED_VALUE"""),"SEVEN BIOSCIENCES")</f>
        <v>SEVEN BIOSCIENCES</v>
      </c>
    </row>
    <row r="2890" ht="16.5" customHeight="1">
      <c r="H2890" s="1" t="str">
        <f>IFERROR(__xludf.DUMMYFUNCTION("""COMPUTED_VALUE"""),"SEVEN SEAS")</f>
        <v>SEVEN SEAS</v>
      </c>
    </row>
    <row r="2891" ht="16.5" customHeight="1">
      <c r="H2891" s="1" t="str">
        <f>IFERROR(__xludf.DUMMYFUNCTION("""COMPUTED_VALUE"""),"SEVENHILLS LIFESCIENCES")</f>
        <v>SEVENHILLS LIFESCIENCES</v>
      </c>
    </row>
    <row r="2892" ht="16.5" customHeight="1">
      <c r="H2892" s="1" t="str">
        <f>IFERROR(__xludf.DUMMYFUNCTION("""COMPUTED_VALUE"""),"SG LIFECARE")</f>
        <v>SG LIFECARE</v>
      </c>
    </row>
    <row r="2893" ht="16.5" customHeight="1">
      <c r="H2893" s="1" t="str">
        <f>IFERROR(__xludf.DUMMYFUNCTION("""COMPUTED_VALUE"""),"SG PHARMA")</f>
        <v>SG PHARMA</v>
      </c>
    </row>
    <row r="2894" ht="16.5" customHeight="1">
      <c r="H2894" s="1" t="str">
        <f>IFERROR(__xludf.DUMMYFUNCTION("""COMPUTED_VALUE"""),"SG PHYTO PHARMA P LTD")</f>
        <v>SG PHYTO PHARMA P LTD</v>
      </c>
    </row>
    <row r="2895" ht="16.5" customHeight="1">
      <c r="H2895" s="1" t="str">
        <f>IFERROR(__xludf.DUMMYFUNCTION("""COMPUTED_VALUE"""),"SGS")</f>
        <v>SGS</v>
      </c>
    </row>
    <row r="2896" ht="16.5" customHeight="1">
      <c r="H2896" s="1" t="str">
        <f>IFERROR(__xludf.DUMMYFUNCTION("""COMPUTED_VALUE"""),"SH PHARMACEUTICALS LTD")</f>
        <v>SH PHARMACEUTICALS LTD</v>
      </c>
    </row>
    <row r="2897" ht="16.5" customHeight="1">
      <c r="H2897" s="1" t="str">
        <f>IFERROR(__xludf.DUMMYFUNCTION("""COMPUTED_VALUE"""),"SHALMAN PHARMACEUTICAL")</f>
        <v>SHALMAN PHARMACEUTICAL</v>
      </c>
    </row>
    <row r="2898" ht="16.5" customHeight="1">
      <c r="H2898" s="1" t="str">
        <f>IFERROR(__xludf.DUMMYFUNCTION("""COMPUTED_VALUE"""),"SHAMAC HEALTHCARE")</f>
        <v>SHAMAC HEALTHCARE</v>
      </c>
    </row>
    <row r="2899" ht="16.5" customHeight="1">
      <c r="H2899" s="1" t="str">
        <f>IFERROR(__xludf.DUMMYFUNCTION("""COMPUTED_VALUE"""),"SHANKHIN HEALTHCARE")</f>
        <v>SHANKHIN HEALTHCARE</v>
      </c>
    </row>
    <row r="2900" ht="16.5" customHeight="1">
      <c r="H2900" s="1" t="str">
        <f>IFERROR(__xludf.DUMMYFUNCTION("""COMPUTED_VALUE"""),"SHANKUS ACME PHARMA")</f>
        <v>SHANKUS ACME PHARMA</v>
      </c>
    </row>
    <row r="2901" ht="16.5" customHeight="1">
      <c r="H2901" s="1" t="str">
        <f>IFERROR(__xludf.DUMMYFUNCTION("""COMPUTED_VALUE"""),"SHANTA BIOTECH LTD")</f>
        <v>SHANTA BIOTECH LTD</v>
      </c>
    </row>
    <row r="2902" ht="16.5" customHeight="1">
      <c r="H2902" s="1" t="str">
        <f>IFERROR(__xludf.DUMMYFUNCTION("""COMPUTED_VALUE"""),"SHARANGDHAR")</f>
        <v>SHARANGDHAR</v>
      </c>
    </row>
    <row r="2903" ht="16.5" customHeight="1">
      <c r="H2903" s="1" t="str">
        <f>IFERROR(__xludf.DUMMYFUNCTION("""COMPUTED_VALUE"""),"SHARMAYU AYURVED BHAWAN")</f>
        <v>SHARMAYU AYURVED BHAWAN</v>
      </c>
    </row>
    <row r="2904" ht="16.5" customHeight="1">
      <c r="H2904" s="1" t="str">
        <f>IFERROR(__xludf.DUMMYFUNCTION("""COMPUTED_VALUE"""),"SHE BIOLOGICALS")</f>
        <v>SHE BIOLOGICALS</v>
      </c>
    </row>
    <row r="2905" ht="16.5" customHeight="1">
      <c r="H2905" s="1" t="str">
        <f>IFERROR(__xludf.DUMMYFUNCTION("""COMPUTED_VALUE"""),"SHEBA INDUSTRIES")</f>
        <v>SHEBA INDUSTRIES</v>
      </c>
    </row>
    <row r="2906" ht="16.5" customHeight="1">
      <c r="H2906" s="1" t="str">
        <f>IFERROR(__xludf.DUMMYFUNCTION("""COMPUTED_VALUE"""),"SHERINGS")</f>
        <v>SHERINGS</v>
      </c>
    </row>
    <row r="2907" ht="16.5" customHeight="1">
      <c r="H2907" s="1" t="str">
        <f>IFERROR(__xludf.DUMMYFUNCTION("""COMPUTED_VALUE"""),"SHETH BROS.")</f>
        <v>SHETH BROS.</v>
      </c>
    </row>
    <row r="2908" ht="16.5" customHeight="1">
      <c r="H2908" s="1" t="str">
        <f>IFERROR(__xludf.DUMMYFUNCTION("""COMPUTED_VALUE"""),"SHIELD HEALTH CARE PVT LTD")</f>
        <v>SHIELD HEALTH CARE PVT LTD</v>
      </c>
    </row>
    <row r="2909" ht="16.5" customHeight="1">
      <c r="H2909" s="1" t="str">
        <f>IFERROR(__xludf.DUMMYFUNCTION("""COMPUTED_VALUE"""),"SHILPA MEDICARE LTD")</f>
        <v>SHILPA MEDICARE LTD</v>
      </c>
    </row>
    <row r="2910" ht="16.5" customHeight="1">
      <c r="H2910" s="1" t="str">
        <f>IFERROR(__xludf.DUMMYFUNCTION("""COMPUTED_VALUE"""),"SHILPACHEM INDUSTRIES")</f>
        <v>SHILPACHEM INDUSTRIES</v>
      </c>
    </row>
    <row r="2911" ht="16.5" customHeight="1">
      <c r="H2911" s="1" t="str">
        <f>IFERROR(__xludf.DUMMYFUNCTION("""COMPUTED_VALUE"""),"Shine Pharmaceuticals Ltd")</f>
        <v>Shine Pharmaceuticals Ltd</v>
      </c>
    </row>
    <row r="2912" ht="16.5" customHeight="1">
      <c r="H2912" s="1" t="str">
        <f>IFERROR(__xludf.DUMMYFUNCTION("""COMPUTED_VALUE"""),"SHINTO ORGANICS")</f>
        <v>SHINTO ORGANICS</v>
      </c>
    </row>
    <row r="2913" ht="16.5" customHeight="1">
      <c r="H2913" s="1" t="str">
        <f>IFERROR(__xludf.DUMMYFUNCTION("""COMPUTED_VALUE"""),"SHIVANI COTTON")</f>
        <v>SHIVANI COTTON</v>
      </c>
    </row>
    <row r="2914" ht="16.5" customHeight="1">
      <c r="H2914" s="1" t="str">
        <f>IFERROR(__xludf.DUMMYFUNCTION("""COMPUTED_VALUE"""),"SHIVAYU HERBAL CARE")</f>
        <v>SHIVAYU HERBAL CARE</v>
      </c>
    </row>
    <row r="2915" ht="16.5" customHeight="1">
      <c r="H2915" s="1" t="str">
        <f>IFERROR(__xludf.DUMMYFUNCTION("""COMPUTED_VALUE"""),"SHIVAYUR HEALTHCARE (GENERIC)")</f>
        <v>SHIVAYUR HEALTHCARE (GENERIC)</v>
      </c>
    </row>
    <row r="2916" ht="16.5" customHeight="1">
      <c r="H2916" s="1" t="str">
        <f>IFERROR(__xludf.DUMMYFUNCTION("""COMPUTED_VALUE"""),"SHL")</f>
        <v>SHL</v>
      </c>
    </row>
    <row r="2917" ht="16.5" customHeight="1">
      <c r="H2917" s="1" t="str">
        <f>IFERROR(__xludf.DUMMYFUNCTION("""COMPUTED_VALUE"""),"Shree Baidyanath Ayurved Bhawan Pvt Ltd")</f>
        <v>Shree Baidyanath Ayurved Bhawan Pvt Ltd</v>
      </c>
    </row>
    <row r="2918" ht="16.5" customHeight="1">
      <c r="H2918" s="1" t="str">
        <f>IFERROR(__xludf.DUMMYFUNCTION("""COMPUTED_VALUE"""),"SHREE DHANWANTRI HERBALS")</f>
        <v>SHREE DHANWANTRI HERBALS</v>
      </c>
    </row>
    <row r="2919" ht="16.5" customHeight="1">
      <c r="H2919" s="1" t="str">
        <f>IFERROR(__xludf.DUMMYFUNCTION("""COMPUTED_VALUE"""),"SHREE GANESH PHARMACEUTICALS")</f>
        <v>SHREE GANESH PHARMACEUTICALS</v>
      </c>
    </row>
    <row r="2920" ht="16.5" customHeight="1">
      <c r="H2920" s="1" t="str">
        <f>IFERROR(__xludf.DUMMYFUNCTION("""COMPUTED_VALUE"""),"SHREE KRISHNA PHARMACEUTICALS")</f>
        <v>SHREE KRISHNA PHARMACEUTICALS</v>
      </c>
    </row>
    <row r="2921" ht="16.5" customHeight="1">
      <c r="H2921" s="1" t="str">
        <f>IFERROR(__xludf.DUMMYFUNCTION("""COMPUTED_VALUE"""),"SHREE MARUTI HERBAL")</f>
        <v>SHREE MARUTI HERBAL</v>
      </c>
    </row>
    <row r="2922" ht="16.5" customHeight="1">
      <c r="H2922" s="1" t="str">
        <f>IFERROR(__xludf.DUMMYFUNCTION("""COMPUTED_VALUE"""),"SHREE NATH PHARMACEUTICALS LTD")</f>
        <v>SHREE NATH PHARMACEUTICALS LTD</v>
      </c>
    </row>
    <row r="2923" ht="16.5" customHeight="1">
      <c r="H2923" s="1" t="str">
        <f>IFERROR(__xludf.DUMMYFUNCTION("""COMPUTED_VALUE"""),"SHREE NUTRITIONS VIDHYAVIH")</f>
        <v>SHREE NUTRITIONS VIDHYAVIH</v>
      </c>
    </row>
    <row r="2924" ht="16.5" customHeight="1">
      <c r="H2924" s="1" t="str">
        <f>IFERROR(__xludf.DUMMYFUNCTION("""COMPUTED_VALUE"""),"SHREE SHARMA AYURVED MANDIR")</f>
        <v>SHREE SHARMA AYURVED MANDIR</v>
      </c>
    </row>
    <row r="2925" ht="16.5" customHeight="1">
      <c r="H2925" s="1" t="str">
        <f>IFERROR(__xludf.DUMMYFUNCTION("""COMPUTED_VALUE"""),"SHREE SIDDHA AYURVED &amp; RESEARCH")</f>
        <v>SHREE SIDDHA AYURVED &amp; RESEARCH</v>
      </c>
    </row>
    <row r="2926" ht="16.5" customHeight="1">
      <c r="H2926" s="1" t="str">
        <f>IFERROR(__xludf.DUMMYFUNCTION("""COMPUTED_VALUE"""),"SHREE SITARAGHAVA VAIDYASALA")</f>
        <v>SHREE SITARAGHAVA VAIDYASALA</v>
      </c>
    </row>
    <row r="2927" ht="16.5" customHeight="1">
      <c r="H2927" s="1" t="str">
        <f>IFERROR(__xludf.DUMMYFUNCTION("""COMPUTED_VALUE"""),"SHREEJI AGENCY (OMP)")</f>
        <v>SHREEJI AGENCY (OMP)</v>
      </c>
    </row>
    <row r="2928" ht="16.5" customHeight="1">
      <c r="H2928" s="1" t="str">
        <f>IFERROR(__xludf.DUMMYFUNCTION("""COMPUTED_VALUE"""),"SHREEM DRUGS P LTD")</f>
        <v>SHREEM DRUGS P LTD</v>
      </c>
    </row>
    <row r="2929" ht="16.5" customHeight="1">
      <c r="H2929" s="1" t="str">
        <f>IFERROR(__xludf.DUMMYFUNCTION("""COMPUTED_VALUE"""),"SHREEYAM HEALTH CARE")</f>
        <v>SHREEYAM HEALTH CARE</v>
      </c>
    </row>
    <row r="2930" ht="16.5" customHeight="1">
      <c r="H2930" s="1" t="str">
        <f>IFERROR(__xludf.DUMMYFUNCTION("""COMPUTED_VALUE"""),"Shreeyam Healthcare")</f>
        <v>Shreeyam Healthcare</v>
      </c>
    </row>
    <row r="2931" ht="16.5" customHeight="1">
      <c r="H2931" s="1" t="str">
        <f>IFERROR(__xludf.DUMMYFUNCTION("""COMPUTED_VALUE"""),"Shrey Nutraceuticals &amp; Herbals Pvt Ltd")</f>
        <v>Shrey Nutraceuticals &amp; Herbals Pvt Ltd</v>
      </c>
    </row>
    <row r="2932" ht="16.5" customHeight="1">
      <c r="H2932" s="1" t="str">
        <f>IFERROR(__xludf.DUMMYFUNCTION("""COMPUTED_VALUE"""),"Shreya Life Sciences Pvt Ltd")</f>
        <v>Shreya Life Sciences Pvt Ltd</v>
      </c>
    </row>
    <row r="2933" ht="16.5" customHeight="1">
      <c r="H2933" s="1" t="str">
        <f>IFERROR(__xludf.DUMMYFUNCTION("""COMPUTED_VALUE"""),"SHRI AYURVED SEVA SADAN")</f>
        <v>SHRI AYURVED SEVA SADAN</v>
      </c>
    </row>
    <row r="2934" ht="16.5" customHeight="1">
      <c r="H2934" s="1" t="str">
        <f>IFERROR(__xludf.DUMMYFUNCTION("""COMPUTED_VALUE"""),"SHRINIVAS (ESSENTIAL)")</f>
        <v>SHRINIVAS (ESSENTIAL)</v>
      </c>
    </row>
    <row r="2935" ht="16.5" customHeight="1">
      <c r="H2935" s="1" t="str">
        <f>IFERROR(__xludf.DUMMYFUNCTION("""COMPUTED_VALUE"""),"SHRINIVAS (GUJRAT) LABORATORIES")</f>
        <v>SHRINIVAS (GUJRAT) LABORATORIES</v>
      </c>
    </row>
    <row r="2936" ht="16.5" customHeight="1">
      <c r="H2936" s="1" t="str">
        <f>IFERROR(__xludf.DUMMYFUNCTION("""COMPUTED_VALUE"""),"SIDDHAYU")</f>
        <v>SIDDHAYU</v>
      </c>
    </row>
    <row r="2937" ht="16.5" customHeight="1">
      <c r="H2937" s="1" t="str">
        <f>IFERROR(__xludf.DUMMYFUNCTION("""COMPUTED_VALUE"""),"SIENNA FORMULATIONS")</f>
        <v>SIENNA FORMULATIONS</v>
      </c>
    </row>
    <row r="2938" ht="16.5" customHeight="1">
      <c r="H2938" s="1" t="str">
        <f>IFERROR(__xludf.DUMMYFUNCTION("""COMPUTED_VALUE"""),"SIESTA PHARMA")</f>
        <v>SIESTA PHARMA</v>
      </c>
    </row>
    <row r="2939" ht="16.5" customHeight="1">
      <c r="H2939" s="1" t="str">
        <f>IFERROR(__xludf.DUMMYFUNCTION("""COMPUTED_VALUE"""),"SIFCO PHARMA")</f>
        <v>SIFCO PHARMA</v>
      </c>
    </row>
    <row r="2940" ht="16.5" customHeight="1">
      <c r="H2940" s="1" t="str">
        <f>IFERROR(__xludf.DUMMYFUNCTION("""COMPUTED_VALUE"""),"SIGMA LABORATORIES")</f>
        <v>SIGMA LABORATORIES</v>
      </c>
    </row>
    <row r="2941" ht="16.5" customHeight="1">
      <c r="H2941" s="1" t="str">
        <f>IFERROR(__xludf.DUMMYFUNCTION("""COMPUTED_VALUE"""),"SIGMAN WELLNESS")</f>
        <v>SIGMAN WELLNESS</v>
      </c>
    </row>
    <row r="2942" ht="16.5" customHeight="1">
      <c r="H2942" s="1" t="str">
        <f>IFERROR(__xludf.DUMMYFUNCTION("""COMPUTED_VALUE"""),"Sigmund Promedica")</f>
        <v>Sigmund Promedica</v>
      </c>
    </row>
    <row r="2943" ht="16.5" customHeight="1">
      <c r="H2943" s="1" t="str">
        <f>IFERROR(__xludf.DUMMYFUNCTION("""COMPUTED_VALUE"""),"SIGNITY PHARMACEUTICALS")</f>
        <v>SIGNITY PHARMACEUTICALS</v>
      </c>
    </row>
    <row r="2944" ht="16.5" customHeight="1">
      <c r="H2944" s="1" t="str">
        <f>IFERROR(__xludf.DUMMYFUNCTION("""COMPUTED_VALUE"""),"Signova Pharma Pvt Ltd")</f>
        <v>Signova Pharma Pvt Ltd</v>
      </c>
    </row>
    <row r="2945" ht="16.5" customHeight="1">
      <c r="H2945" s="1" t="str">
        <f>IFERROR(__xludf.DUMMYFUNCTION("""COMPUTED_VALUE"""),"SIGNUTRA INC")</f>
        <v>SIGNUTRA INC</v>
      </c>
    </row>
    <row r="2946" ht="16.5" customHeight="1">
      <c r="H2946" s="1" t="str">
        <f>IFERROR(__xludf.DUMMYFUNCTION("""COMPUTED_VALUE"""),"SIMCO ORGANICS")</f>
        <v>SIMCO ORGANICS</v>
      </c>
    </row>
    <row r="2947" ht="16.5" customHeight="1">
      <c r="H2947" s="1" t="str">
        <f>IFERROR(__xludf.DUMMYFUNCTION("""COMPUTED_VALUE"""),"SIMPLY SATVIK")</f>
        <v>SIMPLY SATVIK</v>
      </c>
    </row>
    <row r="2948" ht="16.5" customHeight="1">
      <c r="H2948" s="1" t="str">
        <f>IFERROR(__xludf.DUMMYFUNCTION("""COMPUTED_VALUE"""),"SINGHAL PHARMA")</f>
        <v>SINGHAL PHARMA</v>
      </c>
    </row>
    <row r="2949" ht="16.5" customHeight="1">
      <c r="H2949" s="1" t="str">
        <f>IFERROR(__xludf.DUMMYFUNCTION("""COMPUTED_VALUE"""),"SINSAN PHARMACEUTICALS")</f>
        <v>SINSAN PHARMACEUTICALS</v>
      </c>
    </row>
    <row r="2950" ht="16.5" customHeight="1">
      <c r="H2950" s="1" t="str">
        <f>IFERROR(__xludf.DUMMYFUNCTION("""COMPUTED_VALUE"""),"SIXTH SENSE PHARMACEUTICALS")</f>
        <v>SIXTH SENSE PHARMACEUTICALS</v>
      </c>
    </row>
    <row r="2951" ht="16.5" customHeight="1">
      <c r="H2951" s="1" t="str">
        <f>IFERROR(__xludf.DUMMYFUNCTION("""COMPUTED_VALUE"""),"SKIN SCIENCE")</f>
        <v>SKIN SCIENCE</v>
      </c>
    </row>
    <row r="2952" ht="16.5" customHeight="1">
      <c r="H2952" s="1" t="str">
        <f>IFERROR(__xludf.DUMMYFUNCTION("""COMPUTED_VALUE"""),"SKINWAVE INDIA")</f>
        <v>SKINWAVE INDIA</v>
      </c>
    </row>
    <row r="2953" ht="16.5" customHeight="1">
      <c r="H2953" s="1" t="str">
        <f>IFERROR(__xludf.DUMMYFUNCTION("""COMPUTED_VALUE"""),"SKN ORGANICS")</f>
        <v>SKN ORGANICS</v>
      </c>
    </row>
    <row r="2954" ht="16.5" customHeight="1">
      <c r="H2954" s="1" t="str">
        <f>IFERROR(__xludf.DUMMYFUNCTION("""COMPUTED_VALUE"""),"SKY VISION PHARMA PVT LTD")</f>
        <v>SKY VISION PHARMA PVT LTD</v>
      </c>
    </row>
    <row r="2955" ht="16.5" customHeight="1">
      <c r="H2955" s="1" t="str">
        <f>IFERROR(__xludf.DUMMYFUNCTION("""COMPUTED_VALUE"""),"SKYVISION")</f>
        <v>SKYVISION</v>
      </c>
    </row>
    <row r="2956" ht="16.5" customHeight="1">
      <c r="H2956" s="1" t="str">
        <f>IFERROR(__xludf.DUMMYFUNCTION("""COMPUTED_VALUE"""),"SL  TORIC")</f>
        <v>SL  TORIC</v>
      </c>
    </row>
    <row r="2957" ht="16.5" customHeight="1">
      <c r="H2957" s="1" t="str">
        <f>IFERROR(__xludf.DUMMYFUNCTION("""COMPUTED_VALUE"""),"SLANEY HEALTHCARE")</f>
        <v>SLANEY HEALTHCARE</v>
      </c>
    </row>
    <row r="2958" ht="16.5" customHeight="1">
      <c r="H2958" s="1" t="str">
        <f>IFERROR(__xludf.DUMMYFUNCTION("""COMPUTED_VALUE"""),"SMART LABORATORIES (CONVEX)")</f>
        <v>SMART LABORATORIES (CONVEX)</v>
      </c>
    </row>
    <row r="2959" ht="16.5" customHeight="1">
      <c r="H2959" s="1" t="str">
        <f>IFERROR(__xludf.DUMMYFUNCTION("""COMPUTED_VALUE"""),"SMITHSONS LIFE SCIENCE")</f>
        <v>SMITHSONS LIFE SCIENCE</v>
      </c>
    </row>
    <row r="2960" ht="16.5" customHeight="1">
      <c r="H2960" s="1" t="str">
        <f>IFERROR(__xludf.DUMMYFUNCTION("""COMPUTED_VALUE"""),"SNDAR")</f>
        <v>SNDAR</v>
      </c>
    </row>
    <row r="2961" ht="16.5" customHeight="1">
      <c r="H2961" s="1" t="str">
        <f>IFERROR(__xludf.DUMMYFUNCTION("""COMPUTED_VALUE"""),"SNERVOTEC PHARMACIUTICAL B")</f>
        <v>SNERVOTEC PHARMACIUTICAL B</v>
      </c>
    </row>
    <row r="2962" ht="16.5" customHeight="1">
      <c r="H2962" s="1" t="str">
        <f>IFERROR(__xludf.DUMMYFUNCTION("""COMPUTED_VALUE"""),"SNERVOTEC PHARMACUTICAL")</f>
        <v>SNERVOTEC PHARMACUTICAL</v>
      </c>
    </row>
    <row r="2963" ht="16.5" customHeight="1">
      <c r="H2963" s="1" t="str">
        <f>IFERROR(__xludf.DUMMYFUNCTION("""COMPUTED_VALUE"""),"SOCRUS PHARMACUTICAL")</f>
        <v>SOCRUS PHARMACUTICAL</v>
      </c>
    </row>
    <row r="2964" ht="16.5" customHeight="1">
      <c r="H2964" s="1" t="str">
        <f>IFERROR(__xludf.DUMMYFUNCTION("""COMPUTED_VALUE"""),"SOFLENS DAILY DISP")</f>
        <v>SOFLENS DAILY DISP</v>
      </c>
    </row>
    <row r="2965" ht="16.5" customHeight="1">
      <c r="H2965" s="1" t="str">
        <f>IFERROR(__xludf.DUMMYFUNCTION("""COMPUTED_VALUE"""),"SOFT MEDICAPS")</f>
        <v>SOFT MEDICAPS</v>
      </c>
    </row>
    <row r="2966" ht="16.5" customHeight="1">
      <c r="H2966" s="1" t="str">
        <f>IFERROR(__xludf.DUMMYFUNCTION("""COMPUTED_VALUE"""),"Sol Derma")</f>
        <v>Sol Derma</v>
      </c>
    </row>
    <row r="2967" ht="16.5" customHeight="1">
      <c r="H2967" s="1" t="str">
        <f>IFERROR(__xludf.DUMMYFUNCTION("""COMPUTED_VALUE"""),"SOLACE (CARMENTA)")</f>
        <v>SOLACE (CARMENTA)</v>
      </c>
    </row>
    <row r="2968" ht="16.5" customHeight="1">
      <c r="H2968" s="1" t="str">
        <f>IFERROR(__xludf.DUMMYFUNCTION("""COMPUTED_VALUE"""),"SOLACE (DENTAL)")</f>
        <v>SOLACE (DENTAL)</v>
      </c>
    </row>
    <row r="2969" ht="16.5" customHeight="1">
      <c r="H2969" s="1" t="str">
        <f>IFERROR(__xludf.DUMMYFUNCTION("""COMPUTED_VALUE"""),"SOLACE (EOS)")</f>
        <v>SOLACE (EOS)</v>
      </c>
    </row>
    <row r="2970" ht="16.5" customHeight="1">
      <c r="H2970" s="1" t="str">
        <f>IFERROR(__xludf.DUMMYFUNCTION("""COMPUTED_VALUE"""),"SOLACE (NUTRITION NEXT )")</f>
        <v>SOLACE (NUTRITION NEXT )</v>
      </c>
    </row>
    <row r="2971" ht="16.5" customHeight="1">
      <c r="H2971" s="1" t="str">
        <f>IFERROR(__xludf.DUMMYFUNCTION("""COMPUTED_VALUE"""),"SOLACE (NUTRITION NEXT)")</f>
        <v>SOLACE (NUTRITION NEXT)</v>
      </c>
    </row>
    <row r="2972" ht="16.5" customHeight="1">
      <c r="H2972" s="1" t="str">
        <f>IFERROR(__xludf.DUMMYFUNCTION("""COMPUTED_VALUE"""),"SOLACE (OSTEO)")</f>
        <v>SOLACE (OSTEO)</v>
      </c>
    </row>
    <row r="2973" ht="16.5" customHeight="1">
      <c r="H2973" s="1" t="str">
        <f>IFERROR(__xludf.DUMMYFUNCTION("""COMPUTED_VALUE"""),"SOLACE (PICCOLO)")</f>
        <v>SOLACE (PICCOLO)</v>
      </c>
    </row>
    <row r="2974" ht="16.5" customHeight="1">
      <c r="H2974" s="1" t="str">
        <f>IFERROR(__xludf.DUMMYFUNCTION("""COMPUTED_VALUE"""),"SOLACE (SOLTECH)")</f>
        <v>SOLACE (SOLTECH)</v>
      </c>
    </row>
    <row r="2975" ht="16.5" customHeight="1">
      <c r="H2975" s="1" t="str">
        <f>IFERROR(__xludf.DUMMYFUNCTION("""COMPUTED_VALUE"""),"Solace Biotech Ltd")</f>
        <v>Solace Biotech Ltd</v>
      </c>
    </row>
    <row r="2976" ht="16.5" customHeight="1">
      <c r="H2976" s="1" t="str">
        <f>IFERROR(__xludf.DUMMYFUNCTION("""COMPUTED_VALUE"""),"SOLEIL INTERNATIONAL")</f>
        <v>SOLEIL INTERNATIONAL</v>
      </c>
    </row>
    <row r="2977" ht="16.5" customHeight="1">
      <c r="H2977" s="1" t="str">
        <f>IFERROR(__xludf.DUMMYFUNCTION("""COMPUTED_VALUE"""),"SOLERA LIFE SCIENCES P LTD")</f>
        <v>SOLERA LIFE SCIENCES P LTD</v>
      </c>
    </row>
    <row r="2978" ht="16.5" customHeight="1">
      <c r="H2978" s="1" t="str">
        <f>IFERROR(__xludf.DUMMYFUNCTION("""COMPUTED_VALUE"""),"SOLOWIN PHARMA")</f>
        <v>SOLOWIN PHARMA</v>
      </c>
    </row>
    <row r="2979" ht="16.5" customHeight="1">
      <c r="H2979" s="1" t="str">
        <f>IFERROR(__xludf.DUMMYFUNCTION("""COMPUTED_VALUE"""),"SOLOZEN LIFESCIENCES")</f>
        <v>SOLOZEN LIFESCIENCES</v>
      </c>
    </row>
    <row r="2980" ht="16.5" customHeight="1">
      <c r="H2980" s="1" t="str">
        <f>IFERROR(__xludf.DUMMYFUNCTION("""COMPUTED_VALUE"""),"Solumiks Piramal Ltd")</f>
        <v>Solumiks Piramal Ltd</v>
      </c>
    </row>
    <row r="2981" ht="16.5" customHeight="1">
      <c r="H2981" s="1" t="str">
        <f>IFERROR(__xludf.DUMMYFUNCTION("""COMPUTED_VALUE"""),"SOLUTION ENTERPRISES PVT LTD")</f>
        <v>SOLUTION ENTERPRISES PVT LTD</v>
      </c>
    </row>
    <row r="2982" ht="16.5" customHeight="1">
      <c r="H2982" s="1" t="str">
        <f>IFERROR(__xludf.DUMMYFUNCTION("""COMPUTED_VALUE"""),"Solvate Laboratries Pvt Ltd")</f>
        <v>Solvate Laboratries Pvt Ltd</v>
      </c>
    </row>
    <row r="2983" ht="16.5" customHeight="1">
      <c r="H2983" s="1" t="str">
        <f>IFERROR(__xludf.DUMMYFUNCTION("""COMPUTED_VALUE"""),"SONAM PHARMA (OTHER PRODUCTS)")</f>
        <v>SONAM PHARMA (OTHER PRODUCTS)</v>
      </c>
    </row>
    <row r="2984" ht="16.5" customHeight="1">
      <c r="H2984" s="1" t="str">
        <f>IFERROR(__xludf.DUMMYFUNCTION("""COMPUTED_VALUE"""),"SONIKA LIFE SCIENCE")</f>
        <v>SONIKA LIFE SCIENCE</v>
      </c>
    </row>
    <row r="2985" ht="16.5" customHeight="1">
      <c r="H2985" s="1" t="str">
        <f>IFERROR(__xludf.DUMMYFUNCTION("""COMPUTED_VALUE"""),"SONTEX ROLLED BANDAGE WORKS")</f>
        <v>SONTEX ROLLED BANDAGE WORKS</v>
      </c>
    </row>
    <row r="2986" ht="16.5" customHeight="1">
      <c r="H2986" s="1" t="str">
        <f>IFERROR(__xludf.DUMMYFUNCTION("""COMPUTED_VALUE"""),"SOUL PHARMA")</f>
        <v>SOUL PHARMA</v>
      </c>
    </row>
    <row r="2987" ht="16.5" customHeight="1">
      <c r="H2987" s="1" t="str">
        <f>IFERROR(__xludf.DUMMYFUNCTION("""COMPUTED_VALUE"""),"SP PHARMACEUTICALS")</f>
        <v>SP PHARMACEUTICALS</v>
      </c>
    </row>
    <row r="2988" ht="16.5" customHeight="1">
      <c r="H2988" s="1" t="str">
        <f>IFERROR(__xludf.DUMMYFUNCTION("""COMPUTED_VALUE"""),"SPA NEWTRACEUTICALS")</f>
        <v>SPA NEWTRACEUTICALS</v>
      </c>
    </row>
    <row r="2989" ht="16.5" customHeight="1">
      <c r="H2989" s="1" t="str">
        <f>IFERROR(__xludf.DUMMYFUNCTION("""COMPUTED_VALUE"""),"SPARK BLESS PHARMA")</f>
        <v>SPARK BLESS PHARMA</v>
      </c>
    </row>
    <row r="2990" ht="16.5" customHeight="1">
      <c r="H2990" s="1" t="str">
        <f>IFERROR(__xludf.DUMMYFUNCTION("""COMPUTED_VALUE"""),"SPECIALITY MEDITECH PVT LTD")</f>
        <v>SPECIALITY MEDITECH PVT LTD</v>
      </c>
    </row>
    <row r="2991" ht="16.5" customHeight="1">
      <c r="H2991" s="1" t="str">
        <f>IFERROR(__xludf.DUMMYFUNCTION("""COMPUTED_VALUE"""),"SPECTRUM PHARMACEUTICAL")</f>
        <v>SPECTRUM PHARMACEUTICAL</v>
      </c>
    </row>
    <row r="2992" ht="16.5" customHeight="1">
      <c r="H2992" s="1" t="str">
        <f>IFERROR(__xludf.DUMMYFUNCTION("""COMPUTED_VALUE"""),"SPEY MEDICAL P LTD")</f>
        <v>SPEY MEDICAL P LTD</v>
      </c>
    </row>
    <row r="2993" ht="16.5" customHeight="1">
      <c r="H2993" s="1" t="str">
        <f>IFERROR(__xludf.DUMMYFUNCTION("""COMPUTED_VALUE"""),"SPLENDID PHARMACEUTICALS")</f>
        <v>SPLENDID PHARMACEUTICALS</v>
      </c>
    </row>
    <row r="2994" ht="16.5" customHeight="1">
      <c r="H2994" s="1" t="str">
        <f>IFERROR(__xludf.DUMMYFUNCTION("""COMPUTED_VALUE"""),"SR PHARMA")</f>
        <v>SR PHARMA</v>
      </c>
    </row>
    <row r="2995" ht="16.5" customHeight="1">
      <c r="H2995" s="1" t="str">
        <f>IFERROR(__xludf.DUMMYFUNCTION("""COMPUTED_VALUE"""),"SRESAN")</f>
        <v>SRESAN</v>
      </c>
    </row>
    <row r="2996" ht="16.5" customHeight="1">
      <c r="H2996" s="1" t="str">
        <f>IFERROR(__xludf.DUMMYFUNCTION("""COMPUTED_VALUE"""),"SRI MAHALAKSHMI TEXTILES")</f>
        <v>SRI MAHALAKSHMI TEXTILES</v>
      </c>
    </row>
    <row r="2997" ht="16.5" customHeight="1">
      <c r="H2997" s="1" t="str">
        <f>IFERROR(__xludf.DUMMYFUNCTION("""COMPUTED_VALUE"""),"SRI SIDDHDATA FARMLAD PVT LTD")</f>
        <v>SRI SIDDHDATA FARMLAD PVT LTD</v>
      </c>
    </row>
    <row r="2998" ht="16.5" customHeight="1">
      <c r="H2998" s="1" t="str">
        <f>IFERROR(__xludf.DUMMYFUNCTION("""COMPUTED_VALUE"""),"ST GABERIEL PHARMACEUTICALS")</f>
        <v>ST GABERIEL PHARMACEUTICALS</v>
      </c>
    </row>
    <row r="2999" ht="16.5" customHeight="1">
      <c r="H2999" s="1" t="str">
        <f>IFERROR(__xludf.DUMMYFUNCTION("""COMPUTED_VALUE"""),"Stadchem Of India")</f>
        <v>Stadchem Of India</v>
      </c>
    </row>
    <row r="3000" ht="16.5" customHeight="1">
      <c r="H3000" s="1" t="str">
        <f>IFERROR(__xludf.DUMMYFUNCTION("""COMPUTED_VALUE"""),"STADIA BIOTECH")</f>
        <v>STADIA BIOTECH</v>
      </c>
    </row>
    <row r="3001" ht="16.5" customHeight="1">
      <c r="H3001" s="1" t="str">
        <f>IFERROR(__xludf.DUMMYFUNCTION("""COMPUTED_VALUE"""),"Stadmed Pvt Ltd")</f>
        <v>Stadmed Pvt Ltd</v>
      </c>
    </row>
    <row r="3002" ht="16.5" customHeight="1">
      <c r="H3002" s="1" t="str">
        <f>IFERROR(__xludf.DUMMYFUNCTION("""COMPUTED_VALUE"""),"Stallion Laboratories Pvt Ltd")</f>
        <v>Stallion Laboratories Pvt Ltd</v>
      </c>
    </row>
    <row r="3003" ht="16.5" customHeight="1">
      <c r="H3003" s="1" t="str">
        <f>IFERROR(__xludf.DUMMYFUNCTION("""COMPUTED_VALUE"""),"STALWART REMEDIES")</f>
        <v>STALWART REMEDIES</v>
      </c>
    </row>
    <row r="3004" ht="16.5" customHeight="1">
      <c r="H3004" s="1" t="str">
        <f>IFERROR(__xludf.DUMMYFUNCTION("""COMPUTED_VALUE"""),"STAMINE")</f>
        <v>STAMINE</v>
      </c>
    </row>
    <row r="3005" ht="16.5" customHeight="1">
      <c r="H3005" s="1" t="str">
        <f>IFERROR(__xludf.DUMMYFUNCTION("""COMPUTED_VALUE"""),"STANMARK PHARMA")</f>
        <v>STANMARK PHARMA</v>
      </c>
    </row>
    <row r="3006" ht="16.5" customHeight="1">
      <c r="H3006" s="1" t="str">
        <f>IFERROR(__xludf.DUMMYFUNCTION("""COMPUTED_VALUE"""),"STARELL BIOCEUTICALS PVT LTD")</f>
        <v>STARELL BIOCEUTICALS PVT LTD</v>
      </c>
    </row>
    <row r="3007" ht="16.5" customHeight="1">
      <c r="H3007" s="1" t="str">
        <f>IFERROR(__xludf.DUMMYFUNCTION("""COMPUTED_VALUE"""),"STARUS PHARMACEUTICALS P LTD")</f>
        <v>STARUS PHARMACEUTICALS P LTD</v>
      </c>
    </row>
    <row r="3008" ht="16.5" customHeight="1">
      <c r="H3008" s="1" t="str">
        <f>IFERROR(__xludf.DUMMYFUNCTION("""COMPUTED_VALUE"""),"STAUNCH HEALTH CARE")</f>
        <v>STAUNCH HEALTH CARE</v>
      </c>
    </row>
    <row r="3009" ht="16.5" customHeight="1">
      <c r="H3009" s="1" t="str">
        <f>IFERROR(__xludf.DUMMYFUNCTION("""COMPUTED_VALUE"""),"Staunch Health Care Pvt Ltd")</f>
        <v>Staunch Health Care Pvt Ltd</v>
      </c>
    </row>
    <row r="3010" ht="16.5" customHeight="1">
      <c r="H3010" s="1" t="str">
        <f>IFERROR(__xludf.DUMMYFUNCTION("""COMPUTED_VALUE"""),"STAYWELL FORMULATION P LTD")</f>
        <v>STAYWELL FORMULATION P LTD</v>
      </c>
    </row>
    <row r="3011" ht="16.5" customHeight="1">
      <c r="H3011" s="1" t="str">
        <f>IFERROR(__xludf.DUMMYFUNCTION("""COMPUTED_VALUE"""),"STEADFAST MEDISHIELD PVT LTD")</f>
        <v>STEADFAST MEDISHIELD PVT LTD</v>
      </c>
    </row>
    <row r="3012" ht="16.5" customHeight="1">
      <c r="H3012" s="1" t="str">
        <f>IFERROR(__xludf.DUMMYFUNCTION("""COMPUTED_VALUE"""),"Stedman Pharmaceuticals Pvt Ltd")</f>
        <v>Stedman Pharmaceuticals Pvt Ltd</v>
      </c>
    </row>
    <row r="3013" ht="16.5" customHeight="1">
      <c r="H3013" s="1" t="str">
        <f>IFERROR(__xludf.DUMMYFUNCTION("""COMPUTED_VALUE"""),"STEIGEN PHARMA")</f>
        <v>STEIGEN PHARMA</v>
      </c>
    </row>
    <row r="3014" ht="16.5" customHeight="1">
      <c r="H3014" s="1" t="str">
        <f>IFERROR(__xludf.DUMMYFUNCTION("""COMPUTED_VALUE"""),"STELLAR BIO LABS")</f>
        <v>STELLAR BIO LABS</v>
      </c>
    </row>
    <row r="3015" ht="16.5" customHeight="1">
      <c r="H3015" s="1" t="str">
        <f>IFERROR(__xludf.DUMMYFUNCTION("""COMPUTED_VALUE"""),"STENHIL LABS")</f>
        <v>STENHIL LABS</v>
      </c>
    </row>
    <row r="3016" ht="16.5" customHeight="1">
      <c r="H3016" s="1" t="str">
        <f>IFERROR(__xludf.DUMMYFUNCTION("""COMPUTED_VALUE"""),"STENROZ BIOTECH")</f>
        <v>STENROZ BIOTECH</v>
      </c>
    </row>
    <row r="3017" ht="16.5" customHeight="1">
      <c r="H3017" s="1" t="str">
        <f>IFERROR(__xludf.DUMMYFUNCTION("""COMPUTED_VALUE"""),"STEPAN LABORATORIES P LTD")</f>
        <v>STEPAN LABORATORIES P LTD</v>
      </c>
    </row>
    <row r="3018" ht="16.5" customHeight="1">
      <c r="H3018" s="1" t="str">
        <f>IFERROR(__xludf.DUMMYFUNCTION("""COMPUTED_VALUE"""),"STERANCO HEALTHCARE PVT LTD")</f>
        <v>STERANCO HEALTHCARE PVT LTD</v>
      </c>
    </row>
    <row r="3019" ht="16.5" customHeight="1">
      <c r="H3019" s="1" t="str">
        <f>IFERROR(__xludf.DUMMYFUNCTION("""COMPUTED_VALUE"""),"STERIS HEALTHCARE PVT LTD")</f>
        <v>STERIS HEALTHCARE PVT LTD</v>
      </c>
    </row>
    <row r="3020" ht="16.5" customHeight="1">
      <c r="H3020" s="1" t="str">
        <f>IFERROR(__xludf.DUMMYFUNCTION("""COMPUTED_VALUE"""),"Stiefel India Pvt Ltd")</f>
        <v>Stiefel India Pvt Ltd</v>
      </c>
    </row>
    <row r="3021" ht="16.5" customHeight="1">
      <c r="H3021" s="1" t="str">
        <f>IFERROR(__xludf.DUMMYFUNCTION("""COMPUTED_VALUE"""),"STIM BRUSHES")</f>
        <v>STIM BRUSHES</v>
      </c>
    </row>
    <row r="3022" ht="16.5" customHeight="1">
      <c r="H3022" s="1" t="str">
        <f>IFERROR(__xludf.DUMMYFUNCTION("""COMPUTED_VALUE"""),"Strassenburg Pharmaceuticals.Ltd")</f>
        <v>Strassenburg Pharmaceuticals.Ltd</v>
      </c>
    </row>
    <row r="3023" ht="16.5" customHeight="1">
      <c r="H3023" s="1" t="str">
        <f>IFERROR(__xludf.DUMMYFUNCTION("""COMPUTED_VALUE"""),"STRENGTHEN PHARMA")</f>
        <v>STRENGTHEN PHARMA</v>
      </c>
    </row>
    <row r="3024" ht="16.5" customHeight="1">
      <c r="H3024" s="1" t="str">
        <f>IFERROR(__xludf.DUMMYFUNCTION("""COMPUTED_VALUE"""),"STRIDES SHASUN")</f>
        <v>STRIDES SHASUN</v>
      </c>
    </row>
    <row r="3025" ht="16.5" customHeight="1">
      <c r="H3025" s="1" t="str">
        <f>IFERROR(__xludf.DUMMYFUNCTION("""COMPUTED_VALUE"""),"STRIDES SHASUN (AVETO)")</f>
        <v>STRIDES SHASUN (AVETO)</v>
      </c>
    </row>
    <row r="3026" ht="16.5" customHeight="1">
      <c r="H3026" s="1" t="str">
        <f>IFERROR(__xludf.DUMMYFUNCTION("""COMPUTED_VALUE"""),"STRIDES SHASUN (EXCEDO)")</f>
        <v>STRIDES SHASUN (EXCEDO)</v>
      </c>
    </row>
    <row r="3027" ht="16.5" customHeight="1">
      <c r="H3027" s="1" t="str">
        <f>IFERROR(__xludf.DUMMYFUNCTION("""COMPUTED_VALUE"""),"STRIDES SHASUN (NEURA NEUROLOGY)")</f>
        <v>STRIDES SHASUN (NEURA NEUROLOGY)</v>
      </c>
    </row>
    <row r="3028" ht="16.5" customHeight="1">
      <c r="H3028" s="1" t="str">
        <f>IFERROR(__xludf.DUMMYFUNCTION("""COMPUTED_VALUE"""),"STRIDES SHASUN (NEURO PSYCHIATRY)")</f>
        <v>STRIDES SHASUN (NEURO PSYCHIATRY)</v>
      </c>
    </row>
    <row r="3029" ht="16.5" customHeight="1">
      <c r="H3029" s="1" t="str">
        <f>IFERROR(__xludf.DUMMYFUNCTION("""COMPUTED_VALUE"""),"SUBLIME THERAPEUTICS PVT LTD")</f>
        <v>SUBLIME THERAPEUTICS PVT LTD</v>
      </c>
    </row>
    <row r="3030" ht="16.5" customHeight="1">
      <c r="H3030" s="1" t="str">
        <f>IFERROR(__xludf.DUMMYFUNCTION("""COMPUTED_VALUE"""),"SUBSIST PHARMA")</f>
        <v>SUBSIST PHARMA</v>
      </c>
    </row>
    <row r="3031" ht="16.5" customHeight="1">
      <c r="H3031" s="1" t="str">
        <f>IFERROR(__xludf.DUMMYFUNCTION("""COMPUTED_VALUE"""),"SUDHA")</f>
        <v>SUDHA</v>
      </c>
    </row>
    <row r="3032" ht="16.5" customHeight="1">
      <c r="H3032" s="1" t="str">
        <f>IFERROR(__xludf.DUMMYFUNCTION("""COMPUTED_VALUE"""),"SUFFUSE PHARMA")</f>
        <v>SUFFUSE PHARMA</v>
      </c>
    </row>
    <row r="3033" ht="16.5" customHeight="1">
      <c r="H3033" s="1" t="str">
        <f>IFERROR(__xludf.DUMMYFUNCTION("""COMPUTED_VALUE"""),"SUGANDHA LABOROTRIES")</f>
        <v>SUGANDHA LABOROTRIES</v>
      </c>
    </row>
    <row r="3034" ht="16.5" customHeight="1">
      <c r="H3034" s="1" t="str">
        <f>IFERROR(__xludf.DUMMYFUNCTION("""COMPUTED_VALUE"""),"SUJANIL CHEMO INDUSTRIES")</f>
        <v>SUJANIL CHEMO INDUSTRIES</v>
      </c>
    </row>
    <row r="3035" ht="16.5" customHeight="1">
      <c r="H3035" s="1" t="str">
        <f>IFERROR(__xludf.DUMMYFUNCTION("""COMPUTED_VALUE"""),"SUJATA MEDICOSE (OTHER PRODUCTS)")</f>
        <v>SUJATA MEDICOSE (OTHER PRODUCTS)</v>
      </c>
    </row>
    <row r="3036" ht="16.5" customHeight="1">
      <c r="H3036" s="1" t="str">
        <f>IFERROR(__xludf.DUMMYFUNCTION("""COMPUTED_VALUE"""),"SULZDERM PHARMA")</f>
        <v>SULZDERM PHARMA</v>
      </c>
    </row>
    <row r="3037" ht="16.5" customHeight="1">
      <c r="H3037" s="1" t="str">
        <f>IFERROR(__xludf.DUMMYFUNCTION("""COMPUTED_VALUE"""),"SUMANDEEP LIFE SCIENCES LLP")</f>
        <v>SUMANDEEP LIFE SCIENCES LLP</v>
      </c>
    </row>
    <row r="3038" ht="16.5" customHeight="1">
      <c r="H3038" s="1" t="str">
        <f>IFERROR(__xludf.DUMMYFUNCTION("""COMPUTED_VALUE"""),"SUMER HEALTHCARE")</f>
        <v>SUMER HEALTHCARE</v>
      </c>
    </row>
    <row r="3039" ht="16.5" customHeight="1">
      <c r="H3039" s="1" t="str">
        <f>IFERROR(__xludf.DUMMYFUNCTION("""COMPUTED_VALUE"""),"SUN (ONCOLOGY)")</f>
        <v>SUN (ONCOLOGY)</v>
      </c>
    </row>
    <row r="3040" ht="16.5" customHeight="1">
      <c r="H3040" s="1" t="str">
        <f>IFERROR(__xludf.DUMMYFUNCTION("""COMPUTED_VALUE"""),"SUN AJ PHARMA")</f>
        <v>SUN AJ PHARMA</v>
      </c>
    </row>
    <row r="3041" ht="16.5" customHeight="1">
      <c r="H3041" s="1" t="str">
        <f>IFERROR(__xludf.DUMMYFUNCTION("""COMPUTED_VALUE"""),"SUN HERITAGE PHARMA")</f>
        <v>SUN HERITAGE PHARMA</v>
      </c>
    </row>
    <row r="3042" ht="16.5" customHeight="1">
      <c r="H3042" s="1" t="str">
        <f>IFERROR(__xludf.DUMMYFUNCTION("""COMPUTED_VALUE"""),"SUN INDIA LABORATORIES")</f>
        <v>SUN INDIA LABORATORIES</v>
      </c>
    </row>
    <row r="3043" ht="16.5" customHeight="1">
      <c r="H3043" s="1" t="str">
        <f>IFERROR(__xludf.DUMMYFUNCTION("""COMPUTED_VALUE"""),"SUN LIFE SCIENCES PVT LTD")</f>
        <v>SUN LIFE SCIENCES PVT LTD</v>
      </c>
    </row>
    <row r="3044" ht="16.5" customHeight="1">
      <c r="H3044" s="1" t="str">
        <f>IFERROR(__xludf.DUMMYFUNCTION("""COMPUTED_VALUE"""),"SUN PHARMA (AKUNA AV)")</f>
        <v>SUN PHARMA (AKUNA AV)</v>
      </c>
    </row>
    <row r="3045" ht="16.5" customHeight="1">
      <c r="H3045" s="1" t="str">
        <f>IFERROR(__xludf.DUMMYFUNCTION("""COMPUTED_VALUE"""),"SUN PHARMA (AKUNA)")</f>
        <v>SUN PHARMA (AKUNA)</v>
      </c>
    </row>
    <row r="3046" ht="16.5" customHeight="1">
      <c r="H3046" s="1" t="str">
        <f>IFERROR(__xludf.DUMMYFUNCTION("""COMPUTED_VALUE"""),"SUN PHARMA (ALTAN)")</f>
        <v>SUN PHARMA (ALTAN)</v>
      </c>
    </row>
    <row r="3047" ht="16.5" customHeight="1">
      <c r="H3047" s="1" t="str">
        <f>IFERROR(__xludf.DUMMYFUNCTION("""COMPUTED_VALUE"""),"SUN PHARMA (ARIAN)")</f>
        <v>SUN PHARMA (ARIAN)</v>
      </c>
    </row>
    <row r="3048" ht="16.5" customHeight="1">
      <c r="H3048" s="1" t="str">
        <f>IFERROR(__xludf.DUMMYFUNCTION("""COMPUTED_VALUE"""),"SUN PHARMA (AVESTA)")</f>
        <v>SUN PHARMA (AVESTA)</v>
      </c>
    </row>
    <row r="3049" ht="16.5" customHeight="1">
      <c r="H3049" s="1" t="str">
        <f>IFERROR(__xludf.DUMMYFUNCTION("""COMPUTED_VALUE"""),"SUN PHARMA (AVIOR)")</f>
        <v>SUN PHARMA (AVIOR)</v>
      </c>
    </row>
    <row r="3050" ht="16.5" customHeight="1">
      <c r="H3050" s="1" t="str">
        <f>IFERROR(__xludf.DUMMYFUNCTION("""COMPUTED_VALUE"""),"SUN PHARMA (AZURA LIFE)")</f>
        <v>SUN PHARMA (AZURA LIFE)</v>
      </c>
    </row>
    <row r="3051" ht="16.5" customHeight="1">
      <c r="H3051" s="1" t="str">
        <f>IFERROR(__xludf.DUMMYFUNCTION("""COMPUTED_VALUE"""),"SUN PHARMA (AZURA)")</f>
        <v>SUN PHARMA (AZURA)</v>
      </c>
    </row>
    <row r="3052" ht="16.5" customHeight="1">
      <c r="H3052" s="1" t="str">
        <f>IFERROR(__xludf.DUMMYFUNCTION("""COMPUTED_VALUE"""),"SUN PHARMA (CORONUS)")</f>
        <v>SUN PHARMA (CORONUS)</v>
      </c>
    </row>
    <row r="3053" ht="16.5" customHeight="1">
      <c r="H3053" s="1" t="str">
        <f>IFERROR(__xludf.DUMMYFUNCTION("""COMPUTED_VALUE"""),"SUN PHARMA (INCA)")</f>
        <v>SUN PHARMA (INCA)</v>
      </c>
    </row>
    <row r="3054" ht="16.5" customHeight="1">
      <c r="H3054" s="1" t="str">
        <f>IFERROR(__xludf.DUMMYFUNCTION("""COMPUTED_VALUE"""),"SUN PHARMA (MAIN)")</f>
        <v>SUN PHARMA (MAIN)</v>
      </c>
    </row>
    <row r="3055" ht="16.5" customHeight="1">
      <c r="H3055" s="1" t="str">
        <f>IFERROR(__xludf.DUMMYFUNCTION("""COMPUTED_VALUE"""),"SUN PHARMA (MILMEL)")</f>
        <v>SUN PHARMA (MILMEL)</v>
      </c>
    </row>
    <row r="3056" ht="16.5" customHeight="1">
      <c r="H3056" s="1" t="str">
        <f>IFERROR(__xludf.DUMMYFUNCTION("""COMPUTED_VALUE"""),"SUN PHARMA (MILMET)")</f>
        <v>SUN PHARMA (MILMET)</v>
      </c>
    </row>
    <row r="3057" ht="16.5" customHeight="1">
      <c r="H3057" s="1" t="str">
        <f>IFERROR(__xludf.DUMMYFUNCTION("""COMPUTED_VALUE"""),"SUN PHARMA (ORTUS)")</f>
        <v>SUN PHARMA (ORTUS)</v>
      </c>
    </row>
    <row r="3058" ht="16.5" customHeight="1">
      <c r="H3058" s="1" t="str">
        <f>IFERROR(__xludf.DUMMYFUNCTION("""COMPUTED_VALUE"""),"SUN PHARMA (OTC)")</f>
        <v>SUN PHARMA (OTC)</v>
      </c>
    </row>
    <row r="3059" ht="16.5" customHeight="1">
      <c r="H3059" s="1" t="str">
        <f>IFERROR(__xludf.DUMMYFUNCTION("""COMPUTED_VALUE"""),"SUN PHARMA (PRIMALENT)")</f>
        <v>SUN PHARMA (PRIMALENT)</v>
      </c>
    </row>
    <row r="3060" ht="16.5" customHeight="1">
      <c r="H3060" s="1" t="str">
        <f>IFERROR(__xludf.DUMMYFUNCTION("""COMPUTED_VALUE"""),"SUN PHARMA (RADIANT)")</f>
        <v>SUN PHARMA (RADIANT)</v>
      </c>
    </row>
    <row r="3061" ht="16.5" customHeight="1">
      <c r="H3061" s="1" t="str">
        <f>IFERROR(__xludf.DUMMYFUNCTION("""COMPUTED_VALUE"""),"SUN PHARMA (SELECTA)")</f>
        <v>SUN PHARMA (SELECTA)</v>
      </c>
    </row>
    <row r="3062" ht="16.5" customHeight="1">
      <c r="H3062" s="1" t="str">
        <f>IFERROR(__xludf.DUMMYFUNCTION("""COMPUTED_VALUE"""),"SUN PHARMA (SENORA)")</f>
        <v>SUN PHARMA (SENORA)</v>
      </c>
    </row>
    <row r="3063" ht="16.5" customHeight="1">
      <c r="H3063" s="1" t="str">
        <f>IFERROR(__xludf.DUMMYFUNCTION("""COMPUTED_VALUE"""),"SUN PHARMA (SEPHEUS)")</f>
        <v>SUN PHARMA (SEPHEUS)</v>
      </c>
    </row>
    <row r="3064" ht="16.5" customHeight="1">
      <c r="H3064" s="1" t="str">
        <f>IFERROR(__xludf.DUMMYFUNCTION("""COMPUTED_VALUE"""),"SUN PHARMA (SIRIUS)")</f>
        <v>SUN PHARMA (SIRIUS)</v>
      </c>
    </row>
    <row r="3065" ht="16.5" customHeight="1">
      <c r="H3065" s="1" t="str">
        <f>IFERROR(__xludf.DUMMYFUNCTION("""COMPUTED_VALUE"""),"SUN PHARMA (SOLARES)")</f>
        <v>SUN PHARMA (SOLARES)</v>
      </c>
    </row>
    <row r="3066" ht="16.5" customHeight="1">
      <c r="H3066" s="1" t="str">
        <f>IFERROR(__xludf.DUMMYFUNCTION("""COMPUTED_VALUE"""),"SUN PHARMA (SPECTRA)")</f>
        <v>SUN PHARMA (SPECTRA)</v>
      </c>
    </row>
    <row r="3067" ht="16.5" customHeight="1">
      <c r="H3067" s="1" t="str">
        <f>IFERROR(__xludf.DUMMYFUNCTION("""COMPUTED_VALUE"""),"SUN PHARMA (SUNRION)")</f>
        <v>SUN PHARMA (SUNRION)</v>
      </c>
    </row>
    <row r="3068" ht="16.5" customHeight="1">
      <c r="H3068" s="1" t="str">
        <f>IFERROR(__xludf.DUMMYFUNCTION("""COMPUTED_VALUE"""),"SUN PHARMA (SYGUNS)")</f>
        <v>SUN PHARMA (SYGUNS)</v>
      </c>
    </row>
    <row r="3069" ht="16.5" customHeight="1">
      <c r="H3069" s="1" t="str">
        <f>IFERROR(__xludf.DUMMYFUNCTION("""COMPUTED_VALUE"""),"SUN PHARMA (SYMBIOSIS)")</f>
        <v>SUN PHARMA (SYMBIOSIS)</v>
      </c>
    </row>
    <row r="3070" ht="16.5" customHeight="1">
      <c r="H3070" s="1" t="str">
        <f>IFERROR(__xludf.DUMMYFUNCTION("""COMPUTED_VALUE"""),"SUN PHARMA (SYMENTA)")</f>
        <v>SUN PHARMA (SYMENTA)</v>
      </c>
    </row>
    <row r="3071" ht="16.5" customHeight="1">
      <c r="H3071" s="1" t="str">
        <f>IFERROR(__xludf.DUMMYFUNCTION("""COMPUTED_VALUE"""),"SUN PHARMA (SYNERGY)")</f>
        <v>SUN PHARMA (SYNERGY)</v>
      </c>
    </row>
    <row r="3072" ht="16.5" customHeight="1">
      <c r="H3072" s="1" t="str">
        <f>IFERROR(__xludf.DUMMYFUNCTION("""COMPUTED_VALUE"""),"SUN PHARMA (TR)")</f>
        <v>SUN PHARMA (TR)</v>
      </c>
    </row>
    <row r="3073" ht="16.5" customHeight="1">
      <c r="H3073" s="1" t="str">
        <f>IFERROR(__xludf.DUMMYFUNCTION("""COMPUTED_VALUE"""),"SUN PHARMA (UROLOGY)")</f>
        <v>SUN PHARMA (UROLOGY)</v>
      </c>
    </row>
    <row r="3074" ht="16.5" customHeight="1">
      <c r="H3074" s="1" t="str">
        <f>IFERROR(__xludf.DUMMYFUNCTION("""COMPUTED_VALUE"""),"Sun Pharmaceuticals")</f>
        <v>Sun Pharmaceuticals</v>
      </c>
    </row>
    <row r="3075" ht="16.5" customHeight="1">
      <c r="H3075" s="1" t="str">
        <f>IFERROR(__xludf.DUMMYFUNCTION("""COMPUTED_VALUE"""),"SUN VISION HEALTHCARE")</f>
        <v>SUN VISION HEALTHCARE</v>
      </c>
    </row>
    <row r="3076" ht="16.5" customHeight="1">
      <c r="H3076" s="1" t="str">
        <f>IFERROR(__xludf.DUMMYFUNCTION("""COMPUTED_VALUE"""),"SUN-AJ PHARMA")</f>
        <v>SUN-AJ PHARMA</v>
      </c>
    </row>
    <row r="3077" ht="16.5" customHeight="1">
      <c r="H3077" s="1" t="str">
        <f>IFERROR(__xludf.DUMMYFUNCTION("""COMPUTED_VALUE"""),"SUNCARE PHARMACETUCALS")</f>
        <v>SUNCARE PHARMACETUCALS</v>
      </c>
    </row>
    <row r="3078" ht="16.5" customHeight="1">
      <c r="H3078" s="1" t="str">
        <f>IFERROR(__xludf.DUMMYFUNCTION("""COMPUTED_VALUE"""),"Sundyota Numandis Pharmaceuticals Pvt Ltd")</f>
        <v>Sundyota Numandis Pharmaceuticals Pvt Ltd</v>
      </c>
    </row>
    <row r="3079" ht="16.5" customHeight="1">
      <c r="H3079" s="1" t="str">
        <f>IFERROR(__xludf.DUMMYFUNCTION("""COMPUTED_VALUE"""),"SUNMORE PHARMACEUTICALS PVT LTD")</f>
        <v>SUNMORE PHARMACEUTICALS PVT LTD</v>
      </c>
    </row>
    <row r="3080" ht="16.5" customHeight="1">
      <c r="H3080" s="1" t="str">
        <f>IFERROR(__xludf.DUMMYFUNCTION("""COMPUTED_VALUE"""),"SUNRISE PHARMACEUTICALS")</f>
        <v>SUNRISE PHARMACEUTICALS</v>
      </c>
    </row>
    <row r="3081" ht="16.5" customHeight="1">
      <c r="H3081" s="1" t="str">
        <f>IFERROR(__xludf.DUMMYFUNCTION("""COMPUTED_VALUE"""),"SUNUP HUMACARE PVT LTD")</f>
        <v>SUNUP HUMACARE PVT LTD</v>
      </c>
    </row>
    <row r="3082" ht="16.5" customHeight="1">
      <c r="H3082" s="1" t="str">
        <f>IFERROR(__xludf.DUMMYFUNCTION("""COMPUTED_VALUE"""),"SUNUP PHARMA PVT LTD")</f>
        <v>SUNUP PHARMA PVT LTD</v>
      </c>
    </row>
    <row r="3083" ht="16.5" customHeight="1">
      <c r="H3083" s="1" t="str">
        <f>IFERROR(__xludf.DUMMYFUNCTION("""COMPUTED_VALUE"""),"SUNVET PHARMA P LTD, SIRMOR")</f>
        <v>SUNVET PHARMA P LTD, SIRMOR</v>
      </c>
    </row>
    <row r="3084" ht="16.5" customHeight="1">
      <c r="H3084" s="1" t="str">
        <f>IFERROR(__xludf.DUMMYFUNCTION("""COMPUTED_VALUE"""),"SUNVIJ DRUGS")</f>
        <v>SUNVIJ DRUGS</v>
      </c>
    </row>
    <row r="3085" ht="16.5" customHeight="1">
      <c r="H3085" s="1" t="str">
        <f>IFERROR(__xludf.DUMMYFUNCTION("""COMPUTED_VALUE"""),"Sunways India Pvt Ltd")</f>
        <v>Sunways India Pvt Ltd</v>
      </c>
    </row>
    <row r="3086" ht="16.5" customHeight="1">
      <c r="H3086" s="1" t="str">
        <f>IFERROR(__xludf.DUMMYFUNCTION("""COMPUTED_VALUE"""),"SUPER PHARMA")</f>
        <v>SUPER PHARMA</v>
      </c>
    </row>
    <row r="3087" ht="16.5" customHeight="1">
      <c r="H3087" s="1" t="str">
        <f>IFERROR(__xludf.DUMMYFUNCTION("""COMPUTED_VALUE"""),"SUPERB PHARMA")</f>
        <v>SUPERB PHARMA</v>
      </c>
    </row>
    <row r="3088" ht="16.5" customHeight="1">
      <c r="H3088" s="1" t="str">
        <f>IFERROR(__xludf.DUMMYFUNCTION("""COMPUTED_VALUE"""),"SUPERLATIVE HEALTHCARE")</f>
        <v>SUPERLATIVE HEALTHCARE</v>
      </c>
    </row>
    <row r="3089" ht="16.5" customHeight="1">
      <c r="H3089" s="1" t="str">
        <f>IFERROR(__xludf.DUMMYFUNCTION("""COMPUTED_VALUE"""),"SUPREME PHARMA")</f>
        <v>SUPREME PHARMA</v>
      </c>
    </row>
    <row r="3090" ht="16.5" customHeight="1">
      <c r="H3090" s="1" t="str">
        <f>IFERROR(__xludf.DUMMYFUNCTION("""COMPUTED_VALUE"""),"SUPREX LABORATORIES")</f>
        <v>SUPREX LABORATORIES</v>
      </c>
    </row>
    <row r="3091" ht="16.5" customHeight="1">
      <c r="H3091" s="1" t="str">
        <f>IFERROR(__xludf.DUMMYFUNCTION("""COMPUTED_VALUE"""),"SURE LIFESCIENCE")</f>
        <v>SURE LIFESCIENCE</v>
      </c>
    </row>
    <row r="3092" ht="16.5" customHeight="1">
      <c r="H3092" s="1" t="str">
        <f>IFERROR(__xludf.DUMMYFUNCTION("""COMPUTED_VALUE"""),"SURGE PHARMACEUTICAL PVT LTD")</f>
        <v>SURGE PHARMACEUTICAL PVT LTD</v>
      </c>
    </row>
    <row r="3093" ht="16.5" customHeight="1">
      <c r="H3093" s="1" t="str">
        <f>IFERROR(__xludf.DUMMYFUNCTION("""COMPUTED_VALUE"""),"SURGICARE")</f>
        <v>SURGICARE</v>
      </c>
    </row>
    <row r="3094" ht="16.5" customHeight="1">
      <c r="H3094" s="1" t="str">
        <f>IFERROR(__xludf.DUMMYFUNCTION("""COMPUTED_VALUE"""),"SURGIWEAR")</f>
        <v>SURGIWEAR</v>
      </c>
    </row>
    <row r="3095" ht="16.5" customHeight="1">
      <c r="H3095" s="1" t="str">
        <f>IFERROR(__xludf.DUMMYFUNCTION("""COMPUTED_VALUE"""),"SURJAN AYURVEDIC PHARMACY")</f>
        <v>SURJAN AYURVEDIC PHARMACY</v>
      </c>
    </row>
    <row r="3096" ht="16.5" customHeight="1">
      <c r="H3096" s="1" t="str">
        <f>IFERROR(__xludf.DUMMYFUNCTION("""COMPUTED_VALUE"""),"SURU INTERNATIONAL PVT LTD")</f>
        <v>SURU INTERNATIONAL PVT LTD</v>
      </c>
    </row>
    <row r="3097" ht="16.5" customHeight="1">
      <c r="H3097" s="1" t="str">
        <f>IFERROR(__xludf.DUMMYFUNCTION("""COMPUTED_VALUE"""),"SURYA PHARMA AYURVEDIC")</f>
        <v>SURYA PHARMA AYURVEDIC</v>
      </c>
    </row>
    <row r="3098" ht="16.5" customHeight="1">
      <c r="H3098" s="1" t="str">
        <f>IFERROR(__xludf.DUMMYFUNCTION("""COMPUTED_VALUE"""),"SURYA PHARMA, VARANASI")</f>
        <v>SURYA PHARMA, VARANASI</v>
      </c>
    </row>
    <row r="3099" ht="16.5" customHeight="1">
      <c r="H3099" s="1" t="str">
        <f>IFERROR(__xludf.DUMMYFUNCTION("""COMPUTED_VALUE"""),"SURYA PHARMACEUTICALS")</f>
        <v>SURYA PHARMACEUTICALS</v>
      </c>
    </row>
    <row r="3100" ht="16.5" customHeight="1">
      <c r="H3100" s="1" t="str">
        <f>IFERROR(__xludf.DUMMYFUNCTION("""COMPUTED_VALUE"""),"SV LIFECARE")</f>
        <v>SV LIFECARE</v>
      </c>
    </row>
    <row r="3101" ht="16.5" customHeight="1">
      <c r="H3101" s="1" t="str">
        <f>IFERROR(__xludf.DUMMYFUNCTION("""COMPUTED_VALUE"""),"SVEN GENTECH LTD")</f>
        <v>SVEN GENTECH LTD</v>
      </c>
    </row>
    <row r="3102" ht="16.5" customHeight="1">
      <c r="H3102" s="1" t="str">
        <f>IFERROR(__xludf.DUMMYFUNCTION("""COMPUTED_VALUE"""),"SVIZERA")</f>
        <v>SVIZERA</v>
      </c>
    </row>
    <row r="3103" ht="16.5" customHeight="1">
      <c r="H3103" s="1" t="str">
        <f>IFERROR(__xludf.DUMMYFUNCTION("""COMPUTED_VALUE"""),"SWAGDARE LIFESCIENCE")</f>
        <v>SWAGDARE LIFESCIENCE</v>
      </c>
    </row>
    <row r="3104" ht="16.5" customHeight="1">
      <c r="H3104" s="1" t="str">
        <f>IFERROR(__xludf.DUMMYFUNCTION("""COMPUTED_VALUE"""),"SWAROOP PHARMACEUTICALS PVT LTD")</f>
        <v>SWAROOP PHARMACEUTICALS PVT LTD</v>
      </c>
    </row>
    <row r="3105" ht="16.5" customHeight="1">
      <c r="H3105" s="1" t="str">
        <f>IFERROR(__xludf.DUMMYFUNCTION("""COMPUTED_VALUE"""),"SWASTH BIOTECH P LTD")</f>
        <v>SWASTH BIOTECH P LTD</v>
      </c>
    </row>
    <row r="3106" ht="16.5" customHeight="1">
      <c r="H3106" s="1" t="str">
        <f>IFERROR(__xludf.DUMMYFUNCTION("""COMPUTED_VALUE"""),"SWASTIK FORMULATION PVT LTD")</f>
        <v>SWASTIK FORMULATION PVT LTD</v>
      </c>
    </row>
    <row r="3107" ht="16.5" customHeight="1">
      <c r="H3107" s="1" t="str">
        <f>IFERROR(__xludf.DUMMYFUNCTION("""COMPUTED_VALUE"""),"SWEDISH LIFESCIENCES")</f>
        <v>SWEDISH LIFESCIENCES</v>
      </c>
    </row>
    <row r="3108" ht="16.5" customHeight="1">
      <c r="H3108" s="1" t="str">
        <f>IFERROR(__xludf.DUMMYFUNCTION("""COMPUTED_VALUE"""),"SWEIZ PHARMACEUTICAL PVT LTD")</f>
        <v>SWEIZ PHARMACEUTICAL PVT LTD</v>
      </c>
    </row>
    <row r="3109" ht="16.5" customHeight="1">
      <c r="H3109" s="1" t="str">
        <f>IFERROR(__xludf.DUMMYFUNCTION("""COMPUTED_VALUE"""),"SWISS INTERNATIONAL")</f>
        <v>SWISS INTERNATIONAL</v>
      </c>
    </row>
    <row r="3110" ht="16.5" customHeight="1">
      <c r="H3110" s="1" t="str">
        <f>IFERROR(__xludf.DUMMYFUNCTION("""COMPUTED_VALUE"""),"SYGNUS BIOTECH")</f>
        <v>SYGNUS BIOTECH</v>
      </c>
    </row>
    <row r="3111" ht="16.5" customHeight="1">
      <c r="H3111" s="1" t="str">
        <f>IFERROR(__xludf.DUMMYFUNCTION("""COMPUTED_VALUE"""),"Symbiosis Lab")</f>
        <v>Symbiosis Lab</v>
      </c>
    </row>
    <row r="3112" ht="16.5" customHeight="1">
      <c r="H3112" s="1" t="str">
        <f>IFERROR(__xludf.DUMMYFUNCTION("""COMPUTED_VALUE"""),"SYMBIOSIS LIFESCIENCES")</f>
        <v>SYMBIOSIS LIFESCIENCES</v>
      </c>
    </row>
    <row r="3113" ht="16.5" customHeight="1">
      <c r="H3113" s="1" t="str">
        <f>IFERROR(__xludf.DUMMYFUNCTION("""COMPUTED_VALUE"""),"SYMBIOSIS PHARMA")</f>
        <v>SYMBIOSIS PHARMA</v>
      </c>
    </row>
    <row r="3114" ht="16.5" customHeight="1">
      <c r="H3114" s="1" t="str">
        <f>IFERROR(__xludf.DUMMYFUNCTION("""COMPUTED_VALUE"""),"Synchem Lab")</f>
        <v>Synchem Lab</v>
      </c>
    </row>
    <row r="3115" ht="16.5" customHeight="1">
      <c r="H3115" s="1" t="str">
        <f>IFERROR(__xludf.DUMMYFUNCTION("""COMPUTED_VALUE"""),"SYNCOM FORMULATIONS (INDIA) LTD")</f>
        <v>SYNCOM FORMULATIONS (INDIA) LTD</v>
      </c>
    </row>
    <row r="3116" ht="16.5" customHeight="1">
      <c r="H3116" s="1" t="str">
        <f>IFERROR(__xludf.DUMMYFUNCTION("""COMPUTED_VALUE"""),"SYNCOM FORMULATIONS PVT LTD")</f>
        <v>SYNCOM FORMULATIONS PVT LTD</v>
      </c>
    </row>
    <row r="3117" ht="16.5" customHeight="1">
      <c r="H3117" s="1" t="str">
        <f>IFERROR(__xludf.DUMMYFUNCTION("""COMPUTED_VALUE"""),"SYNDICATE PHARMA")</f>
        <v>SYNDICATE PHARMA</v>
      </c>
    </row>
    <row r="3118" ht="16.5" customHeight="1">
      <c r="H3118" s="1" t="str">
        <f>IFERROR(__xludf.DUMMYFUNCTION("""COMPUTED_VALUE"""),"SYNERGY")</f>
        <v>SYNERGY</v>
      </c>
    </row>
    <row r="3119" ht="16.5" customHeight="1">
      <c r="H3119" s="1" t="str">
        <f>IFERROR(__xludf.DUMMYFUNCTION("""COMPUTED_VALUE"""),"SYNERGY DIAGNOSTICS")</f>
        <v>SYNERGY DIAGNOSTICS</v>
      </c>
    </row>
    <row r="3120" ht="16.5" customHeight="1">
      <c r="H3120" s="1" t="str">
        <f>IFERROR(__xludf.DUMMYFUNCTION("""COMPUTED_VALUE"""),"SYNERGY VACCINES LLP")</f>
        <v>SYNERGY VACCINES LLP</v>
      </c>
    </row>
    <row r="3121" ht="16.5" customHeight="1">
      <c r="H3121" s="1" t="str">
        <f>IFERROR(__xludf.DUMMYFUNCTION("""COMPUTED_VALUE"""),"SYNODIC LIFESCIENCES P LTD")</f>
        <v>SYNODIC LIFESCIENCES P LTD</v>
      </c>
    </row>
    <row r="3122" ht="16.5" customHeight="1">
      <c r="H3122" s="1" t="str">
        <f>IFERROR(__xludf.DUMMYFUNCTION("""COMPUTED_VALUE"""),"SYNOPTIC LIFE SCIENCES")</f>
        <v>SYNOPTIC LIFE SCIENCES</v>
      </c>
    </row>
    <row r="3123" ht="16.5" customHeight="1">
      <c r="H3123" s="1" t="str">
        <f>IFERROR(__xludf.DUMMYFUNCTION("""COMPUTED_VALUE"""),"SYNOVIA LIFESCIENCES")</f>
        <v>SYNOVIA LIFESCIENCES</v>
      </c>
    </row>
    <row r="3124" ht="16.5" customHeight="1">
      <c r="H3124" s="1" t="str">
        <f>IFERROR(__xludf.DUMMYFUNCTION("""COMPUTED_VALUE"""),"SYNTHESIS")</f>
        <v>SYNTHESIS</v>
      </c>
    </row>
    <row r="3125" ht="16.5" customHeight="1">
      <c r="H3125" s="1" t="str">
        <f>IFERROR(__xludf.DUMMYFUNCTION("""COMPUTED_VALUE"""),"SYNTHIKO EXPORTS")</f>
        <v>SYNTHIKO EXPORTS</v>
      </c>
    </row>
    <row r="3126" ht="16.5" customHeight="1">
      <c r="H3126" s="1" t="str">
        <f>IFERROR(__xludf.DUMMYFUNCTION("""COMPUTED_VALUE"""),"Syntho Pharmaceuticals Pvt Ltd")</f>
        <v>Syntho Pharmaceuticals Pvt Ltd</v>
      </c>
    </row>
    <row r="3127" ht="16.5" customHeight="1">
      <c r="H3127" s="1" t="str">
        <f>IFERROR(__xludf.DUMMYFUNCTION("""COMPUTED_VALUE"""),"SYNTHOKIND PHARMACEUTICALS PVT LTD")</f>
        <v>SYNTHOKIND PHARMACEUTICALS PVT LTD</v>
      </c>
    </row>
    <row r="3128" ht="16.5" customHeight="1">
      <c r="H3128" s="1" t="str">
        <f>IFERROR(__xludf.DUMMYFUNCTION("""COMPUTED_VALUE"""),"SYNTONIX BIOFARM")</f>
        <v>SYNTONIX BIOFARM</v>
      </c>
    </row>
    <row r="3129" ht="16.5" customHeight="1">
      <c r="H3129" s="1" t="str">
        <f>IFERROR(__xludf.DUMMYFUNCTION("""COMPUTED_VALUE"""),"SYSCOM")</f>
        <v>SYSCOM</v>
      </c>
    </row>
    <row r="3130" ht="16.5" customHeight="1">
      <c r="H3130" s="1" t="str">
        <f>IFERROR(__xludf.DUMMYFUNCTION("""COMPUTED_VALUE"""),"SYSMED LABORATORIES PVT LTD")</f>
        <v>SYSMED LABORATORIES PVT LTD</v>
      </c>
    </row>
    <row r="3131" ht="16.5" customHeight="1">
      <c r="H3131" s="1" t="str">
        <f>IFERROR(__xludf.DUMMYFUNCTION("""COMPUTED_VALUE"""),"SYSTEMIC HEALTHCARE")</f>
        <v>SYSTEMIC HEALTHCARE</v>
      </c>
    </row>
    <row r="3132" ht="16.5" customHeight="1">
      <c r="H3132" s="1" t="str">
        <f>IFERROR(__xludf.DUMMYFUNCTION("""COMPUTED_VALUE"""),"SYSTOCHEM")</f>
        <v>SYSTOCHEM</v>
      </c>
    </row>
    <row r="3133" ht="16.5" customHeight="1">
      <c r="H3133" s="1" t="str">
        <f>IFERROR(__xludf.DUMMYFUNCTION("""COMPUTED_VALUE"""),"Systopic Laboratories Pvt Ltd")</f>
        <v>Systopic Laboratories Pvt Ltd</v>
      </c>
    </row>
    <row r="3134" ht="16.5" customHeight="1">
      <c r="H3134" s="1" t="str">
        <f>IFERROR(__xludf.DUMMYFUNCTION("""COMPUTED_VALUE"""),"TABLETS INDIA")</f>
        <v>TABLETS INDIA</v>
      </c>
    </row>
    <row r="3135" ht="16.5" customHeight="1">
      <c r="H3135" s="1" t="str">
        <f>IFERROR(__xludf.DUMMYFUNCTION("""COMPUTED_VALUE"""),"TABLETS INDIA (LUCID)")</f>
        <v>TABLETS INDIA (LUCID)</v>
      </c>
    </row>
    <row r="3136" ht="16.5" customHeight="1">
      <c r="H3136" s="1" t="str">
        <f>IFERROR(__xludf.DUMMYFUNCTION("""COMPUTED_VALUE"""),"TABLETS INDIA (TABZEN)")</f>
        <v>TABLETS INDIA (TABZEN)</v>
      </c>
    </row>
    <row r="3137" ht="16.5" customHeight="1">
      <c r="H3137" s="1" t="str">
        <f>IFERROR(__xludf.DUMMYFUNCTION("""COMPUTED_VALUE"""),"TABLETS INDIA (VIBRANZ)")</f>
        <v>TABLETS INDIA (VIBRANZ)</v>
      </c>
    </row>
    <row r="3138" ht="16.5" customHeight="1">
      <c r="H3138" s="1" t="str">
        <f>IFERROR(__xludf.DUMMYFUNCTION("""COMPUTED_VALUE"""),"Talent Healthcare")</f>
        <v>Talent Healthcare</v>
      </c>
    </row>
    <row r="3139" ht="16.5" customHeight="1">
      <c r="H3139" s="1" t="str">
        <f>IFERROR(__xludf.DUMMYFUNCTION("""COMPUTED_VALUE"""),"TALENT INDIA")</f>
        <v>TALENT INDIA</v>
      </c>
    </row>
    <row r="3140" ht="16.5" customHeight="1">
      <c r="H3140" s="1" t="str">
        <f>IFERROR(__xludf.DUMMYFUNCTION("""COMPUTED_VALUE"""),"TALIN REMEDIES")</f>
        <v>TALIN REMEDIES</v>
      </c>
    </row>
    <row r="3141" ht="16.5" customHeight="1">
      <c r="H3141" s="1" t="str">
        <f>IFERROR(__xludf.DUMMYFUNCTION("""COMPUTED_VALUE"""),"TARAGOD PHARMACALS")</f>
        <v>TARAGOD PHARMACALS</v>
      </c>
    </row>
    <row r="3142" ht="16.5" customHeight="1">
      <c r="H3142" s="1" t="str">
        <f>IFERROR(__xludf.DUMMYFUNCTION("""COMPUTED_VALUE"""),"taronto")</f>
        <v>taronto</v>
      </c>
    </row>
    <row r="3143" ht="16.5" customHeight="1">
      <c r="H3143" s="1" t="str">
        <f>IFERROR(__xludf.DUMMYFUNCTION("""COMPUTED_VALUE"""),"TASMED LAB")</f>
        <v>TASMED LAB</v>
      </c>
    </row>
    <row r="3144" ht="16.5" customHeight="1">
      <c r="H3144" s="1" t="str">
        <f>IFERROR(__xludf.DUMMYFUNCTION("""COMPUTED_VALUE"""),"TASMED LAB (DERMA)")</f>
        <v>TASMED LAB (DERMA)</v>
      </c>
    </row>
    <row r="3145" ht="16.5" customHeight="1">
      <c r="H3145" s="1" t="str">
        <f>IFERROR(__xludf.DUMMYFUNCTION("""COMPUTED_VALUE"""),"TEBLIK DRUG P LTD")</f>
        <v>TEBLIK DRUG P LTD</v>
      </c>
    </row>
    <row r="3146" ht="16.5" customHeight="1">
      <c r="H3146" s="1" t="str">
        <f>IFERROR(__xludf.DUMMYFUNCTION("""COMPUTED_VALUE"""),"TECHNOPHARMA PHARMACEUTICALS")</f>
        <v>TECHNOPHARMA PHARMACEUTICALS</v>
      </c>
    </row>
    <row r="3147" ht="16.5" customHeight="1">
      <c r="H3147" s="1" t="str">
        <f>IFERROR(__xludf.DUMMYFUNCTION("""COMPUTED_VALUE"""),"TEETHYS INC")</f>
        <v>TEETHYS INC</v>
      </c>
    </row>
    <row r="3148" ht="16.5" customHeight="1">
      <c r="H3148" s="1" t="str">
        <f>IFERROR(__xludf.DUMMYFUNCTION("""COMPUTED_VALUE"""),"TEMOMAPS 100")</f>
        <v>TEMOMAPS 100</v>
      </c>
    </row>
    <row r="3149" ht="16.5" customHeight="1">
      <c r="H3149" s="1" t="str">
        <f>IFERROR(__xludf.DUMMYFUNCTION("""COMPUTED_VALUE"""),"TEMOMAPS 20")</f>
        <v>TEMOMAPS 20</v>
      </c>
    </row>
    <row r="3150" ht="16.5" customHeight="1">
      <c r="H3150" s="1" t="str">
        <f>IFERROR(__xludf.DUMMYFUNCTION("""COMPUTED_VALUE"""),"TEMOMAPS 250")</f>
        <v>TEMOMAPS 250</v>
      </c>
    </row>
    <row r="3151" ht="16.5" customHeight="1">
      <c r="H3151" s="1" t="str">
        <f>IFERROR(__xludf.DUMMYFUNCTION("""COMPUTED_VALUE"""),"TERAPIO PHARMA P LTD")</f>
        <v>TERAPIO PHARMA P LTD</v>
      </c>
    </row>
    <row r="3152" ht="16.5" customHeight="1">
      <c r="H3152" s="1" t="str">
        <f>IFERROR(__xludf.DUMMYFUNCTION("""COMPUTED_VALUE"""),"TETRAMED BIOTEK PVT LTD")</f>
        <v>TETRAMED BIOTEK PVT LTD</v>
      </c>
    </row>
    <row r="3153" ht="16.5" customHeight="1">
      <c r="H3153" s="1" t="str">
        <f>IFERROR(__xludf.DUMMYFUNCTION("""COMPUTED_VALUE"""),"THE ARIYANPHARMACEUTICALS")</f>
        <v>THE ARIYANPHARMACEUTICALS</v>
      </c>
    </row>
    <row r="3154" ht="16.5" customHeight="1">
      <c r="H3154" s="1" t="str">
        <f>IFERROR(__xludf.DUMMYFUNCTION("""COMPUTED_VALUE"""),"THE BIHARI AYURVEDIC PHARMACY")</f>
        <v>THE BIHARI AYURVEDIC PHARMACY</v>
      </c>
    </row>
    <row r="3155" ht="16.5" customHeight="1">
      <c r="H3155" s="1" t="str">
        <f>IFERROR(__xludf.DUMMYFUNCTION("""COMPUTED_VALUE"""),"THE TAYYEBI DAWAKHANA")</f>
        <v>THE TAYYEBI DAWAKHANA</v>
      </c>
    </row>
    <row r="3156" ht="16.5" customHeight="1">
      <c r="H3156" s="1" t="str">
        <f>IFERROR(__xludf.DUMMYFUNCTION("""COMPUTED_VALUE"""),"THE ZONE CHEMICAL COMPANY")</f>
        <v>THE ZONE CHEMICAL COMPANY</v>
      </c>
    </row>
    <row r="3157" ht="16.5" customHeight="1">
      <c r="H3157" s="1" t="str">
        <f>IFERROR(__xludf.DUMMYFUNCTION("""COMPUTED_VALUE"""),"Themis Medicare (ORTHO)")</f>
        <v>Themis Medicare (ORTHO)</v>
      </c>
    </row>
    <row r="3158" ht="16.5" customHeight="1">
      <c r="H3158" s="1" t="str">
        <f>IFERROR(__xludf.DUMMYFUNCTION("""COMPUTED_VALUE"""),"Themis Medicare Ltd")</f>
        <v>Themis Medicare Ltd</v>
      </c>
    </row>
    <row r="3159" ht="16.5" customHeight="1">
      <c r="H3159" s="1" t="str">
        <f>IFERROR(__xludf.DUMMYFUNCTION("""COMPUTED_VALUE"""),"Themis Medicare Ltd (SPECIALITY)")</f>
        <v>Themis Medicare Ltd (SPECIALITY)</v>
      </c>
    </row>
    <row r="3160" ht="16.5" customHeight="1">
      <c r="H3160" s="1" t="str">
        <f>IFERROR(__xludf.DUMMYFUNCTION("""COMPUTED_VALUE"""),"THEOGEN P LTD")</f>
        <v>THEOGEN P LTD</v>
      </c>
    </row>
    <row r="3161" ht="16.5" customHeight="1">
      <c r="H3161" s="1" t="str">
        <f>IFERROR(__xludf.DUMMYFUNCTION("""COMPUTED_VALUE"""),"THERMED LIFESCIENCES")</f>
        <v>THERMED LIFESCIENCES</v>
      </c>
    </row>
    <row r="3162" ht="16.5" customHeight="1">
      <c r="H3162" s="1" t="str">
        <f>IFERROR(__xludf.DUMMYFUNCTION("""COMPUTED_VALUE"""),"Theta Lab Pvt Ltd")</f>
        <v>Theta Lab Pvt Ltd</v>
      </c>
    </row>
    <row r="3163" ht="16.5" customHeight="1">
      <c r="H3163" s="1" t="str">
        <f>IFERROR(__xludf.DUMMYFUNCTION("""COMPUTED_VALUE"""),"TIARA")</f>
        <v>TIARA</v>
      </c>
    </row>
    <row r="3164" ht="16.5" customHeight="1">
      <c r="H3164" s="1" t="str">
        <f>IFERROR(__xludf.DUMMYFUNCTION("""COMPUTED_VALUE"""),"Tidal Laboratories Pvt Ltd")</f>
        <v>Tidal Laboratories Pvt Ltd</v>
      </c>
    </row>
    <row r="3165" ht="16.5" customHeight="1">
      <c r="H3165" s="1" t="str">
        <f>IFERROR(__xludf.DUMMYFUNCTION("""COMPUTED_VALUE"""),"TILLU SOUL PHARMA")</f>
        <v>TILLU SOUL PHARMA</v>
      </c>
    </row>
    <row r="3166" ht="16.5" customHeight="1">
      <c r="H3166" s="1" t="str">
        <f>IFERROR(__xludf.DUMMYFUNCTION("""COMPUTED_VALUE"""),"TIRUPATI MEDICARE LTD")</f>
        <v>TIRUPATI MEDICARE LTD</v>
      </c>
    </row>
    <row r="3167" ht="16.5" customHeight="1">
      <c r="H3167" s="1" t="str">
        <f>IFERROR(__xludf.DUMMYFUNCTION("""COMPUTED_VALUE"""),"TISCON")</f>
        <v>TISCON</v>
      </c>
    </row>
    <row r="3168" ht="16.5" customHeight="1">
      <c r="H3168" s="1" t="str">
        <f>IFERROR(__xludf.DUMMYFUNCTION("""COMPUTED_VALUE"""),"TITAN (BIOSCIENCES)")</f>
        <v>TITAN (BIOSCIENCES)</v>
      </c>
    </row>
    <row r="3169" ht="16.5" customHeight="1">
      <c r="H3169" s="1" t="str">
        <f>IFERROR(__xludf.DUMMYFUNCTION("""COMPUTED_VALUE"""),"TITAN (FUTURA)")</f>
        <v>TITAN (FUTURA)</v>
      </c>
    </row>
    <row r="3170" ht="16.5" customHeight="1">
      <c r="H3170" s="1" t="str">
        <f>IFERROR(__xludf.DUMMYFUNCTION("""COMPUTED_VALUE"""),"TJS BEAUTY SECREAT")</f>
        <v>TJS BEAUTY SECREAT</v>
      </c>
    </row>
    <row r="3171" ht="16.5" customHeight="1">
      <c r="H3171" s="1" t="str">
        <f>IFERROR(__xludf.DUMMYFUNCTION("""COMPUTED_VALUE"""),"TN SYS MERYL PHARMA PVT LTD")</f>
        <v>TN SYS MERYL PHARMA PVT LTD</v>
      </c>
    </row>
    <row r="3172" ht="16.5" customHeight="1">
      <c r="H3172" s="1" t="str">
        <f>IFERROR(__xludf.DUMMYFUNCTION("""COMPUTED_VALUE"""),"TODAY REMEDIES")</f>
        <v>TODAY REMEDIES</v>
      </c>
    </row>
    <row r="3173" ht="16.5" customHeight="1">
      <c r="H3173" s="1" t="str">
        <f>IFERROR(__xludf.DUMMYFUNCTION("""COMPUTED_VALUE"""),"TORAINSE LIFECARE")</f>
        <v>TORAINSE LIFECARE</v>
      </c>
    </row>
    <row r="3174" ht="16.5" customHeight="1">
      <c r="H3174" s="1" t="str">
        <f>IFERROR(__xludf.DUMMYFUNCTION("""COMPUTED_VALUE"""),"TORINO LABOTATORIES PVT LTD")</f>
        <v>TORINO LABOTATORIES PVT LTD</v>
      </c>
    </row>
    <row r="3175" ht="16.5" customHeight="1">
      <c r="H3175" s="1" t="str">
        <f>IFERROR(__xludf.DUMMYFUNCTION("""COMPUTED_VALUE"""),"Torque Pharmaceuticals Pvt Ltd")</f>
        <v>Torque Pharmaceuticals Pvt Ltd</v>
      </c>
    </row>
    <row r="3176" ht="16.5" customHeight="1">
      <c r="H3176" s="1" t="str">
        <f>IFERROR(__xludf.DUMMYFUNCTION("""COMPUTED_VALUE"""),"TORQUE PHRAMACUETICAL")</f>
        <v>TORQUE PHRAMACUETICAL</v>
      </c>
    </row>
    <row r="3177" ht="16.5" customHeight="1">
      <c r="H3177" s="1" t="str">
        <f>IFERROR(__xludf.DUMMYFUNCTION("""COMPUTED_VALUE"""),"TORRENT (AXON)")</f>
        <v>TORRENT (AXON)</v>
      </c>
    </row>
    <row r="3178" ht="16.5" customHeight="1">
      <c r="H3178" s="1" t="str">
        <f>IFERROR(__xludf.DUMMYFUNCTION("""COMPUTED_VALUE"""),"TORRENT (AZUCA)")</f>
        <v>TORRENT (AZUCA)</v>
      </c>
    </row>
    <row r="3179" ht="16.5" customHeight="1">
      <c r="H3179" s="1" t="str">
        <f>IFERROR(__xludf.DUMMYFUNCTION("""COMPUTED_VALUE"""),"TORRENT (B WELL)")</f>
        <v>TORRENT (B WELL)</v>
      </c>
    </row>
    <row r="3180" ht="16.5" customHeight="1">
      <c r="H3180" s="1" t="str">
        <f>IFERROR(__xludf.DUMMYFUNCTION("""COMPUTED_VALUE"""),"TORRENT (B-GYNE)")</f>
        <v>TORRENT (B-GYNE)</v>
      </c>
    </row>
    <row r="3181" ht="16.5" customHeight="1">
      <c r="H3181" s="1" t="str">
        <f>IFERROR(__xludf.DUMMYFUNCTION("""COMPUTED_VALUE"""),"TORRENT (DELTA)")</f>
        <v>TORRENT (DELTA)</v>
      </c>
    </row>
    <row r="3182" ht="16.5" customHeight="1">
      <c r="H3182" s="1" t="str">
        <f>IFERROR(__xludf.DUMMYFUNCTION("""COMPUTED_VALUE"""),"TORRENT (GENERIC)")</f>
        <v>TORRENT (GENERIC)</v>
      </c>
    </row>
    <row r="3183" ht="16.5" customHeight="1">
      <c r="H3183" s="1" t="str">
        <f>IFERROR(__xludf.DUMMYFUNCTION("""COMPUTED_VALUE"""),"TORRENT (MIND)")</f>
        <v>TORRENT (MIND)</v>
      </c>
    </row>
    <row r="3184" ht="16.5" customHeight="1">
      <c r="H3184" s="1" t="str">
        <f>IFERROR(__xludf.DUMMYFUNCTION("""COMPUTED_VALUE"""),"TORRENT (NEURON)")</f>
        <v>TORRENT (NEURON)</v>
      </c>
    </row>
    <row r="3185" ht="16.5" customHeight="1">
      <c r="H3185" s="1" t="str">
        <f>IFERROR(__xludf.DUMMYFUNCTION("""COMPUTED_VALUE"""),"TORRENT (PRIMA)")</f>
        <v>TORRENT (PRIMA)</v>
      </c>
    </row>
    <row r="3186" ht="16.5" customHeight="1">
      <c r="H3186" s="1" t="str">
        <f>IFERROR(__xludf.DUMMYFUNCTION("""COMPUTED_VALUE"""),"TORRENT (PSYCAN-CND)")</f>
        <v>TORRENT (PSYCAN-CND)</v>
      </c>
    </row>
    <row r="3187" ht="16.5" customHeight="1">
      <c r="H3187" s="1" t="str">
        <f>IFERROR(__xludf.DUMMYFUNCTION("""COMPUTED_VALUE"""),"TORRENT (PSYCAN)")</f>
        <v>TORRENT (PSYCAN)</v>
      </c>
    </row>
    <row r="3188" ht="16.5" customHeight="1">
      <c r="H3188" s="1" t="str">
        <f>IFERROR(__xludf.DUMMYFUNCTION("""COMPUTED_VALUE"""),"TORRENT (SENSA PV)")</f>
        <v>TORRENT (SENSA PV)</v>
      </c>
    </row>
    <row r="3189" ht="16.5" customHeight="1">
      <c r="H3189" s="1" t="str">
        <f>IFERROR(__xludf.DUMMYFUNCTION("""COMPUTED_VALUE"""),"TORRENT (SPARSH)")</f>
        <v>TORRENT (SPARSH)</v>
      </c>
    </row>
    <row r="3190" ht="16.5" customHeight="1">
      <c r="H3190" s="1" t="str">
        <f>IFERROR(__xludf.DUMMYFUNCTION("""COMPUTED_VALUE"""),"TORRENT (SPRRITUS)")</f>
        <v>TORRENT (SPRRITUS)</v>
      </c>
    </row>
    <row r="3191" ht="16.5" customHeight="1">
      <c r="H3191" s="1" t="str">
        <f>IFERROR(__xludf.DUMMYFUNCTION("""COMPUTED_VALUE"""),"TORRENT (Unichem-UVA)")</f>
        <v>TORRENT (Unichem-UVA)</v>
      </c>
    </row>
    <row r="3192" ht="16.5" customHeight="1">
      <c r="H3192" s="1" t="str">
        <f>IFERROR(__xludf.DUMMYFUNCTION("""COMPUTED_VALUE"""),"TORRENT (UNO SPRIT)")</f>
        <v>TORRENT (UNO SPRIT)</v>
      </c>
    </row>
    <row r="3193" ht="16.5" customHeight="1">
      <c r="H3193" s="1" t="str">
        <f>IFERROR(__xludf.DUMMYFUNCTION("""COMPUTED_VALUE"""),"TORRENT (UNO VISTA)")</f>
        <v>TORRENT (UNO VISTA)</v>
      </c>
    </row>
    <row r="3194" ht="16.5" customHeight="1">
      <c r="H3194" s="1" t="str">
        <f>IFERROR(__xludf.DUMMYFUNCTION("""COMPUTED_VALUE"""),"TORRENT (VISTA)")</f>
        <v>TORRENT (VISTA)</v>
      </c>
    </row>
    <row r="3195" ht="16.5" customHeight="1">
      <c r="H3195" s="1" t="str">
        <f>IFERROR(__xludf.DUMMYFUNCTION("""COMPUTED_VALUE"""),"TORRENT (VIVA)")</f>
        <v>TORRENT (VIVA)</v>
      </c>
    </row>
    <row r="3196" ht="16.5" customHeight="1">
      <c r="H3196" s="1" t="str">
        <f>IFERROR(__xludf.DUMMYFUNCTION("""COMPUTED_VALUE"""),"Torrent Pharmaceuticals Ltd")</f>
        <v>Torrent Pharmaceuticals Ltd</v>
      </c>
    </row>
    <row r="3197" ht="16.5" customHeight="1">
      <c r="H3197" s="1" t="str">
        <f>IFERROR(__xludf.DUMMYFUNCTION("""COMPUTED_VALUE"""),"TRANSGENIC")</f>
        <v>TRANSGENIC</v>
      </c>
    </row>
    <row r="3198" ht="16.5" customHeight="1">
      <c r="H3198" s="1" t="str">
        <f>IFERROR(__xludf.DUMMYFUNCTION("""COMPUTED_VALUE"""),"TREATWELL PHARMA")</f>
        <v>TREATWELL PHARMA</v>
      </c>
    </row>
    <row r="3199" ht="16.5" customHeight="1">
      <c r="H3199" s="1" t="str">
        <f>IFERROR(__xludf.DUMMYFUNCTION("""COMPUTED_VALUE"""),"TRIBUNE PHARMACEUTICALS")</f>
        <v>TRIBUNE PHARMACEUTICALS</v>
      </c>
    </row>
    <row r="3200" ht="16.5" customHeight="1">
      <c r="H3200" s="1" t="str">
        <f>IFERROR(__xludf.DUMMYFUNCTION("""COMPUTED_VALUE"""),"TRIFARMA")</f>
        <v>TRIFARMA</v>
      </c>
    </row>
    <row r="3201" ht="16.5" customHeight="1">
      <c r="H3201" s="1" t="str">
        <f>IFERROR(__xludf.DUMMYFUNCTION("""COMPUTED_VALUE"""),"TRIGLOBAL BIOSCIENCE")</f>
        <v>TRIGLOBAL BIOSCIENCE</v>
      </c>
    </row>
    <row r="3202" ht="16.5" customHeight="1">
      <c r="H3202" s="1" t="str">
        <f>IFERROR(__xludf.DUMMYFUNCTION("""COMPUTED_VALUE"""),"TRIKONA PHARMACEUTICALS PVT LTD")</f>
        <v>TRIKONA PHARMACEUTICALS PVT LTD</v>
      </c>
    </row>
    <row r="3203" ht="16.5" customHeight="1">
      <c r="H3203" s="1" t="str">
        <f>IFERROR(__xludf.DUMMYFUNCTION("""COMPUTED_VALUE"""),"TRIO LIFESCIENCE")</f>
        <v>TRIO LIFESCIENCE</v>
      </c>
    </row>
    <row r="3204" ht="16.5" customHeight="1">
      <c r="H3204" s="1" t="str">
        <f>IFERROR(__xludf.DUMMYFUNCTION("""COMPUTED_VALUE"""),"TRION PHARMA INDIA LLP")</f>
        <v>TRION PHARMA INDIA LLP</v>
      </c>
    </row>
    <row r="3205" ht="16.5" customHeight="1">
      <c r="H3205" s="1" t="str">
        <f>IFERROR(__xludf.DUMMYFUNCTION("""COMPUTED_VALUE"""),"TRIPADA HEALTHCARE")</f>
        <v>TRIPADA HEALTHCARE</v>
      </c>
    </row>
    <row r="3206" ht="16.5" customHeight="1">
      <c r="H3206" s="1" t="str">
        <f>IFERROR(__xludf.DUMMYFUNCTION("""COMPUTED_VALUE"""),"TRIPADA LIFECARE")</f>
        <v>TRIPADA LIFECARE</v>
      </c>
    </row>
    <row r="3207" ht="16.5" customHeight="1">
      <c r="H3207" s="1" t="str">
        <f>IFERROR(__xludf.DUMMYFUNCTION("""COMPUTED_VALUE"""),"TRITON")</f>
        <v>TRITON</v>
      </c>
    </row>
    <row r="3208" ht="16.5" customHeight="1">
      <c r="H3208" s="1" t="str">
        <f>IFERROR(__xludf.DUMMYFUNCTION("""COMPUTED_VALUE"""),"TRIUMPH")</f>
        <v>TRIUMPH</v>
      </c>
    </row>
    <row r="3209" ht="16.5" customHeight="1">
      <c r="H3209" s="1" t="str">
        <f>IFERROR(__xludf.DUMMYFUNCTION("""COMPUTED_VALUE"""),"TRIVIGYA BIOSCIENCE")</f>
        <v>TRIVIGYA BIOSCIENCE</v>
      </c>
    </row>
    <row r="3210" ht="16.5" customHeight="1">
      <c r="H3210" s="1" t="str">
        <f>IFERROR(__xludf.DUMMYFUNCTION("""COMPUTED_VALUE"""),"TROIKAA (ALTIUS)")</f>
        <v>TROIKAA (ALTIUS)</v>
      </c>
    </row>
    <row r="3211" ht="16.5" customHeight="1">
      <c r="H3211" s="1" t="str">
        <f>IFERROR(__xludf.DUMMYFUNCTION("""COMPUTED_VALUE"""),"TROIKAA (AURA)")</f>
        <v>TROIKAA (AURA)</v>
      </c>
    </row>
    <row r="3212" ht="16.5" customHeight="1">
      <c r="H3212" s="1" t="str">
        <f>IFERROR(__xludf.DUMMYFUNCTION("""COMPUTED_VALUE"""),"TROIKAA (CITIUS)")</f>
        <v>TROIKAA (CITIUS)</v>
      </c>
    </row>
    <row r="3213" ht="16.5" customHeight="1">
      <c r="H3213" s="1" t="str">
        <f>IFERROR(__xludf.DUMMYFUNCTION("""COMPUTED_VALUE"""),"TROIKAA (GENERIC)")</f>
        <v>TROIKAA (GENERIC)</v>
      </c>
    </row>
    <row r="3214" ht="16.5" customHeight="1">
      <c r="H3214" s="1" t="str">
        <f>IFERROR(__xludf.DUMMYFUNCTION("""COMPUTED_VALUE"""),"TROIKAA (HOS)")</f>
        <v>TROIKAA (HOS)</v>
      </c>
    </row>
    <row r="3215" ht="16.5" customHeight="1">
      <c r="H3215" s="1" t="str">
        <f>IFERROR(__xludf.DUMMYFUNCTION("""COMPUTED_VALUE"""),"TROIKAA (SPECTRA)")</f>
        <v>TROIKAA (SPECTRA)</v>
      </c>
    </row>
    <row r="3216" ht="16.5" customHeight="1">
      <c r="H3216" s="1" t="str">
        <f>IFERROR(__xludf.DUMMYFUNCTION("""COMPUTED_VALUE"""),"Troikaa Pharmaceuticals Ltd")</f>
        <v>Troikaa Pharmaceuticals Ltd</v>
      </c>
    </row>
    <row r="3217" ht="16.5" customHeight="1">
      <c r="H3217" s="1" t="str">
        <f>IFERROR(__xludf.DUMMYFUNCTION("""COMPUTED_VALUE"""),"TROPHIC (WELLNESS)")</f>
        <v>TROPHIC (WELLNESS)</v>
      </c>
    </row>
    <row r="3218" ht="16.5" customHeight="1">
      <c r="H3218" s="1" t="str">
        <f>IFERROR(__xludf.DUMMYFUNCTION("""COMPUTED_VALUE"""),"TRUEWORTH HEALTHCARE")</f>
        <v>TRUEWORTH HEALTHCARE</v>
      </c>
    </row>
    <row r="3219" ht="16.5" customHeight="1">
      <c r="H3219" s="1" t="str">
        <f>IFERROR(__xludf.DUMMYFUNCTION("""COMPUTED_VALUE"""),"TRUHEALTHY LLP")</f>
        <v>TRUHEALTHY LLP</v>
      </c>
    </row>
    <row r="3220" ht="16.5" customHeight="1">
      <c r="H3220" s="1" t="str">
        <f>IFERROR(__xludf.DUMMYFUNCTION("""COMPUTED_VALUE"""),"TRULAM LIFE SCIENCES")</f>
        <v>TRULAM LIFE SCIENCES</v>
      </c>
    </row>
    <row r="3221" ht="16.5" customHeight="1">
      <c r="H3221" s="1" t="str">
        <f>IFERROR(__xludf.DUMMYFUNCTION("""COMPUTED_VALUE"""),"TRUMAC HEALTHCARE PVT LTD")</f>
        <v>TRUMAC HEALTHCARE PVT LTD</v>
      </c>
    </row>
    <row r="3222" ht="16.5" customHeight="1">
      <c r="H3222" s="1" t="str">
        <f>IFERROR(__xludf.DUMMYFUNCTION("""COMPUTED_VALUE"""),"TRUWORTH HEALTHCARE")</f>
        <v>TRUWORTH HEALTHCARE</v>
      </c>
    </row>
    <row r="3223" ht="16.5" customHeight="1">
      <c r="H3223" s="1" t="str">
        <f>IFERROR(__xludf.DUMMYFUNCTION("""COMPUTED_VALUE"""),"TRY BIRD HEALTHCARE PVT LTD")</f>
        <v>TRY BIRD HEALTHCARE PVT LTD</v>
      </c>
    </row>
    <row r="3224" ht="16.5" customHeight="1">
      <c r="H3224" s="1" t="str">
        <f>IFERROR(__xludf.DUMMYFUNCTION("""COMPUTED_VALUE"""),"TTK HEALTHCARE (ENDURA)")</f>
        <v>TTK HEALTHCARE (ENDURA)</v>
      </c>
    </row>
    <row r="3225" ht="16.5" customHeight="1">
      <c r="H3225" s="1" t="str">
        <f>IFERROR(__xludf.DUMMYFUNCTION("""COMPUTED_VALUE"""),"TTK HEALTHCARE (EPD)")</f>
        <v>TTK HEALTHCARE (EPD)</v>
      </c>
    </row>
    <row r="3226" ht="16.5" customHeight="1">
      <c r="H3226" s="1" t="str">
        <f>IFERROR(__xludf.DUMMYFUNCTION("""COMPUTED_VALUE"""),"TTK HEALTHCARE (NOVA)")</f>
        <v>TTK HEALTHCARE (NOVA)</v>
      </c>
    </row>
    <row r="3227" ht="16.5" customHeight="1">
      <c r="H3227" s="1" t="str">
        <f>IFERROR(__xludf.DUMMYFUNCTION("""COMPUTED_VALUE"""),"TTK HEALTHCARE (VENTURA FERTILITY)")</f>
        <v>TTK HEALTHCARE (VENTURA FERTILITY)</v>
      </c>
    </row>
    <row r="3228" ht="16.5" customHeight="1">
      <c r="H3228" s="1" t="str">
        <f>IFERROR(__xludf.DUMMYFUNCTION("""COMPUTED_VALUE"""),"TTK HEALTHCARE (VENTURA GYNIC)")</f>
        <v>TTK HEALTHCARE (VENTURA GYNIC)</v>
      </c>
    </row>
    <row r="3229" ht="16.5" customHeight="1">
      <c r="H3229" s="1" t="str">
        <f>IFERROR(__xludf.DUMMYFUNCTION("""COMPUTED_VALUE"""),"TTK HEALTHCARE (VENTURA)")</f>
        <v>TTK HEALTHCARE (VENTURA)</v>
      </c>
    </row>
    <row r="3230" ht="16.5" customHeight="1">
      <c r="H3230" s="1" t="str">
        <f>IFERROR(__xludf.DUMMYFUNCTION("""COMPUTED_VALUE"""),"TTK Healthcare Ltd")</f>
        <v>TTK Healthcare Ltd</v>
      </c>
    </row>
    <row r="3231" ht="16.5" customHeight="1">
      <c r="H3231" s="1" t="str">
        <f>IFERROR(__xludf.DUMMYFUNCTION("""COMPUTED_VALUE"""),"TUHI LIFE SCIENCES P LTD")</f>
        <v>TUHI LIFE SCIENCES P LTD</v>
      </c>
    </row>
    <row r="3232" ht="16.5" customHeight="1">
      <c r="H3232" s="1" t="str">
        <f>IFERROR(__xludf.DUMMYFUNCTION("""COMPUTED_VALUE"""),"TULAS PHARMACEUTICALS PVT LTD")</f>
        <v>TULAS PHARMACEUTICALS PVT LTD</v>
      </c>
    </row>
    <row r="3233" ht="16.5" customHeight="1">
      <c r="H3233" s="1" t="str">
        <f>IFERROR(__xludf.DUMMYFUNCTION("""COMPUTED_VALUE"""),"TULIP LAB PVT LTD")</f>
        <v>TULIP LAB PVT LTD</v>
      </c>
    </row>
    <row r="3234" ht="16.5" customHeight="1">
      <c r="H3234" s="1" t="str">
        <f>IFERROR(__xludf.DUMMYFUNCTION("""COMPUTED_VALUE"""),"TUTON PHARMACEUTICALS")</f>
        <v>TUTON PHARMACEUTICALS</v>
      </c>
    </row>
    <row r="3235" ht="16.5" customHeight="1">
      <c r="H3235" s="1" t="str">
        <f>IFERROR(__xludf.DUMMYFUNCTION("""COMPUTED_VALUE"""),"TWEET INDIA")</f>
        <v>TWEET INDIA</v>
      </c>
    </row>
    <row r="3236" ht="16.5" customHeight="1">
      <c r="H3236" s="1" t="str">
        <f>IFERROR(__xludf.DUMMYFUNCTION("""COMPUTED_VALUE"""),"UA BIOTECH PVT LTD")</f>
        <v>UA BIOTECH PVT LTD</v>
      </c>
    </row>
    <row r="3237" ht="16.5" customHeight="1">
      <c r="H3237" s="1" t="str">
        <f>IFERROR(__xludf.DUMMYFUNCTION("""COMPUTED_VALUE"""),"UCB India Pvt Ltd")</f>
        <v>UCB India Pvt Ltd</v>
      </c>
    </row>
    <row r="3238" ht="16.5" customHeight="1">
      <c r="H3238" s="1" t="str">
        <f>IFERROR(__xludf.DUMMYFUNCTION("""COMPUTED_VALUE"""),"ULTRATECH PHARMACEUTICALS")</f>
        <v>ULTRATECH PHARMACEUTICALS</v>
      </c>
    </row>
    <row r="3239" ht="16.5" customHeight="1">
      <c r="H3239" s="1" t="str">
        <f>IFERROR(__xludf.DUMMYFUNCTION("""COMPUTED_VALUE"""),"ULTRON PHARMA PVT TD")</f>
        <v>ULTRON PHARMA PVT TD</v>
      </c>
    </row>
    <row r="3240" ht="16.5" customHeight="1">
      <c r="H3240" s="1" t="str">
        <f>IFERROR(__xludf.DUMMYFUNCTION("""COMPUTED_VALUE"""),"UMARK PHARMACEUTICALS")</f>
        <v>UMARK PHARMACEUTICALS</v>
      </c>
    </row>
    <row r="3241" ht="16.5" customHeight="1">
      <c r="H3241" s="1" t="str">
        <f>IFERROR(__xludf.DUMMYFUNCTION("""COMPUTED_VALUE"""),"UNANI AYUR SEWA ASHRAM")</f>
        <v>UNANI AYUR SEWA ASHRAM</v>
      </c>
    </row>
    <row r="3242" ht="16.5" customHeight="1">
      <c r="H3242" s="1" t="str">
        <f>IFERROR(__xludf.DUMMYFUNCTION("""COMPUTED_VALUE"""),"UNI PLUS HEALTHCARE INDIA PVT LTD")</f>
        <v>UNI PLUS HEALTHCARE INDIA PVT LTD</v>
      </c>
    </row>
    <row r="3243" ht="16.5" customHeight="1">
      <c r="H3243" s="1" t="str">
        <f>IFERROR(__xludf.DUMMYFUNCTION("""COMPUTED_VALUE"""),"UNIALL PHARMA")</f>
        <v>UNIALL PHARMA</v>
      </c>
    </row>
    <row r="3244" ht="16.5" customHeight="1">
      <c r="H3244" s="1" t="str">
        <f>IFERROR(__xludf.DUMMYFUNCTION("""COMPUTED_VALUE"""),"UNIASTHA LIFE SCIENCES,SOLAN")</f>
        <v>UNIASTHA LIFE SCIENCES,SOLAN</v>
      </c>
    </row>
    <row r="3245" ht="16.5" customHeight="1">
      <c r="H3245" s="1" t="str">
        <f>IFERROR(__xludf.DUMMYFUNCTION("""COMPUTED_VALUE"""),"UNICHEM (GENERIC)")</f>
        <v>UNICHEM (GENERIC)</v>
      </c>
    </row>
    <row r="3246" ht="16.5" customHeight="1">
      <c r="H3246" s="1" t="str">
        <f>IFERROR(__xludf.DUMMYFUNCTION("""COMPUTED_VALUE"""),"Unichem Laboratories (LIFECARE)")</f>
        <v>Unichem Laboratories (LIFECARE)</v>
      </c>
    </row>
    <row r="3247" ht="16.5" customHeight="1">
      <c r="H3247" s="1" t="str">
        <f>IFERROR(__xludf.DUMMYFUNCTION("""COMPUTED_VALUE"""),"UNICHEM LABORATORIES LTD")</f>
        <v>UNICHEM LABORATORIES LTD</v>
      </c>
    </row>
    <row r="3248" ht="16.5" customHeight="1">
      <c r="H3248" s="1" t="str">
        <f>IFERROR(__xludf.DUMMYFUNCTION("""COMPUTED_VALUE"""),"Unicure India Pvt Ltd")</f>
        <v>Unicure India Pvt Ltd</v>
      </c>
    </row>
    <row r="3249" ht="16.5" customHeight="1">
      <c r="H3249" s="1" t="str">
        <f>IFERROR(__xludf.DUMMYFUNCTION("""COMPUTED_VALUE"""),"Unicure Remedies Pvt Ltd")</f>
        <v>Unicure Remedies Pvt Ltd</v>
      </c>
    </row>
    <row r="3250" ht="16.5" customHeight="1">
      <c r="H3250" s="1" t="str">
        <f>IFERROR(__xludf.DUMMYFUNCTION("""COMPUTED_VALUE"""),"UNIFAITH  BIOTECH P LTD")</f>
        <v>UNIFAITH  BIOTECH P LTD</v>
      </c>
    </row>
    <row r="3251" ht="16.5" customHeight="1">
      <c r="H3251" s="1" t="str">
        <f>IFERROR(__xludf.DUMMYFUNCTION("""COMPUTED_VALUE"""),"UNIFAITH BIOTECH P LTD")</f>
        <v>UNIFAITH BIOTECH P LTD</v>
      </c>
    </row>
    <row r="3252" ht="16.5" customHeight="1">
      <c r="H3252" s="1" t="str">
        <f>IFERROR(__xludf.DUMMYFUNCTION("""COMPUTED_VALUE"""),"UNIFARMA HERBALS")</f>
        <v>UNIFARMA HERBALS</v>
      </c>
    </row>
    <row r="3253" ht="16.5" customHeight="1">
      <c r="H3253" s="1" t="str">
        <f>IFERROR(__xludf.DUMMYFUNCTION("""COMPUTED_VALUE"""),"UNIJULES LIFESCIENCES (UNIVERSAL MEDIKIT)")</f>
        <v>UNIJULES LIFESCIENCES (UNIVERSAL MEDIKIT)</v>
      </c>
    </row>
    <row r="3254" ht="16.5" customHeight="1">
      <c r="H3254" s="1" t="str">
        <f>IFERROR(__xludf.DUMMYFUNCTION("""COMPUTED_VALUE"""),"UNIKIND PHARMA")</f>
        <v>UNIKIND PHARMA</v>
      </c>
    </row>
    <row r="3255" ht="16.5" customHeight="1">
      <c r="H3255" s="1" t="str">
        <f>IFERROR(__xludf.DUMMYFUNCTION("""COMPUTED_VALUE"""),"Unimarck Healthcare Ltd")</f>
        <v>Unimarck Healthcare Ltd</v>
      </c>
    </row>
    <row r="3256" ht="16.5" customHeight="1">
      <c r="H3256" s="1" t="str">
        <f>IFERROR(__xludf.DUMMYFUNCTION("""COMPUTED_VALUE"""),"UNIMARCK PHARMA INDIA LTD")</f>
        <v>UNIMARCK PHARMA INDIA LTD</v>
      </c>
    </row>
    <row r="3257" ht="16.5" customHeight="1">
      <c r="H3257" s="1" t="str">
        <f>IFERROR(__xludf.DUMMYFUNCTION("""COMPUTED_VALUE"""),"Unimark Remedies Ltd")</f>
        <v>Unimark Remedies Ltd</v>
      </c>
    </row>
    <row r="3258" ht="16.5" customHeight="1">
      <c r="H3258" s="1" t="str">
        <f>IFERROR(__xludf.DUMMYFUNCTION("""COMPUTED_VALUE"""),"UNINOR BIOTECH")</f>
        <v>UNINOR BIOTECH</v>
      </c>
    </row>
    <row r="3259" ht="16.5" customHeight="1">
      <c r="H3259" s="1" t="str">
        <f>IFERROR(__xludf.DUMMYFUNCTION("""COMPUTED_VALUE"""),"UNIPEX")</f>
        <v>UNIPEX</v>
      </c>
    </row>
    <row r="3260" ht="16.5" customHeight="1">
      <c r="H3260" s="1" t="str">
        <f>IFERROR(__xludf.DUMMYFUNCTION("""COMPUTED_VALUE"""),"UNIQUE DRUGS LAB NEEMANVAS")</f>
        <v>UNIQUE DRUGS LAB NEEMANVAS</v>
      </c>
    </row>
    <row r="3261" ht="16.5" customHeight="1">
      <c r="H3261" s="1" t="str">
        <f>IFERROR(__xludf.DUMMYFUNCTION("""COMPUTED_VALUE"""),"UNIROSE PHARMA PVT LTD")</f>
        <v>UNIROSE PHARMA PVT LTD</v>
      </c>
    </row>
    <row r="3262" ht="16.5" customHeight="1">
      <c r="H3262" s="1" t="str">
        <f>IFERROR(__xludf.DUMMYFUNCTION("""COMPUTED_VALUE"""),"UNISAFE BIOSCIENCE")</f>
        <v>UNISAFE BIOSCIENCE</v>
      </c>
    </row>
    <row r="3263" ht="16.5" customHeight="1">
      <c r="H3263" s="1" t="str">
        <f>IFERROR(__xludf.DUMMYFUNCTION("""COMPUTED_VALUE"""),"UNISANKYO")</f>
        <v>UNISANKYO</v>
      </c>
    </row>
    <row r="3264" ht="16.5" customHeight="1">
      <c r="H3264" s="1" t="str">
        <f>IFERROR(__xludf.DUMMYFUNCTION("""COMPUTED_VALUE"""),"Unison Pharmaceutical (UNICARE)")</f>
        <v>Unison Pharmaceutical (UNICARE)</v>
      </c>
    </row>
    <row r="3265" ht="16.5" customHeight="1">
      <c r="H3265" s="1" t="str">
        <f>IFERROR(__xludf.DUMMYFUNCTION("""COMPUTED_VALUE"""),"UNISON PHARMACEUTICALS PVT LTD")</f>
        <v>UNISON PHARMACEUTICALS PVT LTD</v>
      </c>
    </row>
    <row r="3266" ht="16.5" customHeight="1">
      <c r="H3266" s="1" t="str">
        <f>IFERROR(__xludf.DUMMYFUNCTION("""COMPUTED_VALUE"""),"UNISURE BIOTECH")</f>
        <v>UNISURE BIOTECH</v>
      </c>
    </row>
    <row r="3267" ht="16.5" customHeight="1">
      <c r="H3267" s="1" t="str">
        <f>IFERROR(__xludf.DUMMYFUNCTION("""COMPUTED_VALUE"""),"UNITECH HEALTHCARE")</f>
        <v>UNITECH HEALTHCARE</v>
      </c>
    </row>
    <row r="3268" ht="16.5" customHeight="1">
      <c r="H3268" s="1" t="str">
        <f>IFERROR(__xludf.DUMMYFUNCTION("""COMPUTED_VALUE"""),"UNITECH HEALTHCARE P LTD")</f>
        <v>UNITECH HEALTHCARE P LTD</v>
      </c>
    </row>
    <row r="3269" ht="16.5" customHeight="1">
      <c r="H3269" s="1" t="str">
        <f>IFERROR(__xludf.DUMMYFUNCTION("""COMPUTED_VALUE"""),"UNITED BIOTECH")</f>
        <v>UNITED BIOTECH</v>
      </c>
    </row>
    <row r="3270" ht="16.5" customHeight="1">
      <c r="H3270" s="1" t="str">
        <f>IFERROR(__xludf.DUMMYFUNCTION("""COMPUTED_VALUE"""),"UNITED BIOTECH (CRITICAL CARE)")</f>
        <v>UNITED BIOTECH (CRITICAL CARE)</v>
      </c>
    </row>
    <row r="3271" ht="16.5" customHeight="1">
      <c r="H3271" s="1" t="str">
        <f>IFERROR(__xludf.DUMMYFUNCTION("""COMPUTED_VALUE"""),"UNITED BIOTECH (HYGEA DIVISION)")</f>
        <v>UNITED BIOTECH (HYGEA DIVISION)</v>
      </c>
    </row>
    <row r="3272" ht="16.5" customHeight="1">
      <c r="H3272" s="1" t="str">
        <f>IFERROR(__xludf.DUMMYFUNCTION("""COMPUTED_VALUE"""),"UNITED BIOTECH (SPECIALTY DIVISION)")</f>
        <v>UNITED BIOTECH (SPECIALTY DIVISION)</v>
      </c>
    </row>
    <row r="3273" ht="16.5" customHeight="1">
      <c r="H3273" s="1" t="str">
        <f>IFERROR(__xludf.DUMMYFUNCTION("""COMPUTED_VALUE"""),"UNIVENTIS MEDICARE LTD")</f>
        <v>UNIVENTIS MEDICARE LTD</v>
      </c>
    </row>
    <row r="3274" ht="16.5" customHeight="1">
      <c r="H3274" s="1" t="str">
        <f>IFERROR(__xludf.DUMMYFUNCTION("""COMPUTED_VALUE"""),"UNIVERSAL BIOSCIENCES (GENERIC)")</f>
        <v>UNIVERSAL BIOSCIENCES (GENERIC)</v>
      </c>
    </row>
    <row r="3275" ht="16.5" customHeight="1">
      <c r="H3275" s="1" t="str">
        <f>IFERROR(__xludf.DUMMYFUNCTION("""COMPUTED_VALUE"""),"Universal Drug House Pvt Ltd")</f>
        <v>Universal Drug House Pvt Ltd</v>
      </c>
    </row>
    <row r="3276" ht="16.5" customHeight="1">
      <c r="H3276" s="1" t="str">
        <f>IFERROR(__xludf.DUMMYFUNCTION("""COMPUTED_VALUE"""),"UNIVERSAL HELTHCARE BADDI")</f>
        <v>UNIVERSAL HELTHCARE BADDI</v>
      </c>
    </row>
    <row r="3277" ht="16.5" customHeight="1">
      <c r="H3277" s="1" t="str">
        <f>IFERROR(__xludf.DUMMYFUNCTION("""COMPUTED_VALUE"""),"UNIVERSAL LIFE SCIENCES (GENERIC)")</f>
        <v>UNIVERSAL LIFE SCIENCES (GENERIC)</v>
      </c>
    </row>
    <row r="3278" ht="16.5" customHeight="1">
      <c r="H3278" s="1" t="str">
        <f>IFERROR(__xludf.DUMMYFUNCTION("""COMPUTED_VALUE"""),"UNIVERSAL LTD")</f>
        <v>UNIVERSAL LTD</v>
      </c>
    </row>
    <row r="3279" ht="16.5" customHeight="1">
      <c r="H3279" s="1" t="str">
        <f>IFERROR(__xludf.DUMMYFUNCTION("""COMPUTED_VALUE"""),"UNIVERSAL MEDICARE PVT LTD")</f>
        <v>UNIVERSAL MEDICARE PVT LTD</v>
      </c>
    </row>
    <row r="3280" ht="16.5" customHeight="1">
      <c r="H3280" s="1" t="str">
        <f>IFERROR(__xludf.DUMMYFUNCTION("""COMPUTED_VALUE"""),"Universal Medikit")</f>
        <v>Universal Medikit</v>
      </c>
    </row>
    <row r="3281" ht="16.5" customHeight="1">
      <c r="H3281" s="1" t="str">
        <f>IFERROR(__xludf.DUMMYFUNCTION("""COMPUTED_VALUE"""),"Universal Twin Labs (GENERIC)")</f>
        <v>Universal Twin Labs (GENERIC)</v>
      </c>
    </row>
    <row r="3282" ht="16.5" customHeight="1">
      <c r="H3282" s="1" t="str">
        <f>IFERROR(__xludf.DUMMYFUNCTION("""COMPUTED_VALUE"""),"UNIVICTOR HEALTHCARE")</f>
        <v>UNIVICTOR HEALTHCARE</v>
      </c>
    </row>
    <row r="3283" ht="16.5" customHeight="1">
      <c r="H3283" s="1" t="str">
        <f>IFERROR(__xludf.DUMMYFUNCTION("""COMPUTED_VALUE"""),"UNIX")</f>
        <v>UNIX</v>
      </c>
    </row>
    <row r="3284" ht="16.5" customHeight="1">
      <c r="H3284" s="1" t="str">
        <f>IFERROR(__xludf.DUMMYFUNCTION("""COMPUTED_VALUE"""),"UNIZA HEALTHCARE")</f>
        <v>UNIZA HEALTHCARE</v>
      </c>
    </row>
    <row r="3285" ht="16.5" customHeight="1">
      <c r="H3285" s="1" t="str">
        <f>IFERROR(__xludf.DUMMYFUNCTION("""COMPUTED_VALUE"""),"UNJHA PHARMACY")</f>
        <v>UNJHA PHARMACY</v>
      </c>
    </row>
    <row r="3286" ht="16.5" customHeight="1">
      <c r="H3286" s="1" t="str">
        <f>IFERROR(__xludf.DUMMYFUNCTION("""COMPUTED_VALUE"""),"UP PHARMACEUTICALS")</f>
        <v>UP PHARMACEUTICALS</v>
      </c>
    </row>
    <row r="3287" ht="16.5" customHeight="1">
      <c r="H3287" s="1" t="str">
        <f>IFERROR(__xludf.DUMMYFUNCTION("""COMPUTED_VALUE"""),"UPJONE LAB PVT LTD")</f>
        <v>UPJONE LAB PVT LTD</v>
      </c>
    </row>
    <row r="3288" ht="16.5" customHeight="1">
      <c r="H3288" s="1" t="str">
        <f>IFERROR(__xludf.DUMMYFUNCTION("""COMPUTED_VALUE"""),"URIHK PHARMACEUTICAL PVT LTD")</f>
        <v>URIHK PHARMACEUTICAL PVT LTD</v>
      </c>
    </row>
    <row r="3289" ht="16.5" customHeight="1">
      <c r="H3289" s="1" t="str">
        <f>IFERROR(__xludf.DUMMYFUNCTION("""COMPUTED_VALUE"""),"URMED PHARMACEUTICAL")</f>
        <v>URMED PHARMACEUTICAL</v>
      </c>
    </row>
    <row r="3290" ht="16.5" customHeight="1">
      <c r="H3290" s="1" t="str">
        <f>IFERROR(__xludf.DUMMYFUNCTION("""COMPUTED_VALUE"""),"USV (CENTRA)")</f>
        <v>USV (CENTRA)</v>
      </c>
    </row>
    <row r="3291" ht="16.5" customHeight="1">
      <c r="H3291" s="1" t="str">
        <f>IFERROR(__xludf.DUMMYFUNCTION("""COMPUTED_VALUE"""),"USV (CHANNEL)")</f>
        <v>USV (CHANNEL)</v>
      </c>
    </row>
    <row r="3292" ht="16.5" customHeight="1">
      <c r="H3292" s="1" t="str">
        <f>IFERROR(__xludf.DUMMYFUNCTION("""COMPUTED_VALUE"""),"USV (CLASSIC)")</f>
        <v>USV (CLASSIC)</v>
      </c>
    </row>
    <row r="3293" ht="16.5" customHeight="1">
      <c r="H3293" s="1" t="str">
        <f>IFERROR(__xludf.DUMMYFUNCTION("""COMPUTED_VALUE"""),"USV (CONDOR)")</f>
        <v>USV (CONDOR)</v>
      </c>
    </row>
    <row r="3294" ht="16.5" customHeight="1">
      <c r="H3294" s="1" t="str">
        <f>IFERROR(__xludf.DUMMYFUNCTION("""COMPUTED_VALUE"""),"USV (CONQUER)")</f>
        <v>USV (CONQUER)</v>
      </c>
    </row>
    <row r="3295" ht="16.5" customHeight="1">
      <c r="H3295" s="1" t="str">
        <f>IFERROR(__xludf.DUMMYFUNCTION("""COMPUTED_VALUE"""),"USV (CORONA)")</f>
        <v>USV (CORONA)</v>
      </c>
    </row>
    <row r="3296" ht="16.5" customHeight="1">
      <c r="H3296" s="1" t="str">
        <f>IFERROR(__xludf.DUMMYFUNCTION("""COMPUTED_VALUE"""),"USV (CORVETT)")</f>
        <v>USV (CORVETT)</v>
      </c>
    </row>
    <row r="3297" ht="16.5" customHeight="1">
      <c r="H3297" s="1" t="str">
        <f>IFERROR(__xludf.DUMMYFUNCTION("""COMPUTED_VALUE"""),"USV (COSMETICS)")</f>
        <v>USV (COSMETICS)</v>
      </c>
    </row>
    <row r="3298" ht="16.5" customHeight="1">
      <c r="H3298" s="1" t="str">
        <f>IFERROR(__xludf.DUMMYFUNCTION("""COMPUTED_VALUE"""),"USV (CRESCENDO)")</f>
        <v>USV (CRESCENDO)</v>
      </c>
    </row>
    <row r="3299" ht="16.5" customHeight="1">
      <c r="H3299" s="1" t="str">
        <f>IFERROR(__xludf.DUMMYFUNCTION("""COMPUTED_VALUE"""),"USV (CREST)")</f>
        <v>USV (CREST)</v>
      </c>
    </row>
    <row r="3300" ht="16.5" customHeight="1">
      <c r="H3300" s="1" t="str">
        <f>IFERROR(__xludf.DUMMYFUNCTION("""COMPUTED_VALUE"""),"USV (DERMA)")</f>
        <v>USV (DERMA)</v>
      </c>
    </row>
    <row r="3301" ht="16.5" customHeight="1">
      <c r="H3301" s="1" t="str">
        <f>IFERROR(__xludf.DUMMYFUNCTION("""COMPUTED_VALUE"""),"USV (GENERAL)")</f>
        <v>USV (GENERAL)</v>
      </c>
    </row>
    <row r="3302" ht="16.5" customHeight="1">
      <c r="H3302" s="1" t="str">
        <f>IFERROR(__xludf.DUMMYFUNCTION("""COMPUTED_VALUE"""),"USV (LIFEON)")</f>
        <v>USV (LIFEON)</v>
      </c>
    </row>
    <row r="3303" ht="16.5" customHeight="1">
      <c r="H3303" s="1" t="str">
        <f>IFERROR(__xludf.DUMMYFUNCTION("""COMPUTED_VALUE"""),"USV (MULTI SPECIALITY)")</f>
        <v>USV (MULTI SPECIALITY)</v>
      </c>
    </row>
    <row r="3304" ht="16.5" customHeight="1">
      <c r="H3304" s="1" t="str">
        <f>IFERROR(__xludf.DUMMYFUNCTION("""COMPUTED_VALUE"""),"USV (TAZLOC TEAM)")</f>
        <v>USV (TAZLOC TEAM)</v>
      </c>
    </row>
    <row r="3305" ht="16.5" customHeight="1">
      <c r="H3305" s="1" t="str">
        <f>IFERROR(__xludf.DUMMYFUNCTION("""COMPUTED_VALUE"""),"USV Ltd")</f>
        <v>USV Ltd</v>
      </c>
    </row>
    <row r="3306" ht="16.5" customHeight="1">
      <c r="H3306" s="1" t="str">
        <f>IFERROR(__xludf.DUMMYFUNCTION("""COMPUTED_VALUE"""),"UTH Healthcare")</f>
        <v>UTH Healthcare</v>
      </c>
    </row>
    <row r="3307" ht="16.5" customHeight="1">
      <c r="H3307" s="1" t="str">
        <f>IFERROR(__xludf.DUMMYFUNCTION("""COMPUTED_VALUE"""),"UTLTRAMED")</f>
        <v>UTLTRAMED</v>
      </c>
    </row>
    <row r="3308" ht="16.5" customHeight="1">
      <c r="H3308" s="1" t="str">
        <f>IFERROR(__xludf.DUMMYFUNCTION("""COMPUTED_VALUE"""),"VAARDAAN")</f>
        <v>VAARDAAN</v>
      </c>
    </row>
    <row r="3309" ht="16.5" customHeight="1">
      <c r="H3309" s="1" t="str">
        <f>IFERROR(__xludf.DUMMYFUNCTION("""COMPUTED_VALUE"""),"VADNARE CHEMICAL WORKS")</f>
        <v>VADNARE CHEMICAL WORKS</v>
      </c>
    </row>
    <row r="3310" ht="16.5" customHeight="1">
      <c r="H3310" s="1" t="str">
        <f>IFERROR(__xludf.DUMMYFUNCTION("""COMPUTED_VALUE"""),"VADNARE CHEMICALS")</f>
        <v>VADNARE CHEMICALS</v>
      </c>
    </row>
    <row r="3311" ht="16.5" customHeight="1">
      <c r="H3311" s="1" t="str">
        <f>IFERROR(__xludf.DUMMYFUNCTION("""COMPUTED_VALUE"""),"VAIDRISHI LABORATORIES")</f>
        <v>VAIDRISHI LABORATORIES</v>
      </c>
    </row>
    <row r="3312" ht="16.5" customHeight="1">
      <c r="H3312" s="1" t="str">
        <f>IFERROR(__xludf.DUMMYFUNCTION("""COMPUTED_VALUE"""),"VAIDYA PATANKAR PHARMACY")</f>
        <v>VAIDYA PATANKAR PHARMACY</v>
      </c>
    </row>
    <row r="3313" ht="16.5" customHeight="1">
      <c r="H3313" s="1" t="str">
        <f>IFERROR(__xludf.DUMMYFUNCTION("""COMPUTED_VALUE"""),"VALCRET")</f>
        <v>VALCRET</v>
      </c>
    </row>
    <row r="3314" ht="16.5" customHeight="1">
      <c r="H3314" s="1" t="str">
        <f>IFERROR(__xludf.DUMMYFUNCTION("""COMPUTED_VALUE"""),"VALENS PHARMACEUTICALS")</f>
        <v>VALENS PHARMACEUTICALS</v>
      </c>
    </row>
    <row r="3315" ht="16.5" customHeight="1">
      <c r="H3315" s="1" t="str">
        <f>IFERROR(__xludf.DUMMYFUNCTION("""COMPUTED_VALUE"""),"VALLABH VIJAY COMPANY")</f>
        <v>VALLABH VIJAY COMPANY</v>
      </c>
    </row>
    <row r="3316" ht="16.5" customHeight="1">
      <c r="H3316" s="1" t="str">
        <f>IFERROR(__xludf.DUMMYFUNCTION("""COMPUTED_VALUE"""),"VALLEY PHARMA")</f>
        <v>VALLEY PHARMA</v>
      </c>
    </row>
    <row r="3317" ht="16.5" customHeight="1">
      <c r="H3317" s="1" t="str">
        <f>IFERROR(__xludf.DUMMYFUNCTION("""COMPUTED_VALUE"""),"VAMSI")</f>
        <v>VAMSI</v>
      </c>
    </row>
    <row r="3318" ht="16.5" customHeight="1">
      <c r="H3318" s="1" t="str">
        <f>IFERROR(__xludf.DUMMYFUNCTION("""COMPUTED_VALUE"""),"Vanguard Therapeutics Pvt Ltd")</f>
        <v>Vanguard Therapeutics Pvt Ltd</v>
      </c>
    </row>
    <row r="3319" ht="16.5" customHeight="1">
      <c r="H3319" s="1" t="str">
        <f>IFERROR(__xludf.DUMMYFUNCTION("""COMPUTED_VALUE"""),"VANMART PHARMACEUTICALS &amp; BIOTECH")</f>
        <v>VANMART PHARMACEUTICALS &amp; BIOTECH</v>
      </c>
    </row>
    <row r="3320" ht="16.5" customHeight="1">
      <c r="H3320" s="1" t="str">
        <f>IFERROR(__xludf.DUMMYFUNCTION("""COMPUTED_VALUE"""),"VARDHAN HEALTH CARE")</f>
        <v>VARDHAN HEALTH CARE</v>
      </c>
    </row>
    <row r="3321" ht="16.5" customHeight="1">
      <c r="H3321" s="1" t="str">
        <f>IFERROR(__xludf.DUMMYFUNCTION("""COMPUTED_VALUE"""),"VARENYAM HEALTHCARE")</f>
        <v>VARENYAM HEALTHCARE</v>
      </c>
    </row>
    <row r="3322" ht="16.5" customHeight="1">
      <c r="H3322" s="1" t="str">
        <f>IFERROR(__xludf.DUMMYFUNCTION("""COMPUTED_VALUE"""),"VARLIN BIOSCIENCE")</f>
        <v>VARLIN BIOSCIENCE</v>
      </c>
    </row>
    <row r="3323" ht="16.5" customHeight="1">
      <c r="H3323" s="1" t="str">
        <f>IFERROR(__xludf.DUMMYFUNCTION("""COMPUTED_VALUE"""),"Vasu Pharmaceuticals Pvt Ltd")</f>
        <v>Vasu Pharmaceuticals Pvt Ltd</v>
      </c>
    </row>
    <row r="3324" ht="16.5" customHeight="1">
      <c r="H3324" s="1" t="str">
        <f>IFERROR(__xludf.DUMMYFUNCTION("""COMPUTED_VALUE"""),"VASU SPORTS INTERNATIONAL")</f>
        <v>VASU SPORTS INTERNATIONAL</v>
      </c>
    </row>
    <row r="3325" ht="16.5" customHeight="1">
      <c r="H3325" s="1" t="str">
        <f>IFERROR(__xludf.DUMMYFUNCTION("""COMPUTED_VALUE"""),"VAZES CO OFFICE PILLS")</f>
        <v>VAZES CO OFFICE PILLS</v>
      </c>
    </row>
    <row r="3326" ht="16.5" customHeight="1">
      <c r="H3326" s="1" t="str">
        <f>IFERROR(__xludf.DUMMYFUNCTION("""COMPUTED_VALUE"""),"VCAN BIOTEC")</f>
        <v>VCAN BIOTEC</v>
      </c>
    </row>
    <row r="3327" ht="16.5" customHeight="1">
      <c r="H3327" s="1" t="str">
        <f>IFERROR(__xludf.DUMMYFUNCTION("""COMPUTED_VALUE"""),"VEANA CR")</f>
        <v>VEANA CR</v>
      </c>
    </row>
    <row r="3328" ht="16.5" customHeight="1">
      <c r="H3328" s="1" t="str">
        <f>IFERROR(__xludf.DUMMYFUNCTION("""COMPUTED_VALUE"""),"VEE REMEDIES")</f>
        <v>VEE REMEDIES</v>
      </c>
    </row>
    <row r="3329" ht="16.5" customHeight="1">
      <c r="H3329" s="1" t="str">
        <f>IFERROR(__xludf.DUMMYFUNCTION("""COMPUTED_VALUE"""),"VEEMAL")</f>
        <v>VEEMAL</v>
      </c>
    </row>
    <row r="3330" ht="16.5" customHeight="1">
      <c r="H3330" s="1" t="str">
        <f>IFERROR(__xludf.DUMMYFUNCTION("""COMPUTED_VALUE"""),"VELBIOM PROBIOTICS PVT LTD")</f>
        <v>VELBIOM PROBIOTICS PVT LTD</v>
      </c>
    </row>
    <row r="3331" ht="16.5" customHeight="1">
      <c r="H3331" s="1" t="str">
        <f>IFERROR(__xludf.DUMMYFUNCTION("""COMPUTED_VALUE"""),"VELGRET HEALTHCARE")</f>
        <v>VELGRET HEALTHCARE</v>
      </c>
    </row>
    <row r="3332" ht="16.5" customHeight="1">
      <c r="H3332" s="1" t="str">
        <f>IFERROR(__xludf.DUMMYFUNCTION("""COMPUTED_VALUE"""),"VELITE")</f>
        <v>VELITE</v>
      </c>
    </row>
    <row r="3333" ht="16.5" customHeight="1">
      <c r="H3333" s="1" t="str">
        <f>IFERROR(__xludf.DUMMYFUNCTION("""COMPUTED_VALUE"""),"VELLINTON HEALTHCARE")</f>
        <v>VELLINTON HEALTHCARE</v>
      </c>
    </row>
    <row r="3334" ht="16.5" customHeight="1">
      <c r="H3334" s="1" t="str">
        <f>IFERROR(__xludf.DUMMYFUNCTION("""COMPUTED_VALUE"""),"VENISTRO BIOTECH")</f>
        <v>VENISTRO BIOTECH</v>
      </c>
    </row>
    <row r="3335" ht="16.5" customHeight="1">
      <c r="H3335" s="1" t="str">
        <f>IFERROR(__xludf.DUMMYFUNCTION("""COMPUTED_VALUE"""),"VENKY'S NUTRITION")</f>
        <v>VENKY'S NUTRITION</v>
      </c>
    </row>
    <row r="3336" ht="16.5" customHeight="1">
      <c r="H3336" s="1" t="str">
        <f>IFERROR(__xludf.DUMMYFUNCTION("""COMPUTED_VALUE"""),"VENSAT BIO")</f>
        <v>VENSAT BIO</v>
      </c>
    </row>
    <row r="3337" ht="16.5" customHeight="1">
      <c r="H3337" s="1" t="str">
        <f>IFERROR(__xludf.DUMMYFUNCTION("""COMPUTED_VALUE"""),"VENTICARE MEDICAL INC")</f>
        <v>VENTICARE MEDICAL INC</v>
      </c>
    </row>
    <row r="3338" ht="16.5" customHeight="1">
      <c r="H3338" s="1" t="str">
        <f>IFERROR(__xludf.DUMMYFUNCTION("""COMPUTED_VALUE"""),"Venus Remedies Ltd")</f>
        <v>Venus Remedies Ltd</v>
      </c>
    </row>
    <row r="3339" ht="16.5" customHeight="1">
      <c r="H3339" s="1" t="str">
        <f>IFERROR(__xludf.DUMMYFUNCTION("""COMPUTED_VALUE"""),"Veritaz Healthcare Ltd")</f>
        <v>Veritaz Healthcare Ltd</v>
      </c>
    </row>
    <row r="3340" ht="16.5" customHeight="1">
      <c r="H3340" s="1" t="str">
        <f>IFERROR(__xludf.DUMMYFUNCTION("""COMPUTED_VALUE"""),"VERITAZHEALTHCARE (COSMOCARE)")</f>
        <v>VERITAZHEALTHCARE (COSMOCARE)</v>
      </c>
    </row>
    <row r="3341" ht="16.5" customHeight="1">
      <c r="H3341" s="1" t="str">
        <f>IFERROR(__xludf.DUMMYFUNCTION("""COMPUTED_VALUE"""),"VERIZON PHARMA")</f>
        <v>VERIZON PHARMA</v>
      </c>
    </row>
    <row r="3342" ht="16.5" customHeight="1">
      <c r="H3342" s="1" t="str">
        <f>IFERROR(__xludf.DUMMYFUNCTION("""COMPUTED_VALUE"""),"VERNA HEALTHCARE (GENERIC)")</f>
        <v>VERNA HEALTHCARE (GENERIC)</v>
      </c>
    </row>
    <row r="3343" ht="16.5" customHeight="1">
      <c r="H3343" s="1" t="str">
        <f>IFERROR(__xludf.DUMMYFUNCTION("""COMPUTED_VALUE"""),"VERRILL HEALTHCARE")</f>
        <v>VERRILL HEALTHCARE</v>
      </c>
    </row>
    <row r="3344" ht="16.5" customHeight="1">
      <c r="H3344" s="1" t="str">
        <f>IFERROR(__xludf.DUMMYFUNCTION("""COMPUTED_VALUE"""),"VERTEX PHARMACEUTICALS")</f>
        <v>VERTEX PHARMACEUTICALS</v>
      </c>
    </row>
    <row r="3345" ht="16.5" customHeight="1">
      <c r="H3345" s="1" t="str">
        <f>IFERROR(__xludf.DUMMYFUNCTION("""COMPUTED_VALUE"""),"VESTIGE MARKETING PVT LTD")</f>
        <v>VESTIGE MARKETING PVT LTD</v>
      </c>
    </row>
    <row r="3346" ht="16.5" customHeight="1">
      <c r="H3346" s="1" t="str">
        <f>IFERROR(__xludf.DUMMYFUNCTION("""COMPUTED_VALUE"""),"VHB LIFESCIENCES")</f>
        <v>VHB LIFESCIENCES</v>
      </c>
    </row>
    <row r="3347" ht="16.5" customHeight="1">
      <c r="H3347" s="1" t="str">
        <f>IFERROR(__xludf.DUMMYFUNCTION("""COMPUTED_VALUE"""),"VIBCARE PHARMA PVT LTD")</f>
        <v>VIBCARE PHARMA PVT LTD</v>
      </c>
    </row>
    <row r="3348" ht="16.5" customHeight="1">
      <c r="H3348" s="1" t="str">
        <f>IFERROR(__xludf.DUMMYFUNCTION("""COMPUTED_VALUE"""),"VIBDRUGS BIOSCIENCES")</f>
        <v>VIBDRUGS BIOSCIENCES</v>
      </c>
    </row>
    <row r="3349" ht="16.5" customHeight="1">
      <c r="H3349" s="1" t="str">
        <f>IFERROR(__xludf.DUMMYFUNCTION("""COMPUTED_VALUE"""),"VIBGYOR DRUGS PVT LTD")</f>
        <v>VIBGYOR DRUGS PVT LTD</v>
      </c>
    </row>
    <row r="3350" ht="16.5" customHeight="1">
      <c r="H3350" s="1" t="str">
        <f>IFERROR(__xludf.DUMMYFUNCTION("""COMPUTED_VALUE"""),"VICCO LABS")</f>
        <v>VICCO LABS</v>
      </c>
    </row>
    <row r="3351" ht="16.5" customHeight="1">
      <c r="H3351" s="1" t="str">
        <f>IFERROR(__xludf.DUMMYFUNCTION("""COMPUTED_VALUE"""),"VICTOR LIFE SCIENCES")</f>
        <v>VICTOR LIFE SCIENCES</v>
      </c>
    </row>
    <row r="3352" ht="16.5" customHeight="1">
      <c r="H3352" s="1" t="str">
        <f>IFERROR(__xludf.DUMMYFUNCTION("""COMPUTED_VALUE"""),"VIDYA JAGANNATH G. DWIVEDI")</f>
        <v>VIDYA JAGANNATH G. DWIVEDI</v>
      </c>
    </row>
    <row r="3353" ht="16.5" customHeight="1">
      <c r="H3353" s="1" t="str">
        <f>IFERROR(__xludf.DUMMYFUNCTION("""COMPUTED_VALUE"""),"VIKAS PHARMA")</f>
        <v>VIKAS PHARMA</v>
      </c>
    </row>
    <row r="3354" ht="16.5" customHeight="1">
      <c r="H3354" s="1" t="str">
        <f>IFERROR(__xludf.DUMMYFUNCTION("""COMPUTED_VALUE"""),"VIKRAM LABORATORIES")</f>
        <v>VIKRAM LABORATORIES</v>
      </c>
    </row>
    <row r="3355" ht="16.5" customHeight="1">
      <c r="H3355" s="1" t="str">
        <f>IFERROR(__xludf.DUMMYFUNCTION("""COMPUTED_VALUE"""),"Vilberry Healthcare Pvt Ltd")</f>
        <v>Vilberry Healthcare Pvt Ltd</v>
      </c>
    </row>
    <row r="3356" ht="16.5" customHeight="1">
      <c r="H3356" s="1" t="str">
        <f>IFERROR(__xludf.DUMMYFUNCTION("""COMPUTED_VALUE"""),"VIMAL LABS")</f>
        <v>VIMAL LABS</v>
      </c>
    </row>
    <row r="3357" ht="16.5" customHeight="1">
      <c r="H3357" s="1" t="str">
        <f>IFERROR(__xludf.DUMMYFUNCTION("""COMPUTED_VALUE"""),"VIMS")</f>
        <v>VIMS</v>
      </c>
    </row>
    <row r="3358" ht="16.5" customHeight="1">
      <c r="H3358" s="1" t="str">
        <f>IFERROR(__xludf.DUMMYFUNCTION("""COMPUTED_VALUE"""),"VINASIA LIFESCIENCES PVT LTD")</f>
        <v>VINASIA LIFESCIENCES PVT LTD</v>
      </c>
    </row>
    <row r="3359" ht="16.5" customHeight="1">
      <c r="H3359" s="1" t="str">
        <f>IFERROR(__xludf.DUMMYFUNCTION("""COMPUTED_VALUE"""),"vinayak Care Solution Pvt Ltd")</f>
        <v>vinayak Care Solution Pvt Ltd</v>
      </c>
    </row>
    <row r="3360" ht="16.5" customHeight="1">
      <c r="H3360" s="1" t="str">
        <f>IFERROR(__xludf.DUMMYFUNCTION("""COMPUTED_VALUE"""),"VINAYAK CARE SOLUTIONS")</f>
        <v>VINAYAK CARE SOLUTIONS</v>
      </c>
    </row>
    <row r="3361" ht="16.5" customHeight="1">
      <c r="H3361" s="1" t="str">
        <f>IFERROR(__xludf.DUMMYFUNCTION("""COMPUTED_VALUE"""),"VINDAS CHEMICAL INDUSTRIES")</f>
        <v>VINDAS CHEMICAL INDUSTRIES</v>
      </c>
    </row>
    <row r="3362" ht="16.5" customHeight="1">
      <c r="H3362" s="1" t="str">
        <f>IFERROR(__xludf.DUMMYFUNCTION("""COMPUTED_VALUE"""),"VINKEM LABS LTD")</f>
        <v>VINKEM LABS LTD</v>
      </c>
    </row>
    <row r="3363" ht="16.5" customHeight="1">
      <c r="H3363" s="1" t="str">
        <f>IFERROR(__xludf.DUMMYFUNCTION("""COMPUTED_VALUE"""),"VINS BIOPRODUCTS LLIMITED")</f>
        <v>VINS BIOPRODUCTS LLIMITED</v>
      </c>
    </row>
    <row r="3364" ht="16.5" customHeight="1">
      <c r="H3364" s="1" t="str">
        <f>IFERROR(__xludf.DUMMYFUNCTION("""COMPUTED_VALUE"""),"VINTEK PHARMACEUTICALS")</f>
        <v>VINTEK PHARMACEUTICALS</v>
      </c>
    </row>
    <row r="3365" ht="16.5" customHeight="1">
      <c r="H3365" s="1" t="str">
        <f>IFERROR(__xludf.DUMMYFUNCTION("""COMPUTED_VALUE"""),"VINTOCHEM")</f>
        <v>VINTOCHEM</v>
      </c>
    </row>
    <row r="3366" ht="16.5" customHeight="1">
      <c r="H3366" s="1" t="str">
        <f>IFERROR(__xludf.DUMMYFUNCTION("""COMPUTED_VALUE"""),"VIP PHARMACEUTICALS PVT LTD")</f>
        <v>VIP PHARMACEUTICALS PVT LTD</v>
      </c>
    </row>
    <row r="3367" ht="16.5" customHeight="1">
      <c r="H3367" s="1" t="str">
        <f>IFERROR(__xludf.DUMMYFUNCTION("""COMPUTED_VALUE"""),"VIRBAC ANIMAL HEALTHCARE")</f>
        <v>VIRBAC ANIMAL HEALTHCARE</v>
      </c>
    </row>
    <row r="3368" ht="16.5" customHeight="1">
      <c r="H3368" s="1" t="str">
        <f>IFERROR(__xludf.DUMMYFUNCTION("""COMPUTED_VALUE"""),"VIRCHOW")</f>
        <v>VIRCHOW</v>
      </c>
    </row>
    <row r="3369" ht="16.5" customHeight="1">
      <c r="H3369" s="1" t="str">
        <f>IFERROR(__xludf.DUMMYFUNCTION("""COMPUTED_VALUE"""),"VIRCHOW BIOTECH")</f>
        <v>VIRCHOW BIOTECH</v>
      </c>
    </row>
    <row r="3370" ht="16.5" customHeight="1">
      <c r="H3370" s="1" t="str">
        <f>IFERROR(__xludf.DUMMYFUNCTION("""COMPUTED_VALUE"""),"VISCO LABS")</f>
        <v>VISCO LABS</v>
      </c>
    </row>
    <row r="3371" ht="16.5" customHeight="1">
      <c r="H3371" s="1" t="str">
        <f>IFERROR(__xludf.DUMMYFUNCTION("""COMPUTED_VALUE"""),"VISHAL PHARMA LAB INDORE")</f>
        <v>VISHAL PHARMA LAB INDORE</v>
      </c>
    </row>
    <row r="3372" ht="16.5" customHeight="1">
      <c r="H3372" s="1" t="str">
        <f>IFERROR(__xludf.DUMMYFUNCTION("""COMPUTED_VALUE"""),"VISHAL PHARMACEUTICAL LAB")</f>
        <v>VISHAL PHARMACEUTICAL LAB</v>
      </c>
    </row>
    <row r="3373" ht="16.5" customHeight="1">
      <c r="H3373" s="1" t="str">
        <f>IFERROR(__xludf.DUMMYFUNCTION("""COMPUTED_VALUE"""),"VISHNU HEALTHCARE")</f>
        <v>VISHNU HEALTHCARE</v>
      </c>
    </row>
    <row r="3374" ht="16.5" customHeight="1">
      <c r="H3374" s="1" t="str">
        <f>IFERROR(__xludf.DUMMYFUNCTION("""COMPUTED_VALUE"""),"VISHVA MANGAL UDYOG")</f>
        <v>VISHVA MANGAL UDYOG</v>
      </c>
    </row>
    <row r="3375" ht="16.5" customHeight="1">
      <c r="H3375" s="1" t="str">
        <f>IFERROR(__xludf.DUMMYFUNCTION("""COMPUTED_VALUE"""),"VISHWAMITRA AYURVEDIC")</f>
        <v>VISHWAMITRA AYURVEDIC</v>
      </c>
    </row>
    <row r="3376" ht="16.5" customHeight="1">
      <c r="H3376" s="1" t="str">
        <f>IFERROR(__xludf.DUMMYFUNCTION("""COMPUTED_VALUE"""),"VISION PHARMA")</f>
        <v>VISION PHARMA</v>
      </c>
    </row>
    <row r="3377" ht="16.5" customHeight="1">
      <c r="H3377" s="1" t="str">
        <f>IFERROR(__xludf.DUMMYFUNCTION("""COMPUTED_VALUE"""),"VISMO")</f>
        <v>VISMO</v>
      </c>
    </row>
    <row r="3378" ht="16.5" customHeight="1">
      <c r="H3378" s="1" t="str">
        <f>IFERROR(__xludf.DUMMYFUNCTION("""COMPUTED_VALUE"""),"VISSCO REHABILITATION AIDS PVT LTD")</f>
        <v>VISSCO REHABILITATION AIDS PVT LTD</v>
      </c>
    </row>
    <row r="3379" ht="16.5" customHeight="1">
      <c r="H3379" s="1" t="str">
        <f>IFERROR(__xludf.DUMMYFUNCTION("""COMPUTED_VALUE"""),"VITACE REMEDIES")</f>
        <v>VITACE REMEDIES</v>
      </c>
    </row>
    <row r="3380" ht="16.5" customHeight="1">
      <c r="H3380" s="1" t="str">
        <f>IFERROR(__xludf.DUMMYFUNCTION("""COMPUTED_VALUE"""),"VITALITY HEALTHCARE")</f>
        <v>VITALITY HEALTHCARE</v>
      </c>
    </row>
    <row r="3381" ht="16.5" customHeight="1">
      <c r="H3381" s="1" t="str">
        <f>IFERROR(__xludf.DUMMYFUNCTION("""COMPUTED_VALUE"""),"VITANE PHARMACEUTICALS")</f>
        <v>VITANE PHARMACEUTICALS</v>
      </c>
    </row>
    <row r="3382" ht="16.5" customHeight="1">
      <c r="H3382" s="1" t="str">
        <f>IFERROR(__xludf.DUMMYFUNCTION("""COMPUTED_VALUE"""),"VITHOBA INDUSTRIES")</f>
        <v>VITHOBA INDUSTRIES</v>
      </c>
    </row>
    <row r="3383" ht="16.5" customHeight="1">
      <c r="H3383" s="1" t="str">
        <f>IFERROR(__xludf.DUMMYFUNCTION("""COMPUTED_VALUE"""),"VIVENCY HEALTH CARE PVT LTD")</f>
        <v>VIVENCY HEALTH CARE PVT LTD</v>
      </c>
    </row>
    <row r="3384" ht="16.5" customHeight="1">
      <c r="H3384" s="1" t="str">
        <f>IFERROR(__xludf.DUMMYFUNCTION("""COMPUTED_VALUE"""),"VIVEZ LIFESCIENCE")</f>
        <v>VIVEZ LIFESCIENCE</v>
      </c>
    </row>
    <row r="3385" ht="16.5" customHeight="1">
      <c r="H3385" s="1" t="str">
        <f>IFERROR(__xludf.DUMMYFUNCTION("""COMPUTED_VALUE"""),"VIVIA DERMACARE")</f>
        <v>VIVIA DERMACARE</v>
      </c>
    </row>
    <row r="3386" ht="16.5" customHeight="1">
      <c r="H3386" s="1" t="str">
        <f>IFERROR(__xludf.DUMMYFUNCTION("""COMPUTED_VALUE"""),"VIVO LIFESCIENCES")</f>
        <v>VIVO LIFESCIENCES</v>
      </c>
    </row>
    <row r="3387" ht="16.5" customHeight="1">
      <c r="H3387" s="1" t="str">
        <f>IFERROR(__xludf.DUMMYFUNCTION("""COMPUTED_VALUE"""),"VK SARANU")</f>
        <v>VK SARANU</v>
      </c>
    </row>
    <row r="3388" ht="16.5" customHeight="1">
      <c r="H3388" s="1" t="str">
        <f>IFERROR(__xludf.DUMMYFUNCTION("""COMPUTED_VALUE"""),"VMC PHARMACEUTICAL")</f>
        <v>VMC PHARMACEUTICAL</v>
      </c>
    </row>
    <row r="3389" ht="16.5" customHeight="1">
      <c r="H3389" s="1" t="str">
        <f>IFERROR(__xludf.DUMMYFUNCTION("""COMPUTED_VALUE"""),"VYALI INTERNATIONAL")</f>
        <v>VYALI INTERNATIONAL</v>
      </c>
    </row>
    <row r="3390" ht="16.5" customHeight="1">
      <c r="H3390" s="1" t="str">
        <f>IFERROR(__xludf.DUMMYFUNCTION("""COMPUTED_VALUE"""),"VYAPITUS SPECIALITIES")</f>
        <v>VYAPITUS SPECIALITIES</v>
      </c>
    </row>
    <row r="3391" ht="16.5" customHeight="1">
      <c r="H3391" s="1" t="str">
        <f>IFERROR(__xludf.DUMMYFUNCTION("""COMPUTED_VALUE"""),"VYAS PHARMACEUTICALS")</f>
        <v>VYAS PHARMACEUTICALS</v>
      </c>
    </row>
    <row r="3392" ht="16.5" customHeight="1">
      <c r="H3392" s="1" t="str">
        <f>IFERROR(__xludf.DUMMYFUNCTION("""COMPUTED_VALUE"""),"VYONICS HEALTHCARE")</f>
        <v>VYONICS HEALTHCARE</v>
      </c>
    </row>
    <row r="3393" ht="16.5" customHeight="1">
      <c r="H3393" s="1" t="str">
        <f>IFERROR(__xludf.DUMMYFUNCTION("""COMPUTED_VALUE"""),"VYSON INDIA")</f>
        <v>VYSON INDIA</v>
      </c>
    </row>
    <row r="3394" ht="16.5" customHeight="1">
      <c r="H3394" s="1" t="str">
        <f>IFERROR(__xludf.DUMMYFUNCTION("""COMPUTED_VALUE"""),"WAFTURE HEALTHCARE")</f>
        <v>WAFTURE HEALTHCARE</v>
      </c>
    </row>
    <row r="3395" ht="16.5" customHeight="1">
      <c r="H3395" s="1" t="str">
        <f>IFERROR(__xludf.DUMMYFUNCTION("""COMPUTED_VALUE"""),"WALBERG PHARMACEUTICALS")</f>
        <v>WALBERG PHARMACEUTICALS</v>
      </c>
    </row>
    <row r="3396" ht="16.5" customHeight="1">
      <c r="H3396" s="1" t="str">
        <f>IFERROR(__xludf.DUMMYFUNCTION("""COMPUTED_VALUE"""),"WALLACE (GASTRO)")</f>
        <v>WALLACE (GASTRO)</v>
      </c>
    </row>
    <row r="3397" ht="16.5" customHeight="1">
      <c r="H3397" s="1" t="str">
        <f>IFERROR(__xludf.DUMMYFUNCTION("""COMPUTED_VALUE"""),"WALLACE (LIFE STYLE)")</f>
        <v>WALLACE (LIFE STYLE)</v>
      </c>
    </row>
    <row r="3398" ht="16.5" customHeight="1">
      <c r="H3398" s="1" t="str">
        <f>IFERROR(__xludf.DUMMYFUNCTION("""COMPUTED_VALUE"""),"WALLACE (RIVELA)")</f>
        <v>WALLACE (RIVELA)</v>
      </c>
    </row>
    <row r="3399" ht="16.5" customHeight="1">
      <c r="H3399" s="1" t="str">
        <f>IFERROR(__xludf.DUMMYFUNCTION("""COMPUTED_VALUE"""),"Wallace Pharmaceuticals Pvt Ltd")</f>
        <v>Wallace Pharmaceuticals Pvt Ltd</v>
      </c>
    </row>
    <row r="3400" ht="16.5" customHeight="1">
      <c r="H3400" s="1" t="str">
        <f>IFERROR(__xludf.DUMMYFUNCTION("""COMPUTED_VALUE"""),"WALNUT LIFESCIENCES PVT LTD")</f>
        <v>WALNUT LIFESCIENCES PVT LTD</v>
      </c>
    </row>
    <row r="3401" ht="16.5" customHeight="1">
      <c r="H3401" s="1" t="str">
        <f>IFERROR(__xludf.DUMMYFUNCTION("""COMPUTED_VALUE"""),"WALRON HEALTHCARE P LTD")</f>
        <v>WALRON HEALTHCARE P LTD</v>
      </c>
    </row>
    <row r="3402" ht="16.5" customHeight="1">
      <c r="H3402" s="1" t="str">
        <f>IFERROR(__xludf.DUMMYFUNCTION("""COMPUTED_VALUE"""),"Walter Bushnell")</f>
        <v>Walter Bushnell</v>
      </c>
    </row>
    <row r="3403" ht="16.5" customHeight="1">
      <c r="H3403" s="1" t="str">
        <f>IFERROR(__xludf.DUMMYFUNCTION("""COMPUTED_VALUE"""),"WAMA PHARMA")</f>
        <v>WAMA PHARMA</v>
      </c>
    </row>
    <row r="3404" ht="16.5" customHeight="1">
      <c r="H3404" s="1" t="str">
        <f>IFERROR(__xludf.DUMMYFUNCTION("""COMPUTED_VALUE"""),"Wanbury Ltd")</f>
        <v>Wanbury Ltd</v>
      </c>
    </row>
    <row r="3405" ht="16.5" customHeight="1">
      <c r="H3405" s="1" t="str">
        <f>IFERROR(__xludf.DUMMYFUNCTION("""COMPUTED_VALUE"""),"WANCURA LIFE SCIENCE")</f>
        <v>WANCURA LIFE SCIENCE</v>
      </c>
    </row>
    <row r="3406" ht="16.5" customHeight="1">
      <c r="H3406" s="1" t="str">
        <f>IFERROR(__xludf.DUMMYFUNCTION("""COMPUTED_VALUE"""),"WANTURA LABORATORIES")</f>
        <v>WANTURA LABORATORIES</v>
      </c>
    </row>
    <row r="3407" ht="16.5" customHeight="1">
      <c r="H3407" s="1" t="str">
        <f>IFERROR(__xludf.DUMMYFUNCTION("""COMPUTED_VALUE"""),"WARDEX PHARMACEUTICALS PVT LTD")</f>
        <v>WARDEX PHARMACEUTICALS PVT LTD</v>
      </c>
    </row>
    <row r="3408" ht="16.5" customHeight="1">
      <c r="H3408" s="1" t="str">
        <f>IFERROR(__xludf.DUMMYFUNCTION("""COMPUTED_VALUE"""),"WARIOX LIFE SCIENCE PVT LTD")</f>
        <v>WARIOX LIFE SCIENCE PVT LTD</v>
      </c>
    </row>
    <row r="3409" ht="16.5" customHeight="1">
      <c r="H3409" s="1" t="str">
        <f>IFERROR(__xludf.DUMMYFUNCTION("""COMPUTED_VALUE"""),"WATERLEY PHARMACEUTICALS PVT LTD")</f>
        <v>WATERLEY PHARMACEUTICALS PVT LTD</v>
      </c>
    </row>
    <row r="3410" ht="16.5" customHeight="1">
      <c r="H3410" s="1" t="str">
        <f>IFERROR(__xludf.DUMMYFUNCTION("""COMPUTED_VALUE"""),"WELCOME VET PHARMA")</f>
        <v>WELCOME VET PHARMA</v>
      </c>
    </row>
    <row r="3411" ht="16.5" customHeight="1">
      <c r="H3411" s="1" t="str">
        <f>IFERROR(__xludf.DUMMYFUNCTION("""COMPUTED_VALUE"""),"WELLAR")</f>
        <v>WELLAR</v>
      </c>
    </row>
    <row r="3412" ht="16.5" customHeight="1">
      <c r="H3412" s="1" t="str">
        <f>IFERROR(__xludf.DUMMYFUNCTION("""COMPUTED_VALUE"""),"WELLCHEM")</f>
        <v>WELLCHEM</v>
      </c>
    </row>
    <row r="3413" ht="16.5" customHeight="1">
      <c r="H3413" s="1" t="str">
        <f>IFERROR(__xludf.DUMMYFUNCTION("""COMPUTED_VALUE"""),"WELLCHEM PHARMACEUTICALS")</f>
        <v>WELLCHEM PHARMACEUTICALS</v>
      </c>
    </row>
    <row r="3414" ht="16.5" customHeight="1">
      <c r="H3414" s="1" t="str">
        <f>IFERROR(__xludf.DUMMYFUNCTION("""COMPUTED_VALUE"""),"WELLCON ANIMAL HEALTH PVT LTD")</f>
        <v>WELLCON ANIMAL HEALTH PVT LTD</v>
      </c>
    </row>
    <row r="3415" ht="16.5" customHeight="1">
      <c r="H3415" s="1" t="str">
        <f>IFERROR(__xludf.DUMMYFUNCTION("""COMPUTED_VALUE"""),"WELLERS LIFESCIENCES RESEARCH LAB")</f>
        <v>WELLERS LIFESCIENCES RESEARCH LAB</v>
      </c>
    </row>
    <row r="3416" ht="16.5" customHeight="1">
      <c r="H3416" s="1" t="str">
        <f>IFERROR(__xludf.DUMMYFUNCTION("""COMPUTED_VALUE"""),"WELLFORD PHARMACEUTICAL PVT LTD")</f>
        <v>WELLFORD PHARMACEUTICAL PVT LTD</v>
      </c>
    </row>
    <row r="3417" ht="16.5" customHeight="1">
      <c r="H3417" s="1" t="str">
        <f>IFERROR(__xludf.DUMMYFUNCTION("""COMPUTED_VALUE"""),"WELLMOS GLOBAL HEALTHCARE PHARMA")</f>
        <v>WELLMOS GLOBAL HEALTHCARE PHARMA</v>
      </c>
    </row>
    <row r="3418" ht="16.5" customHeight="1">
      <c r="H3418" s="1" t="str">
        <f>IFERROR(__xludf.DUMMYFUNCTION("""COMPUTED_VALUE"""),"WELRIN PHARMA")</f>
        <v>WELRIN PHARMA</v>
      </c>
    </row>
    <row r="3419" ht="16.5" customHeight="1">
      <c r="H3419" s="1" t="str">
        <f>IFERROR(__xludf.DUMMYFUNCTION("""COMPUTED_VALUE"""),"Wens Drugs India Pvt Ltd")</f>
        <v>Wens Drugs India Pvt Ltd</v>
      </c>
    </row>
    <row r="3420" ht="16.5" customHeight="1">
      <c r="H3420" s="1" t="str">
        <f>IFERROR(__xludf.DUMMYFUNCTION("""COMPUTED_VALUE"""),"WERKE HEALTHCARE")</f>
        <v>WERKE HEALTHCARE</v>
      </c>
    </row>
    <row r="3421" ht="16.5" customHeight="1">
      <c r="H3421" s="1" t="str">
        <f>IFERROR(__xludf.DUMMYFUNCTION("""COMPUTED_VALUE"""),"West-Coast Pharmaceutical Works Ltd")</f>
        <v>West-Coast Pharmaceutical Works Ltd</v>
      </c>
    </row>
    <row r="3422" ht="16.5" customHeight="1">
      <c r="H3422" s="1" t="str">
        <f>IFERROR(__xludf.DUMMYFUNCTION("""COMPUTED_VALUE"""),"WHIZ LABORATORIES INDIA PVT LTD")</f>
        <v>WHIZ LABORATORIES INDIA PVT LTD</v>
      </c>
    </row>
    <row r="3423" ht="16.5" customHeight="1">
      <c r="H3423" s="1" t="str">
        <f>IFERROR(__xludf.DUMMYFUNCTION("""COMPUTED_VALUE"""),"WILBURT (GENERAL)")</f>
        <v>WILBURT (GENERAL)</v>
      </c>
    </row>
    <row r="3424" ht="16.5" customHeight="1">
      <c r="H3424" s="1" t="str">
        <f>IFERROR(__xludf.DUMMYFUNCTION("""COMPUTED_VALUE"""),"WILBURT (NEXION)")</f>
        <v>WILBURT (NEXION)</v>
      </c>
    </row>
    <row r="3425" ht="16.5" customHeight="1">
      <c r="H3425" s="1" t="str">
        <f>IFERROR(__xludf.DUMMYFUNCTION("""COMPUTED_VALUE"""),"WILBURT REMEDIES")</f>
        <v>WILBURT REMEDIES</v>
      </c>
    </row>
    <row r="3426" ht="16.5" customHeight="1">
      <c r="H3426" s="1" t="str">
        <f>IFERROR(__xludf.DUMMYFUNCTION("""COMPUTED_VALUE"""),"WILCURE REMEDIES PVT LTD")</f>
        <v>WILCURE REMEDIES PVT LTD</v>
      </c>
    </row>
    <row r="3427" ht="16.5" customHeight="1">
      <c r="H3427" s="1" t="str">
        <f>IFERROR(__xludf.DUMMYFUNCTION("""COMPUTED_VALUE"""),"Willburt (Lifez Cardio and Diabetes)")</f>
        <v>Willburt (Lifez Cardio and Diabetes)</v>
      </c>
    </row>
    <row r="3428" ht="16.5" customHeight="1">
      <c r="H3428" s="1" t="str">
        <f>IFERROR(__xludf.DUMMYFUNCTION("""COMPUTED_VALUE"""),"Willcare Lifesciences")</f>
        <v>Willcare Lifesciences</v>
      </c>
    </row>
    <row r="3429" ht="16.5" customHeight="1">
      <c r="H3429" s="1" t="str">
        <f>IFERROR(__xludf.DUMMYFUNCTION("""COMPUTED_VALUE"""),"WILSHIR HELTH CARE")</f>
        <v>WILSHIR HELTH CARE</v>
      </c>
    </row>
    <row r="3430" ht="16.5" customHeight="1">
      <c r="H3430" s="1" t="str">
        <f>IFERROR(__xludf.DUMMYFUNCTION("""COMPUTED_VALUE"""),"WILSHIRE PHARMACEUTICALS")</f>
        <v>WILSHIRE PHARMACEUTICALS</v>
      </c>
    </row>
    <row r="3431" ht="16.5" customHeight="1">
      <c r="H3431" s="1" t="str">
        <f>IFERROR(__xludf.DUMMYFUNCTION("""COMPUTED_VALUE"""),"WILSON")</f>
        <v>WILSON</v>
      </c>
    </row>
    <row r="3432" ht="16.5" customHeight="1">
      <c r="H3432" s="1" t="str">
        <f>IFERROR(__xludf.DUMMYFUNCTION("""COMPUTED_VALUE"""),"WILSON HEALTHCARE")</f>
        <v>WILSON HEALTHCARE</v>
      </c>
    </row>
    <row r="3433" ht="16.5" customHeight="1">
      <c r="H3433" s="1" t="str">
        <f>IFERROR(__xludf.DUMMYFUNCTION("""COMPUTED_VALUE"""),"WIN NATURALS")</f>
        <v>WIN NATURALS</v>
      </c>
    </row>
    <row r="3434" ht="16.5" customHeight="1">
      <c r="H3434" s="1" t="str">
        <f>IFERROR(__xludf.DUMMYFUNCTION("""COMPUTED_VALUE"""),"Win-Medicare Pvt Ltd")</f>
        <v>Win-Medicare Pvt Ltd</v>
      </c>
    </row>
    <row r="3435" ht="16.5" customHeight="1">
      <c r="H3435" s="1" t="str">
        <f>IFERROR(__xludf.DUMMYFUNCTION("""COMPUTED_VALUE"""),"WINDLAS BIOTECH PVT LTD")</f>
        <v>WINDLAS BIOTECH PVT LTD</v>
      </c>
    </row>
    <row r="3436" ht="16.5" customHeight="1">
      <c r="H3436" s="1" t="str">
        <f>IFERROR(__xludf.DUMMYFUNCTION("""COMPUTED_VALUE"""),"WINFERTILITY")</f>
        <v>WINFERTILITY</v>
      </c>
    </row>
    <row r="3437" ht="16.5" customHeight="1">
      <c r="H3437" s="1" t="str">
        <f>IFERROR(__xludf.DUMMYFUNCTION("""COMPUTED_VALUE"""),"Wings Biotech Ltd (GENERIC)")</f>
        <v>Wings Biotech Ltd (GENERIC)</v>
      </c>
    </row>
    <row r="3438" ht="16.5" customHeight="1">
      <c r="H3438" s="1" t="str">
        <f>IFERROR(__xludf.DUMMYFUNCTION("""COMPUTED_VALUE"""),"WINTECH PHARMACEUTICALS (PHARMA)")</f>
        <v>WINTECH PHARMACEUTICALS (PHARMA)</v>
      </c>
    </row>
    <row r="3439" ht="16.5" customHeight="1">
      <c r="H3439" s="1" t="str">
        <f>IFERROR(__xludf.DUMMYFUNCTION("""COMPUTED_VALUE"""),"WINTECH PHARMACEUTICALS (ZENOVA)")</f>
        <v>WINTECH PHARMACEUTICALS (ZENOVA)</v>
      </c>
    </row>
    <row r="3440" ht="16.5" customHeight="1">
      <c r="H3440" s="1" t="str">
        <f>IFERROR(__xludf.DUMMYFUNCTION("""COMPUTED_VALUE"""),"WINY HEALTHCARE")</f>
        <v>WINY HEALTHCARE</v>
      </c>
    </row>
    <row r="3441" ht="16.5" customHeight="1">
      <c r="H3441" s="1" t="str">
        <f>IFERROR(__xludf.DUMMYFUNCTION("""COMPUTED_VALUE"""),"Wiscon Pharmaceuticals Pvt Ltd")</f>
        <v>Wiscon Pharmaceuticals Pvt Ltd</v>
      </c>
    </row>
    <row r="3442" ht="16.5" customHeight="1">
      <c r="H3442" s="1" t="str">
        <f>IFERROR(__xludf.DUMMYFUNCTION("""COMPUTED_VALUE"""),"WISE LIFECARE PVT LTD")</f>
        <v>WISE LIFECARE PVT LTD</v>
      </c>
    </row>
    <row r="3443" ht="16.5" customHeight="1">
      <c r="H3443" s="1" t="str">
        <f>IFERROR(__xludf.DUMMYFUNCTION("""COMPUTED_VALUE"""),"WIZ HEALTH CARE")</f>
        <v>WIZ HEALTH CARE</v>
      </c>
    </row>
    <row r="3444" ht="16.5" customHeight="1">
      <c r="H3444" s="1" t="str">
        <f>IFERROR(__xludf.DUMMYFUNCTION("""COMPUTED_VALUE"""),"WOCCKAHCHARLES PHARMA LTD")</f>
        <v>WOCCKAHCHARLES PHARMA LTD</v>
      </c>
    </row>
    <row r="3445" ht="16.5" customHeight="1">
      <c r="H3445" s="1" t="str">
        <f>IFERROR(__xludf.DUMMYFUNCTION("""COMPUTED_VALUE"""),"WOCKHARDT (CARDIO)")</f>
        <v>WOCKHARDT (CARDIO)</v>
      </c>
    </row>
    <row r="3446" ht="16.5" customHeight="1">
      <c r="H3446" s="1" t="str">
        <f>IFERROR(__xludf.DUMMYFUNCTION("""COMPUTED_VALUE"""),"WOCKHARDT (M1)")</f>
        <v>WOCKHARDT (M1)</v>
      </c>
    </row>
    <row r="3447" ht="16.5" customHeight="1">
      <c r="H3447" s="1" t="str">
        <f>IFERROR(__xludf.DUMMYFUNCTION("""COMPUTED_VALUE"""),"WOCKHARDT (METABOLICS)")</f>
        <v>WOCKHARDT (METABOLICS)</v>
      </c>
    </row>
    <row r="3448" ht="16.5" customHeight="1">
      <c r="H3448" s="1" t="str">
        <f>IFERROR(__xludf.DUMMYFUNCTION("""COMPUTED_VALUE"""),"WOCKHARDT (NEPHRO)")</f>
        <v>WOCKHARDT (NEPHRO)</v>
      </c>
    </row>
    <row r="3449" ht="16.5" customHeight="1">
      <c r="H3449" s="1" t="str">
        <f>IFERROR(__xludf.DUMMYFUNCTION("""COMPUTED_VALUE"""),"WOCKHARDT (PHARMA)")</f>
        <v>WOCKHARDT (PHARMA)</v>
      </c>
    </row>
    <row r="3450" ht="16.5" customHeight="1">
      <c r="H3450" s="1" t="str">
        <f>IFERROR(__xludf.DUMMYFUNCTION("""COMPUTED_VALUE"""),"WOCKHARDT (SPACIEL)")</f>
        <v>WOCKHARDT (SPACIEL)</v>
      </c>
    </row>
    <row r="3451" ht="16.5" customHeight="1">
      <c r="H3451" s="1" t="str">
        <f>IFERROR(__xludf.DUMMYFUNCTION("""COMPUTED_VALUE"""),"Wockhardt Ltd")</f>
        <v>Wockhardt Ltd</v>
      </c>
    </row>
    <row r="3452" ht="16.5" customHeight="1">
      <c r="H3452" s="1" t="str">
        <f>IFERROR(__xludf.DUMMYFUNCTION("""COMPUTED_VALUE"""),"Wockhardt Ltd  (SPECTRA)")</f>
        <v>Wockhardt Ltd  (SPECTRA)</v>
      </c>
    </row>
    <row r="3453" ht="16.5" customHeight="1">
      <c r="H3453" s="1" t="str">
        <f>IFERROR(__xludf.DUMMYFUNCTION("""COMPUTED_VALUE"""),"Wockhardt Ltd (CRITICAL CARE-NTF)")</f>
        <v>Wockhardt Ltd (CRITICAL CARE-NTF)</v>
      </c>
    </row>
    <row r="3454" ht="16.5" customHeight="1">
      <c r="H3454" s="1" t="str">
        <f>IFERROR(__xludf.DUMMYFUNCTION("""COMPUTED_VALUE"""),"Wockhardt Ltd (CRITICAL CARE)")</f>
        <v>Wockhardt Ltd (CRITICAL CARE)</v>
      </c>
    </row>
    <row r="3455" ht="16.5" customHeight="1">
      <c r="H3455" s="1" t="str">
        <f>IFERROR(__xludf.DUMMYFUNCTION("""COMPUTED_VALUE"""),"Wockhardt Ltd (DERMA)")</f>
        <v>Wockhardt Ltd (DERMA)</v>
      </c>
    </row>
    <row r="3456" ht="16.5" customHeight="1">
      <c r="H3456" s="1" t="str">
        <f>IFERROR(__xludf.DUMMYFUNCTION("""COMPUTED_VALUE"""),"Wockhardt Ltd (DIABETIC)")</f>
        <v>Wockhardt Ltd (DIABETIC)</v>
      </c>
    </row>
    <row r="3457" ht="16.5" customHeight="1">
      <c r="H3457" s="1" t="str">
        <f>IFERROR(__xludf.DUMMYFUNCTION("""COMPUTED_VALUE"""),"Wockhardt Ltd (GENERIC)")</f>
        <v>Wockhardt Ltd (GENERIC)</v>
      </c>
    </row>
    <row r="3458" ht="16.5" customHeight="1">
      <c r="H3458" s="1" t="str">
        <f>IFERROR(__xludf.DUMMYFUNCTION("""COMPUTED_VALUE"""),"Wockhardt Ltd (MAIN)")</f>
        <v>Wockhardt Ltd (MAIN)</v>
      </c>
    </row>
    <row r="3459" ht="16.5" customHeight="1">
      <c r="H3459" s="1" t="str">
        <f>IFERROR(__xludf.DUMMYFUNCTION("""COMPUTED_VALUE"""),"Wockhardt Ltd (RESPIRATORY)")</f>
        <v>Wockhardt Ltd (RESPIRATORY)</v>
      </c>
    </row>
    <row r="3460" ht="16.5" customHeight="1">
      <c r="H3460" s="1" t="str">
        <f>IFERROR(__xludf.DUMMYFUNCTION("""COMPUTED_VALUE"""),"Wockhardt Ltd (SPECTRA)")</f>
        <v>Wockhardt Ltd (SPECTRA)</v>
      </c>
    </row>
    <row r="3461" ht="16.5" customHeight="1">
      <c r="H3461" s="1" t="str">
        <f>IFERROR(__xludf.DUMMYFUNCTION("""COMPUTED_VALUE"""),"Wockhardt Ltd (SUPER SPECIALITY)")</f>
        <v>Wockhardt Ltd (SUPER SPECIALITY)</v>
      </c>
    </row>
    <row r="3462" ht="16.5" customHeight="1">
      <c r="H3462" s="1" t="str">
        <f>IFERROR(__xludf.DUMMYFUNCTION("""COMPUTED_VALUE"""),"Wockhardt Ltd (TARUS-2)")</f>
        <v>Wockhardt Ltd (TARUS-2)</v>
      </c>
    </row>
    <row r="3463" ht="16.5" customHeight="1">
      <c r="H3463" s="1" t="str">
        <f>IFERROR(__xludf.DUMMYFUNCTION("""COMPUTED_VALUE"""),"Wockhardt Ltd (TARUS)")</f>
        <v>Wockhardt Ltd (TARUS)</v>
      </c>
    </row>
    <row r="3464" ht="16.5" customHeight="1">
      <c r="H3464" s="1" t="str">
        <f>IFERROR(__xludf.DUMMYFUNCTION("""COMPUTED_VALUE"""),"WONSET HEALTHCARE")</f>
        <v>WONSET HEALTHCARE</v>
      </c>
    </row>
    <row r="3465" ht="16.5" customHeight="1">
      <c r="H3465" s="1" t="str">
        <f>IFERROR(__xludf.DUMMYFUNCTION("""COMPUTED_VALUE"""),"WOOD GERMAN BIOTECH")</f>
        <v>WOOD GERMAN BIOTECH</v>
      </c>
    </row>
    <row r="3466" ht="16.5" customHeight="1">
      <c r="H3466" s="1" t="str">
        <f>IFERROR(__xludf.DUMMYFUNCTION("""COMPUTED_VALUE"""),"WORLD HEALTHCARE PHARMA")</f>
        <v>WORLD HEALTHCARE PHARMA</v>
      </c>
    </row>
    <row r="3467" ht="16.5" customHeight="1">
      <c r="H3467" s="1" t="str">
        <f>IFERROR(__xludf.DUMMYFUNCTION("""COMPUTED_VALUE"""),"WRIGHT LIFESCIENCES P LTD")</f>
        <v>WRIGHT LIFESCIENCES P LTD</v>
      </c>
    </row>
    <row r="3468" ht="16.5" customHeight="1">
      <c r="H3468" s="1" t="str">
        <f>IFERROR(__xludf.DUMMYFUNCTION("""COMPUTED_VALUE"""),"WRIGHT LIFESCIENCES PVT LTD")</f>
        <v>WRIGHT LIFESCIENCES PVT LTD</v>
      </c>
    </row>
    <row r="3469" ht="16.5" customHeight="1">
      <c r="H3469" s="1" t="str">
        <f>IFERROR(__xludf.DUMMYFUNCTION("""COMPUTED_VALUE"""),"WSI")</f>
        <v>WSI</v>
      </c>
    </row>
    <row r="3470" ht="16.5" customHeight="1">
      <c r="H3470" s="1" t="str">
        <f>IFERROR(__xludf.DUMMYFUNCTION("""COMPUTED_VALUE"""),"Wyeth Limited")</f>
        <v>Wyeth Limited</v>
      </c>
    </row>
    <row r="3471" ht="16.5" customHeight="1">
      <c r="H3471" s="1" t="str">
        <f>IFERROR(__xludf.DUMMYFUNCTION("""COMPUTED_VALUE"""),"XANOCIA LIFE SCIENCES")</f>
        <v>XANOCIA LIFE SCIENCES</v>
      </c>
    </row>
    <row r="3472" ht="16.5" customHeight="1">
      <c r="H3472" s="1" t="str">
        <f>IFERROR(__xludf.DUMMYFUNCTION("""COMPUTED_VALUE"""),"XENA CORONUS HEALTH CARE")</f>
        <v>XENA CORONUS HEALTH CARE</v>
      </c>
    </row>
    <row r="3473" ht="16.5" customHeight="1">
      <c r="H3473" s="1" t="str">
        <f>IFERROR(__xludf.DUMMYFUNCTION("""COMPUTED_VALUE"""),"XENO LIFE SCIENCE PVT LTD")</f>
        <v>XENO LIFE SCIENCE PVT LTD</v>
      </c>
    </row>
    <row r="3474" ht="16.5" customHeight="1">
      <c r="H3474" s="1" t="str">
        <f>IFERROR(__xludf.DUMMYFUNCTION("""COMPUTED_VALUE"""),"XIEON LIFE SCIENCES")</f>
        <v>XIEON LIFE SCIENCES</v>
      </c>
    </row>
    <row r="3475" ht="16.5" customHeight="1">
      <c r="H3475" s="1" t="str">
        <f>IFERROR(__xludf.DUMMYFUNCTION("""COMPUTED_VALUE"""),"Y E HADVAIDYA")</f>
        <v>Y E HADVAIDYA</v>
      </c>
    </row>
    <row r="3476" ht="16.5" customHeight="1">
      <c r="H3476" s="1" t="str">
        <f>IFERROR(__xludf.DUMMYFUNCTION("""COMPUTED_VALUE"""),"YAJAT LIFE SCIENCES")</f>
        <v>YAJAT LIFE SCIENCES</v>
      </c>
    </row>
    <row r="3477" ht="16.5" customHeight="1">
      <c r="H3477" s="1" t="str">
        <f>IFERROR(__xludf.DUMMYFUNCTION("""COMPUTED_VALUE"""),"YAP COSDERM LABORATORIES PVT LTD")</f>
        <v>YAP COSDERM LABORATORIES PVT LTD</v>
      </c>
    </row>
    <row r="3478" ht="16.5" customHeight="1">
      <c r="H3478" s="1" t="str">
        <f>IFERROR(__xludf.DUMMYFUNCTION("""COMPUTED_VALUE"""),"YASH PHARMA (DERMA)")</f>
        <v>YASH PHARMA (DERMA)</v>
      </c>
    </row>
    <row r="3479" ht="16.5" customHeight="1">
      <c r="H3479" s="1" t="str">
        <f>IFERROR(__xludf.DUMMYFUNCTION("""COMPUTED_VALUE"""),"YASH PHARMA LAB")</f>
        <v>YASH PHARMA LAB</v>
      </c>
    </row>
    <row r="3480" ht="16.5" customHeight="1">
      <c r="H3480" s="1" t="str">
        <f>IFERROR(__xludf.DUMMYFUNCTION("""COMPUTED_VALUE"""),"YASODAKHYAA REMEDIES")</f>
        <v>YASODAKHYAA REMEDIES</v>
      </c>
    </row>
    <row r="3481" ht="16.5" customHeight="1">
      <c r="H3481" s="1" t="str">
        <f>IFERROR(__xludf.DUMMYFUNCTION("""COMPUTED_VALUE"""),"YGEIA HEALTH PVT LTD")</f>
        <v>YGEIA HEALTH PVT LTD</v>
      </c>
    </row>
    <row r="3482" ht="16.5" customHeight="1">
      <c r="H3482" s="1" t="str">
        <f>IFERROR(__xludf.DUMMYFUNCTION("""COMPUTED_VALUE"""),"YOGEE HERBAL INDIA")</f>
        <v>YOGEE HERBAL INDIA</v>
      </c>
    </row>
    <row r="3483" ht="16.5" customHeight="1">
      <c r="H3483" s="1" t="str">
        <f>IFERROR(__xludf.DUMMYFUNCTION("""COMPUTED_VALUE"""),"YOGI AYURVEDIC PRODUCTS LTD")</f>
        <v>YOGI AYURVEDIC PRODUCTS LTD</v>
      </c>
    </row>
    <row r="3484" ht="16.5" customHeight="1">
      <c r="H3484" s="1" t="str">
        <f>IFERROR(__xludf.DUMMYFUNCTION("""COMPUTED_VALUE"""),"YOGI HERBALS")</f>
        <v>YOGI HERBALS</v>
      </c>
    </row>
    <row r="3485" ht="16.5" customHeight="1">
      <c r="H3485" s="1" t="str">
        <f>IFERROR(__xludf.DUMMYFUNCTION("""COMPUTED_VALUE"""),"YOURS PHARMA DISTRIBUTERS PVT LTD")</f>
        <v>YOURS PHARMA DISTRIBUTERS PVT LTD</v>
      </c>
    </row>
    <row r="3486" ht="16.5" customHeight="1">
      <c r="H3486" s="1" t="str">
        <f>IFERROR(__xludf.DUMMYFUNCTION("""COMPUTED_VALUE"""),"YUDERMA LABORATORIE")</f>
        <v>YUDERMA LABORATORIE</v>
      </c>
    </row>
    <row r="3487" ht="16.5" customHeight="1">
      <c r="H3487" s="1" t="str">
        <f>IFERROR(__xludf.DUMMYFUNCTION("""COMPUTED_VALUE"""),"YUZDERM PHARMACEUTICALS")</f>
        <v>YUZDERM PHARMACEUTICALS</v>
      </c>
    </row>
    <row r="3488" ht="16.5" customHeight="1">
      <c r="H3488" s="1" t="str">
        <f>IFERROR(__xludf.DUMMYFUNCTION("""COMPUTED_VALUE"""),"ZADINE RUMBS LIMITED")</f>
        <v>ZADINE RUMBS LIMITED</v>
      </c>
    </row>
    <row r="3489" ht="16.5" customHeight="1">
      <c r="H3489" s="1" t="str">
        <f>IFERROR(__xludf.DUMMYFUNCTION("""COMPUTED_VALUE"""),"Zandu Pharmaceutical Works Ltd")</f>
        <v>Zandu Pharmaceutical Works Ltd</v>
      </c>
    </row>
    <row r="3490" ht="16.5" customHeight="1">
      <c r="H3490" s="1" t="str">
        <f>IFERROR(__xludf.DUMMYFUNCTION("""COMPUTED_VALUE"""),"ZARETA BIOTEC PVT LTD")</f>
        <v>ZARETA BIOTEC PVT LTD</v>
      </c>
    </row>
    <row r="3491" ht="16.5" customHeight="1">
      <c r="H3491" s="1" t="str">
        <f>IFERROR(__xludf.DUMMYFUNCTION("""COMPUTED_VALUE"""),"ZATROPHA PHARMA")</f>
        <v>ZATROPHA PHARMA</v>
      </c>
    </row>
    <row r="3492" ht="16.5" customHeight="1">
      <c r="H3492" s="1" t="str">
        <f>IFERROR(__xludf.DUMMYFUNCTION("""COMPUTED_VALUE"""),"ZEDIP FORMULATIONS")</f>
        <v>ZEDIP FORMULATIONS</v>
      </c>
    </row>
    <row r="3493" ht="16.5" customHeight="1">
      <c r="H3493" s="1" t="str">
        <f>IFERROR(__xludf.DUMMYFUNCTION("""COMPUTED_VALUE"""),"ZEDON PHARMA")</f>
        <v>ZEDON PHARMA</v>
      </c>
    </row>
    <row r="3494" ht="16.5" customHeight="1">
      <c r="H3494" s="1" t="str">
        <f>IFERROR(__xludf.DUMMYFUNCTION("""COMPUTED_VALUE"""),"ZEE LABORATORIES LTD")</f>
        <v>ZEE LABORATORIES LTD</v>
      </c>
    </row>
    <row r="3495" ht="16.5" customHeight="1">
      <c r="H3495" s="1" t="str">
        <f>IFERROR(__xludf.DUMMYFUNCTION("""COMPUTED_VALUE"""),"ZEE LABORATORIES LTD (ELWIN)")</f>
        <v>ZEE LABORATORIES LTD (ELWIN)</v>
      </c>
    </row>
    <row r="3496" ht="16.5" customHeight="1">
      <c r="H3496" s="1" t="str">
        <f>IFERROR(__xludf.DUMMYFUNCTION("""COMPUTED_VALUE"""),"ZEE LABORATORIES LTD (KLOKTER)")</f>
        <v>ZEE LABORATORIES LTD (KLOKTER)</v>
      </c>
    </row>
    <row r="3497" ht="16.5" customHeight="1">
      <c r="H3497" s="1" t="str">
        <f>IFERROR(__xludf.DUMMYFUNCTION("""COMPUTED_VALUE"""),"ZEE LABORATORIS")</f>
        <v>ZEE LABORATORIS</v>
      </c>
    </row>
    <row r="3498" ht="16.5" customHeight="1">
      <c r="H3498" s="1" t="str">
        <f>IFERROR(__xludf.DUMMYFUNCTION("""COMPUTED_VALUE"""),"ZEE PHARMA")</f>
        <v>ZEE PHARMA</v>
      </c>
    </row>
    <row r="3499" ht="16.5" customHeight="1">
      <c r="H3499" s="1" t="str">
        <f>IFERROR(__xludf.DUMMYFUNCTION("""COMPUTED_VALUE"""),"ZELKOVA LIFESCIENCES PVT LTD")</f>
        <v>ZELKOVA LIFESCIENCES PVT LTD</v>
      </c>
    </row>
    <row r="3500" ht="16.5" customHeight="1">
      <c r="H3500" s="1" t="str">
        <f>IFERROR(__xludf.DUMMYFUNCTION("""COMPUTED_VALUE"""),"ZELLEVEN PHARMA PVT LTD")</f>
        <v>ZELLEVEN PHARMA PVT LTD</v>
      </c>
    </row>
    <row r="3501" ht="16.5" customHeight="1">
      <c r="H3501" s="1" t="str">
        <f>IFERROR(__xludf.DUMMYFUNCTION("""COMPUTED_VALUE"""),"ZEN LABS")</f>
        <v>ZEN LABS</v>
      </c>
    </row>
    <row r="3502" ht="16.5" customHeight="1">
      <c r="H3502" s="1" t="str">
        <f>IFERROR(__xludf.DUMMYFUNCTION("""COMPUTED_VALUE"""),"ZEN PHARMACEUTICALS")</f>
        <v>ZEN PHARMACEUTICALS</v>
      </c>
    </row>
    <row r="3503" ht="16.5" customHeight="1">
      <c r="H3503" s="1" t="str">
        <f>IFERROR(__xludf.DUMMYFUNCTION("""COMPUTED_VALUE"""),"Zenacts Pharma P Ltd")</f>
        <v>Zenacts Pharma P Ltd</v>
      </c>
    </row>
    <row r="3504" ht="16.5" customHeight="1">
      <c r="H3504" s="1" t="str">
        <f>IFERROR(__xludf.DUMMYFUNCTION("""COMPUTED_VALUE"""),"ZENCUS PHARMA")</f>
        <v>ZENCUS PHARMA</v>
      </c>
    </row>
    <row r="3505" ht="16.5" customHeight="1">
      <c r="H3505" s="1" t="str">
        <f>IFERROR(__xludf.DUMMYFUNCTION("""COMPUTED_VALUE"""),"ZENEX HEALTHCARE")</f>
        <v>ZENEX HEALTHCARE</v>
      </c>
    </row>
    <row r="3506" ht="16.5" customHeight="1">
      <c r="H3506" s="1" t="str">
        <f>IFERROR(__xludf.DUMMYFUNCTION("""COMPUTED_VALUE"""),"ZENITH DRUGS")</f>
        <v>ZENITH DRUGS</v>
      </c>
    </row>
    <row r="3507" ht="16.5" customHeight="1">
      <c r="H3507" s="1" t="str">
        <f>IFERROR(__xludf.DUMMYFUNCTION("""COMPUTED_VALUE"""),"Zenith Healthcare Ltd")</f>
        <v>Zenith Healthcare Ltd</v>
      </c>
    </row>
    <row r="3508" ht="16.5" customHeight="1">
      <c r="H3508" s="1" t="str">
        <f>IFERROR(__xludf.DUMMYFUNCTION("""COMPUTED_VALUE"""),"ZENLABS (GENERIC)")</f>
        <v>ZENLABS (GENERIC)</v>
      </c>
    </row>
    <row r="3509" ht="16.5" customHeight="1">
      <c r="H3509" s="1" t="str">
        <f>IFERROR(__xludf.DUMMYFUNCTION("""COMPUTED_VALUE"""),"ZENLABS ETHICA LTD")</f>
        <v>ZENLABS ETHICA LTD</v>
      </c>
    </row>
    <row r="3510" ht="16.5" customHeight="1">
      <c r="H3510" s="1" t="str">
        <f>IFERROR(__xludf.DUMMYFUNCTION("""COMPUTED_VALUE"""),"ZENNAR LIFE SCIENCES")</f>
        <v>ZENNAR LIFE SCIENCES</v>
      </c>
    </row>
    <row r="3511" ht="16.5" customHeight="1">
      <c r="H3511" s="1" t="str">
        <f>IFERROR(__xludf.DUMMYFUNCTION("""COMPUTED_VALUE"""),"ZENOBIC LIFE SCIENCES (ZENOBIC)")</f>
        <v>ZENOBIC LIFE SCIENCES (ZENOBIC)</v>
      </c>
    </row>
    <row r="3512" ht="16.5" customHeight="1">
      <c r="H3512" s="1" t="str">
        <f>IFERROR(__xludf.DUMMYFUNCTION("""COMPUTED_VALUE"""),"ZENON HEALTHCARE LTD")</f>
        <v>ZENON HEALTHCARE LTD</v>
      </c>
    </row>
    <row r="3513" ht="16.5" customHeight="1">
      <c r="H3513" s="1" t="str">
        <f>IFERROR(__xludf.DUMMYFUNCTION("""COMPUTED_VALUE"""),"ZENONA LIFESCIENCES PVT LTD")</f>
        <v>ZENONA LIFESCIENCES PVT LTD</v>
      </c>
    </row>
    <row r="3514" ht="16.5" customHeight="1">
      <c r="H3514" s="1" t="str">
        <f>IFERROR(__xludf.DUMMYFUNCTION("""COMPUTED_VALUE"""),"ZENOTECH LOBORATORIES LTD.")</f>
        <v>ZENOTECH LOBORATORIES LTD.</v>
      </c>
    </row>
    <row r="3515" ht="16.5" customHeight="1">
      <c r="H3515" s="1" t="str">
        <f>IFERROR(__xludf.DUMMYFUNCTION("""COMPUTED_VALUE"""),"ZENOVA BIO NUTRITION")</f>
        <v>ZENOVA BIO NUTRITION</v>
      </c>
    </row>
    <row r="3516" ht="16.5" customHeight="1">
      <c r="H3516" s="1" t="str">
        <f>IFERROR(__xludf.DUMMYFUNCTION("""COMPUTED_VALUE"""),"ZENSKA LIFE SCIENCE PVT LTD")</f>
        <v>ZENSKA LIFE SCIENCE PVT LTD</v>
      </c>
    </row>
    <row r="3517" ht="16.5" customHeight="1">
      <c r="H3517" s="1" t="str">
        <f>IFERROR(__xludf.DUMMYFUNCTION("""COMPUTED_VALUE"""),"ZENSTAR LIFE SCIENCES")</f>
        <v>ZENSTAR LIFE SCIENCES</v>
      </c>
    </row>
    <row r="3518" ht="16.5" customHeight="1">
      <c r="H3518" s="1" t="str">
        <f>IFERROR(__xludf.DUMMYFUNCTION("""COMPUTED_VALUE"""),"ZERICO LIFESCIENCE")</f>
        <v>ZERICO LIFESCIENCE</v>
      </c>
    </row>
    <row r="3519" ht="16.5" customHeight="1">
      <c r="H3519" s="1" t="str">
        <f>IFERROR(__xludf.DUMMYFUNCTION("""COMPUTED_VALUE"""),"ZERICO LIFESCIENCES")</f>
        <v>ZERICO LIFESCIENCES</v>
      </c>
    </row>
    <row r="3520" ht="16.5" customHeight="1">
      <c r="H3520" s="1" t="str">
        <f>IFERROR(__xludf.DUMMYFUNCTION("""COMPUTED_VALUE"""),"Zest Pharma")</f>
        <v>Zest Pharma</v>
      </c>
    </row>
    <row r="3521" ht="16.5" customHeight="1">
      <c r="H3521" s="1" t="str">
        <f>IFERROR(__xludf.DUMMYFUNCTION("""COMPUTED_VALUE"""),"ZESTICA PHARMA")</f>
        <v>ZESTICA PHARMA</v>
      </c>
    </row>
    <row r="3522" ht="16.5" customHeight="1">
      <c r="H3522" s="1" t="str">
        <f>IFERROR(__xludf.DUMMYFUNCTION("""COMPUTED_VALUE"""),"ZETA")</f>
        <v>ZETA</v>
      </c>
    </row>
    <row r="3523" ht="16.5" customHeight="1">
      <c r="H3523" s="1" t="str">
        <f>IFERROR(__xludf.DUMMYFUNCTION("""COMPUTED_VALUE"""),"ZETACA LIFESCIENCES")</f>
        <v>ZETACA LIFESCIENCES</v>
      </c>
    </row>
    <row r="3524" ht="16.5" customHeight="1">
      <c r="H3524" s="1" t="str">
        <f>IFERROR(__xludf.DUMMYFUNCTION("""COMPUTED_VALUE"""),"ZEUS DRUG")</f>
        <v>ZEUS DRUG</v>
      </c>
    </row>
    <row r="3525" ht="16.5" customHeight="1">
      <c r="H3525" s="1" t="str">
        <f>IFERROR(__xludf.DUMMYFUNCTION("""COMPUTED_VALUE"""),"ZEVEN LIFESCIENCES LTD")</f>
        <v>ZEVEN LIFESCIENCES LTD</v>
      </c>
    </row>
    <row r="3526" ht="16.5" customHeight="1">
      <c r="H3526" s="1" t="str">
        <f>IFERROR(__xludf.DUMMYFUNCTION("""COMPUTED_VALUE"""),"ZICAD LIFE CARE")</f>
        <v>ZICAD LIFE CARE</v>
      </c>
    </row>
    <row r="3527" ht="16.5" customHeight="1">
      <c r="H3527" s="1" t="str">
        <f>IFERROR(__xludf.DUMMYFUNCTION("""COMPUTED_VALUE"""),"ZIVIRA LABS P LTD")</f>
        <v>ZIVIRA LABS P LTD</v>
      </c>
    </row>
    <row r="3528" ht="16.5" customHeight="1">
      <c r="H3528" s="1" t="str">
        <f>IFERROR(__xludf.DUMMYFUNCTION("""COMPUTED_VALUE"""),"ZIVOT HEALTHCARE")</f>
        <v>ZIVOT HEALTHCARE</v>
      </c>
    </row>
    <row r="3529" ht="16.5" customHeight="1">
      <c r="H3529" s="1" t="str">
        <f>IFERROR(__xludf.DUMMYFUNCTION("""COMPUTED_VALUE"""),"ZOETIC AYURVEDICS PVT LTD")</f>
        <v>ZOETIC AYURVEDICS PVT LTD</v>
      </c>
    </row>
    <row r="3530" ht="16.5" customHeight="1">
      <c r="H3530" s="1" t="str">
        <f>IFERROR(__xludf.DUMMYFUNCTION("""COMPUTED_VALUE"""),"ZOITHROSS")</f>
        <v>ZOITHROSS</v>
      </c>
    </row>
    <row r="3531" ht="16.5" customHeight="1">
      <c r="H3531" s="1" t="str">
        <f>IFERROR(__xludf.DUMMYFUNCTION("""COMPUTED_VALUE"""),"ZORICON PHARMACEUTICALS")</f>
        <v>ZORICON PHARMACEUTICALS</v>
      </c>
    </row>
    <row r="3532" ht="16.5" customHeight="1">
      <c r="H3532" s="1" t="str">
        <f>IFERROR(__xludf.DUMMYFUNCTION("""COMPUTED_VALUE"""),"ZORILANT PHARMA")</f>
        <v>ZORILANT PHARMA</v>
      </c>
    </row>
    <row r="3533" ht="16.5" customHeight="1">
      <c r="H3533" s="1" t="str">
        <f>IFERROR(__xludf.DUMMYFUNCTION("""COMPUTED_VALUE"""),"ZOTA HEALTHCARE")</f>
        <v>ZOTA HEALTHCARE</v>
      </c>
    </row>
    <row r="3534" ht="16.5" customHeight="1">
      <c r="H3534" s="1" t="str">
        <f>IFERROR(__xludf.DUMMYFUNCTION("""COMPUTED_VALUE"""),"Zovaitalia Healthcare Pvt Ltd")</f>
        <v>Zovaitalia Healthcare Pvt Ltd</v>
      </c>
    </row>
    <row r="3535" ht="16.5" customHeight="1">
      <c r="H3535" s="1" t="str">
        <f>IFERROR(__xludf.DUMMYFUNCTION("""COMPUTED_VALUE"""),"ZUBIT LIFECARE")</f>
        <v>ZUBIT LIFECARE</v>
      </c>
    </row>
    <row r="3536" ht="16.5" customHeight="1">
      <c r="H3536" s="1" t="str">
        <f>IFERROR(__xludf.DUMMYFUNCTION("""COMPUTED_VALUE"""),"ZURICH HEALTH CARE UJJAIN")</f>
        <v>ZURICH HEALTH CARE UJJAIN</v>
      </c>
    </row>
    <row r="3537" ht="16.5" customHeight="1">
      <c r="H3537" s="1" t="str">
        <f>IFERROR(__xludf.DUMMYFUNCTION("""COMPUTED_VALUE"""),"ZUVENTUS (GENERIC)")</f>
        <v>ZUVENTUS (GENERIC)</v>
      </c>
    </row>
    <row r="3538" ht="16.5" customHeight="1">
      <c r="H3538" s="1" t="str">
        <f>IFERROR(__xludf.DUMMYFUNCTION("""COMPUTED_VALUE"""),"ZUVENTUS (GROMAXX)")</f>
        <v>ZUVENTUS (GROMAXX)</v>
      </c>
    </row>
    <row r="3539" ht="16.5" customHeight="1">
      <c r="H3539" s="1" t="str">
        <f>IFERROR(__xludf.DUMMYFUNCTION("""COMPUTED_VALUE"""),"ZUVENTUS (HEALTHCARE)")</f>
        <v>ZUVENTUS (HEALTHCARE)</v>
      </c>
    </row>
    <row r="3540" ht="16.5" customHeight="1">
      <c r="H3540" s="1" t="str">
        <f>IFERROR(__xludf.DUMMYFUNCTION("""COMPUTED_VALUE"""),"ZUVENTUS (LASUR)")</f>
        <v>ZUVENTUS (LASUR)</v>
      </c>
    </row>
    <row r="3541" ht="16.5" customHeight="1">
      <c r="H3541" s="1" t="str">
        <f>IFERROR(__xludf.DUMMYFUNCTION("""COMPUTED_VALUE"""),"ZUVENTUS (LIFESTYLE)")</f>
        <v>ZUVENTUS (LIFESTYLE)</v>
      </c>
    </row>
    <row r="3542" ht="16.5" customHeight="1">
      <c r="H3542" s="1" t="str">
        <f>IFERROR(__xludf.DUMMYFUNCTION("""COMPUTED_VALUE"""),"ZUVENTUS (ODENEA)")</f>
        <v>ZUVENTUS (ODENEA)</v>
      </c>
    </row>
    <row r="3543" ht="16.5" customHeight="1">
      <c r="H3543" s="1" t="str">
        <f>IFERROR(__xludf.DUMMYFUNCTION("""COMPUTED_VALUE"""),"ZUVENTUS (ONCO)")</f>
        <v>ZUVENTUS (ONCO)</v>
      </c>
    </row>
    <row r="3544" ht="16.5" customHeight="1">
      <c r="H3544" s="1" t="str">
        <f>IFERROR(__xludf.DUMMYFUNCTION("""COMPUTED_VALUE"""),"Zuventus Healthcare Ltd")</f>
        <v>Zuventus Healthcare Ltd</v>
      </c>
    </row>
    <row r="3545" ht="16.5" customHeight="1">
      <c r="H3545" s="1" t="str">
        <f>IFERROR(__xludf.DUMMYFUNCTION("""COMPUTED_VALUE"""),"Zuventus Healthcare Ltd (SPECIALITY)")</f>
        <v>Zuventus Healthcare Ltd (SPECIALITY)</v>
      </c>
    </row>
    <row r="3546" ht="16.5" customHeight="1">
      <c r="H3546" s="1" t="str">
        <f>IFERROR(__xludf.DUMMYFUNCTION("""COMPUTED_VALUE"""),"ZUVIUS LIFE SCIENSE PVT LTD")</f>
        <v>ZUVIUS LIFE SCIENSE PVT LTD</v>
      </c>
    </row>
    <row r="3547" ht="16.5" customHeight="1">
      <c r="H3547" s="1" t="str">
        <f>IFERROR(__xludf.DUMMYFUNCTION("""COMPUTED_VALUE"""),"ZYCARE PHARMACEUTICALS")</f>
        <v>ZYCARE PHARMACEUTICALS</v>
      </c>
    </row>
    <row r="3548" ht="16.5" customHeight="1">
      <c r="H3548" s="1" t="str">
        <f>IFERROR(__xludf.DUMMYFUNCTION("""COMPUTED_VALUE"""),"ZYDAR PHARMACEUTICALS P LTD")</f>
        <v>ZYDAR PHARMACEUTICALS P LTD</v>
      </c>
    </row>
    <row r="3549" ht="16.5" customHeight="1">
      <c r="H3549" s="1" t="str">
        <f>IFERROR(__xludf.DUMMYFUNCTION("""COMPUTED_VALUE"""),"ZYDUS (ALIDAC)")</f>
        <v>ZYDUS (ALIDAC)</v>
      </c>
    </row>
    <row r="3550" ht="16.5" customHeight="1">
      <c r="H3550" s="1" t="str">
        <f>IFERROR(__xludf.DUMMYFUNCTION("""COMPUTED_VALUE"""),"ZYDUS (BIOVATION)")</f>
        <v>ZYDUS (BIOVATION)</v>
      </c>
    </row>
    <row r="3551" ht="16.5" customHeight="1">
      <c r="H3551" s="1" t="str">
        <f>IFERROR(__xludf.DUMMYFUNCTION("""COMPUTED_VALUE"""),"ZYDUS (CADILA)")</f>
        <v>ZYDUS (CADILA)</v>
      </c>
    </row>
    <row r="3552" ht="16.5" customHeight="1">
      <c r="H3552" s="1" t="str">
        <f>IFERROR(__xludf.DUMMYFUNCTION("""COMPUTED_VALUE"""),"ZYDUS (CARDIVA)")</f>
        <v>ZYDUS (CARDIVA)</v>
      </c>
    </row>
    <row r="3553" ht="16.5" customHeight="1">
      <c r="H3553" s="1" t="str">
        <f>IFERROR(__xludf.DUMMYFUNCTION("""COMPUTED_VALUE"""),"ZYDUS (CND)")</f>
        <v>ZYDUS (CND)</v>
      </c>
    </row>
    <row r="3554" ht="16.5" customHeight="1">
      <c r="H3554" s="1" t="str">
        <f>IFERROR(__xludf.DUMMYFUNCTION("""COMPUTED_VALUE"""),"ZYDUS (CORZA)")</f>
        <v>ZYDUS (CORZA)</v>
      </c>
    </row>
    <row r="3555" ht="16.5" customHeight="1">
      <c r="H3555" s="1" t="str">
        <f>IFERROR(__xludf.DUMMYFUNCTION("""COMPUTED_VALUE"""),"ZYDUS (DISCOVERY)")</f>
        <v>ZYDUS (DISCOVERY)</v>
      </c>
    </row>
    <row r="3556" ht="16.5" customHeight="1">
      <c r="H3556" s="1" t="str">
        <f>IFERROR(__xludf.DUMMYFUNCTION("""COMPUTED_VALUE"""),"ZYDUS (FORTIZA)")</f>
        <v>ZYDUS (FORTIZA)</v>
      </c>
    </row>
    <row r="3557" ht="16.5" customHeight="1">
      <c r="H3557" s="1" t="str">
        <f>IFERROR(__xludf.DUMMYFUNCTION("""COMPUTED_VALUE"""),"ZYDUS (GEO)")</f>
        <v>ZYDUS (GEO)</v>
      </c>
    </row>
    <row r="3558" ht="16.5" customHeight="1">
      <c r="H3558" s="1" t="str">
        <f>IFERROR(__xludf.DUMMYFUNCTION("""COMPUTED_VALUE"""),"ZYDUS (HEPTIZA)")</f>
        <v>ZYDUS (HEPTIZA)</v>
      </c>
    </row>
    <row r="3559" ht="16.5" customHeight="1">
      <c r="H3559" s="1" t="str">
        <f>IFERROR(__xludf.DUMMYFUNCTION("""COMPUTED_VALUE"""),"ZYDUS (LIVA)")</f>
        <v>ZYDUS (LIVA)</v>
      </c>
    </row>
    <row r="3560" ht="16.5" customHeight="1">
      <c r="H3560" s="1" t="str">
        <f>IFERROR(__xludf.DUMMYFUNCTION("""COMPUTED_VALUE"""),"ZYDUS (MEDICA)")</f>
        <v>ZYDUS (MEDICA)</v>
      </c>
    </row>
    <row r="3561" ht="16.5" customHeight="1">
      <c r="H3561" s="1" t="str">
        <f>IFERROR(__xludf.DUMMYFUNCTION("""COMPUTED_VALUE"""),"ZYDUS (NEPHRO 1)")</f>
        <v>ZYDUS (NEPHRO 1)</v>
      </c>
    </row>
    <row r="3562" ht="16.5" customHeight="1">
      <c r="H3562" s="1" t="str">
        <f>IFERROR(__xludf.DUMMYFUNCTION("""COMPUTED_VALUE"""),"ZYDUS (NEPHRO TRANSPLANT)")</f>
        <v>ZYDUS (NEPHRO TRANSPLANT)</v>
      </c>
    </row>
    <row r="3563" ht="16.5" customHeight="1">
      <c r="H3563" s="1" t="str">
        <f>IFERROR(__xludf.DUMMYFUNCTION("""COMPUTED_VALUE"""),"ZYDUS (NEUROSCIENCES)")</f>
        <v>ZYDUS (NEUROSCIENCES)</v>
      </c>
    </row>
    <row r="3564" ht="16.5" customHeight="1">
      <c r="H3564" s="1" t="str">
        <f>IFERROR(__xludf.DUMMYFUNCTION("""COMPUTED_VALUE"""),"ZYDUS (NUTRIVA)")</f>
        <v>ZYDUS (NUTRIVA)</v>
      </c>
    </row>
    <row r="3565" ht="16.5" customHeight="1">
      <c r="H3565" s="1" t="str">
        <f>IFERROR(__xludf.DUMMYFUNCTION("""COMPUTED_VALUE"""),"ZYDUS (OCCURE)")</f>
        <v>ZYDUS (OCCURE)</v>
      </c>
    </row>
    <row r="3566" ht="16.5" customHeight="1">
      <c r="H3566" s="1" t="str">
        <f>IFERROR(__xludf.DUMMYFUNCTION("""COMPUTED_VALUE"""),"ZYDUS (ONCOSCIENCES)")</f>
        <v>ZYDUS (ONCOSCIENCES)</v>
      </c>
    </row>
    <row r="3567" ht="16.5" customHeight="1">
      <c r="H3567" s="1" t="str">
        <f>IFERROR(__xludf.DUMMYFUNCTION("""COMPUTED_VALUE"""),"ZYDUS (OSTIVIA)")</f>
        <v>ZYDUS (OSTIVIA)</v>
      </c>
    </row>
    <row r="3568" ht="16.5" customHeight="1">
      <c r="H3568" s="1" t="str">
        <f>IFERROR(__xludf.DUMMYFUNCTION("""COMPUTED_VALUE"""),"ZYDUS (SYNOVIA)")</f>
        <v>ZYDUS (SYNOVIA)</v>
      </c>
    </row>
    <row r="3569" ht="16.5" customHeight="1">
      <c r="H3569" s="1" t="str">
        <f>IFERROR(__xludf.DUMMYFUNCTION("""COMPUTED_VALUE"""),"ZYDUS (UROSCIENCES)")</f>
        <v>ZYDUS (UROSCIENCES)</v>
      </c>
    </row>
    <row r="3570" ht="16.5" customHeight="1">
      <c r="H3570" s="1" t="str">
        <f>IFERROR(__xludf.DUMMYFUNCTION("""COMPUTED_VALUE"""),"ZYDUS ANIMAL HEALTHCARE LIMITED")</f>
        <v>ZYDUS ANIMAL HEALTHCARE LIMITED</v>
      </c>
    </row>
    <row r="3571" ht="16.5" customHeight="1">
      <c r="H3571" s="1" t="str">
        <f>IFERROR(__xludf.DUMMYFUNCTION("""COMPUTED_VALUE"""),"Zydus Cadila Healthcare")</f>
        <v>Zydus Cadila Healthcare</v>
      </c>
    </row>
    <row r="3572" ht="16.5" customHeight="1">
      <c r="H3572" s="1" t="str">
        <f>IFERROR(__xludf.DUMMYFUNCTION("""COMPUTED_VALUE"""),"ZYDUS WELLNESS LIMITED")</f>
        <v>ZYDUS WELLNESS LIMITED</v>
      </c>
    </row>
    <row r="3573" ht="16.5" customHeight="1">
      <c r="H3573" s="1" t="str">
        <f>IFERROR(__xludf.DUMMYFUNCTION("""COMPUTED_VALUE"""),"ZYLIG LIFESCIENCES")</f>
        <v>ZYLIG LIFESCIENCES</v>
      </c>
    </row>
    <row r="3574" ht="16.5" customHeight="1">
      <c r="H3574" s="1" t="str">
        <f>IFERROR(__xludf.DUMMYFUNCTION("""COMPUTED_VALUE"""),"ZYMES BIOSCIENCE PVT LTD")</f>
        <v>ZYMES BIOSCIENCE PVT LTD</v>
      </c>
    </row>
    <row r="3575" ht="16.5" customHeight="1">
      <c r="H3575" s="1" t="str">
        <f>IFERROR(__xludf.DUMMYFUNCTION("""COMPUTED_VALUE"""),"ZYNEXT PHARMA")</f>
        <v>ZYNEXT PHARMA</v>
      </c>
    </row>
    <row r="3576" ht="16.5" customHeight="1">
      <c r="H3576" s="1" t="str">
        <f>IFERROR(__xludf.DUMMYFUNCTION("""COMPUTED_VALUE"""),"ZYPHAR'S PHARMACEUTIC'S PVT LT")</f>
        <v>ZYPHAR'S PHARMACEUTIC'S PVT LT</v>
      </c>
    </row>
    <row r="3577" ht="16.5" customHeight="1">
      <c r="H3577" s="1"/>
    </row>
    <row r="3578" ht="16.5" customHeight="1">
      <c r="H3578" s="1"/>
    </row>
    <row r="3579" ht="16.5" customHeight="1">
      <c r="H3579" s="1"/>
    </row>
    <row r="3580" ht="16.5" customHeight="1">
      <c r="H3580" s="1"/>
    </row>
    <row r="3581" ht="16.5" customHeight="1">
      <c r="H3581" s="1"/>
    </row>
    <row r="3582" ht="16.5" customHeight="1">
      <c r="H3582" s="1"/>
    </row>
    <row r="3583" ht="16.5" customHeight="1">
      <c r="H3583" s="1"/>
    </row>
    <row r="3584" ht="16.5" customHeight="1">
      <c r="H3584" s="1"/>
    </row>
    <row r="3585" ht="16.5" customHeight="1">
      <c r="H3585" s="1"/>
    </row>
    <row r="3586" ht="16.5" customHeight="1">
      <c r="H3586" s="1"/>
    </row>
    <row r="3587" ht="16.5" customHeight="1">
      <c r="H3587" s="1"/>
    </row>
    <row r="3588" ht="16.5" customHeight="1">
      <c r="H3588" s="1"/>
    </row>
    <row r="3589" ht="16.5" customHeight="1">
      <c r="H3589" s="1"/>
    </row>
    <row r="3590" ht="16.5" customHeight="1">
      <c r="H3590" s="1"/>
    </row>
    <row r="3591" ht="16.5" customHeight="1">
      <c r="H3591" s="1"/>
    </row>
    <row r="3592" ht="16.5" customHeight="1">
      <c r="H3592" s="1"/>
    </row>
    <row r="3593" ht="16.5" customHeight="1">
      <c r="H3593" s="1"/>
    </row>
    <row r="3594" ht="16.5" customHeight="1">
      <c r="H3594" s="1"/>
    </row>
    <row r="3595" ht="16.5" customHeight="1">
      <c r="H3595" s="1"/>
    </row>
    <row r="3596" ht="16.5" customHeight="1">
      <c r="H3596" s="1"/>
    </row>
    <row r="3597" ht="16.5" customHeight="1">
      <c r="H3597" s="1"/>
    </row>
    <row r="3598" ht="16.5" customHeight="1">
      <c r="H3598" s="1"/>
    </row>
    <row r="3599" ht="16.5" customHeight="1">
      <c r="H3599" s="1"/>
    </row>
    <row r="3600" ht="16.5" customHeight="1">
      <c r="H3600" s="1"/>
    </row>
    <row r="3601" ht="16.5" customHeight="1">
      <c r="H3601" s="1"/>
    </row>
    <row r="3602" ht="16.5" customHeight="1">
      <c r="H3602" s="1"/>
    </row>
    <row r="3603" ht="16.5" customHeight="1">
      <c r="H3603" s="1"/>
    </row>
    <row r="3604" ht="16.5" customHeight="1">
      <c r="H3604" s="1"/>
    </row>
    <row r="3605" ht="16.5" customHeight="1">
      <c r="H3605" s="1"/>
    </row>
    <row r="3606" ht="16.5" customHeight="1">
      <c r="H3606" s="1"/>
    </row>
    <row r="3607" ht="16.5" customHeight="1">
      <c r="H3607" s="1"/>
    </row>
    <row r="3608" ht="16.5" customHeight="1">
      <c r="H3608" s="1"/>
    </row>
    <row r="3609" ht="16.5" customHeight="1">
      <c r="H3609" s="1"/>
    </row>
    <row r="3610" ht="16.5" customHeight="1">
      <c r="H3610" s="1"/>
    </row>
    <row r="3611" ht="16.5" customHeight="1">
      <c r="H3611" s="1"/>
    </row>
    <row r="3612" ht="16.5" customHeight="1">
      <c r="H3612" s="1"/>
    </row>
    <row r="3613" ht="16.5" customHeight="1">
      <c r="H3613" s="1"/>
    </row>
    <row r="3614" ht="16.5" customHeight="1">
      <c r="H3614" s="1"/>
    </row>
    <row r="3615" ht="16.5" customHeight="1">
      <c r="H3615" s="1"/>
    </row>
    <row r="3616" ht="16.5" customHeight="1">
      <c r="H3616" s="1"/>
    </row>
    <row r="3617" ht="16.5" customHeight="1">
      <c r="H3617" s="1"/>
    </row>
    <row r="3618" ht="16.5" customHeight="1">
      <c r="H3618" s="1"/>
    </row>
    <row r="3619" ht="16.5" customHeight="1">
      <c r="H3619" s="1"/>
    </row>
    <row r="3620" ht="16.5" customHeight="1">
      <c r="H3620" s="1"/>
    </row>
    <row r="3621" ht="16.5" customHeight="1">
      <c r="H3621" s="1"/>
    </row>
    <row r="3622" ht="16.5" customHeight="1">
      <c r="H3622" s="1"/>
    </row>
    <row r="3623" ht="16.5" customHeight="1">
      <c r="H3623" s="1"/>
    </row>
    <row r="3624" ht="16.5" customHeight="1">
      <c r="H3624" s="1"/>
    </row>
    <row r="3625" ht="16.5" customHeight="1">
      <c r="H3625" s="1"/>
    </row>
    <row r="3626" ht="16.5" customHeight="1">
      <c r="H3626" s="1"/>
    </row>
    <row r="3627" ht="16.5" customHeight="1">
      <c r="H3627" s="1"/>
    </row>
    <row r="3628" ht="16.5" customHeight="1">
      <c r="H3628" s="1"/>
    </row>
    <row r="3629" ht="16.5" customHeight="1">
      <c r="H3629" s="1"/>
    </row>
    <row r="3630" ht="16.5" customHeight="1">
      <c r="H3630" s="1"/>
    </row>
    <row r="3631" ht="16.5" customHeight="1">
      <c r="H3631" s="1"/>
    </row>
    <row r="3632" ht="16.5" customHeight="1">
      <c r="H3632" s="1"/>
    </row>
    <row r="3633" ht="16.5" customHeight="1">
      <c r="H3633" s="1"/>
    </row>
    <row r="3634" ht="16.5" customHeight="1">
      <c r="H3634" s="1"/>
    </row>
    <row r="3635" ht="16.5" customHeight="1">
      <c r="H3635" s="1"/>
    </row>
    <row r="3636" ht="16.5" customHeight="1">
      <c r="H3636" s="1"/>
    </row>
    <row r="3637" ht="16.5" customHeight="1">
      <c r="H3637" s="1"/>
    </row>
    <row r="3638" ht="16.5" customHeight="1">
      <c r="H3638" s="1"/>
    </row>
    <row r="3639" ht="16.5" customHeight="1">
      <c r="H3639" s="1"/>
    </row>
    <row r="3640" ht="16.5" customHeight="1">
      <c r="H3640" s="1"/>
    </row>
    <row r="3641" ht="16.5" customHeight="1">
      <c r="H3641" s="1"/>
    </row>
    <row r="3642" ht="16.5" customHeight="1">
      <c r="H3642" s="1"/>
    </row>
    <row r="3643" ht="16.5" customHeight="1">
      <c r="H3643" s="1"/>
    </row>
    <row r="3644" ht="16.5" customHeight="1">
      <c r="H3644" s="1"/>
    </row>
    <row r="3645" ht="16.5" customHeight="1">
      <c r="H3645" s="1"/>
    </row>
    <row r="3646" ht="16.5" customHeight="1">
      <c r="H3646" s="1"/>
    </row>
    <row r="3647" ht="16.5" customHeight="1">
      <c r="H3647" s="1"/>
    </row>
    <row r="3648" ht="16.5" customHeight="1">
      <c r="H3648" s="1"/>
    </row>
    <row r="3649" ht="16.5" customHeight="1">
      <c r="H3649" s="1"/>
    </row>
    <row r="3650" ht="16.5" customHeight="1">
      <c r="H3650" s="1"/>
    </row>
    <row r="3651" ht="16.5" customHeight="1">
      <c r="H3651" s="1"/>
    </row>
    <row r="3652" ht="16.5" customHeight="1">
      <c r="H3652" s="1"/>
    </row>
    <row r="3653" ht="16.5" customHeight="1">
      <c r="H3653" s="1"/>
    </row>
    <row r="3654" ht="16.5" customHeight="1">
      <c r="H3654" s="1"/>
    </row>
    <row r="3655" ht="16.5" customHeight="1">
      <c r="H3655" s="1"/>
    </row>
    <row r="3656" ht="16.5" customHeight="1">
      <c r="H3656" s="1"/>
    </row>
    <row r="3657" ht="16.5" customHeight="1">
      <c r="H3657" s="1"/>
    </row>
    <row r="3658" ht="16.5" customHeight="1">
      <c r="H3658" s="1"/>
    </row>
    <row r="3659" ht="16.5" customHeight="1">
      <c r="H3659" s="1"/>
    </row>
    <row r="3660" ht="16.5" customHeight="1">
      <c r="H3660" s="1"/>
    </row>
    <row r="3661" ht="16.5" customHeight="1">
      <c r="H3661" s="1"/>
    </row>
    <row r="3662" ht="16.5" customHeight="1">
      <c r="H3662" s="1"/>
    </row>
    <row r="3663" ht="16.5" customHeight="1">
      <c r="H3663" s="1"/>
    </row>
    <row r="3664" ht="16.5" customHeight="1">
      <c r="H3664" s="1"/>
    </row>
    <row r="3665" ht="16.5" customHeight="1">
      <c r="H3665" s="1"/>
    </row>
    <row r="3666" ht="16.5" customHeight="1">
      <c r="H3666" s="1"/>
    </row>
    <row r="3667" ht="16.5" customHeight="1">
      <c r="H3667" s="1"/>
    </row>
    <row r="3668" ht="16.5" customHeight="1">
      <c r="H3668" s="1"/>
    </row>
    <row r="3669" ht="16.5" customHeight="1">
      <c r="H3669" s="1"/>
    </row>
    <row r="3670" ht="16.5" customHeight="1">
      <c r="H3670" s="1"/>
    </row>
    <row r="3671" ht="16.5" customHeight="1">
      <c r="H3671" s="1"/>
    </row>
    <row r="3672" ht="16.5" customHeight="1">
      <c r="H3672" s="1"/>
    </row>
    <row r="3673" ht="16.5" customHeight="1">
      <c r="H3673" s="1"/>
    </row>
    <row r="3674" ht="16.5" customHeight="1">
      <c r="H3674" s="1"/>
    </row>
    <row r="3675" ht="16.5" customHeight="1">
      <c r="H3675" s="1"/>
    </row>
    <row r="3676" ht="16.5" customHeight="1">
      <c r="H3676" s="1"/>
    </row>
    <row r="3677" ht="16.5" customHeight="1">
      <c r="H3677" s="1"/>
    </row>
    <row r="3678" ht="16.5" customHeight="1">
      <c r="H3678" s="1"/>
    </row>
    <row r="3679" ht="16.5" customHeight="1">
      <c r="H3679" s="1"/>
    </row>
    <row r="3680" ht="16.5" customHeight="1">
      <c r="H3680" s="1"/>
    </row>
    <row r="3681" ht="16.5" customHeight="1">
      <c r="H3681" s="1"/>
    </row>
    <row r="3682" ht="16.5" customHeight="1">
      <c r="H3682" s="1"/>
    </row>
    <row r="3683" ht="16.5" customHeight="1">
      <c r="H3683" s="1"/>
    </row>
    <row r="3684" ht="16.5" customHeight="1">
      <c r="H3684" s="1"/>
    </row>
    <row r="3685" ht="16.5" customHeight="1">
      <c r="H3685" s="1"/>
    </row>
    <row r="3686" ht="16.5" customHeight="1">
      <c r="H3686" s="1"/>
    </row>
    <row r="3687" ht="16.5" customHeight="1">
      <c r="H3687" s="1"/>
    </row>
    <row r="3688" ht="16.5" customHeight="1">
      <c r="H3688" s="1"/>
    </row>
    <row r="3689" ht="16.5" customHeight="1">
      <c r="H3689" s="1"/>
    </row>
    <row r="3690" ht="16.5" customHeight="1">
      <c r="H3690" s="1"/>
    </row>
    <row r="3691" ht="16.5" customHeight="1">
      <c r="H3691" s="1"/>
    </row>
    <row r="3692" ht="16.5" customHeight="1">
      <c r="H3692" s="1"/>
    </row>
    <row r="3693" ht="16.5" customHeight="1">
      <c r="H3693" s="1"/>
    </row>
    <row r="3694" ht="16.5" customHeight="1">
      <c r="H3694" s="1"/>
    </row>
    <row r="3695" ht="16.5" customHeight="1">
      <c r="H3695" s="1"/>
    </row>
    <row r="3696" ht="16.5" customHeight="1">
      <c r="H3696" s="1"/>
    </row>
    <row r="3697" ht="16.5" customHeight="1">
      <c r="H3697" s="1"/>
    </row>
    <row r="3698" ht="16.5" customHeight="1">
      <c r="H3698" s="1"/>
    </row>
    <row r="3699" ht="16.5" customHeight="1">
      <c r="H3699" s="1"/>
    </row>
    <row r="3700" ht="16.5" customHeight="1">
      <c r="H3700" s="1"/>
    </row>
    <row r="3701" ht="16.5" customHeight="1">
      <c r="H3701" s="1"/>
    </row>
    <row r="3702" ht="16.5" customHeight="1">
      <c r="H3702" s="1"/>
    </row>
    <row r="3703" ht="16.5" customHeight="1">
      <c r="H3703" s="1"/>
    </row>
    <row r="3704" ht="16.5" customHeight="1">
      <c r="H3704" s="1"/>
    </row>
    <row r="3705" ht="16.5" customHeight="1">
      <c r="H3705" s="1"/>
    </row>
    <row r="3706" ht="16.5" customHeight="1">
      <c r="H3706" s="1"/>
    </row>
    <row r="3707" ht="16.5" customHeight="1">
      <c r="H3707" s="1"/>
    </row>
    <row r="3708" ht="16.5" customHeight="1">
      <c r="H3708" s="1"/>
    </row>
    <row r="3709" ht="16.5" customHeight="1">
      <c r="H3709" s="1"/>
    </row>
    <row r="3710" ht="16.5" customHeight="1">
      <c r="H3710" s="1"/>
    </row>
    <row r="3711" ht="16.5" customHeight="1">
      <c r="H3711" s="1"/>
    </row>
    <row r="3712" ht="16.5" customHeight="1">
      <c r="H3712" s="1"/>
    </row>
    <row r="3713" ht="16.5" customHeight="1">
      <c r="H3713" s="1"/>
    </row>
    <row r="3714" ht="16.5" customHeight="1">
      <c r="H3714" s="1"/>
    </row>
    <row r="3715" ht="16.5" customHeight="1">
      <c r="H3715" s="1"/>
    </row>
    <row r="3716" ht="16.5" customHeight="1">
      <c r="H3716" s="1"/>
    </row>
    <row r="3717" ht="16.5" customHeight="1">
      <c r="H3717" s="1"/>
    </row>
    <row r="3718" ht="16.5" customHeight="1">
      <c r="H3718" s="1"/>
    </row>
    <row r="3719" ht="16.5" customHeight="1">
      <c r="H3719" s="1"/>
    </row>
    <row r="3720" ht="16.5" customHeight="1">
      <c r="H3720" s="1"/>
    </row>
    <row r="3721" ht="16.5" customHeight="1">
      <c r="H3721" s="1"/>
    </row>
    <row r="3722" ht="16.5" customHeight="1">
      <c r="H3722" s="1"/>
    </row>
    <row r="3723" ht="16.5" customHeight="1">
      <c r="H3723" s="1"/>
    </row>
    <row r="3724" ht="16.5" customHeight="1">
      <c r="H3724" s="1"/>
    </row>
    <row r="3725" ht="16.5" customHeight="1">
      <c r="H3725" s="1"/>
    </row>
    <row r="3726" ht="16.5" customHeight="1">
      <c r="H3726" s="1"/>
    </row>
    <row r="3727" ht="16.5" customHeight="1">
      <c r="H3727" s="1"/>
    </row>
    <row r="3728" ht="16.5" customHeight="1">
      <c r="H3728" s="1"/>
    </row>
    <row r="3729" ht="16.5" customHeight="1">
      <c r="H3729" s="1"/>
    </row>
    <row r="3730" ht="16.5" customHeight="1">
      <c r="H3730" s="1"/>
    </row>
    <row r="3731" ht="16.5" customHeight="1">
      <c r="H3731" s="1"/>
    </row>
    <row r="3732" ht="16.5" customHeight="1">
      <c r="H3732" s="1"/>
    </row>
    <row r="3733" ht="16.5" customHeight="1">
      <c r="H3733" s="1"/>
    </row>
    <row r="3734" ht="16.5" customHeight="1">
      <c r="H3734" s="1"/>
    </row>
    <row r="3735" ht="16.5" customHeight="1">
      <c r="H3735" s="1"/>
    </row>
    <row r="3736" ht="16.5" customHeight="1">
      <c r="H3736" s="1"/>
    </row>
    <row r="3737" ht="16.5" customHeight="1">
      <c r="H3737" s="1"/>
    </row>
    <row r="3738" ht="16.5" customHeight="1">
      <c r="H3738" s="1"/>
    </row>
    <row r="3739" ht="16.5" customHeight="1">
      <c r="H3739" s="1"/>
    </row>
    <row r="3740" ht="16.5" customHeight="1">
      <c r="H3740" s="1"/>
    </row>
    <row r="3741" ht="16.5" customHeight="1">
      <c r="H3741" s="1"/>
    </row>
    <row r="3742" ht="16.5" customHeight="1">
      <c r="H3742" s="1"/>
    </row>
    <row r="3743" ht="16.5" customHeight="1">
      <c r="H3743" s="1"/>
    </row>
    <row r="3744" ht="16.5" customHeight="1">
      <c r="H3744" s="1"/>
    </row>
    <row r="3745" ht="16.5" customHeight="1">
      <c r="H3745" s="1"/>
    </row>
    <row r="3746" ht="16.5" customHeight="1">
      <c r="H3746" s="1"/>
    </row>
    <row r="3747" ht="16.5" customHeight="1">
      <c r="H3747" s="1"/>
    </row>
    <row r="3748" ht="16.5" customHeight="1">
      <c r="H3748" s="1"/>
    </row>
    <row r="3749" ht="16.5" customHeight="1">
      <c r="H3749" s="1"/>
    </row>
    <row r="3750" ht="16.5" customHeight="1">
      <c r="H3750" s="1"/>
    </row>
    <row r="3751" ht="16.5" customHeight="1">
      <c r="H3751" s="1"/>
    </row>
    <row r="3752" ht="16.5" customHeight="1">
      <c r="H3752" s="1"/>
    </row>
    <row r="3753" ht="16.5" customHeight="1">
      <c r="H3753" s="1"/>
    </row>
    <row r="3754" ht="16.5" customHeight="1">
      <c r="H3754" s="1"/>
    </row>
    <row r="3755" ht="16.5" customHeight="1">
      <c r="H3755" s="1"/>
    </row>
    <row r="3756" ht="16.5" customHeight="1">
      <c r="H3756" s="1"/>
    </row>
    <row r="3757" ht="16.5" customHeight="1">
      <c r="H3757" s="1"/>
    </row>
    <row r="3758" ht="16.5" customHeight="1">
      <c r="H3758" s="1"/>
    </row>
    <row r="3759" ht="16.5" customHeight="1">
      <c r="H3759" s="1"/>
    </row>
    <row r="3760" ht="16.5" customHeight="1">
      <c r="H3760" s="1"/>
    </row>
    <row r="3761" ht="16.5" customHeight="1">
      <c r="H3761" s="1"/>
    </row>
    <row r="3762" ht="16.5" customHeight="1">
      <c r="H3762" s="1"/>
    </row>
    <row r="3763" ht="16.5" customHeight="1">
      <c r="H3763" s="1"/>
    </row>
    <row r="3764" ht="16.5" customHeight="1">
      <c r="H3764" s="1"/>
    </row>
    <row r="3765" ht="16.5" customHeight="1">
      <c r="H3765" s="1"/>
    </row>
    <row r="3766" ht="16.5" customHeight="1">
      <c r="H3766" s="1"/>
    </row>
    <row r="3767" ht="16.5" customHeight="1">
      <c r="H3767" s="1"/>
    </row>
    <row r="3768" ht="16.5" customHeight="1">
      <c r="H3768" s="1"/>
    </row>
    <row r="3769" ht="16.5" customHeight="1">
      <c r="H3769" s="1"/>
    </row>
    <row r="3770" ht="16.5" customHeight="1">
      <c r="H3770" s="1"/>
    </row>
    <row r="3771" ht="16.5" customHeight="1">
      <c r="H3771" s="1"/>
    </row>
    <row r="3772" ht="16.5" customHeight="1">
      <c r="H3772" s="1"/>
    </row>
    <row r="3773" ht="16.5" customHeight="1">
      <c r="H3773" s="1"/>
    </row>
    <row r="3774" ht="16.5" customHeight="1">
      <c r="H3774" s="1"/>
    </row>
    <row r="3775" ht="16.5" customHeight="1">
      <c r="H3775" s="1"/>
    </row>
    <row r="3776" ht="16.5" customHeight="1">
      <c r="H3776" s="1"/>
    </row>
    <row r="3777" ht="16.5" customHeight="1">
      <c r="H3777" s="1"/>
    </row>
    <row r="3778" ht="16.5" customHeight="1">
      <c r="H3778" s="1"/>
    </row>
    <row r="3779" ht="16.5" customHeight="1">
      <c r="H3779" s="1"/>
    </row>
    <row r="3780" ht="16.5" customHeight="1">
      <c r="H3780" s="1"/>
    </row>
    <row r="3781" ht="16.5" customHeight="1">
      <c r="H3781" s="1"/>
    </row>
    <row r="3782" ht="16.5" customHeight="1">
      <c r="H3782" s="1"/>
    </row>
    <row r="3783" ht="16.5" customHeight="1">
      <c r="H3783" s="1"/>
    </row>
    <row r="3784" ht="16.5" customHeight="1">
      <c r="H3784" s="1"/>
    </row>
    <row r="3785" ht="16.5" customHeight="1">
      <c r="H3785" s="1"/>
    </row>
    <row r="3786" ht="16.5" customHeight="1">
      <c r="H3786" s="1"/>
    </row>
    <row r="3787" ht="16.5" customHeight="1">
      <c r="H3787" s="1"/>
    </row>
    <row r="3788" ht="16.5" customHeight="1">
      <c r="H3788" s="1"/>
    </row>
    <row r="3789" ht="16.5" customHeight="1">
      <c r="H3789" s="1"/>
    </row>
    <row r="3790" ht="16.5" customHeight="1">
      <c r="H3790" s="1"/>
    </row>
    <row r="3791" ht="16.5" customHeight="1">
      <c r="H3791" s="1"/>
    </row>
    <row r="3792" ht="16.5" customHeight="1">
      <c r="H3792" s="1"/>
    </row>
    <row r="3793" ht="16.5" customHeight="1">
      <c r="H3793" s="1"/>
    </row>
    <row r="3794" ht="16.5" customHeight="1">
      <c r="H3794" s="1"/>
    </row>
    <row r="3795" ht="16.5" customHeight="1">
      <c r="H3795" s="1"/>
    </row>
    <row r="3796" ht="16.5" customHeight="1">
      <c r="H3796" s="1"/>
    </row>
    <row r="3797" ht="16.5" customHeight="1">
      <c r="H3797" s="1"/>
    </row>
    <row r="3798" ht="16.5" customHeight="1">
      <c r="H3798" s="1"/>
    </row>
    <row r="3799" ht="16.5" customHeight="1">
      <c r="H3799" s="1"/>
    </row>
    <row r="3800" ht="16.5" customHeight="1">
      <c r="H3800" s="1"/>
    </row>
    <row r="3801" ht="16.5" customHeight="1">
      <c r="H3801" s="1"/>
    </row>
    <row r="3802" ht="16.5" customHeight="1">
      <c r="H3802" s="1"/>
    </row>
    <row r="3803" ht="16.5" customHeight="1">
      <c r="H3803" s="1"/>
    </row>
    <row r="3804" ht="16.5" customHeight="1">
      <c r="H3804" s="1"/>
    </row>
    <row r="3805" ht="16.5" customHeight="1">
      <c r="H3805" s="1"/>
    </row>
    <row r="3806" ht="16.5" customHeight="1">
      <c r="H3806" s="1"/>
    </row>
    <row r="3807" ht="16.5" customHeight="1">
      <c r="H3807" s="1"/>
    </row>
    <row r="3808" ht="16.5" customHeight="1">
      <c r="H3808" s="1"/>
    </row>
    <row r="3809" ht="16.5" customHeight="1">
      <c r="H3809" s="1"/>
    </row>
    <row r="3810" ht="16.5" customHeight="1">
      <c r="H3810" s="1"/>
    </row>
    <row r="3811" ht="16.5" customHeight="1">
      <c r="H3811" s="1"/>
    </row>
    <row r="3812" ht="16.5" customHeight="1">
      <c r="H3812" s="1"/>
    </row>
    <row r="3813" ht="16.5" customHeight="1">
      <c r="H3813" s="1"/>
    </row>
    <row r="3814" ht="16.5" customHeight="1">
      <c r="H3814" s="1"/>
    </row>
    <row r="3815" ht="16.5" customHeight="1">
      <c r="H3815" s="1"/>
    </row>
    <row r="3816" ht="16.5" customHeight="1">
      <c r="H3816" s="1"/>
    </row>
    <row r="3817" ht="16.5" customHeight="1">
      <c r="H3817" s="1"/>
    </row>
    <row r="3818" ht="16.5" customHeight="1">
      <c r="H3818" s="1"/>
    </row>
    <row r="3819" ht="16.5" customHeight="1">
      <c r="H3819" s="1"/>
    </row>
    <row r="3820" ht="16.5" customHeight="1">
      <c r="H3820" s="1"/>
    </row>
    <row r="3821" ht="16.5" customHeight="1">
      <c r="H3821" s="1"/>
    </row>
    <row r="3822" ht="16.5" customHeight="1">
      <c r="H3822" s="1"/>
    </row>
    <row r="3823" ht="16.5" customHeight="1">
      <c r="H3823" s="1"/>
    </row>
    <row r="3824" ht="16.5" customHeight="1">
      <c r="H3824" s="1"/>
    </row>
    <row r="3825" ht="16.5" customHeight="1">
      <c r="H3825" s="1"/>
    </row>
    <row r="3826" ht="16.5" customHeight="1">
      <c r="H3826" s="1"/>
    </row>
    <row r="3827" ht="16.5" customHeight="1">
      <c r="H3827" s="1"/>
    </row>
    <row r="3828" ht="16.5" customHeight="1">
      <c r="H3828" s="1"/>
    </row>
    <row r="3829" ht="16.5" customHeight="1">
      <c r="H3829" s="1"/>
    </row>
    <row r="3830" ht="16.5" customHeight="1">
      <c r="H3830" s="1"/>
    </row>
    <row r="3831" ht="16.5" customHeight="1">
      <c r="H3831" s="1"/>
    </row>
    <row r="3832" ht="16.5" customHeight="1">
      <c r="H3832" s="1"/>
    </row>
    <row r="3833" ht="16.5" customHeight="1">
      <c r="H3833" s="1"/>
    </row>
    <row r="3834" ht="16.5" customHeight="1">
      <c r="H3834" s="1"/>
    </row>
    <row r="3835" ht="16.5" customHeight="1">
      <c r="H3835" s="1"/>
    </row>
    <row r="3836" ht="16.5" customHeight="1">
      <c r="H3836" s="1"/>
    </row>
    <row r="3837" ht="16.5" customHeight="1">
      <c r="H3837" s="1"/>
    </row>
    <row r="3838" ht="16.5" customHeight="1">
      <c r="H3838" s="1"/>
    </row>
    <row r="3839" ht="16.5" customHeight="1">
      <c r="H3839" s="1"/>
    </row>
    <row r="3840" ht="16.5" customHeight="1">
      <c r="H3840" s="1"/>
    </row>
    <row r="3841" ht="16.5" customHeight="1">
      <c r="H3841" s="1"/>
    </row>
    <row r="3842" ht="16.5" customHeight="1">
      <c r="H3842" s="1"/>
    </row>
    <row r="3843" ht="16.5" customHeight="1">
      <c r="H3843" s="1"/>
    </row>
    <row r="3844" ht="16.5" customHeight="1">
      <c r="H3844" s="1"/>
    </row>
    <row r="3845" ht="16.5" customHeight="1">
      <c r="H3845" s="1"/>
    </row>
    <row r="3846" ht="16.5" customHeight="1">
      <c r="H3846" s="1"/>
    </row>
    <row r="3847" ht="16.5" customHeight="1">
      <c r="H3847" s="1"/>
    </row>
    <row r="3848" ht="16.5" customHeight="1">
      <c r="H3848" s="1"/>
    </row>
    <row r="3849" ht="16.5" customHeight="1">
      <c r="H3849" s="1"/>
    </row>
    <row r="3850" ht="16.5" customHeight="1">
      <c r="H3850" s="1"/>
    </row>
    <row r="3851" ht="16.5" customHeight="1">
      <c r="H3851" s="1"/>
    </row>
    <row r="3852" ht="16.5" customHeight="1">
      <c r="H3852" s="1"/>
    </row>
    <row r="3853" ht="16.5" customHeight="1">
      <c r="H3853" s="1"/>
    </row>
    <row r="3854" ht="16.5" customHeight="1">
      <c r="H3854" s="1"/>
    </row>
    <row r="3855" ht="16.5" customHeight="1">
      <c r="H3855" s="1"/>
    </row>
    <row r="3856" ht="16.5" customHeight="1">
      <c r="H3856" s="1"/>
    </row>
    <row r="3857" ht="16.5" customHeight="1">
      <c r="H3857" s="1"/>
    </row>
    <row r="3858" ht="16.5" customHeight="1">
      <c r="H3858" s="1"/>
    </row>
    <row r="3859" ht="16.5" customHeight="1">
      <c r="H3859" s="1"/>
    </row>
    <row r="3860" ht="16.5" customHeight="1">
      <c r="H3860" s="1"/>
    </row>
    <row r="3861" ht="16.5" customHeight="1">
      <c r="H3861" s="1"/>
    </row>
    <row r="3862" ht="16.5" customHeight="1">
      <c r="H3862" s="1"/>
    </row>
    <row r="3863" ht="16.5" customHeight="1">
      <c r="H3863" s="1"/>
    </row>
    <row r="3864" ht="16.5" customHeight="1">
      <c r="H3864" s="1"/>
    </row>
    <row r="3865" ht="16.5" customHeight="1">
      <c r="H3865" s="1"/>
    </row>
    <row r="3866" ht="16.5" customHeight="1">
      <c r="H3866" s="1"/>
    </row>
    <row r="3867" ht="16.5" customHeight="1">
      <c r="H3867" s="1"/>
    </row>
    <row r="3868" ht="16.5" customHeight="1">
      <c r="H3868" s="1"/>
    </row>
    <row r="3869" ht="16.5" customHeight="1">
      <c r="H3869" s="1"/>
    </row>
    <row r="3870" ht="16.5" customHeight="1">
      <c r="H3870" s="1"/>
    </row>
    <row r="3871" ht="16.5" customHeight="1">
      <c r="H3871" s="1"/>
    </row>
    <row r="3872" ht="16.5" customHeight="1">
      <c r="H3872" s="1"/>
    </row>
    <row r="3873" ht="16.5" customHeight="1">
      <c r="H3873" s="1"/>
    </row>
    <row r="3874" ht="16.5" customHeight="1">
      <c r="H3874" s="1"/>
    </row>
    <row r="3875" ht="16.5" customHeight="1">
      <c r="H3875" s="1"/>
    </row>
    <row r="3876" ht="16.5" customHeight="1">
      <c r="H3876" s="1"/>
    </row>
    <row r="3877" ht="16.5" customHeight="1">
      <c r="H3877" s="1"/>
    </row>
    <row r="3878" ht="16.5" customHeight="1">
      <c r="H3878" s="1"/>
    </row>
    <row r="3879" ht="16.5" customHeight="1">
      <c r="H3879" s="1"/>
    </row>
    <row r="3880" ht="16.5" customHeight="1">
      <c r="H3880" s="1"/>
    </row>
    <row r="3881" ht="16.5" customHeight="1">
      <c r="H3881" s="1"/>
    </row>
    <row r="3882" ht="16.5" customHeight="1">
      <c r="H3882" s="1"/>
    </row>
    <row r="3883" ht="16.5" customHeight="1">
      <c r="H3883" s="1"/>
    </row>
    <row r="3884" ht="16.5" customHeight="1">
      <c r="H3884" s="1"/>
    </row>
    <row r="3885" ht="16.5" customHeight="1">
      <c r="H3885" s="1"/>
    </row>
    <row r="3886" ht="16.5" customHeight="1">
      <c r="H3886" s="1"/>
    </row>
    <row r="3887" ht="16.5" customHeight="1">
      <c r="H3887" s="1"/>
    </row>
    <row r="3888" ht="16.5" customHeight="1">
      <c r="H3888" s="1"/>
    </row>
    <row r="3889" ht="16.5" customHeight="1">
      <c r="H3889" s="1"/>
    </row>
    <row r="3890" ht="16.5" customHeight="1">
      <c r="H3890" s="1"/>
    </row>
    <row r="3891" ht="16.5" customHeight="1">
      <c r="H3891" s="1"/>
    </row>
    <row r="3892" ht="16.5" customHeight="1">
      <c r="H3892" s="1"/>
    </row>
    <row r="3893" ht="16.5" customHeight="1">
      <c r="H3893" s="1"/>
    </row>
    <row r="3894" ht="16.5" customHeight="1">
      <c r="H3894" s="1"/>
    </row>
    <row r="3895" ht="16.5" customHeight="1">
      <c r="H3895" s="1"/>
    </row>
    <row r="3896" ht="16.5" customHeight="1">
      <c r="H3896" s="1"/>
    </row>
    <row r="3897" ht="16.5" customHeight="1">
      <c r="H3897" s="1"/>
    </row>
    <row r="3898" ht="16.5" customHeight="1">
      <c r="H3898" s="1"/>
    </row>
    <row r="3899" ht="16.5" customHeight="1">
      <c r="H3899" s="1"/>
    </row>
    <row r="3900" ht="16.5" customHeight="1">
      <c r="H3900" s="1"/>
    </row>
    <row r="3901" ht="16.5" customHeight="1">
      <c r="H3901" s="1"/>
    </row>
    <row r="3902" ht="16.5" customHeight="1">
      <c r="H3902" s="1"/>
    </row>
    <row r="3903" ht="16.5" customHeight="1">
      <c r="H3903" s="1"/>
    </row>
    <row r="3904" ht="16.5" customHeight="1">
      <c r="H3904" s="1"/>
    </row>
    <row r="3905" ht="16.5" customHeight="1">
      <c r="H3905" s="1"/>
    </row>
    <row r="3906" ht="16.5" customHeight="1">
      <c r="H3906" s="1"/>
    </row>
    <row r="3907" ht="16.5" customHeight="1">
      <c r="H3907" s="1"/>
    </row>
    <row r="3908" ht="16.5" customHeight="1">
      <c r="H3908" s="1"/>
    </row>
    <row r="3909" ht="16.5" customHeight="1">
      <c r="H3909" s="1"/>
    </row>
    <row r="3910" ht="16.5" customHeight="1">
      <c r="H3910" s="1"/>
    </row>
    <row r="3911" ht="16.5" customHeight="1">
      <c r="H3911" s="1"/>
    </row>
    <row r="3912" ht="16.5" customHeight="1">
      <c r="H3912" s="1"/>
    </row>
    <row r="3913" ht="16.5" customHeight="1">
      <c r="H3913" s="1"/>
    </row>
    <row r="3914" ht="16.5" customHeight="1">
      <c r="H3914" s="1"/>
    </row>
    <row r="3915" ht="16.5" customHeight="1">
      <c r="H3915" s="1"/>
    </row>
    <row r="3916" ht="16.5" customHeight="1">
      <c r="H3916" s="1"/>
    </row>
    <row r="3917" ht="16.5" customHeight="1">
      <c r="H3917" s="1"/>
    </row>
    <row r="3918" ht="16.5" customHeight="1">
      <c r="H3918" s="1"/>
    </row>
    <row r="3919" ht="16.5" customHeight="1">
      <c r="H3919" s="1"/>
    </row>
    <row r="3920" ht="16.5" customHeight="1">
      <c r="H3920" s="1"/>
    </row>
    <row r="3921" ht="16.5" customHeight="1">
      <c r="H3921" s="1"/>
    </row>
    <row r="3922" ht="16.5" customHeight="1">
      <c r="H3922" s="1"/>
    </row>
    <row r="3923" ht="16.5" customHeight="1">
      <c r="H3923" s="1"/>
    </row>
    <row r="3924" ht="16.5" customHeight="1">
      <c r="H3924" s="1"/>
    </row>
    <row r="3925" ht="16.5" customHeight="1">
      <c r="H3925" s="1"/>
    </row>
    <row r="3926" ht="16.5" customHeight="1">
      <c r="H3926" s="1"/>
    </row>
    <row r="3927" ht="16.5" customHeight="1">
      <c r="H3927" s="1"/>
    </row>
    <row r="3928" ht="16.5" customHeight="1">
      <c r="H3928" s="1"/>
    </row>
    <row r="3929" ht="16.5" customHeight="1">
      <c r="H3929" s="1"/>
    </row>
    <row r="3930" ht="16.5" customHeight="1">
      <c r="H3930" s="1"/>
    </row>
    <row r="3931" ht="16.5" customHeight="1">
      <c r="H3931" s="1"/>
    </row>
    <row r="3932" ht="16.5" customHeight="1">
      <c r="H3932" s="1"/>
    </row>
    <row r="3933" ht="16.5" customHeight="1">
      <c r="H3933" s="1"/>
    </row>
    <row r="3934" ht="16.5" customHeight="1">
      <c r="H3934" s="1"/>
    </row>
    <row r="3935" ht="16.5" customHeight="1">
      <c r="H3935" s="1"/>
    </row>
    <row r="3936" ht="16.5" customHeight="1">
      <c r="H3936" s="1"/>
    </row>
    <row r="3937" ht="16.5" customHeight="1">
      <c r="H3937" s="1"/>
    </row>
    <row r="3938" ht="16.5" customHeight="1">
      <c r="H3938" s="1"/>
    </row>
    <row r="3939" ht="16.5" customHeight="1">
      <c r="H3939" s="1"/>
    </row>
    <row r="3940" ht="16.5" customHeight="1">
      <c r="H3940" s="1"/>
    </row>
    <row r="3941" ht="16.5" customHeight="1">
      <c r="H3941" s="1"/>
    </row>
    <row r="3942" ht="16.5" customHeight="1">
      <c r="H3942" s="1"/>
    </row>
    <row r="3943" ht="16.5" customHeight="1">
      <c r="H3943" s="1"/>
    </row>
    <row r="3944" ht="16.5" customHeight="1">
      <c r="H3944" s="1"/>
    </row>
    <row r="3945" ht="16.5" customHeight="1">
      <c r="H3945" s="1"/>
    </row>
    <row r="3946" ht="16.5" customHeight="1">
      <c r="H3946" s="1"/>
    </row>
    <row r="3947" ht="16.5" customHeight="1">
      <c r="H3947" s="1"/>
    </row>
    <row r="3948" ht="16.5" customHeight="1">
      <c r="H3948" s="1"/>
    </row>
    <row r="3949" ht="16.5" customHeight="1">
      <c r="H3949" s="1"/>
    </row>
    <row r="3950" ht="16.5" customHeight="1">
      <c r="H3950" s="1"/>
    </row>
    <row r="3951" ht="16.5" customHeight="1">
      <c r="H3951" s="1"/>
    </row>
    <row r="3952" ht="16.5" customHeight="1">
      <c r="H3952" s="1"/>
    </row>
    <row r="3953" ht="16.5" customHeight="1">
      <c r="H3953" s="1"/>
    </row>
    <row r="3954" ht="16.5" customHeight="1">
      <c r="H3954" s="1"/>
    </row>
    <row r="3955" ht="16.5" customHeight="1">
      <c r="H3955" s="1"/>
    </row>
    <row r="3956" ht="16.5" customHeight="1">
      <c r="H3956" s="1"/>
    </row>
    <row r="3957" ht="16.5" customHeight="1">
      <c r="H3957" s="1"/>
    </row>
    <row r="3958" ht="16.5" customHeight="1">
      <c r="H3958" s="1"/>
    </row>
    <row r="3959" ht="16.5" customHeight="1">
      <c r="H3959" s="1"/>
    </row>
    <row r="3960" ht="16.5" customHeight="1">
      <c r="H3960" s="1"/>
    </row>
    <row r="3961" ht="16.5" customHeight="1">
      <c r="H3961" s="1"/>
    </row>
    <row r="3962" ht="16.5" customHeight="1">
      <c r="H3962" s="1"/>
    </row>
    <row r="3963" ht="16.5" customHeight="1">
      <c r="H3963" s="1"/>
    </row>
    <row r="3964" ht="16.5" customHeight="1">
      <c r="H3964" s="1"/>
    </row>
    <row r="3965" ht="16.5" customHeight="1">
      <c r="H3965" s="1"/>
    </row>
    <row r="3966" ht="16.5" customHeight="1">
      <c r="H3966" s="1"/>
    </row>
    <row r="3967" ht="16.5" customHeight="1">
      <c r="H3967" s="1"/>
    </row>
    <row r="3968" ht="16.5" customHeight="1">
      <c r="H3968" s="1"/>
    </row>
    <row r="3969" ht="16.5" customHeight="1">
      <c r="H3969" s="1"/>
    </row>
    <row r="3970" ht="16.5" customHeight="1">
      <c r="H3970" s="1"/>
    </row>
    <row r="3971" ht="16.5" customHeight="1">
      <c r="H3971" s="1"/>
    </row>
    <row r="3972" ht="16.5" customHeight="1">
      <c r="H3972" s="1"/>
    </row>
    <row r="3973" ht="16.5" customHeight="1">
      <c r="H3973" s="1"/>
    </row>
    <row r="3974" ht="16.5" customHeight="1">
      <c r="H3974" s="1"/>
    </row>
    <row r="3975" ht="16.5" customHeight="1">
      <c r="H3975" s="1"/>
    </row>
    <row r="3976" ht="16.5" customHeight="1">
      <c r="H3976" s="1"/>
    </row>
    <row r="3977" ht="16.5" customHeight="1">
      <c r="H3977" s="1"/>
    </row>
    <row r="3978" ht="16.5" customHeight="1">
      <c r="H3978" s="1"/>
    </row>
    <row r="3979" ht="16.5" customHeight="1">
      <c r="H3979" s="1"/>
    </row>
    <row r="3980" ht="16.5" customHeight="1">
      <c r="H3980" s="1"/>
    </row>
    <row r="3981" ht="16.5" customHeight="1">
      <c r="H3981" s="1"/>
    </row>
    <row r="3982" ht="16.5" customHeight="1">
      <c r="H3982" s="1"/>
    </row>
    <row r="3983" ht="16.5" customHeight="1">
      <c r="H3983" s="1"/>
    </row>
    <row r="3984" ht="16.5" customHeight="1">
      <c r="H3984" s="1"/>
    </row>
    <row r="3985" ht="16.5" customHeight="1">
      <c r="H3985" s="1"/>
    </row>
    <row r="3986" ht="16.5" customHeight="1">
      <c r="H3986" s="1"/>
    </row>
    <row r="3987" ht="16.5" customHeight="1">
      <c r="H3987" s="1"/>
    </row>
    <row r="3988" ht="16.5" customHeight="1">
      <c r="H3988" s="1"/>
    </row>
    <row r="3989" ht="16.5" customHeight="1">
      <c r="H3989" s="1"/>
    </row>
    <row r="3990" ht="16.5" customHeight="1">
      <c r="H3990" s="1"/>
    </row>
    <row r="3991" ht="16.5" customHeight="1">
      <c r="H3991" s="1"/>
    </row>
    <row r="3992" ht="16.5" customHeight="1">
      <c r="H3992" s="1"/>
    </row>
    <row r="3993" ht="16.5" customHeight="1">
      <c r="H3993" s="1"/>
    </row>
    <row r="3994" ht="16.5" customHeight="1">
      <c r="H3994" s="1"/>
    </row>
    <row r="3995" ht="16.5" customHeight="1">
      <c r="H3995" s="1"/>
    </row>
    <row r="3996" ht="16.5" customHeight="1">
      <c r="H3996" s="1"/>
    </row>
    <row r="3997" ht="16.5" customHeight="1">
      <c r="H3997" s="1"/>
    </row>
    <row r="3998" ht="16.5" customHeight="1">
      <c r="H3998" s="1"/>
    </row>
    <row r="3999" ht="16.5" customHeight="1">
      <c r="H3999" s="1"/>
    </row>
    <row r="4000" ht="16.5" customHeight="1">
      <c r="H4000" s="1"/>
    </row>
    <row r="4001" ht="16.5" customHeight="1">
      <c r="H4001" s="1"/>
    </row>
    <row r="4002" ht="16.5" customHeight="1">
      <c r="H4002" s="1"/>
    </row>
    <row r="4003" ht="16.5" customHeight="1">
      <c r="H4003" s="1"/>
    </row>
    <row r="4004" ht="16.5" customHeight="1">
      <c r="H4004" s="1"/>
    </row>
    <row r="4005" ht="16.5" customHeight="1">
      <c r="H4005" s="1"/>
    </row>
    <row r="4006" ht="16.5" customHeight="1">
      <c r="H4006" s="1"/>
    </row>
    <row r="4007" ht="16.5" customHeight="1">
      <c r="H4007" s="1"/>
    </row>
    <row r="4008" ht="16.5" customHeight="1">
      <c r="H4008" s="1"/>
    </row>
    <row r="4009" ht="16.5" customHeight="1">
      <c r="H4009" s="1"/>
    </row>
    <row r="4010" ht="16.5" customHeight="1">
      <c r="H4010" s="1"/>
    </row>
    <row r="4011" ht="16.5" customHeight="1">
      <c r="H4011" s="1"/>
    </row>
    <row r="4012" ht="16.5" customHeight="1">
      <c r="H4012" s="1"/>
    </row>
    <row r="4013" ht="16.5" customHeight="1">
      <c r="H4013" s="1"/>
    </row>
    <row r="4014" ht="16.5" customHeight="1">
      <c r="H4014" s="1"/>
    </row>
    <row r="4015" ht="16.5" customHeight="1">
      <c r="H4015" s="1"/>
    </row>
    <row r="4016" ht="16.5" customHeight="1">
      <c r="H4016" s="1"/>
    </row>
    <row r="4017" ht="16.5" customHeight="1">
      <c r="H4017" s="1"/>
    </row>
    <row r="4018" ht="16.5" customHeight="1">
      <c r="H4018" s="1"/>
    </row>
    <row r="4019" ht="16.5" customHeight="1">
      <c r="H4019" s="1"/>
    </row>
    <row r="4020" ht="16.5" customHeight="1">
      <c r="H4020" s="1"/>
    </row>
    <row r="4021" ht="16.5" customHeight="1">
      <c r="H4021" s="1"/>
    </row>
    <row r="4022" ht="16.5" customHeight="1">
      <c r="H4022" s="1"/>
    </row>
    <row r="4023" ht="16.5" customHeight="1">
      <c r="H4023" s="1"/>
    </row>
    <row r="4024" ht="16.5" customHeight="1">
      <c r="H4024" s="1"/>
    </row>
    <row r="4025" ht="16.5" customHeight="1">
      <c r="H4025" s="1"/>
    </row>
    <row r="4026" ht="16.5" customHeight="1">
      <c r="H4026" s="1"/>
    </row>
    <row r="4027" ht="16.5" customHeight="1">
      <c r="H4027" s="1"/>
    </row>
    <row r="4028" ht="16.5" customHeight="1">
      <c r="H4028" s="1"/>
    </row>
    <row r="4029" ht="16.5" customHeight="1">
      <c r="H4029" s="1"/>
    </row>
    <row r="4030" ht="16.5" customHeight="1">
      <c r="H4030" s="1"/>
    </row>
    <row r="4031" ht="16.5" customHeight="1">
      <c r="H4031" s="1"/>
    </row>
    <row r="4032" ht="16.5" customHeight="1">
      <c r="H4032" s="1"/>
    </row>
    <row r="4033" ht="16.5" customHeight="1">
      <c r="H4033" s="1"/>
    </row>
    <row r="4034" ht="16.5" customHeight="1">
      <c r="H4034" s="1"/>
    </row>
    <row r="4035" ht="16.5" customHeight="1">
      <c r="H4035" s="1"/>
    </row>
    <row r="4036" ht="16.5" customHeight="1">
      <c r="H4036" s="1"/>
    </row>
    <row r="4037" ht="16.5" customHeight="1">
      <c r="H4037" s="1"/>
    </row>
    <row r="4038" ht="16.5" customHeight="1">
      <c r="H4038" s="1"/>
    </row>
    <row r="4039" ht="16.5" customHeight="1">
      <c r="H4039" s="1"/>
    </row>
    <row r="4040" ht="16.5" customHeight="1">
      <c r="H4040" s="1"/>
    </row>
    <row r="4041" ht="16.5" customHeight="1">
      <c r="H4041" s="1"/>
    </row>
    <row r="4042" ht="16.5" customHeight="1">
      <c r="H4042" s="1"/>
    </row>
    <row r="4043" ht="16.5" customHeight="1">
      <c r="H4043" s="1"/>
    </row>
    <row r="4044" ht="16.5" customHeight="1">
      <c r="H4044" s="1"/>
    </row>
    <row r="4045" ht="16.5" customHeight="1">
      <c r="H4045" s="1"/>
    </row>
    <row r="4046" ht="16.5" customHeight="1">
      <c r="H4046" s="1"/>
    </row>
    <row r="4047" ht="16.5" customHeight="1">
      <c r="H4047" s="1"/>
    </row>
    <row r="4048" ht="16.5" customHeight="1">
      <c r="H4048" s="1"/>
    </row>
    <row r="4049" ht="16.5" customHeight="1">
      <c r="H4049" s="1"/>
    </row>
    <row r="4050" ht="16.5" customHeight="1">
      <c r="H4050" s="1"/>
    </row>
    <row r="4051" ht="16.5" customHeight="1">
      <c r="H4051" s="1"/>
    </row>
    <row r="4052" ht="16.5" customHeight="1">
      <c r="H4052" s="1"/>
    </row>
    <row r="4053" ht="16.5" customHeight="1">
      <c r="H4053" s="1"/>
    </row>
    <row r="4054" ht="16.5" customHeight="1">
      <c r="H4054" s="1"/>
    </row>
    <row r="4055" ht="16.5" customHeight="1">
      <c r="H4055" s="1"/>
    </row>
    <row r="4056" ht="16.5" customHeight="1">
      <c r="H4056" s="1"/>
    </row>
    <row r="4057" ht="16.5" customHeight="1">
      <c r="H4057" s="1"/>
    </row>
    <row r="4058" ht="16.5" customHeight="1">
      <c r="H4058" s="1"/>
    </row>
    <row r="4059" ht="16.5" customHeight="1">
      <c r="H4059" s="1"/>
    </row>
    <row r="4060" ht="16.5" customHeight="1">
      <c r="H4060" s="1"/>
    </row>
    <row r="4061" ht="16.5" customHeight="1">
      <c r="H4061" s="1"/>
    </row>
    <row r="4062" ht="16.5" customHeight="1">
      <c r="H4062" s="1"/>
    </row>
    <row r="4063" ht="16.5" customHeight="1">
      <c r="H4063" s="1"/>
    </row>
    <row r="4064" ht="16.5" customHeight="1">
      <c r="H4064" s="1"/>
    </row>
    <row r="4065" ht="16.5" customHeight="1">
      <c r="H4065" s="1"/>
    </row>
    <row r="4066" ht="16.5" customHeight="1">
      <c r="H4066" s="1"/>
    </row>
    <row r="4067" ht="16.5" customHeight="1">
      <c r="H4067" s="1"/>
    </row>
    <row r="4068" ht="16.5" customHeight="1">
      <c r="H4068" s="1"/>
    </row>
    <row r="4069" ht="16.5" customHeight="1">
      <c r="H4069" s="1"/>
    </row>
    <row r="4070" ht="16.5" customHeight="1">
      <c r="H4070" s="1"/>
    </row>
    <row r="4071" ht="16.5" customHeight="1">
      <c r="H4071" s="1"/>
    </row>
    <row r="4072" ht="16.5" customHeight="1">
      <c r="H4072" s="1"/>
    </row>
    <row r="4073" ht="16.5" customHeight="1">
      <c r="H4073" s="1"/>
    </row>
    <row r="4074" ht="16.5" customHeight="1">
      <c r="H4074" s="1"/>
    </row>
    <row r="4075" ht="16.5" customHeight="1">
      <c r="H4075" s="1"/>
    </row>
  </sheetData>
  <dataValidations>
    <dataValidation type="list" allowBlank="1" showErrorMessage="1" sqref="C2:C32">
      <formula1>$H:$H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25"/>
    <col customWidth="1" min="2" max="2" width="31.25"/>
    <col customWidth="1" min="3" max="3" width="36.13"/>
  </cols>
  <sheetData>
    <row r="1" ht="16.5" customHeight="1">
      <c r="A1" s="1" t="s">
        <v>4514</v>
      </c>
      <c r="B1" s="1" t="s">
        <v>1</v>
      </c>
      <c r="H1" s="3" t="str">
        <f>IFERROR(__xludf.DUMMYFUNCTION("IMPORTRANGE(""https://docs.google.com/spreadsheets/d/13fmL9rbANJuexGHEpy4hkZt2UNEZTVzm-819RIp1fCQ"",""Cities!a4:a"")"),"3 CUBE HEALTHCARE")</f>
        <v>3 CUBE HEALTHCARE</v>
      </c>
    </row>
    <row r="2" ht="16.5" customHeight="1">
      <c r="A2" s="1">
        <v>521.0</v>
      </c>
      <c r="B2" s="1" t="s">
        <v>1181</v>
      </c>
      <c r="C2" s="1" t="s">
        <v>1181</v>
      </c>
      <c r="H2" s="1" t="str">
        <f>IFERROR(__xludf.DUMMYFUNCTION("""COMPUTED_VALUE"""),"3M INDIA LTD")</f>
        <v>3M INDIA LTD</v>
      </c>
    </row>
    <row r="3" ht="16.5" customHeight="1">
      <c r="A3" s="1">
        <v>334.0</v>
      </c>
      <c r="B3" s="1" t="s">
        <v>700</v>
      </c>
      <c r="C3" s="1" t="s">
        <v>700</v>
      </c>
      <c r="H3" s="1" t="str">
        <f>IFERROR(__xludf.DUMMYFUNCTION("""COMPUTED_VALUE"""),"6IPAIN HEALTHCARE")</f>
        <v>6IPAIN HEALTHCARE</v>
      </c>
    </row>
    <row r="4" ht="16.5" customHeight="1">
      <c r="A4" s="1">
        <v>330.0</v>
      </c>
      <c r="B4" s="1" t="s">
        <v>451</v>
      </c>
      <c r="C4" s="10" t="s">
        <v>451</v>
      </c>
      <c r="H4" s="1" t="str">
        <f>IFERROR(__xludf.DUMMYFUNCTION("""COMPUTED_VALUE"""),"A3A PHARMACEUTICAL")</f>
        <v>A3A PHARMACEUTICAL</v>
      </c>
    </row>
    <row r="5" ht="16.5" customHeight="1">
      <c r="A5" s="1">
        <v>317.0</v>
      </c>
      <c r="B5" s="1" t="s">
        <v>1784</v>
      </c>
      <c r="C5" s="10" t="s">
        <v>1784</v>
      </c>
      <c r="H5" s="1" t="str">
        <f>IFERROR(__xludf.DUMMYFUNCTION("""COMPUTED_VALUE"""),"AAA PHARMATRADE PVT LTD")</f>
        <v>AAA PHARMATRADE PVT LTD</v>
      </c>
    </row>
    <row r="6" ht="16.5" customHeight="1">
      <c r="A6" s="1">
        <v>134.0</v>
      </c>
      <c r="B6" s="1" t="s">
        <v>158</v>
      </c>
      <c r="C6" s="1" t="s">
        <v>158</v>
      </c>
      <c r="H6" s="1" t="str">
        <f>IFERROR(__xludf.DUMMYFUNCTION("""COMPUTED_VALUE"""),"AACER HEALTHCARE")</f>
        <v>AACER HEALTHCARE</v>
      </c>
    </row>
    <row r="7" ht="16.5" customHeight="1">
      <c r="A7" s="1">
        <v>128.0</v>
      </c>
      <c r="B7" s="1" t="s">
        <v>4538</v>
      </c>
      <c r="C7" s="10" t="s">
        <v>263</v>
      </c>
      <c r="H7" s="1" t="str">
        <f>IFERROR(__xludf.DUMMYFUNCTION("""COMPUTED_VALUE"""),"AAGATHA BIONLAB")</f>
        <v>AAGATHA BIONLAB</v>
      </c>
    </row>
    <row r="8" ht="16.5" customHeight="1">
      <c r="A8" s="1">
        <v>121.0</v>
      </c>
      <c r="B8" s="1" t="s">
        <v>2131</v>
      </c>
      <c r="C8" s="1" t="s">
        <v>2131</v>
      </c>
      <c r="H8" s="1" t="str">
        <f>IFERROR(__xludf.DUMMYFUNCTION("""COMPUTED_VALUE"""),"AALTRAMED HEALTH CARE LIMITED")</f>
        <v>AALTRAMED HEALTH CARE LIMITED</v>
      </c>
    </row>
    <row r="9" ht="16.5" customHeight="1">
      <c r="A9" s="1">
        <v>112.0</v>
      </c>
      <c r="B9" s="1" t="s">
        <v>1667</v>
      </c>
      <c r="C9" s="1" t="s">
        <v>1667</v>
      </c>
      <c r="H9" s="1" t="str">
        <f>IFERROR(__xludf.DUMMYFUNCTION("""COMPUTED_VALUE"""),"AARAV PHARMACEUTICALS")</f>
        <v>AARAV PHARMACEUTICALS</v>
      </c>
    </row>
    <row r="10" ht="16.5" customHeight="1">
      <c r="A10" s="1">
        <v>109.0</v>
      </c>
      <c r="B10" s="1" t="s">
        <v>4539</v>
      </c>
      <c r="C10" s="10" t="s">
        <v>1081</v>
      </c>
      <c r="H10" s="1" t="str">
        <f>IFERROR(__xludf.DUMMYFUNCTION("""COMPUTED_VALUE"""),"AARIN LIFE SCIENCE")</f>
        <v>AARIN LIFE SCIENCE</v>
      </c>
    </row>
    <row r="11" ht="16.5" customHeight="1">
      <c r="A11" s="1">
        <v>95.0</v>
      </c>
      <c r="B11" s="1" t="s">
        <v>2035</v>
      </c>
      <c r="C11" s="10" t="s">
        <v>2035</v>
      </c>
      <c r="H11" s="1" t="str">
        <f>IFERROR(__xludf.DUMMYFUNCTION("""COMPUTED_VALUE"""),"AARTI LIFESCIENCES")</f>
        <v>AARTI LIFESCIENCES</v>
      </c>
    </row>
    <row r="12" ht="16.5" customHeight="1">
      <c r="A12" s="1">
        <v>94.0</v>
      </c>
      <c r="B12" s="1" t="s">
        <v>1592</v>
      </c>
      <c r="C12" s="1" t="s">
        <v>1592</v>
      </c>
      <c r="H12" s="1" t="str">
        <f>IFERROR(__xludf.DUMMYFUNCTION("""COMPUTED_VALUE"""),"AASHI REMEDIES")</f>
        <v>AASHI REMEDIES</v>
      </c>
    </row>
    <row r="13" ht="16.5" customHeight="1">
      <c r="A13" s="1">
        <v>94.0</v>
      </c>
      <c r="B13" s="1" t="s">
        <v>4540</v>
      </c>
      <c r="C13" s="10" t="s">
        <v>984</v>
      </c>
      <c r="H13" s="1" t="str">
        <f>IFERROR(__xludf.DUMMYFUNCTION("""COMPUTED_VALUE"""),"ABARIS HEALTHCARE")</f>
        <v>ABARIS HEALTHCARE</v>
      </c>
    </row>
    <row r="14" ht="16.5" customHeight="1">
      <c r="A14" s="1">
        <v>81.0</v>
      </c>
      <c r="B14" s="1" t="s">
        <v>4541</v>
      </c>
      <c r="C14" s="10" t="s">
        <v>66</v>
      </c>
      <c r="H14" s="1" t="str">
        <f>IFERROR(__xludf.DUMMYFUNCTION("""COMPUTED_VALUE"""),"ABARIS HEALTHCARE
")</f>
        <v>ABARIS HEALTHCARE
</v>
      </c>
    </row>
    <row r="15" ht="16.5" customHeight="1">
      <c r="A15" s="1">
        <v>70.0</v>
      </c>
      <c r="B15" s="1" t="s">
        <v>2249</v>
      </c>
      <c r="C15" s="1" t="s">
        <v>2249</v>
      </c>
      <c r="H15" s="1" t="str">
        <f>IFERROR(__xludf.DUMMYFUNCTION("""COMPUTED_VALUE"""),"ABBEY DRUGS P LTD")</f>
        <v>ABBEY DRUGS P LTD</v>
      </c>
    </row>
    <row r="16" ht="16.5" customHeight="1">
      <c r="A16" s="1">
        <v>60.0</v>
      </c>
      <c r="B16" s="1" t="s">
        <v>392</v>
      </c>
      <c r="C16" s="10" t="s">
        <v>392</v>
      </c>
      <c r="H16" s="1" t="str">
        <f>IFERROR(__xludf.DUMMYFUNCTION("""COMPUTED_VALUE"""),"ABBOTT (CONSUMER)")</f>
        <v>ABBOTT (CONSUMER)</v>
      </c>
    </row>
    <row r="17" ht="16.5" customHeight="1">
      <c r="A17" s="1">
        <v>33.0</v>
      </c>
      <c r="B17" s="1" t="s">
        <v>32</v>
      </c>
      <c r="C17" s="1" t="s">
        <v>32</v>
      </c>
      <c r="H17" s="1" t="str">
        <f>IFERROR(__xludf.DUMMYFUNCTION("""COMPUTED_VALUE"""),"ABBOTT (COVID)")</f>
        <v>ABBOTT (COVID)</v>
      </c>
    </row>
    <row r="18" ht="16.5" customHeight="1">
      <c r="A18" s="1">
        <v>29.0</v>
      </c>
      <c r="B18" s="1" t="s">
        <v>1754</v>
      </c>
      <c r="C18" s="1" t="s">
        <v>1754</v>
      </c>
      <c r="H18" s="1" t="str">
        <f>IFERROR(__xludf.DUMMYFUNCTION("""COMPUTED_VALUE"""),"ABBOTT (CRITICAL CARE)")</f>
        <v>ABBOTT (CRITICAL CARE)</v>
      </c>
    </row>
    <row r="19" ht="16.5" customHeight="1">
      <c r="A19" s="1">
        <v>27.0</v>
      </c>
      <c r="B19" s="1" t="s">
        <v>130</v>
      </c>
      <c r="C19" s="1" t="s">
        <v>130</v>
      </c>
      <c r="H19" s="1" t="str">
        <f>IFERROR(__xludf.DUMMYFUNCTION("""COMPUTED_VALUE"""),"ABBOTT (DIABETES)")</f>
        <v>ABBOTT (DIABETES)</v>
      </c>
    </row>
    <row r="20" ht="16.5" customHeight="1">
      <c r="A20" s="1">
        <v>27.0</v>
      </c>
      <c r="B20" s="1" t="s">
        <v>1564</v>
      </c>
      <c r="C20" s="10" t="s">
        <v>1564</v>
      </c>
      <c r="H20" s="1" t="str">
        <f>IFERROR(__xludf.DUMMYFUNCTION("""COMPUTED_VALUE"""),"ABBOTT (FREE STYLE)")</f>
        <v>ABBOTT (FREE STYLE)</v>
      </c>
    </row>
    <row r="21" ht="16.5" customHeight="1">
      <c r="A21" s="1">
        <v>21.0</v>
      </c>
      <c r="B21" s="1" t="s">
        <v>10</v>
      </c>
      <c r="C21" s="1" t="s">
        <v>10</v>
      </c>
      <c r="H21" s="1" t="str">
        <f>IFERROR(__xludf.DUMMYFUNCTION("""COMPUTED_VALUE"""),"ABBOTT (GASTRO)")</f>
        <v>ABBOTT (GASTRO)</v>
      </c>
    </row>
    <row r="22" ht="16.5" customHeight="1">
      <c r="A22" s="1">
        <v>20.0</v>
      </c>
      <c r="B22" s="1" t="s">
        <v>2228</v>
      </c>
      <c r="C22" s="1" t="s">
        <v>2228</v>
      </c>
      <c r="H22" s="1" t="str">
        <f>IFERROR(__xludf.DUMMYFUNCTION("""COMPUTED_VALUE"""),"ABBOTT (GENERIC)")</f>
        <v>ABBOTT (GENERIC)</v>
      </c>
    </row>
    <row r="23" ht="16.5" customHeight="1">
      <c r="A23" s="1">
        <v>3.0</v>
      </c>
      <c r="B23" s="1" t="s">
        <v>259</v>
      </c>
      <c r="C23" s="10" t="s">
        <v>259</v>
      </c>
      <c r="H23" s="1" t="str">
        <f>IFERROR(__xludf.DUMMYFUNCTION("""COMPUTED_VALUE"""),"ABBOTT (GI ADVANCE)")</f>
        <v>ABBOTT (GI ADVANCE)</v>
      </c>
    </row>
    <row r="24" ht="16.5" customHeight="1">
      <c r="A24" s="1">
        <v>3.0</v>
      </c>
      <c r="B24" s="1" t="s">
        <v>1663</v>
      </c>
      <c r="C24" s="1" t="s">
        <v>1663</v>
      </c>
      <c r="H24" s="1" t="str">
        <f>IFERROR(__xludf.DUMMYFUNCTION("""COMPUTED_VALUE"""),"ABBOTT (MEDICAL OPTICS)")</f>
        <v>ABBOTT (MEDICAL OPTICS)</v>
      </c>
    </row>
    <row r="25" ht="16.5" customHeight="1">
      <c r="A25" s="1">
        <v>1.0</v>
      </c>
      <c r="B25" s="1" t="s">
        <v>1562</v>
      </c>
      <c r="C25" s="1" t="s">
        <v>1562</v>
      </c>
      <c r="H25" s="1" t="str">
        <f>IFERROR(__xludf.DUMMYFUNCTION("""COMPUTED_VALUE"""),"ABBOTT (METABOLIC)")</f>
        <v>ABBOTT (METABOLIC)</v>
      </c>
    </row>
    <row r="26" ht="16.5" customHeight="1">
      <c r="A26" s="1">
        <v>1.0</v>
      </c>
      <c r="B26" s="1" t="s">
        <v>1079</v>
      </c>
      <c r="C26" s="1" t="s">
        <v>1079</v>
      </c>
      <c r="H26" s="1" t="str">
        <f>IFERROR(__xludf.DUMMYFUNCTION("""COMPUTED_VALUE"""),"ABBOTT (NEURO PSYCHIATRY)")</f>
        <v>ABBOTT (NEURO PSYCHIATRY)</v>
      </c>
    </row>
    <row r="27" ht="16.5" customHeight="1">
      <c r="H27" s="1" t="str">
        <f>IFERROR(__xludf.DUMMYFUNCTION("""COMPUTED_VALUE"""),"ABBOTT (NEUROLIFE)")</f>
        <v>ABBOTT (NEUROLIFE)</v>
      </c>
    </row>
    <row r="28" ht="16.5" customHeight="1">
      <c r="H28" s="1" t="str">
        <f>IFERROR(__xludf.DUMMYFUNCTION("""COMPUTED_VALUE"""),"ABBOTT (ONCOLOGY)")</f>
        <v>ABBOTT (ONCOLOGY)</v>
      </c>
    </row>
    <row r="29" ht="16.5" customHeight="1">
      <c r="H29" s="1" t="str">
        <f>IFERROR(__xludf.DUMMYFUNCTION("""COMPUTED_VALUE"""),"ABBOTT (PRIMARY CARE)")</f>
        <v>ABBOTT (PRIMARY CARE)</v>
      </c>
    </row>
    <row r="30" ht="16.5" customHeight="1">
      <c r="H30" s="1" t="str">
        <f>IFERROR(__xludf.DUMMYFUNCTION("""COMPUTED_VALUE"""),"ABBOTT (WOMEN HEALTH)")</f>
        <v>ABBOTT (WOMEN HEALTH)</v>
      </c>
    </row>
    <row r="31" ht="16.5" customHeight="1">
      <c r="H31" s="1" t="str">
        <f>IFERROR(__xludf.DUMMYFUNCTION("""COMPUTED_VALUE"""),"ABBOTT (WOMEN HEALTHCARE FOSTERA)")</f>
        <v>ABBOTT (WOMEN HEALTHCARE FOSTERA)</v>
      </c>
    </row>
    <row r="32" ht="16.5" customHeight="1">
      <c r="H32" s="1" t="str">
        <f>IFERROR(__xludf.DUMMYFUNCTION("""COMPUTED_VALUE"""),"Abbott India Ltd")</f>
        <v>Abbott India Ltd</v>
      </c>
    </row>
    <row r="33" ht="16.5" customHeight="1">
      <c r="H33" s="1" t="str">
        <f>IFERROR(__xludf.DUMMYFUNCTION("""COMPUTED_VALUE"""),"ABBOTT INDIA LTD (OTC)")</f>
        <v>ABBOTT INDIA LTD (OTC)</v>
      </c>
    </row>
    <row r="34" ht="16.5" customHeight="1">
      <c r="H34" s="1" t="str">
        <f>IFERROR(__xludf.DUMMYFUNCTION("""COMPUTED_VALUE"""),"ABBOTT INDIA LTD (SOLVAY)")</f>
        <v>ABBOTT INDIA LTD (SOLVAY)</v>
      </c>
    </row>
    <row r="35" ht="16.5" customHeight="1">
      <c r="H35" s="1" t="str">
        <f>IFERROR(__xludf.DUMMYFUNCTION("""COMPUTED_VALUE"""),"Abbott India Ltd (SPECIALITY)")</f>
        <v>Abbott India Ltd (SPECIALITY)</v>
      </c>
    </row>
    <row r="36" ht="16.5" customHeight="1">
      <c r="H36" s="1" t="str">
        <f>IFERROR(__xludf.DUMMYFUNCTION("""COMPUTED_VALUE"""),"ABBOTT TRUECARE PHARMA")</f>
        <v>ABBOTT TRUECARE PHARMA</v>
      </c>
    </row>
    <row r="37" ht="16.5" customHeight="1">
      <c r="H37" s="1" t="str">
        <f>IFERROR(__xludf.DUMMYFUNCTION("""COMPUTED_VALUE"""),"ABHIJEET INDUSTRIES")</f>
        <v>ABHIJEET INDUSTRIES</v>
      </c>
    </row>
    <row r="38" ht="16.5" customHeight="1">
      <c r="H38" s="1" t="str">
        <f>IFERROR(__xludf.DUMMYFUNCTION("""COMPUTED_VALUE"""),"ABHILASHA AYURVEDIC PHARMACY")</f>
        <v>ABHILASHA AYURVEDIC PHARMACY</v>
      </c>
    </row>
    <row r="39" ht="16.5" customHeight="1">
      <c r="H39" s="1" t="str">
        <f>IFERROR(__xludf.DUMMYFUNCTION("""COMPUTED_VALUE"""),"ABIGAIL CARE PHARMACEUTICALS")</f>
        <v>ABIGAIL CARE PHARMACEUTICALS</v>
      </c>
    </row>
    <row r="40" ht="16.5" customHeight="1">
      <c r="H40" s="1" t="str">
        <f>IFERROR(__xludf.DUMMYFUNCTION("""COMPUTED_VALUE"""),"ABIL HEALTH CARE PVT LTD")</f>
        <v>ABIL HEALTH CARE PVT LTD</v>
      </c>
    </row>
    <row r="41" ht="16.5" customHeight="1">
      <c r="H41" s="1" t="str">
        <f>IFERROR(__xludf.DUMMYFUNCTION("""COMPUTED_VALUE"""),"ABL LIFECARE PVT LTD")</f>
        <v>ABL LIFECARE PVT LTD</v>
      </c>
    </row>
    <row r="42" ht="16.5" customHeight="1">
      <c r="H42" s="1" t="str">
        <f>IFERROR(__xludf.DUMMYFUNCTION("""COMPUTED_VALUE"""),"ABRIK REMEDIES")</f>
        <v>ABRIK REMEDIES</v>
      </c>
    </row>
    <row r="43" ht="16.5" customHeight="1">
      <c r="H43" s="1" t="str">
        <f>IFERROR(__xludf.DUMMYFUNCTION("""COMPUTED_VALUE"""),"ABROGATE HEALTHCARE P LTD")</f>
        <v>ABROGATE HEALTHCARE P LTD</v>
      </c>
    </row>
    <row r="44" ht="16.5" customHeight="1">
      <c r="H44" s="1" t="str">
        <f>IFERROR(__xludf.DUMMYFUNCTION("""COMPUTED_VALUE"""),"ACCORD PHARMACEUTICALS")</f>
        <v>ACCORD PHARMACEUTICALS</v>
      </c>
    </row>
    <row r="45" ht="16.5" customHeight="1">
      <c r="H45" s="1" t="str">
        <f>IFERROR(__xludf.DUMMYFUNCTION("""COMPUTED_VALUE"""),"ACCURIS HEALTHCARE")</f>
        <v>ACCURIS HEALTHCARE</v>
      </c>
    </row>
    <row r="46" ht="16.5" customHeight="1">
      <c r="H46" s="1" t="str">
        <f>IFERROR(__xludf.DUMMYFUNCTION("""COMPUTED_VALUE"""),"ACE BIOTECH")</f>
        <v>ACE BIOTECH</v>
      </c>
    </row>
    <row r="47" ht="16.5" customHeight="1">
      <c r="H47" s="1" t="str">
        <f>IFERROR(__xludf.DUMMYFUNCTION("""COMPUTED_VALUE"""),"ACELA HEALTHCARE PVT LTD")</f>
        <v>ACELA HEALTHCARE PVT LTD</v>
      </c>
    </row>
    <row r="48" ht="16.5" customHeight="1">
      <c r="H48" s="1" t="str">
        <f>IFERROR(__xludf.DUMMYFUNCTION("""COMPUTED_VALUE"""),"ACICHEM LABORATORIES")</f>
        <v>ACICHEM LABORATORIES</v>
      </c>
    </row>
    <row r="49" ht="16.5" customHeight="1">
      <c r="H49" s="1" t="str">
        <f>IFERROR(__xludf.DUMMYFUNCTION("""COMPUTED_VALUE"""),"ACINOM HEALTHCARE")</f>
        <v>ACINOM HEALTHCARE</v>
      </c>
    </row>
    <row r="50" ht="16.5" customHeight="1">
      <c r="H50" s="1" t="str">
        <f>IFERROR(__xludf.DUMMYFUNCTION("""COMPUTED_VALUE"""),"ACME PHARMACEUTICALS")</f>
        <v>ACME PHARMACEUTICALS</v>
      </c>
    </row>
    <row r="51" ht="16.5" customHeight="1">
      <c r="H51" s="1" t="str">
        <f>IFERROR(__xludf.DUMMYFUNCTION("""COMPUTED_VALUE"""),"ACROMAT PHARMA LAB")</f>
        <v>ACROMAT PHARMA LAB</v>
      </c>
    </row>
    <row r="52" ht="16.5" customHeight="1">
      <c r="H52" s="1" t="str">
        <f>IFERROR(__xludf.DUMMYFUNCTION("""COMPUTED_VALUE"""),"ACUELIFE HEALTHCARE")</f>
        <v>ACUELIFE HEALTHCARE</v>
      </c>
    </row>
    <row r="53" ht="16.5" customHeight="1">
      <c r="H53" s="1" t="str">
        <f>IFERROR(__xludf.DUMMYFUNCTION("""COMPUTED_VALUE"""),"ACULIFE HEALTHCARE PVT LTD")</f>
        <v>ACULIFE HEALTHCARE PVT LTD</v>
      </c>
    </row>
    <row r="54" ht="16.5" customHeight="1">
      <c r="H54" s="1" t="str">
        <f>IFERROR(__xludf.DUMMYFUNCTION("""COMPUTED_VALUE"""),"ACURAGLOBE LLP")</f>
        <v>ACURAGLOBE LLP</v>
      </c>
    </row>
    <row r="55" ht="16.5" customHeight="1">
      <c r="H55" s="1" t="str">
        <f>IFERROR(__xludf.DUMMYFUNCTION("""COMPUTED_VALUE"""),"AD-VIK LABORATORIES")</f>
        <v>AD-VIK LABORATORIES</v>
      </c>
    </row>
    <row r="56" ht="16.5" customHeight="1">
      <c r="H56" s="1" t="str">
        <f>IFERROR(__xludf.DUMMYFUNCTION("""COMPUTED_VALUE"""),"ADALBERT HEALTHCARE")</f>
        <v>ADALBERT HEALTHCARE</v>
      </c>
    </row>
    <row r="57" ht="16.5" customHeight="1">
      <c r="H57" s="1" t="str">
        <f>IFERROR(__xludf.DUMMYFUNCTION("""COMPUTED_VALUE"""),"ADARSH PHARMACEUTICAL WORKS")</f>
        <v>ADARSH PHARMACEUTICAL WORKS</v>
      </c>
    </row>
    <row r="58" ht="16.5" customHeight="1">
      <c r="H58" s="1" t="str">
        <f>IFERROR(__xludf.DUMMYFUNCTION("""COMPUTED_VALUE"""),"Adcock Ingram (CFL)")</f>
        <v>Adcock Ingram (CFL)</v>
      </c>
    </row>
    <row r="59" ht="16.5" customHeight="1">
      <c r="H59" s="1" t="str">
        <f>IFERROR(__xludf.DUMMYFUNCTION("""COMPUTED_VALUE"""),"Adcock Ingram (COSMO)")</f>
        <v>Adcock Ingram (COSMO)</v>
      </c>
    </row>
    <row r="60" ht="16.5" customHeight="1">
      <c r="H60" s="1" t="str">
        <f>IFERROR(__xludf.DUMMYFUNCTION("""COMPUTED_VALUE"""),"Adcock Ingram (DERMA SKINCARE)")</f>
        <v>Adcock Ingram (DERMA SKINCARE)</v>
      </c>
    </row>
    <row r="61" ht="16.5" customHeight="1">
      <c r="H61" s="1" t="str">
        <f>IFERROR(__xludf.DUMMYFUNCTION("""COMPUTED_VALUE"""),"Adcock Ingram Healthcare Pvt Ltd")</f>
        <v>Adcock Ingram Healthcare Pvt Ltd</v>
      </c>
    </row>
    <row r="62" ht="16.5" customHeight="1">
      <c r="H62" s="1" t="str">
        <f>IFERROR(__xludf.DUMMYFUNCTION("""COMPUTED_VALUE"""),"ADCON LABS")</f>
        <v>ADCON LABS</v>
      </c>
    </row>
    <row r="63" ht="16.5" customHeight="1">
      <c r="H63" s="1" t="str">
        <f>IFERROR(__xludf.DUMMYFUNCTION("""COMPUTED_VALUE"""),"ADDII BIOTECH (ADRIVE)")</f>
        <v>ADDII BIOTECH (ADRIVE)</v>
      </c>
    </row>
    <row r="64" ht="16.5" customHeight="1">
      <c r="H64" s="1" t="str">
        <f>IFERROR(__xludf.DUMMYFUNCTION("""COMPUTED_VALUE"""),"ADDIS PHARMA")</f>
        <v>ADDIS PHARMA</v>
      </c>
    </row>
    <row r="65" ht="16.5" customHeight="1">
      <c r="H65" s="1" t="str">
        <f>IFERROR(__xludf.DUMMYFUNCTION("""COMPUTED_VALUE"""),"ADEL - MADDUS")</f>
        <v>ADEL - MADDUS</v>
      </c>
    </row>
    <row r="66" ht="16.5" customHeight="1">
      <c r="H66" s="1" t="str">
        <f>IFERROR(__xludf.DUMMYFUNCTION("""COMPUTED_VALUE"""),"ADELEY")</f>
        <v>ADELEY</v>
      </c>
    </row>
    <row r="67" ht="16.5" customHeight="1">
      <c r="H67" s="1" t="str">
        <f>IFERROR(__xludf.DUMMYFUNCTION("""COMPUTED_VALUE"""),"ADIPS LABORATORIES LTD
")</f>
        <v>ADIPS LABORATORIES LTD
</v>
      </c>
    </row>
    <row r="68" ht="16.5" customHeight="1">
      <c r="H68" s="1" t="str">
        <f>IFERROR(__xludf.DUMMYFUNCTION("""COMPUTED_VALUE"""),"ADISTA HEALTHCARE INDIA P LTD")</f>
        <v>ADISTA HEALTHCARE INDIA P LTD</v>
      </c>
    </row>
    <row r="69" ht="16.5" customHeight="1">
      <c r="H69" s="1" t="str">
        <f>IFERROR(__xludf.DUMMYFUNCTION("""COMPUTED_VALUE"""),"ADITSA HEALTH CARE")</f>
        <v>ADITSA HEALTH CARE</v>
      </c>
    </row>
    <row r="70" ht="16.5" customHeight="1">
      <c r="H70" s="1" t="str">
        <f>IFERROR(__xludf.DUMMYFUNCTION("""COMPUTED_VALUE"""),"ADIVA PHARMA")</f>
        <v>ADIVA PHARMA</v>
      </c>
    </row>
    <row r="71" ht="16.5" customHeight="1">
      <c r="H71" s="1" t="str">
        <f>IFERROR(__xludf.DUMMYFUNCTION("""COMPUTED_VALUE"""),"ADLEY LAB")</f>
        <v>ADLEY LAB</v>
      </c>
    </row>
    <row r="72" ht="16.5" customHeight="1">
      <c r="H72" s="1" t="str">
        <f>IFERROR(__xludf.DUMMYFUNCTION("""COMPUTED_VALUE"""),"ADLEY LAB (SUPPORTIVE CARE)")</f>
        <v>ADLEY LAB (SUPPORTIVE CARE)</v>
      </c>
    </row>
    <row r="73" ht="16.5" customHeight="1">
      <c r="H73" s="1" t="str">
        <f>IFERROR(__xludf.DUMMYFUNCTION("""COMPUTED_VALUE"""),"ADMAC FORMULATIONS")</f>
        <v>ADMAC FORMULATIONS</v>
      </c>
    </row>
    <row r="74" ht="16.5" customHeight="1">
      <c r="H74" s="1" t="str">
        <f>IFERROR(__xludf.DUMMYFUNCTION("""COMPUTED_VALUE"""),"Admac Pharma Ltd")</f>
        <v>Admac Pharma Ltd</v>
      </c>
    </row>
    <row r="75" ht="16.5" customHeight="1">
      <c r="H75" s="1" t="str">
        <f>IFERROR(__xludf.DUMMYFUNCTION("""COMPUTED_VALUE"""),"ADMAN FORMULATION PVT LTD")</f>
        <v>ADMAN FORMULATION PVT LTD</v>
      </c>
    </row>
    <row r="76" ht="16.5" customHeight="1">
      <c r="H76" s="1" t="str">
        <f>IFERROR(__xludf.DUMMYFUNCTION("""COMPUTED_VALUE"""),"Adonis Laboratories Pvt Ltd")</f>
        <v>Adonis Laboratories Pvt Ltd</v>
      </c>
    </row>
    <row r="77" ht="16.5" customHeight="1">
      <c r="H77" s="1" t="str">
        <f>IFERROR(__xludf.DUMMYFUNCTION("""COMPUTED_VALUE"""),"Adroit Biomed Ltd")</f>
        <v>Adroit Biomed Ltd</v>
      </c>
    </row>
    <row r="78" ht="16.5" customHeight="1">
      <c r="H78" s="1" t="str">
        <f>IFERROR(__xludf.DUMMYFUNCTION("""COMPUTED_VALUE"""),"ADVEN")</f>
        <v>ADVEN</v>
      </c>
    </row>
    <row r="79" ht="16.5" customHeight="1">
      <c r="H79" s="1" t="str">
        <f>IFERROR(__xludf.DUMMYFUNCTION("""COMPUTED_VALUE"""),"AEGIS HEALTH SOLUTION")</f>
        <v>AEGIS HEALTH SOLUTION</v>
      </c>
    </row>
    <row r="80" ht="16.5" customHeight="1">
      <c r="H80" s="1" t="str">
        <f>IFERROR(__xludf.DUMMYFUNCTION("""COMPUTED_VALUE"""),"AEGIS LIFESCIENCES PVT LTD")</f>
        <v>AEGIS LIFESCIENCES PVT LTD</v>
      </c>
    </row>
    <row r="81" ht="16.5" customHeight="1">
      <c r="H81" s="1" t="str">
        <f>IFERROR(__xludf.DUMMYFUNCTION("""COMPUTED_VALUE"""),"AEQUITAS HEALTHCARE PVT LTD")</f>
        <v>AEQUITAS HEALTHCARE PVT LTD</v>
      </c>
    </row>
    <row r="82" ht="16.5" customHeight="1">
      <c r="H82" s="1" t="str">
        <f>IFERROR(__xludf.DUMMYFUNCTION("""COMPUTED_VALUE"""),"AERAN LAB INDIA PVT LTD")</f>
        <v>AERAN LAB INDIA PVT LTD</v>
      </c>
    </row>
    <row r="83" ht="16.5" customHeight="1">
      <c r="H83" s="1" t="str">
        <f>IFERROR(__xludf.DUMMYFUNCTION("""COMPUTED_VALUE"""),"AEROLIFE INDIA HEALTHCARE")</f>
        <v>AEROLIFE INDIA HEALTHCARE</v>
      </c>
    </row>
    <row r="84" ht="16.5" customHeight="1">
      <c r="H84" s="1" t="str">
        <f>IFERROR(__xludf.DUMMYFUNCTION("""COMPUTED_VALUE"""),"AESMIRA")</f>
        <v>AESMIRA</v>
      </c>
    </row>
    <row r="85" ht="16.5" customHeight="1">
      <c r="H85" s="1" t="str">
        <f>IFERROR(__xludf.DUMMYFUNCTION("""COMPUTED_VALUE"""),"AESPIRE FORMULATIONS PVT LTD")</f>
        <v>AESPIRE FORMULATIONS PVT LTD</v>
      </c>
    </row>
    <row r="86" ht="16.5" customHeight="1">
      <c r="H86" s="1" t="str">
        <f>IFERROR(__xludf.DUMMYFUNCTION("""COMPUTED_VALUE"""),"AESTHETIX COSMECEUTICALS")</f>
        <v>AESTHETIX COSMECEUTICALS</v>
      </c>
    </row>
    <row r="87" ht="16.5" customHeight="1">
      <c r="H87" s="1" t="str">
        <f>IFERROR(__xludf.DUMMYFUNCTION("""COMPUTED_VALUE"""),"AFEX PHARMACEUTICALS")</f>
        <v>AFEX PHARMACEUTICALS</v>
      </c>
    </row>
    <row r="88" ht="16.5" customHeight="1">
      <c r="H88" s="1" t="str">
        <f>IFERROR(__xludf.DUMMYFUNCTION("""COMPUTED_VALUE"""),"AFFINE FORMULATION P LTD SOLAN")</f>
        <v>AFFINE FORMULATION P LTD SOLAN</v>
      </c>
    </row>
    <row r="89" ht="16.5" customHeight="1">
      <c r="H89" s="1" t="str">
        <f>IFERROR(__xludf.DUMMYFUNCTION("""COMPUTED_VALUE"""),"AFFLATUS PHARMACEUTICALS PVT LTD")</f>
        <v>AFFLATUS PHARMACEUTICALS PVT LTD</v>
      </c>
    </row>
    <row r="90" ht="16.5" customHeight="1">
      <c r="H90" s="1" t="str">
        <f>IFERROR(__xludf.DUMMYFUNCTION("""COMPUTED_VALUE"""),"AFFY PARENTERALS BADDI")</f>
        <v>AFFY PARENTERALS BADDI</v>
      </c>
    </row>
    <row r="91" ht="16.5" customHeight="1">
      <c r="H91" s="1" t="str">
        <f>IFERROR(__xludf.DUMMYFUNCTION("""COMPUTED_VALUE"""),"AFFY PHARMA PVT LTD")</f>
        <v>AFFY PHARMA PVT LTD</v>
      </c>
    </row>
    <row r="92" ht="16.5" customHeight="1">
      <c r="H92" s="1" t="str">
        <f>IFERROR(__xludf.DUMMYFUNCTION("""COMPUTED_VALUE"""),"AFIVE PHARMACEUTICALS")</f>
        <v>AFIVE PHARMACEUTICALS</v>
      </c>
    </row>
    <row r="93" ht="16.5" customHeight="1">
      <c r="H93" s="1" t="str">
        <f>IFERROR(__xludf.DUMMYFUNCTION("""COMPUTED_VALUE"""),"AG BIOTECH")</f>
        <v>AG BIOTECH</v>
      </c>
    </row>
    <row r="94" ht="16.5" customHeight="1">
      <c r="H94" s="1" t="str">
        <f>IFERROR(__xludf.DUMMYFUNCTION("""COMPUTED_VALUE"""),"AGIO Pharmaceuticals Ltd")</f>
        <v>AGIO Pharmaceuticals Ltd</v>
      </c>
    </row>
    <row r="95" ht="16.5" customHeight="1">
      <c r="H95" s="1" t="str">
        <f>IFERROR(__xludf.DUMMYFUNCTION("""COMPUTED_VALUE"""),"Aglowmed Drugs Pvt   Ltd")</f>
        <v>Aglowmed Drugs Pvt   Ltd</v>
      </c>
    </row>
    <row r="96" ht="16.5" customHeight="1">
      <c r="H96" s="1" t="str">
        <f>IFERROR(__xludf.DUMMYFUNCTION("""COMPUTED_VALUE"""),"Aglowmed Drugs Pvt. Ltd.")</f>
        <v>Aglowmed Drugs Pvt. Ltd.</v>
      </c>
    </row>
    <row r="97" ht="16.5" customHeight="1">
      <c r="H97" s="1" t="str">
        <f>IFERROR(__xludf.DUMMYFUNCTION("""COMPUTED_VALUE"""),"AGM BIOTECH")</f>
        <v>AGM BIOTECH</v>
      </c>
    </row>
    <row r="98" ht="16.5" customHeight="1">
      <c r="H98" s="1" t="str">
        <f>IFERROR(__xludf.DUMMYFUNCTION("""COMPUTED_VALUE"""),"Agron India Ltd")</f>
        <v>Agron India Ltd</v>
      </c>
    </row>
    <row r="99" ht="16.5" customHeight="1">
      <c r="H99" s="1" t="str">
        <f>IFERROR(__xludf.DUMMYFUNCTION("""COMPUTED_VALUE"""),"Agron Remedies Pvt. Ltd")</f>
        <v>Agron Remedies Pvt. Ltd</v>
      </c>
    </row>
    <row r="100" ht="16.5" customHeight="1">
      <c r="H100" s="1" t="str">
        <f>IFERROR(__xludf.DUMMYFUNCTION("""COMPUTED_VALUE"""),"AGROSAFE PHARMACEUTICALS")</f>
        <v>AGROSAFE PHARMACEUTICALS</v>
      </c>
    </row>
    <row r="101" ht="16.5" customHeight="1">
      <c r="H101" s="1" t="str">
        <f>IFERROR(__xludf.DUMMYFUNCTION("""COMPUTED_VALUE"""),"AGROW PHARMA")</f>
        <v>AGROW PHARMA</v>
      </c>
    </row>
    <row r="102" ht="16.5" customHeight="1">
      <c r="H102" s="1" t="str">
        <f>IFERROR(__xludf.DUMMYFUNCTION("""COMPUTED_VALUE"""),"AGUS WORLD")</f>
        <v>AGUS WORLD</v>
      </c>
    </row>
    <row r="103" ht="16.5" customHeight="1">
      <c r="H103" s="1" t="str">
        <f>IFERROR(__xludf.DUMMYFUNCTION("""COMPUTED_VALUE"""),"AIMIL PHARMACEUTICALS")</f>
        <v>AIMIL PHARMACEUTICALS</v>
      </c>
    </row>
    <row r="104" ht="16.5" customHeight="1">
      <c r="H104" s="1" t="str">
        <f>IFERROR(__xludf.DUMMYFUNCTION("""COMPUTED_VALUE"""),"AIMIL PHARMACEUTICALS (XYLO)")</f>
        <v>AIMIL PHARMACEUTICALS (XYLO)</v>
      </c>
    </row>
    <row r="105" ht="16.5" customHeight="1">
      <c r="H105" s="1" t="str">
        <f>IFERROR(__xludf.DUMMYFUNCTION("""COMPUTED_VALUE"""),"AISHWARYA HEALTHCARE")</f>
        <v>AISHWARYA HEALTHCARE</v>
      </c>
    </row>
    <row r="106" ht="16.5" customHeight="1">
      <c r="H106" s="1" t="str">
        <f>IFERROR(__xludf.DUMMYFUNCTION("""COMPUTED_VALUE"""),"AISLIN FORMULATION PVT LTD")</f>
        <v>AISLIN FORMULATION PVT LTD</v>
      </c>
    </row>
    <row r="107" ht="16.5" customHeight="1">
      <c r="H107" s="1" t="str">
        <f>IFERROR(__xludf.DUMMYFUNCTION("""COMPUTED_VALUE"""),"AJANTA PHARMA (ALMIRON)")</f>
        <v>AJANTA PHARMA (ALMIRON)</v>
      </c>
    </row>
    <row r="108" ht="16.5" customHeight="1">
      <c r="H108" s="1" t="str">
        <f>IFERROR(__xludf.DUMMYFUNCTION("""COMPUTED_VALUE"""),"AJANTA PHARMA (ANVAXX)")</f>
        <v>AJANTA PHARMA (ANVAXX)</v>
      </c>
    </row>
    <row r="109" ht="16.5" customHeight="1">
      <c r="H109" s="1" t="str">
        <f>IFERROR(__xludf.DUMMYFUNCTION("""COMPUTED_VALUE"""),"AJANTA PHARMA (AUREUS)")</f>
        <v>AJANTA PHARMA (AUREUS)</v>
      </c>
    </row>
    <row r="110" ht="16.5" customHeight="1">
      <c r="H110" s="1" t="str">
        <f>IFERROR(__xludf.DUMMYFUNCTION("""COMPUTED_VALUE"""),"AJANTA PHARMA (AVECIA)")</f>
        <v>AJANTA PHARMA (AVECIA)</v>
      </c>
    </row>
    <row r="111" ht="16.5" customHeight="1">
      <c r="H111" s="1" t="str">
        <f>IFERROR(__xludf.DUMMYFUNCTION("""COMPUTED_VALUE"""),"AJANTA PHARMA (AXYS)")</f>
        <v>AJANTA PHARMA (AXYS)</v>
      </c>
    </row>
    <row r="112" ht="16.5" customHeight="1">
      <c r="H112" s="1" t="str">
        <f>IFERROR(__xludf.DUMMYFUNCTION("""COMPUTED_VALUE"""),"AJANTA PHARMA (CDC)")</f>
        <v>AJANTA PHARMA (CDC)</v>
      </c>
    </row>
    <row r="113" ht="16.5" customHeight="1">
      <c r="H113" s="1" t="str">
        <f>IFERROR(__xludf.DUMMYFUNCTION("""COMPUTED_VALUE"""),"AJANTA PHARMA (GENERIC)")</f>
        <v>AJANTA PHARMA (GENERIC)</v>
      </c>
    </row>
    <row r="114" ht="16.5" customHeight="1">
      <c r="H114" s="1" t="str">
        <f>IFERROR(__xludf.DUMMYFUNCTION("""COMPUTED_VALUE"""),"AJANTA PHARMA (ILLUMA)")</f>
        <v>AJANTA PHARMA (ILLUMA)</v>
      </c>
    </row>
    <row r="115" ht="16.5" customHeight="1">
      <c r="H115" s="1" t="str">
        <f>IFERROR(__xludf.DUMMYFUNCTION("""COMPUTED_VALUE"""),"AJANTA PHARMA (INYX)")</f>
        <v>AJANTA PHARMA (INYX)</v>
      </c>
    </row>
    <row r="116" ht="16.5" customHeight="1">
      <c r="H116" s="1" t="str">
        <f>IFERROR(__xludf.DUMMYFUNCTION("""COMPUTED_VALUE"""),"AJANTA PHARMA (MEXLON)")</f>
        <v>AJANTA PHARMA (MEXLON)</v>
      </c>
    </row>
    <row r="117" ht="16.5" customHeight="1">
      <c r="H117" s="1" t="str">
        <f>IFERROR(__xludf.DUMMYFUNCTION("""COMPUTED_VALUE"""),"AJANTA PHARMA (NUVENTA)")</f>
        <v>AJANTA PHARMA (NUVENTA)</v>
      </c>
    </row>
    <row r="118" ht="16.5" customHeight="1">
      <c r="H118" s="1" t="str">
        <f>IFERROR(__xludf.DUMMYFUNCTION("""COMPUTED_VALUE"""),"AJANTA PHARMA (PRISMA)")</f>
        <v>AJANTA PHARMA (PRISMA)</v>
      </c>
    </row>
    <row r="119" ht="16.5" customHeight="1">
      <c r="H119" s="1" t="str">
        <f>IFERROR(__xludf.DUMMYFUNCTION("""COMPUTED_VALUE"""),"AJANTA PHARMA (SOLESTA)")</f>
        <v>AJANTA PHARMA (SOLESTA)</v>
      </c>
    </row>
    <row r="120" ht="16.5" customHeight="1">
      <c r="H120" s="1" t="str">
        <f>IFERROR(__xludf.DUMMYFUNCTION("""COMPUTED_VALUE"""),"AJANTA PHARMA (ZILLION SPE)")</f>
        <v>AJANTA PHARMA (ZILLION SPE)</v>
      </c>
    </row>
    <row r="121" ht="16.5" customHeight="1">
      <c r="H121" s="1" t="str">
        <f>IFERROR(__xludf.DUMMYFUNCTION("""COMPUTED_VALUE"""),"AJANTA PHARMA (ZILLION)")</f>
        <v>AJANTA PHARMA (ZILLION)</v>
      </c>
    </row>
    <row r="122" ht="16.5" customHeight="1">
      <c r="H122" s="1" t="str">
        <f>IFERROR(__xludf.DUMMYFUNCTION("""COMPUTED_VALUE"""),"Ajanta Pharma Ltd")</f>
        <v>Ajanta Pharma Ltd</v>
      </c>
    </row>
    <row r="123" ht="16.5" customHeight="1">
      <c r="H123" s="1" t="str">
        <f>IFERROR(__xludf.DUMMYFUNCTION("""COMPUTED_VALUE"""),"AJES PHARMA")</f>
        <v>AJES PHARMA</v>
      </c>
    </row>
    <row r="124" ht="16.5" customHeight="1">
      <c r="H124" s="1" t="str">
        <f>IFERROR(__xludf.DUMMYFUNCTION("""COMPUTED_VALUE"""),"AJIT AYURVEDA")</f>
        <v>AJIT AYURVEDA</v>
      </c>
    </row>
    <row r="125" ht="16.5" customHeight="1">
      <c r="H125" s="1" t="str">
        <f>IFERROR(__xludf.DUMMYFUNCTION("""COMPUTED_VALUE"""),"AKOGNOS LIFE SCIENCES")</f>
        <v>AKOGNOS LIFE SCIENCES</v>
      </c>
    </row>
    <row r="126" ht="16.5" customHeight="1">
      <c r="H126" s="1" t="str">
        <f>IFERROR(__xludf.DUMMYFUNCTION("""COMPUTED_VALUE"""),"AKPASH PHARMA INDORE")</f>
        <v>AKPASH PHARMA INDORE</v>
      </c>
    </row>
    <row r="127" ht="16.5" customHeight="1">
      <c r="H127" s="1" t="str">
        <f>IFERROR(__xludf.DUMMYFUNCTION("""COMPUTED_VALUE"""),"AKSH PHARMA")</f>
        <v>AKSH PHARMA</v>
      </c>
    </row>
    <row r="128" ht="16.5" customHeight="1">
      <c r="H128" s="1" t="str">
        <f>IFERROR(__xludf.DUMMYFUNCTION("""COMPUTED_VALUE"""),"AKSHAY PHARMA")</f>
        <v>AKSHAY PHARMA</v>
      </c>
    </row>
    <row r="129" ht="16.5" customHeight="1">
      <c r="H129" s="1" t="str">
        <f>IFERROR(__xludf.DUMMYFUNCTION("""COMPUTED_VALUE"""),"Aksigen Hospital Care")</f>
        <v>Aksigen Hospital Care</v>
      </c>
    </row>
    <row r="130" ht="16.5" customHeight="1">
      <c r="H130" s="1" t="str">
        <f>IFERROR(__xludf.DUMMYFUNCTION("""COMPUTED_VALUE"""),"Akumentis Healthcare Ltd")</f>
        <v>Akumentis Healthcare Ltd</v>
      </c>
    </row>
    <row r="131" ht="16.5" customHeight="1">
      <c r="H131" s="1" t="str">
        <f>IFERROR(__xludf.DUMMYFUNCTION("""COMPUTED_VALUE"""),"AKUMENTIS HEALTHCARE LTD (CRETIS)")</f>
        <v>AKUMENTIS HEALTHCARE LTD (CRETIS)</v>
      </c>
    </row>
    <row r="132" ht="16.5" customHeight="1">
      <c r="H132" s="1" t="str">
        <f>IFERROR(__xludf.DUMMYFUNCTION("""COMPUTED_VALUE"""),"AKUMENTIS HEALTHCARE LTD (HARMONICA)")</f>
        <v>AKUMENTIS HEALTHCARE LTD (HARMONICA)</v>
      </c>
    </row>
    <row r="133" ht="16.5" customHeight="1">
      <c r="H133" s="1" t="str">
        <f>IFERROR(__xludf.DUMMYFUNCTION("""COMPUTED_VALUE"""),"AKUMENTIS HEALTHCARE LTD (OSTEON)")</f>
        <v>AKUMENTIS HEALTHCARE LTD (OSTEON)</v>
      </c>
    </row>
    <row r="134" ht="16.5" customHeight="1">
      <c r="H134" s="1" t="str">
        <f>IFERROR(__xludf.DUMMYFUNCTION("""COMPUTED_VALUE"""),"AKUMENTIS HEALTHCARE LTD (VIVIANA)")</f>
        <v>AKUMENTIS HEALTHCARE LTD (VIVIANA)</v>
      </c>
    </row>
    <row r="135" ht="16.5" customHeight="1">
      <c r="H135" s="1" t="str">
        <f>IFERROR(__xludf.DUMMYFUNCTION("""COMPUTED_VALUE"""),"Akums Drugs &amp; Pharmaceuticals Ltd")</f>
        <v>Akums Drugs &amp; Pharmaceuticals Ltd</v>
      </c>
    </row>
    <row r="136" ht="16.5" customHeight="1">
      <c r="H136" s="1" t="str">
        <f>IFERROR(__xludf.DUMMYFUNCTION("""COMPUTED_VALUE"""),"ALAKNANDA HERBAL")</f>
        <v>ALAKNANDA HERBAL</v>
      </c>
    </row>
    <row r="137" ht="16.5" customHeight="1">
      <c r="H137" s="1" t="str">
        <f>IFERROR(__xludf.DUMMYFUNCTION("""COMPUTED_VALUE"""),"Alarsin Pharmaceuticals")</f>
        <v>Alarsin Pharmaceuticals</v>
      </c>
    </row>
    <row r="138" ht="16.5" customHeight="1">
      <c r="H138" s="1" t="str">
        <f>IFERROR(__xludf.DUMMYFUNCTION("""COMPUTED_VALUE"""),"ALASTER HEALTH CARE")</f>
        <v>ALASTER HEALTH CARE</v>
      </c>
    </row>
    <row r="139" ht="16.5" customHeight="1">
      <c r="H139" s="1" t="str">
        <f>IFERROR(__xludf.DUMMYFUNCTION("""COMPUTED_VALUE"""),"ALBATROSS HEALTHCARE")</f>
        <v>ALBATROSS HEALTHCARE</v>
      </c>
    </row>
    <row r="140" ht="16.5" customHeight="1">
      <c r="H140" s="1" t="str">
        <f>IFERROR(__xludf.DUMMYFUNCTION("""COMPUTED_VALUE"""),"Albert David Ltd")</f>
        <v>Albert David Ltd</v>
      </c>
    </row>
    <row r="141" ht="16.5" customHeight="1">
      <c r="H141" s="1" t="str">
        <f>IFERROR(__xludf.DUMMYFUNCTION("""COMPUTED_VALUE"""),"ALBERTA MEDICARE P LTD")</f>
        <v>ALBERTA MEDICARE P LTD</v>
      </c>
    </row>
    <row r="142" ht="16.5" customHeight="1">
      <c r="H142" s="1" t="str">
        <f>IFERROR(__xludf.DUMMYFUNCTION("""COMPUTED_VALUE"""),"ALBINO PHARMACEUTICALS PVT LTD")</f>
        <v>ALBINO PHARMACEUTICALS PVT LTD</v>
      </c>
    </row>
    <row r="143" ht="16.5" customHeight="1">
      <c r="H143" s="1" t="str">
        <f>IFERROR(__xludf.DUMMYFUNCTION("""COMPUTED_VALUE"""),"ALBRIS HEALTHCARE &amp; BIOTECH PVT. LTD.")</f>
        <v>ALBRIS HEALTHCARE &amp; BIOTECH PVT. LTD.</v>
      </c>
    </row>
    <row r="144" ht="16.5" customHeight="1">
      <c r="H144" s="1" t="str">
        <f>IFERROR(__xludf.DUMMYFUNCTION("""COMPUTED_VALUE"""),"ALBRUS")</f>
        <v>ALBRUS</v>
      </c>
    </row>
    <row r="145" ht="16.5" customHeight="1">
      <c r="H145" s="1" t="str">
        <f>IFERROR(__xludf.DUMMYFUNCTION("""COMPUTED_VALUE"""),"ALCHEM PHYTOCEUTICAL")</f>
        <v>ALCHEM PHYTOCEUTICAL</v>
      </c>
    </row>
    <row r="146" ht="16.5" customHeight="1">
      <c r="H146" s="1" t="str">
        <f>IFERROR(__xludf.DUMMYFUNCTION("""COMPUTED_VALUE"""),"Alchemist Life Science")</f>
        <v>Alchemist Life Science</v>
      </c>
    </row>
    <row r="147" ht="16.5" customHeight="1">
      <c r="H147" s="1" t="str">
        <f>IFERROR(__xludf.DUMMYFUNCTION("""COMPUTED_VALUE"""),"ALCO LABS")</f>
        <v>ALCO LABS</v>
      </c>
    </row>
    <row r="148" ht="16.5" customHeight="1">
      <c r="H148" s="1" t="str">
        <f>IFERROR(__xludf.DUMMYFUNCTION("""COMPUTED_VALUE"""),"Alcon Laboratories")</f>
        <v>Alcon Laboratories</v>
      </c>
    </row>
    <row r="149" ht="16.5" customHeight="1">
      <c r="H149" s="1" t="str">
        <f>IFERROR(__xludf.DUMMYFUNCTION("""COMPUTED_VALUE"""),"ALDE VISION")</f>
        <v>ALDE VISION</v>
      </c>
    </row>
    <row r="150" ht="16.5" customHeight="1">
      <c r="H150" s="1" t="str">
        <f>IFERROR(__xludf.DUMMYFUNCTION("""COMPUTED_VALUE"""),"ALDER PHARMACEUTICAL")</f>
        <v>ALDER PHARMACEUTICAL</v>
      </c>
    </row>
    <row r="151" ht="16.5" customHeight="1">
      <c r="H151" s="1" t="str">
        <f>IFERROR(__xludf.DUMMYFUNCTION("""COMPUTED_VALUE"""),"ALEMBIC (CORAZON)")</f>
        <v>ALEMBIC (CORAZON)</v>
      </c>
    </row>
    <row r="152" ht="16.5" customHeight="1">
      <c r="H152" s="1" t="str">
        <f>IFERROR(__xludf.DUMMYFUNCTION("""COMPUTED_VALUE"""),"ALEMBIC (DERMA)")</f>
        <v>ALEMBIC (DERMA)</v>
      </c>
    </row>
    <row r="153" ht="16.5" customHeight="1">
      <c r="H153" s="1" t="str">
        <f>IFERROR(__xludf.DUMMYFUNCTION("""COMPUTED_VALUE"""),"ALEMBIC (ELENA)")</f>
        <v>ALEMBIC (ELENA)</v>
      </c>
    </row>
    <row r="154" ht="16.5" customHeight="1">
      <c r="H154" s="1" t="str">
        <f>IFERROR(__xludf.DUMMYFUNCTION("""COMPUTED_VALUE"""),"ALEMBIC (ENTERON)")</f>
        <v>ALEMBIC (ENTERON)</v>
      </c>
    </row>
    <row r="155" ht="16.5" customHeight="1">
      <c r="H155" s="1" t="str">
        <f>IFERROR(__xludf.DUMMYFUNCTION("""COMPUTED_VALUE"""),"ALEMBIC (GENERIC)")</f>
        <v>ALEMBIC (GENERIC)</v>
      </c>
    </row>
    <row r="156" ht="16.5" customHeight="1">
      <c r="H156" s="1" t="str">
        <f>IFERROR(__xludf.DUMMYFUNCTION("""COMPUTED_VALUE"""),"ALEMBIC (MAIN)")</f>
        <v>ALEMBIC (MAIN)</v>
      </c>
    </row>
    <row r="157" ht="16.5" customHeight="1">
      <c r="H157" s="1" t="str">
        <f>IFERROR(__xludf.DUMMYFUNCTION("""COMPUTED_VALUE"""),"ALEMBIC (MAXIS)")</f>
        <v>ALEMBIC (MAXIS)</v>
      </c>
    </row>
    <row r="158" ht="16.5" customHeight="1">
      <c r="H158" s="1" t="str">
        <f>IFERROR(__xludf.DUMMYFUNCTION("""COMPUTED_VALUE"""),"ALEMBIC (MEGACARE)")</f>
        <v>ALEMBIC (MEGACARE)</v>
      </c>
    </row>
    <row r="159" ht="16.5" customHeight="1">
      <c r="H159" s="1" t="str">
        <f>IFERROR(__xludf.DUMMYFUNCTION("""COMPUTED_VALUE"""),"ALEMBIC (MITON)")</f>
        <v>ALEMBIC (MITON)</v>
      </c>
    </row>
    <row r="160" ht="16.5" customHeight="1">
      <c r="H160" s="1" t="str">
        <f>IFERROR(__xludf.DUMMYFUNCTION("""COMPUTED_VALUE"""),"ALEMBIC (OSTOFIT)")</f>
        <v>ALEMBIC (OSTOFIT)</v>
      </c>
    </row>
    <row r="161" ht="16.5" customHeight="1">
      <c r="H161" s="1" t="str">
        <f>IFERROR(__xludf.DUMMYFUNCTION("""COMPUTED_VALUE"""),"ALEMBIC (OURON)")</f>
        <v>ALEMBIC (OURON)</v>
      </c>
    </row>
    <row r="162" ht="16.5" customHeight="1">
      <c r="H162" s="1" t="str">
        <f>IFERROR(__xludf.DUMMYFUNCTION("""COMPUTED_VALUE"""),"ALEMBIC (SPECIA)")</f>
        <v>ALEMBIC (SPECIA)</v>
      </c>
    </row>
    <row r="163" ht="16.5" customHeight="1">
      <c r="H163" s="1" t="str">
        <f>IFERROR(__xludf.DUMMYFUNCTION("""COMPUTED_VALUE"""),"ALEMBIC (SUMMIT)")</f>
        <v>ALEMBIC (SUMMIT)</v>
      </c>
    </row>
    <row r="164" ht="16.5" customHeight="1">
      <c r="H164" s="1" t="str">
        <f>IFERROR(__xludf.DUMMYFUNCTION("""COMPUTED_VALUE"""),"ALEMBIC (SUPRACARE)")</f>
        <v>ALEMBIC (SUPRACARE)</v>
      </c>
    </row>
    <row r="165" ht="16.5" customHeight="1">
      <c r="H165" s="1" t="str">
        <f>IFERROR(__xludf.DUMMYFUNCTION("""COMPUTED_VALUE"""),"ALEMBIC (ZENOVI)")</f>
        <v>ALEMBIC (ZENOVI)</v>
      </c>
    </row>
    <row r="166" ht="16.5" customHeight="1">
      <c r="H166" s="1" t="str">
        <f>IFERROR(__xludf.DUMMYFUNCTION("""COMPUTED_VALUE"""),"Alembic Pharmaceuticals Ltd")</f>
        <v>Alembic Pharmaceuticals Ltd</v>
      </c>
    </row>
    <row r="167" ht="16.5" customHeight="1">
      <c r="H167" s="1" t="str">
        <f>IFERROR(__xludf.DUMMYFUNCTION("""COMPUTED_VALUE"""),"Alencure Biotech P Ltd")</f>
        <v>Alencure Biotech P Ltd</v>
      </c>
    </row>
    <row r="168" ht="16.5" customHeight="1">
      <c r="H168" s="1" t="str">
        <f>IFERROR(__xludf.DUMMYFUNCTION("""COMPUTED_VALUE"""),"ALEXIA HEALTHCARE")</f>
        <v>ALEXIA HEALTHCARE</v>
      </c>
    </row>
    <row r="169" ht="16.5" customHeight="1">
      <c r="H169" s="1" t="str">
        <f>IFERROR(__xludf.DUMMYFUNCTION("""COMPUTED_VALUE"""),"ALIGENT COSMETOLOGY")</f>
        <v>ALIGENT COSMETOLOGY</v>
      </c>
    </row>
    <row r="170" ht="16.5" customHeight="1">
      <c r="H170" s="1" t="str">
        <f>IFERROR(__xludf.DUMMYFUNCTION("""COMPUTED_VALUE"""),"ALIO LIFESCIENCES")</f>
        <v>ALIO LIFESCIENCES</v>
      </c>
    </row>
    <row r="171" ht="16.5" customHeight="1">
      <c r="H171" s="1" t="str">
        <f>IFERROR(__xludf.DUMMYFUNCTION("""COMPUTED_VALUE"""),"ALISIER DRUGS")</f>
        <v>ALISIER DRUGS</v>
      </c>
    </row>
    <row r="172" ht="16.5" customHeight="1">
      <c r="H172" s="1" t="str">
        <f>IFERROR(__xludf.DUMMYFUNCTION("""COMPUTED_VALUE"""),"ALISTE HEALTHCARE PVT. LTD.")</f>
        <v>ALISTE HEALTHCARE PVT. LTD.</v>
      </c>
    </row>
    <row r="173" ht="16.5" customHeight="1">
      <c r="H173" s="1" t="str">
        <f>IFERROR(__xludf.DUMMYFUNCTION("""COMPUTED_VALUE"""),"ALIV HELTH CARE SOLAN")</f>
        <v>ALIV HELTH CARE SOLAN</v>
      </c>
    </row>
    <row r="174" ht="16.5" customHeight="1">
      <c r="H174" s="1" t="str">
        <f>IFERROR(__xludf.DUMMYFUNCTION("""COMPUTED_VALUE"""),"ALIXAR HEALTHCARE")</f>
        <v>ALIXAR HEALTHCARE</v>
      </c>
    </row>
    <row r="175" ht="16.5" customHeight="1">
      <c r="H175" s="1" t="str">
        <f>IFERROR(__xludf.DUMMYFUNCTION("""COMPUTED_VALUE"""),"ALKA CHEMICAL INDUSTRIES")</f>
        <v>ALKA CHEMICAL INDUSTRIES</v>
      </c>
    </row>
    <row r="176" ht="16.5" customHeight="1">
      <c r="H176" s="1" t="str">
        <f>IFERROR(__xludf.DUMMYFUNCTION("""COMPUTED_VALUE"""),"ALKA PHARMACEUTICALS")</f>
        <v>ALKA PHARMACEUTICALS</v>
      </c>
    </row>
    <row r="177" ht="16.5" customHeight="1">
      <c r="H177" s="1" t="str">
        <f>IFERROR(__xludf.DUMMYFUNCTION("""COMPUTED_VALUE"""),"ALKEM (ACE)")</f>
        <v>ALKEM (ACE)</v>
      </c>
    </row>
    <row r="178" ht="16.5" customHeight="1">
      <c r="H178" s="1" t="str">
        <f>IFERROR(__xludf.DUMMYFUNCTION("""COMPUTED_VALUE"""),"ALKEM (ALPHA)")</f>
        <v>ALKEM (ALPHA)</v>
      </c>
    </row>
    <row r="179" ht="16.5" customHeight="1">
      <c r="H179" s="1" t="str">
        <f>IFERROR(__xludf.DUMMYFUNCTION("""COMPUTED_VALUE"""),"ALKEM (ALPHAMAX)")</f>
        <v>ALKEM (ALPHAMAX)</v>
      </c>
    </row>
    <row r="180" ht="16.5" customHeight="1">
      <c r="H180" s="1" t="str">
        <f>IFERROR(__xludf.DUMMYFUNCTION("""COMPUTED_VALUE"""),"ALKEM (ALTIS)")</f>
        <v>ALKEM (ALTIS)</v>
      </c>
    </row>
    <row r="181" ht="16.5" customHeight="1">
      <c r="H181" s="1" t="str">
        <f>IFERROR(__xludf.DUMMYFUNCTION("""COMPUTED_VALUE"""),"ALKEM (BERGEN)")</f>
        <v>ALKEM (BERGEN)</v>
      </c>
    </row>
    <row r="182" ht="16.5" customHeight="1">
      <c r="H182" s="1" t="str">
        <f>IFERROR(__xludf.DUMMYFUNCTION("""COMPUTED_VALUE"""),"ALKEM (CARDIOLOGY)")</f>
        <v>ALKEM (CARDIOLOGY)</v>
      </c>
    </row>
    <row r="183" ht="16.5" customHeight="1">
      <c r="H183" s="1" t="str">
        <f>IFERROR(__xludf.DUMMYFUNCTION("""COMPUTED_VALUE"""),"ALKEM (DERMACARE)")</f>
        <v>ALKEM (DERMACARE)</v>
      </c>
    </row>
    <row r="184" ht="16.5" customHeight="1">
      <c r="H184" s="1" t="str">
        <f>IFERROR(__xludf.DUMMYFUNCTION("""COMPUTED_VALUE"""),"ALKEM (DERMAKEM)")</f>
        <v>ALKEM (DERMAKEM)</v>
      </c>
    </row>
    <row r="185" ht="16.5" customHeight="1">
      <c r="H185" s="1" t="str">
        <f>IFERROR(__xludf.DUMMYFUNCTION("""COMPUTED_VALUE"""),"ALKEM (DIABETOLOGY)")</f>
        <v>ALKEM (DIABETOLOGY)</v>
      </c>
    </row>
    <row r="186" ht="16.5" customHeight="1">
      <c r="H186" s="1" t="str">
        <f>IFERROR(__xludf.DUMMYFUNCTION("""COMPUTED_VALUE"""),"ALKEM (FERTICA)")</f>
        <v>ALKEM (FERTICA)</v>
      </c>
    </row>
    <row r="187" ht="16.5" customHeight="1">
      <c r="H187" s="1" t="str">
        <f>IFERROR(__xludf.DUMMYFUNCTION("""COMPUTED_VALUE"""),"ALKEM (GENERIC-FUTURA)")</f>
        <v>ALKEM (GENERIC-FUTURA)</v>
      </c>
    </row>
    <row r="188" ht="16.5" customHeight="1">
      <c r="H188" s="1" t="str">
        <f>IFERROR(__xludf.DUMMYFUNCTION("""COMPUTED_VALUE"""),"ALKEM (GENERIC-MAXXIO)")</f>
        <v>ALKEM (GENERIC-MAXXIO)</v>
      </c>
    </row>
    <row r="189" ht="16.5" customHeight="1">
      <c r="H189" s="1" t="str">
        <f>IFERROR(__xludf.DUMMYFUNCTION("""COMPUTED_VALUE"""),"ALKEM (GENERIC)")</f>
        <v>ALKEM (GENERIC)</v>
      </c>
    </row>
    <row r="190" ht="16.5" customHeight="1">
      <c r="H190" s="1" t="str">
        <f>IFERROR(__xludf.DUMMYFUNCTION("""COMPUTED_VALUE"""),"ALKEM (HEALTH CARE)")</f>
        <v>ALKEM (HEALTH CARE)</v>
      </c>
    </row>
    <row r="191" ht="16.5" customHeight="1">
      <c r="H191" s="1" t="str">
        <f>IFERROR(__xludf.DUMMYFUNCTION("""COMPUTED_VALUE"""),"ALKEM (IMPERIA)")</f>
        <v>ALKEM (IMPERIA)</v>
      </c>
    </row>
    <row r="192" ht="16.5" customHeight="1">
      <c r="H192" s="1" t="str">
        <f>IFERROR(__xludf.DUMMYFUNCTION("""COMPUTED_VALUE"""),"ALKEM (MAIN)")</f>
        <v>ALKEM (MAIN)</v>
      </c>
    </row>
    <row r="193" ht="16.5" customHeight="1">
      <c r="H193" s="1" t="str">
        <f>IFERROR(__xludf.DUMMYFUNCTION("""COMPUTED_VALUE"""),"ALKEM (METABOLICS)")</f>
        <v>ALKEM (METABOLICS)</v>
      </c>
    </row>
    <row r="194" ht="16.5" customHeight="1">
      <c r="H194" s="1" t="str">
        <f>IFERROR(__xludf.DUMMYFUNCTION("""COMPUTED_VALUE"""),"ALKEM (ONCOLOGY)")</f>
        <v>ALKEM (ONCOLOGY)</v>
      </c>
    </row>
    <row r="195" ht="16.5" customHeight="1">
      <c r="H195" s="1" t="str">
        <f>IFERROR(__xludf.DUMMYFUNCTION("""COMPUTED_VALUE"""),"ALKEM (OTC)")</f>
        <v>ALKEM (OTC)</v>
      </c>
    </row>
    <row r="196" ht="16.5" customHeight="1">
      <c r="H196" s="1" t="str">
        <f>IFERROR(__xludf.DUMMYFUNCTION("""COMPUTED_VALUE"""),"ALKEM (ULTICARE)")</f>
        <v>ALKEM (ULTICARE)</v>
      </c>
    </row>
    <row r="197" ht="16.5" customHeight="1">
      <c r="H197" s="1" t="str">
        <f>IFERROR(__xludf.DUMMYFUNCTION("""COMPUTED_VALUE"""),"ALKEM (UROLOGY)")</f>
        <v>ALKEM (UROLOGY)</v>
      </c>
    </row>
    <row r="198" ht="16.5" customHeight="1">
      <c r="H198" s="1" t="str">
        <f>IFERROR(__xludf.DUMMYFUNCTION("""COMPUTED_VALUE"""),"ALKEM (ZURIEVE)")</f>
        <v>ALKEM (ZURIEVE)</v>
      </c>
    </row>
    <row r="199" ht="16.5" customHeight="1">
      <c r="H199" s="1" t="str">
        <f>IFERROR(__xludf.DUMMYFUNCTION("""COMPUTED_VALUE"""),"Alkem Laboratories Ltd")</f>
        <v>Alkem Laboratories Ltd</v>
      </c>
    </row>
    <row r="200" ht="16.5" customHeight="1">
      <c r="H200" s="1" t="str">
        <f>IFERROR(__xludf.DUMMYFUNCTION("""COMPUTED_VALUE"""),"Alkem Laboratories Ltd (SPECIALITY)")</f>
        <v>Alkem Laboratories Ltd (SPECIALITY)</v>
      </c>
    </row>
    <row r="201" ht="16.5" customHeight="1">
      <c r="H201" s="1" t="str">
        <f>IFERROR(__xludf.DUMMYFUNCTION("""COMPUTED_VALUE"""),"ALLEN - INDORE")</f>
        <v>ALLEN - INDORE</v>
      </c>
    </row>
    <row r="202" ht="16.5" customHeight="1">
      <c r="H202" s="1" t="str">
        <f>IFERROR(__xludf.DUMMYFUNCTION("""COMPUTED_VALUE"""),"ALLEN - KOLKATA")</f>
        <v>ALLEN - KOLKATA</v>
      </c>
    </row>
    <row r="203" ht="16.5" customHeight="1">
      <c r="H203" s="1" t="str">
        <f>IFERROR(__xludf.DUMMYFUNCTION("""COMPUTED_VALUE"""),"Allen Dale Biosciences")</f>
        <v>Allen Dale Biosciences</v>
      </c>
    </row>
    <row r="204" ht="16.5" customHeight="1">
      <c r="H204" s="1" t="str">
        <f>IFERROR(__xludf.DUMMYFUNCTION("""COMPUTED_VALUE"""),"ALLEN LABORATORIES LTD")</f>
        <v>ALLEN LABORATORIES LTD</v>
      </c>
    </row>
    <row r="205" ht="16.5" customHeight="1">
      <c r="H205" s="1" t="str">
        <f>IFERROR(__xludf.DUMMYFUNCTION("""COMPUTED_VALUE"""),"ALLENTIS PHARMACEUTICALS PVT LTD")</f>
        <v>ALLENTIS PHARMACEUTICALS PVT LTD</v>
      </c>
    </row>
    <row r="206" ht="16.5" customHeight="1">
      <c r="H206" s="1" t="str">
        <f>IFERROR(__xludf.DUMMYFUNCTION("""COMPUTED_VALUE"""),"ALLERGAN INDIA (ALPHA)")</f>
        <v>ALLERGAN INDIA (ALPHA)</v>
      </c>
    </row>
    <row r="207" ht="16.5" customHeight="1">
      <c r="H207" s="1" t="str">
        <f>IFERROR(__xludf.DUMMYFUNCTION("""COMPUTED_VALUE"""),"ALLERGAN INDIA (BRAVO)")</f>
        <v>ALLERGAN INDIA (BRAVO)</v>
      </c>
    </row>
    <row r="208" ht="16.5" customHeight="1">
      <c r="H208" s="1" t="str">
        <f>IFERROR(__xludf.DUMMYFUNCTION("""COMPUTED_VALUE"""),"ALLERGAN INDIA (CHARLIF)")</f>
        <v>ALLERGAN INDIA (CHARLIF)</v>
      </c>
    </row>
    <row r="209" ht="16.5" customHeight="1">
      <c r="H209" s="1" t="str">
        <f>IFERROR(__xludf.DUMMYFUNCTION("""COMPUTED_VALUE"""),"ALLERGAN INDIA (DELTA)")</f>
        <v>ALLERGAN INDIA (DELTA)</v>
      </c>
    </row>
    <row r="210" ht="16.5" customHeight="1">
      <c r="H210" s="1" t="str">
        <f>IFERROR(__xludf.DUMMYFUNCTION("""COMPUTED_VALUE"""),"Allergan India Pvt Ltd")</f>
        <v>Allergan India Pvt Ltd</v>
      </c>
    </row>
    <row r="211" ht="16.5" customHeight="1">
      <c r="H211" s="1" t="str">
        <f>IFERROR(__xludf.DUMMYFUNCTION("""COMPUTED_VALUE"""),"ALLEX MEDICAL SYSTEM")</f>
        <v>ALLEX MEDICAL SYSTEM</v>
      </c>
    </row>
    <row r="212" ht="16.5" customHeight="1">
      <c r="H212" s="1" t="str">
        <f>IFERROR(__xludf.DUMMYFUNCTION("""COMPUTED_VALUE"""),"ALLIAANCE BIOTECH SOLAN")</f>
        <v>ALLIAANCE BIOTECH SOLAN</v>
      </c>
    </row>
    <row r="213" ht="16.5" customHeight="1">
      <c r="H213" s="1" t="str">
        <f>IFERROR(__xludf.DUMMYFUNCTION("""COMPUTED_VALUE"""),"ALLOTROPE LIFE SCIENCES P LTD")</f>
        <v>ALLOTROPE LIFE SCIENCES P LTD</v>
      </c>
    </row>
    <row r="214" ht="16.5" customHeight="1">
      <c r="H214" s="1" t="str">
        <f>IFERROR(__xludf.DUMMYFUNCTION("""COMPUTED_VALUE"""),"ALLURE REMEDIES PVT LTD")</f>
        <v>ALLURE REMEDIES PVT LTD</v>
      </c>
    </row>
    <row r="215" ht="16.5" customHeight="1">
      <c r="H215" s="1" t="str">
        <f>IFERROR(__xludf.DUMMYFUNCTION("""COMPUTED_VALUE"""),"ALLYSIA LIFESCIENCES P LTD")</f>
        <v>ALLYSIA LIFESCIENCES P LTD</v>
      </c>
    </row>
    <row r="216" ht="16.5" customHeight="1">
      <c r="H216" s="1" t="str">
        <f>IFERROR(__xludf.DUMMYFUNCTION("""COMPUTED_VALUE"""),"Almet Corporation Ltd")</f>
        <v>Almet Corporation Ltd</v>
      </c>
    </row>
    <row r="217" ht="16.5" customHeight="1">
      <c r="H217" s="1" t="str">
        <f>IFERROR(__xludf.DUMMYFUNCTION("""COMPUTED_VALUE"""),"ALNA BIOTECH PVT LTD")</f>
        <v>ALNA BIOTECH PVT LTD</v>
      </c>
    </row>
    <row r="218" ht="16.5" customHeight="1">
      <c r="H218" s="1" t="str">
        <f>IFERROR(__xludf.DUMMYFUNCTION("""COMPUTED_VALUE"""),"ALNICH (ENTERICO)")</f>
        <v>ALNICH (ENTERICO)</v>
      </c>
    </row>
    <row r="219" ht="16.5" customHeight="1">
      <c r="H219" s="1" t="str">
        <f>IFERROR(__xludf.DUMMYFUNCTION("""COMPUTED_VALUE"""),"ALNICHE LIFE SCIENCES PVT LTD")</f>
        <v>ALNICHE LIFE SCIENCES PVT LTD</v>
      </c>
    </row>
    <row r="220" ht="16.5" customHeight="1">
      <c r="H220" s="1" t="str">
        <f>IFERROR(__xludf.DUMMYFUNCTION("""COMPUTED_VALUE"""),"ALNICHE LIFESCIENCES (CRITICAL CARE)")</f>
        <v>ALNICHE LIFESCIENCES (CRITICAL CARE)</v>
      </c>
    </row>
    <row r="221" ht="16.5" customHeight="1">
      <c r="H221" s="1" t="str">
        <f>IFERROR(__xludf.DUMMYFUNCTION("""COMPUTED_VALUE"""),"ALNICHE LIFESCIENCES (GASTRO)")</f>
        <v>ALNICHE LIFESCIENCES (GASTRO)</v>
      </c>
    </row>
    <row r="222" ht="16.5" customHeight="1">
      <c r="H222" s="1" t="str">
        <f>IFERROR(__xludf.DUMMYFUNCTION("""COMPUTED_VALUE"""),"ALNICHE LIFESCIENCES (NEPHRO)")</f>
        <v>ALNICHE LIFESCIENCES (NEPHRO)</v>
      </c>
    </row>
    <row r="223" ht="16.5" customHeight="1">
      <c r="H223" s="1" t="str">
        <f>IFERROR(__xludf.DUMMYFUNCTION("""COMPUTED_VALUE"""),"ALNICHE LIFESCIENCES (ORAL SOLIDS)")</f>
        <v>ALNICHE LIFESCIENCES (ORAL SOLIDS)</v>
      </c>
    </row>
    <row r="224" ht="16.5" customHeight="1">
      <c r="H224" s="1" t="str">
        <f>IFERROR(__xludf.DUMMYFUNCTION("""COMPUTED_VALUE"""),"ALNICHE LIFESCIENCES (ORICO)")</f>
        <v>ALNICHE LIFESCIENCES (ORICO)</v>
      </c>
    </row>
    <row r="225" ht="16.5" customHeight="1">
      <c r="H225" s="1" t="str">
        <f>IFERROR(__xludf.DUMMYFUNCTION("""COMPUTED_VALUE"""),"ALPA LABORATORIES")</f>
        <v>ALPA LABORATORIES</v>
      </c>
    </row>
    <row r="226" ht="16.5" customHeight="1">
      <c r="H226" s="1" t="str">
        <f>IFERROR(__xludf.DUMMYFUNCTION("""COMPUTED_VALUE"""),"ALPIC BIOTECH")</f>
        <v>ALPIC BIOTECH</v>
      </c>
    </row>
    <row r="227" ht="16.5" customHeight="1">
      <c r="H227" s="1" t="str">
        <f>IFERROR(__xludf.DUMMYFUNCTION("""COMPUTED_VALUE"""),"ALSUN PHARMA")</f>
        <v>ALSUN PHARMA</v>
      </c>
    </row>
    <row r="228" ht="16.5" customHeight="1">
      <c r="H228" s="1" t="str">
        <f>IFERROR(__xludf.DUMMYFUNCTION("""COMPUTED_VALUE"""),"ALTEUS BIOGENICS")</f>
        <v>ALTEUS BIOGENICS</v>
      </c>
    </row>
    <row r="229" ht="16.5" customHeight="1">
      <c r="H229" s="1" t="str">
        <f>IFERROR(__xludf.DUMMYFUNCTION("""COMPUTED_VALUE"""),"ALTEZA EXIM")</f>
        <v>ALTEZA EXIM</v>
      </c>
    </row>
    <row r="230" ht="16.5" customHeight="1">
      <c r="H230" s="1" t="str">
        <f>IFERROR(__xludf.DUMMYFUNCTION("""COMPUTED_VALUE"""),"ALTIS PHARMA")</f>
        <v>ALTIS PHARMA</v>
      </c>
    </row>
    <row r="231" ht="16.5" customHeight="1">
      <c r="H231" s="1" t="str">
        <f>IFERROR(__xludf.DUMMYFUNCTION("""COMPUTED_VALUE"""),"ALTON BIOSCIENCES PVT LTD")</f>
        <v>ALTON BIOSCIENCES PVT LTD</v>
      </c>
    </row>
    <row r="232" ht="16.5" customHeight="1">
      <c r="H232" s="1" t="str">
        <f>IFERROR(__xludf.DUMMYFUNCTION("""COMPUTED_VALUE"""),"ALVIN WILLCURE")</f>
        <v>ALVIN WILLCURE</v>
      </c>
    </row>
    <row r="233" ht="16.5" customHeight="1">
      <c r="H233" s="1" t="str">
        <f>IFERROR(__xludf.DUMMYFUNCTION("""COMPUTED_VALUE"""),"ALVIO PHARMACEUTICALS")</f>
        <v>ALVIO PHARMACEUTICALS</v>
      </c>
    </row>
    <row r="234" ht="16.5" customHeight="1">
      <c r="H234" s="1" t="str">
        <f>IFERROR(__xludf.DUMMYFUNCTION("""COMPUTED_VALUE"""),"ALVIS MEDI  SYNTHESIS PVT LTD")</f>
        <v>ALVIS MEDI  SYNTHESIS PVT LTD</v>
      </c>
    </row>
    <row r="235" ht="16.5" customHeight="1">
      <c r="H235" s="1" t="str">
        <f>IFERROR(__xludf.DUMMYFUNCTION("""COMPUTED_VALUE"""),"ALVISTA BIOSCIENCES PVT LTD")</f>
        <v>ALVISTA BIOSCIENCES PVT LTD</v>
      </c>
    </row>
    <row r="236" ht="16.5" customHeight="1">
      <c r="H236" s="1" t="str">
        <f>IFERROR(__xludf.DUMMYFUNCTION("""COMPUTED_VALUE"""),"AMARANTHA AYURVEDA")</f>
        <v>AMARANTHA AYURVEDA</v>
      </c>
    </row>
    <row r="237" ht="16.5" customHeight="1">
      <c r="H237" s="1" t="str">
        <f>IFERROR(__xludf.DUMMYFUNCTION("""COMPUTED_VALUE"""),"AMAZEN PHARMACEUTICALS")</f>
        <v>AMAZEN PHARMACEUTICALS</v>
      </c>
    </row>
    <row r="238" ht="16.5" customHeight="1">
      <c r="H238" s="1" t="str">
        <f>IFERROR(__xludf.DUMMYFUNCTION("""COMPUTED_VALUE"""),"AMAZING RESEARCH LABORATORIES LTD")</f>
        <v>AMAZING RESEARCH LABORATORIES LTD</v>
      </c>
    </row>
    <row r="239" ht="16.5" customHeight="1">
      <c r="H239" s="1" t="str">
        <f>IFERROR(__xludf.DUMMYFUNCTION("""COMPUTED_VALUE"""),"AMBIC AAYURCHEM, ROORKE")</f>
        <v>AMBIC AAYURCHEM, ROORKE</v>
      </c>
    </row>
    <row r="240" ht="16.5" customHeight="1">
      <c r="H240" s="1" t="str">
        <f>IFERROR(__xludf.DUMMYFUNCTION("""COMPUTED_VALUE"""),"AMBIC AYURVED INDIA P LTD")</f>
        <v>AMBIC AYURVED INDIA P LTD</v>
      </c>
    </row>
    <row r="241" ht="16.5" customHeight="1">
      <c r="H241" s="1" t="str">
        <f>IFERROR(__xludf.DUMMYFUNCTION("""COMPUTED_VALUE"""),"AMBIT BIOMEDIX")</f>
        <v>AMBIT BIOMEDIX</v>
      </c>
    </row>
    <row r="242" ht="16.5" customHeight="1">
      <c r="H242" s="1" t="str">
        <f>IFERROR(__xludf.DUMMYFUNCTION("""COMPUTED_VALUE"""),"AMBROSIA DRUGS")</f>
        <v>AMBROSIA DRUGS</v>
      </c>
    </row>
    <row r="243" ht="16.5" customHeight="1">
      <c r="H243" s="1" t="str">
        <f>IFERROR(__xludf.DUMMYFUNCTION("""COMPUTED_VALUE"""),"AMCO HERBALS P LTD")</f>
        <v>AMCO HERBALS P LTD</v>
      </c>
    </row>
    <row r="244" ht="16.5" customHeight="1">
      <c r="H244" s="1" t="str">
        <f>IFERROR(__xludf.DUMMYFUNCTION("""COMPUTED_VALUE"""),"AMEND")</f>
        <v>AMEND</v>
      </c>
    </row>
    <row r="245" ht="16.5" customHeight="1">
      <c r="H245" s="1" t="str">
        <f>IFERROR(__xludf.DUMMYFUNCTION("""COMPUTED_VALUE"""),"AMENTUS HEALTHCARE")</f>
        <v>AMENTUS HEALTHCARE</v>
      </c>
    </row>
    <row r="246" ht="16.5" customHeight="1">
      <c r="H246" s="1" t="str">
        <f>IFERROR(__xludf.DUMMYFUNCTION("""COMPUTED_VALUE"""),"AMERICAN REMEDIES")</f>
        <v>AMERICAN REMEDIES</v>
      </c>
    </row>
    <row r="247" ht="16.5" customHeight="1">
      <c r="H247" s="1" t="str">
        <f>IFERROR(__xludf.DUMMYFUNCTION("""COMPUTED_VALUE"""),"AMI CARE PHARMACEUTICALS")</f>
        <v>AMI CARE PHARMACEUTICALS</v>
      </c>
    </row>
    <row r="248" ht="16.5" customHeight="1">
      <c r="H248" s="1" t="str">
        <f>IFERROR(__xludf.DUMMYFUNCTION("""COMPUTED_VALUE"""),"AMICURES RESEARCH PVT LTD")</f>
        <v>AMICURES RESEARCH PVT LTD</v>
      </c>
    </row>
    <row r="249" ht="16.5" customHeight="1">
      <c r="H249" s="1" t="str">
        <f>IFERROR(__xludf.DUMMYFUNCTION("""COMPUTED_VALUE"""),"AMORGOS HEALTHCARE PVT LTD")</f>
        <v>AMORGOS HEALTHCARE PVT LTD</v>
      </c>
    </row>
    <row r="250" ht="16.5" customHeight="1">
      <c r="H250" s="1" t="str">
        <f>IFERROR(__xludf.DUMMYFUNCTION("""COMPUTED_VALUE"""),"AMP ALLKEM MEDICAL PHARMACEUTICALS PVT LTD")</f>
        <v>AMP ALLKEM MEDICAL PHARMACEUTICALS PVT LTD</v>
      </c>
    </row>
    <row r="251" ht="16.5" customHeight="1">
      <c r="H251" s="1" t="str">
        <f>IFERROR(__xludf.DUMMYFUNCTION("""COMPUTED_VALUE"""),"AMPS BIOTECH")</f>
        <v>AMPS BIOTECH</v>
      </c>
    </row>
    <row r="252" ht="16.5" customHeight="1">
      <c r="H252" s="1" t="str">
        <f>IFERROR(__xludf.DUMMYFUNCTION("""COMPUTED_VALUE"""),"AMRA REMEDIES")</f>
        <v>AMRA REMEDIES</v>
      </c>
    </row>
    <row r="253" ht="16.5" customHeight="1">
      <c r="H253" s="1" t="str">
        <f>IFERROR(__xludf.DUMMYFUNCTION("""COMPUTED_VALUE"""),"AMRICON BIOTECH")</f>
        <v>AMRICON BIOTECH</v>
      </c>
    </row>
    <row r="254" ht="16.5" customHeight="1">
      <c r="H254" s="1" t="str">
        <f>IFERROR(__xludf.DUMMYFUNCTION("""COMPUTED_VALUE"""),"AMRITDHARA PHARMACY")</f>
        <v>AMRITDHARA PHARMACY</v>
      </c>
    </row>
    <row r="255" ht="16.5" customHeight="1">
      <c r="H255" s="1" t="str">
        <f>IFERROR(__xludf.DUMMYFUNCTION("""COMPUTED_VALUE"""),"AMRUT DRUG RESEARCH LAB")</f>
        <v>AMRUT DRUG RESEARCH LAB</v>
      </c>
    </row>
    <row r="256" ht="16.5" customHeight="1">
      <c r="H256" s="1" t="str">
        <f>IFERROR(__xludf.DUMMYFUNCTION("""COMPUTED_VALUE"""),"AMRUTANJAN HEALTH CARE LIMITED")</f>
        <v>AMRUTANJAN HEALTH CARE LIMITED</v>
      </c>
    </row>
    <row r="257" ht="16.5" customHeight="1">
      <c r="H257" s="1" t="str">
        <f>IFERROR(__xludf.DUMMYFUNCTION("""COMPUTED_VALUE"""),"ANANJAY PHARMACEUTICALS PVT LTD")</f>
        <v>ANANJAY PHARMACEUTICALS PVT LTD</v>
      </c>
    </row>
    <row r="258" ht="16.5" customHeight="1">
      <c r="H258" s="1" t="str">
        <f>IFERROR(__xludf.DUMMYFUNCTION("""COMPUTED_VALUE"""),"ANCHOR PHARMA PVT LTD")</f>
        <v>ANCHOR PHARMA PVT LTD</v>
      </c>
    </row>
    <row r="259" ht="16.5" customHeight="1">
      <c r="H259" s="1" t="str">
        <f>IFERROR(__xludf.DUMMYFUNCTION("""COMPUTED_VALUE"""),"ANDRE LABORATORIES")</f>
        <v>ANDRE LABORATORIES</v>
      </c>
    </row>
    <row r="260" ht="16.5" customHeight="1">
      <c r="H260" s="1" t="str">
        <f>IFERROR(__xludf.DUMMYFUNCTION("""COMPUTED_VALUE"""),"ANDROMEDA PHARMACEUTICALS")</f>
        <v>ANDROMEDA PHARMACEUTICALS</v>
      </c>
    </row>
    <row r="261" ht="16.5" customHeight="1">
      <c r="H261" s="1" t="str">
        <f>IFERROR(__xludf.DUMMYFUNCTION("""COMPUTED_VALUE"""),"ANDROMEDA PHARMACEUTICALS PVT LTD")</f>
        <v>ANDROMEDA PHARMACEUTICALS PVT LTD</v>
      </c>
    </row>
    <row r="262" ht="16.5" customHeight="1">
      <c r="H262" s="1" t="str">
        <f>IFERROR(__xludf.DUMMYFUNCTION("""COMPUTED_VALUE"""),"ANDY PHARMA")</f>
        <v>ANDY PHARMA</v>
      </c>
    </row>
    <row r="263" ht="16.5" customHeight="1">
      <c r="H263" s="1" t="str">
        <f>IFERROR(__xludf.DUMMYFUNCTION("""COMPUTED_VALUE"""),"ANG LIFESCIENCES INDIA LTD")</f>
        <v>ANG LIFESCIENCES INDIA LTD</v>
      </c>
    </row>
    <row r="264" ht="16.5" customHeight="1">
      <c r="H264" s="1" t="str">
        <f>IFERROR(__xludf.DUMMYFUNCTION("""COMPUTED_VALUE"""),"ANGIOLIFE HEALTHCARE PVT LTD")</f>
        <v>ANGIOLIFE HEALTHCARE PVT LTD</v>
      </c>
    </row>
    <row r="265" ht="16.5" customHeight="1">
      <c r="H265" s="1" t="str">
        <f>IFERROR(__xludf.DUMMYFUNCTION("""COMPUTED_VALUE"""),"Anglo French Drugs (BONA FIDA)")</f>
        <v>Anglo French Drugs (BONA FIDA)</v>
      </c>
    </row>
    <row r="266" ht="16.5" customHeight="1">
      <c r="H266" s="1" t="str">
        <f>IFERROR(__xludf.DUMMYFUNCTION("""COMPUTED_VALUE"""),"ANGLO FRENCH DRUGS (NUTRALOGICX)")</f>
        <v>ANGLO FRENCH DRUGS (NUTRALOGICX)</v>
      </c>
    </row>
    <row r="267" ht="16.5" customHeight="1">
      <c r="H267" s="1" t="str">
        <f>IFERROR(__xludf.DUMMYFUNCTION("""COMPUTED_VALUE"""),"ANGLO FRENCH DRUGS (TRUE CARE)")</f>
        <v>ANGLO FRENCH DRUGS (TRUE CARE)</v>
      </c>
    </row>
    <row r="268" ht="16.5" customHeight="1">
      <c r="H268" s="1" t="str">
        <f>IFERROR(__xludf.DUMMYFUNCTION("""COMPUTED_VALUE"""),"ANGLO SWIFT")</f>
        <v>ANGLO SWIFT</v>
      </c>
    </row>
    <row r="269" ht="16.5" customHeight="1">
      <c r="H269" s="1" t="str">
        <f>IFERROR(__xludf.DUMMYFUNCTION("""COMPUTED_VALUE"""),"Anglo-French Drugs &amp; Industries Ltd")</f>
        <v>Anglo-French Drugs &amp; Industries Ltd</v>
      </c>
    </row>
    <row r="270" ht="16.5" customHeight="1">
      <c r="H270" s="1" t="str">
        <f>IFERROR(__xludf.DUMMYFUNCTION("""COMPUTED_VALUE"""),"ANGLO-INDIAN PHARMACEUTICALS")</f>
        <v>ANGLO-INDIAN PHARMACEUTICALS</v>
      </c>
    </row>
    <row r="271" ht="16.5" customHeight="1">
      <c r="H271" s="1" t="str">
        <f>IFERROR(__xludf.DUMMYFUNCTION("""COMPUTED_VALUE"""),"ANIL AYURVED BHAWAN")</f>
        <v>ANIL AYURVED BHAWAN</v>
      </c>
    </row>
    <row r="272" ht="16.5" customHeight="1">
      <c r="H272" s="1" t="str">
        <f>IFERROR(__xludf.DUMMYFUNCTION("""COMPUTED_VALUE"""),"ANIYA PHARACEUTICAL PVT LTD")</f>
        <v>ANIYA PHARACEUTICAL PVT LTD</v>
      </c>
    </row>
    <row r="273" ht="16.5" customHeight="1">
      <c r="H273" s="1" t="str">
        <f>IFERROR(__xludf.DUMMYFUNCTION("""COMPUTED_VALUE"""),"ANJANI PHARMACEUTICALS")</f>
        <v>ANJANI PHARMACEUTICALS</v>
      </c>
    </row>
    <row r="274" ht="16.5" customHeight="1">
      <c r="H274" s="1" t="str">
        <f>IFERROR(__xludf.DUMMYFUNCTION("""COMPUTED_VALUE"""),"ANJU PHARMA")</f>
        <v>ANJU PHARMA</v>
      </c>
    </row>
    <row r="275" ht="16.5" customHeight="1">
      <c r="H275" s="1" t="str">
        <f>IFERROR(__xludf.DUMMYFUNCTION("""COMPUTED_VALUE"""),"ANKUR")</f>
        <v>ANKUR</v>
      </c>
    </row>
    <row r="276" ht="16.5" customHeight="1">
      <c r="H276" s="1" t="str">
        <f>IFERROR(__xludf.DUMMYFUNCTION("""COMPUTED_VALUE"""),"ANSELL LTD")</f>
        <v>ANSELL LTD</v>
      </c>
    </row>
    <row r="277" ht="16.5" customHeight="1">
      <c r="H277" s="1" t="str">
        <f>IFERROR(__xludf.DUMMYFUNCTION("""COMPUTED_VALUE"""),"ANSH HEALTHCARE")</f>
        <v>ANSH HEALTHCARE</v>
      </c>
    </row>
    <row r="278" ht="16.5" customHeight="1">
      <c r="H278" s="1" t="str">
        <f>IFERROR(__xludf.DUMMYFUNCTION("""COMPUTED_VALUE"""),"ANSIL PHARMA")</f>
        <v>ANSIL PHARMA</v>
      </c>
    </row>
    <row r="279" ht="16.5" customHeight="1">
      <c r="H279" s="1" t="str">
        <f>IFERROR(__xludf.DUMMYFUNCTION("""COMPUTED_VALUE"""),"ANTHEM BIOPHARMA")</f>
        <v>ANTHEM BIOPHARMA</v>
      </c>
    </row>
    <row r="280" ht="16.5" customHeight="1">
      <c r="H280" s="1" t="str">
        <f>IFERROR(__xludf.DUMMYFUNCTION("""COMPUTED_VALUE"""),"ANTILA")</f>
        <v>ANTILA</v>
      </c>
    </row>
    <row r="281" ht="16.5" customHeight="1">
      <c r="H281" s="1" t="str">
        <f>IFERROR(__xludf.DUMMYFUNCTION("""COMPUTED_VALUE"""),"ANVICURE DRUGS")</f>
        <v>ANVICURE DRUGS</v>
      </c>
    </row>
    <row r="282" ht="16.5" customHeight="1">
      <c r="H282" s="1" t="str">
        <f>IFERROR(__xludf.DUMMYFUNCTION("""COMPUTED_VALUE"""),"APEX FORMULATIONS PVT LTD")</f>
        <v>APEX FORMULATIONS PVT LTD</v>
      </c>
    </row>
    <row r="283" ht="16.5" customHeight="1">
      <c r="H283" s="1" t="str">
        <f>IFERROR(__xludf.DUMMYFUNCTION("""COMPUTED_VALUE"""),"APEX LABORATORIES (CIDIS)")</f>
        <v>APEX LABORATORIES (CIDIS)</v>
      </c>
    </row>
    <row r="284" ht="16.5" customHeight="1">
      <c r="H284" s="1" t="str">
        <f>IFERROR(__xludf.DUMMYFUNCTION("""COMPUTED_VALUE"""),"APEX LABORATORIES (DERMA)")</f>
        <v>APEX LABORATORIES (DERMA)</v>
      </c>
    </row>
    <row r="285" ht="16.5" customHeight="1">
      <c r="H285" s="1" t="str">
        <f>IFERROR(__xludf.DUMMYFUNCTION("""COMPUTED_VALUE"""),"APEX LABORATORIES (MAIN)")</f>
        <v>APEX LABORATORIES (MAIN)</v>
      </c>
    </row>
    <row r="286" ht="16.5" customHeight="1">
      <c r="H286" s="1" t="str">
        <f>IFERROR(__xludf.DUMMYFUNCTION("""COMPUTED_VALUE"""),"APEX LABORATORIES (SKINNOVA)")</f>
        <v>APEX LABORATORIES (SKINNOVA)</v>
      </c>
    </row>
    <row r="287" ht="16.5" customHeight="1">
      <c r="H287" s="1" t="str">
        <f>IFERROR(__xludf.DUMMYFUNCTION("""COMPUTED_VALUE"""),"Apex Laboratories Pvt Ltd")</f>
        <v>Apex Laboratories Pvt Ltd</v>
      </c>
    </row>
    <row r="288" ht="16.5" customHeight="1">
      <c r="H288" s="1" t="str">
        <f>IFERROR(__xludf.DUMMYFUNCTION("""COMPUTED_VALUE"""),"APHALI PHARMACEUTICALS LTD")</f>
        <v>APHALI PHARMACEUTICALS LTD</v>
      </c>
    </row>
    <row r="289" ht="16.5" customHeight="1">
      <c r="H289" s="1" t="str">
        <f>IFERROR(__xludf.DUMMYFUNCTION("""COMPUTED_VALUE"""),"APICAL HELTH CARE PVT LTD")</f>
        <v>APICAL HELTH CARE PVT LTD</v>
      </c>
    </row>
    <row r="290" ht="16.5" customHeight="1">
      <c r="H290" s="1" t="str">
        <f>IFERROR(__xludf.DUMMYFUNCTION("""COMPUTED_VALUE"""),"Apostle Remedies")</f>
        <v>Apostle Remedies</v>
      </c>
    </row>
    <row r="291" ht="16.5" customHeight="1">
      <c r="H291" s="1" t="str">
        <f>IFERROR(__xludf.DUMMYFUNCTION("""COMPUTED_VALUE"""),"APPASAMY OCULAR DEVICE PVT LTD")</f>
        <v>APPASAMY OCULAR DEVICE PVT LTD</v>
      </c>
    </row>
    <row r="292" ht="16.5" customHeight="1">
      <c r="H292" s="1" t="str">
        <f>IFERROR(__xludf.DUMMYFUNCTION("""COMPUTED_VALUE"""),"APPENA P LTD")</f>
        <v>APPENA P LTD</v>
      </c>
    </row>
    <row r="293" ht="16.5" customHeight="1">
      <c r="H293" s="1" t="str">
        <f>IFERROR(__xludf.DUMMYFUNCTION("""COMPUTED_VALUE"""),"APPLE BIOTECH")</f>
        <v>APPLE BIOTECH</v>
      </c>
    </row>
    <row r="294" ht="16.5" customHeight="1">
      <c r="H294" s="1" t="str">
        <f>IFERROR(__xludf.DUMMYFUNCTION("""COMPUTED_VALUE"""),"APPLE MEDICORP")</f>
        <v>APPLE MEDICORP</v>
      </c>
    </row>
    <row r="295" ht="16.5" customHeight="1">
      <c r="H295" s="1" t="str">
        <f>IFERROR(__xludf.DUMMYFUNCTION("""COMPUTED_VALUE"""),"APPLE THERAPEUTICS")</f>
        <v>APPLE THERAPEUTICS</v>
      </c>
    </row>
    <row r="296" ht="16.5" customHeight="1">
      <c r="H296" s="1" t="str">
        <f>IFERROR(__xludf.DUMMYFUNCTION("""COMPUTED_VALUE"""),"APPLIED PHARMA RESEARCH")</f>
        <v>APPLIED PHARMA RESEARCH</v>
      </c>
    </row>
    <row r="297" ht="16.5" customHeight="1">
      <c r="H297" s="1" t="str">
        <f>IFERROR(__xludf.DUMMYFUNCTION("""COMPUTED_VALUE"""),"APRICA (PULSE)")</f>
        <v>APRICA (PULSE)</v>
      </c>
    </row>
    <row r="298" ht="16.5" customHeight="1">
      <c r="H298" s="1" t="str">
        <f>IFERROR(__xludf.DUMMYFUNCTION("""COMPUTED_VALUE"""),"Aprica Pharmaceuticals Pvt Ltd")</f>
        <v>Aprica Pharmaceuticals Pvt Ltd</v>
      </c>
    </row>
    <row r="299" ht="16.5" customHeight="1">
      <c r="H299" s="1" t="str">
        <f>IFERROR(__xludf.DUMMYFUNCTION("""COMPUTED_VALUE"""),"AQUILA LABS")</f>
        <v>AQUILA LABS</v>
      </c>
    </row>
    <row r="300" ht="16.5" customHeight="1">
      <c r="H300" s="1" t="str">
        <f>IFERROR(__xludf.DUMMYFUNCTION("""COMPUTED_VALUE"""),"AQUINNOVA PHARMACEUTICAL PVT LTD")</f>
        <v>AQUINNOVA PHARMACEUTICAL PVT LTD</v>
      </c>
    </row>
    <row r="301" ht="16.5" customHeight="1">
      <c r="H301" s="1" t="str">
        <f>IFERROR(__xludf.DUMMYFUNCTION("""COMPUTED_VALUE"""),"AQUNOVA PHARMA PVT LTD")</f>
        <v>AQUNOVA PHARMA PVT LTD</v>
      </c>
    </row>
    <row r="302" ht="16.5" customHeight="1">
      <c r="H302" s="1" t="str">
        <f>IFERROR(__xludf.DUMMYFUNCTION("""COMPUTED_VALUE"""),"Ar-Ex Laboratories Pvt Ltd")</f>
        <v>Ar-Ex Laboratories Pvt Ltd</v>
      </c>
    </row>
    <row r="303" ht="16.5" customHeight="1">
      <c r="H303" s="1" t="str">
        <f>IFERROR(__xludf.DUMMYFUNCTION("""COMPUTED_VALUE"""),"ARBRO PHARMA")</f>
        <v>ARBRO PHARMA</v>
      </c>
    </row>
    <row r="304" ht="16.5" customHeight="1">
      <c r="H304" s="1" t="str">
        <f>IFERROR(__xludf.DUMMYFUNCTION("""COMPUTED_VALUE"""),"ARC PHARMACEUTICALS")</f>
        <v>ARC PHARMACEUTICALS</v>
      </c>
    </row>
    <row r="305" ht="16.5" customHeight="1">
      <c r="H305" s="1" t="str">
        <f>IFERROR(__xludf.DUMMYFUNCTION("""COMPUTED_VALUE"""),"ARCH LABORATORIES")</f>
        <v>ARCH LABORATORIES</v>
      </c>
    </row>
    <row r="306" ht="16.5" customHeight="1">
      <c r="H306" s="1" t="str">
        <f>IFERROR(__xludf.DUMMYFUNCTION("""COMPUTED_VALUE"""),"ARCHI CARE")</f>
        <v>ARCHI CARE</v>
      </c>
    </row>
    <row r="307" ht="16.5" customHeight="1">
      <c r="H307" s="1" t="str">
        <f>IFERROR(__xludf.DUMMYFUNCTION("""COMPUTED_VALUE"""),"ARCO PHARMA")</f>
        <v>ARCO PHARMA</v>
      </c>
    </row>
    <row r="308" ht="16.5" customHeight="1">
      <c r="H308" s="1" t="str">
        <f>IFERROR(__xludf.DUMMYFUNCTION("""COMPUTED_VALUE"""),"ARDENT LIFE SCIENCES")</f>
        <v>ARDENT LIFE SCIENCES</v>
      </c>
    </row>
    <row r="309" ht="16.5" customHeight="1">
      <c r="H309" s="1" t="str">
        <f>IFERROR(__xludf.DUMMYFUNCTION("""COMPUTED_VALUE"""),"ARINNA (ALANZA)")</f>
        <v>ARINNA (ALANZA)</v>
      </c>
    </row>
    <row r="310" ht="16.5" customHeight="1">
      <c r="H310" s="1" t="str">
        <f>IFERROR(__xludf.DUMMYFUNCTION("""COMPUTED_VALUE"""),"ARINNA (ALEXA)")</f>
        <v>ARINNA (ALEXA)</v>
      </c>
    </row>
    <row r="311" ht="16.5" customHeight="1">
      <c r="H311" s="1" t="str">
        <f>IFERROR(__xludf.DUMMYFUNCTION("""COMPUTED_VALUE"""),"ARINNA (ARISSA)")</f>
        <v>ARINNA (ARISSA)</v>
      </c>
    </row>
    <row r="312" ht="16.5" customHeight="1">
      <c r="H312" s="1" t="str">
        <f>IFERROR(__xludf.DUMMYFUNCTION("""COMPUTED_VALUE"""),"Arinna Lifescience Pvt Ltd")</f>
        <v>Arinna Lifescience Pvt Ltd</v>
      </c>
    </row>
    <row r="313" ht="16.5" customHeight="1">
      <c r="H313" s="1" t="str">
        <f>IFERROR(__xludf.DUMMYFUNCTION("""COMPUTED_VALUE"""),"ARION HEALTHCARE")</f>
        <v>ARION HEALTHCARE</v>
      </c>
    </row>
    <row r="314" ht="16.5" customHeight="1">
      <c r="H314" s="1" t="str">
        <f>IFERROR(__xludf.DUMMYFUNCTION("""COMPUTED_VALUE"""),"ARISTO (GENETICA)")</f>
        <v>ARISTO (GENETICA)</v>
      </c>
    </row>
    <row r="315" ht="16.5" customHeight="1">
      <c r="H315" s="1" t="str">
        <f>IFERROR(__xludf.DUMMYFUNCTION("""COMPUTED_VALUE"""),"ARISTO (MF1)")</f>
        <v>ARISTO (MF1)</v>
      </c>
    </row>
    <row r="316" ht="16.5" customHeight="1">
      <c r="H316" s="1" t="str">
        <f>IFERROR(__xludf.DUMMYFUNCTION("""COMPUTED_VALUE"""),"ARISTO (MF2)")</f>
        <v>ARISTO (MF2)</v>
      </c>
    </row>
    <row r="317" ht="16.5" customHeight="1">
      <c r="H317" s="1" t="str">
        <f>IFERROR(__xludf.DUMMYFUNCTION("""COMPUTED_VALUE"""),"ARISTO (MF3)")</f>
        <v>ARISTO (MF3)</v>
      </c>
    </row>
    <row r="318" ht="16.5" customHeight="1">
      <c r="H318" s="1" t="str">
        <f>IFERROR(__xludf.DUMMYFUNCTION("""COMPUTED_VALUE"""),"ARISTO (MF4)")</f>
        <v>ARISTO (MF4)</v>
      </c>
    </row>
    <row r="319" ht="16.5" customHeight="1">
      <c r="H319" s="1" t="str">
        <f>IFERROR(__xludf.DUMMYFUNCTION("""COMPUTED_VALUE"""),"ARISTO (OTSIRA)")</f>
        <v>ARISTO (OTSIRA)</v>
      </c>
    </row>
    <row r="320" ht="16.5" customHeight="1">
      <c r="H320" s="1" t="str">
        <f>IFERROR(__xludf.DUMMYFUNCTION("""COMPUTED_VALUE"""),"ARISTO (TF)")</f>
        <v>ARISTO (TF)</v>
      </c>
    </row>
    <row r="321" ht="16.5" customHeight="1">
      <c r="H321" s="1" t="str">
        <f>IFERROR(__xludf.DUMMYFUNCTION("""COMPUTED_VALUE"""),"Aristo Pharmaceuticals Pvt Ltd")</f>
        <v>Aristo Pharmaceuticals Pvt Ltd</v>
      </c>
    </row>
    <row r="322" ht="16.5" customHeight="1">
      <c r="H322" s="1" t="str">
        <f>IFERROR(__xludf.DUMMYFUNCTION("""COMPUTED_VALUE"""),"ARIUS HEALTHCARE")</f>
        <v>ARIUS HEALTHCARE</v>
      </c>
    </row>
    <row r="323" ht="16.5" customHeight="1">
      <c r="H323" s="1" t="str">
        <f>IFERROR(__xludf.DUMMYFUNCTION("""COMPUTED_VALUE"""),"ARMOUR FORMULATION")</f>
        <v>ARMOUR FORMULATION</v>
      </c>
    </row>
    <row r="324" ht="16.5" customHeight="1">
      <c r="H324" s="1" t="str">
        <f>IFERROR(__xludf.DUMMYFUNCTION("""COMPUTED_VALUE"""),"AROHAN PHARMACEUTICALS")</f>
        <v>AROHAN PHARMACEUTICALS</v>
      </c>
    </row>
    <row r="325" ht="16.5" customHeight="1">
      <c r="H325" s="1" t="str">
        <f>IFERROR(__xludf.DUMMYFUNCTION("""COMPUTED_VALUE"""),"ARONEX  LIFESCIENCES")</f>
        <v>ARONEX  LIFESCIENCES</v>
      </c>
    </row>
    <row r="326" ht="16.5" customHeight="1">
      <c r="H326" s="1" t="str">
        <f>IFERROR(__xludf.DUMMYFUNCTION("""COMPUTED_VALUE"""),"Aronex Life Sciences Pvt. Ltd.")</f>
        <v>Aronex Life Sciences Pvt. Ltd.</v>
      </c>
    </row>
    <row r="327" ht="16.5" customHeight="1">
      <c r="H327" s="1" t="str">
        <f>IFERROR(__xludf.DUMMYFUNCTION("""COMPUTED_VALUE"""),"ARRIENT (ORENDA)")</f>
        <v>ARRIENT (ORENDA)</v>
      </c>
    </row>
    <row r="328" ht="16.5" customHeight="1">
      <c r="H328" s="1" t="str">
        <f>IFERROR(__xludf.DUMMYFUNCTION("""COMPUTED_VALUE"""),"ARRIENT HEALTHCARE")</f>
        <v>ARRIENT HEALTHCARE</v>
      </c>
    </row>
    <row r="329" ht="16.5" customHeight="1">
      <c r="H329" s="1" t="str">
        <f>IFERROR(__xludf.DUMMYFUNCTION("""COMPUTED_VALUE"""),"ARROPHAR HEALTHCARE")</f>
        <v>ARROPHAR HEALTHCARE</v>
      </c>
    </row>
    <row r="330" ht="16.5" customHeight="1">
      <c r="H330" s="1" t="str">
        <f>IFERROR(__xludf.DUMMYFUNCTION("""COMPUTED_VALUE"""),"ARROW PHARMA")</f>
        <v>ARROW PHARMA</v>
      </c>
    </row>
    <row r="331" ht="16.5" customHeight="1">
      <c r="H331" s="1" t="str">
        <f>IFERROR(__xludf.DUMMYFUNCTION("""COMPUTED_VALUE"""),"ARROWIN PHARMACEUTICALS")</f>
        <v>ARROWIN PHARMACEUTICALS</v>
      </c>
    </row>
    <row r="332" ht="16.5" customHeight="1">
      <c r="H332" s="1" t="str">
        <f>IFERROR(__xludf.DUMMYFUNCTION("""COMPUTED_VALUE"""),"ARTHUS WELLNESS INDIA P LTD")</f>
        <v>ARTHUS WELLNESS INDIA P LTD</v>
      </c>
    </row>
    <row r="333" ht="16.5" customHeight="1">
      <c r="H333" s="1" t="str">
        <f>IFERROR(__xludf.DUMMYFUNCTION("""COMPUTED_VALUE"""),"ARTI PHARMACEUTICALS &amp; CHEMICALS")</f>
        <v>ARTI PHARMACEUTICALS &amp; CHEMICALS</v>
      </c>
    </row>
    <row r="334" ht="16.5" customHeight="1">
      <c r="H334" s="1" t="str">
        <f>IFERROR(__xludf.DUMMYFUNCTION("""COMPUTED_VALUE"""),"ARUL PHARMETA")</f>
        <v>ARUL PHARMETA</v>
      </c>
    </row>
    <row r="335" ht="16.5" customHeight="1">
      <c r="H335" s="1" t="str">
        <f>IFERROR(__xludf.DUMMYFUNCTION("""COMPUTED_VALUE"""),"ARVIND PHARMACEUTICALS")</f>
        <v>ARVIND PHARMACEUTICALS</v>
      </c>
    </row>
    <row r="336" ht="16.5" customHeight="1">
      <c r="H336" s="1" t="str">
        <f>IFERROR(__xludf.DUMMYFUNCTION("""COMPUTED_VALUE"""),"ARVIND REMEDIES")</f>
        <v>ARVIND REMEDIES</v>
      </c>
    </row>
    <row r="337" ht="16.5" customHeight="1">
      <c r="H337" s="1" t="str">
        <f>IFERROR(__xludf.DUMMYFUNCTION("""COMPUTED_VALUE"""),"ARYA AUSHADHI")</f>
        <v>ARYA AUSHADHI</v>
      </c>
    </row>
    <row r="338" ht="16.5" customHeight="1">
      <c r="H338" s="1" t="str">
        <f>IFERROR(__xludf.DUMMYFUNCTION("""COMPUTED_VALUE"""),"ARYAN LABORATORIES")</f>
        <v>ARYAN LABORATORIES</v>
      </c>
    </row>
    <row r="339" ht="16.5" customHeight="1">
      <c r="H339" s="1" t="str">
        <f>IFERROR(__xludf.DUMMYFUNCTION("""COMPUTED_VALUE"""),"Asclepius Pharmaceuticals Pvt Ltd")</f>
        <v>Asclepius Pharmaceuticals Pvt Ltd</v>
      </c>
    </row>
    <row r="340" ht="16.5" customHeight="1">
      <c r="H340" s="1" t="str">
        <f>IFERROR(__xludf.DUMMYFUNCTION("""COMPUTED_VALUE"""),"ASCORPUS HEALTHCARE")</f>
        <v>ASCORPUS HEALTHCARE</v>
      </c>
    </row>
    <row r="341" ht="16.5" customHeight="1">
      <c r="H341" s="1" t="str">
        <f>IFERROR(__xludf.DUMMYFUNCTION("""COMPUTED_VALUE"""),"ASGARD LABS")</f>
        <v>ASGARD LABS</v>
      </c>
    </row>
    <row r="342" ht="16.5" customHeight="1">
      <c r="H342" s="1" t="str">
        <f>IFERROR(__xludf.DUMMYFUNCTION("""COMPUTED_VALUE"""),"ASHWA HEALTHCARE")</f>
        <v>ASHWA HEALTHCARE</v>
      </c>
    </row>
    <row r="343" ht="16.5" customHeight="1">
      <c r="H343" s="1" t="str">
        <f>IFERROR(__xludf.DUMMYFUNCTION("""COMPUTED_VALUE"""),"ASIAN PHARMACEUTICALS P LTD")</f>
        <v>ASIAN PHARMACEUTICALS P LTD</v>
      </c>
    </row>
    <row r="344" ht="16.5" customHeight="1">
      <c r="H344" s="1" t="str">
        <f>IFERROR(__xludf.DUMMYFUNCTION("""COMPUTED_VALUE"""),"ASKON HEALTHCARE PVT LTD")</f>
        <v>ASKON HEALTHCARE PVT LTD</v>
      </c>
    </row>
    <row r="345" ht="16.5" customHeight="1">
      <c r="H345" s="1" t="str">
        <f>IFERROR(__xludf.DUMMYFUNCTION("""COMPUTED_VALUE"""),"ASOJ SOFT CAPS P LTD")</f>
        <v>ASOJ SOFT CAPS P LTD</v>
      </c>
    </row>
    <row r="346" ht="16.5" customHeight="1">
      <c r="H346" s="1" t="str">
        <f>IFERROR(__xludf.DUMMYFUNCTION("""COMPUTED_VALUE"""),"ASSOCIATED BIOTECH, NALAGAR")</f>
        <v>ASSOCIATED BIOTECH, NALAGAR</v>
      </c>
    </row>
    <row r="347" ht="16.5" customHeight="1">
      <c r="H347" s="1" t="str">
        <f>IFERROR(__xludf.DUMMYFUNCTION("""COMPUTED_VALUE"""),"ASSURE SURGICALS PVT LTD")</f>
        <v>ASSURE SURGICALS PVT LTD</v>
      </c>
    </row>
    <row r="348" ht="16.5" customHeight="1">
      <c r="H348" s="1" t="str">
        <f>IFERROR(__xludf.DUMMYFUNCTION("""COMPUTED_VALUE"""),"ASTALON PHARMA")</f>
        <v>ASTALON PHARMA</v>
      </c>
    </row>
    <row r="349" ht="16.5" customHeight="1">
      <c r="H349" s="1" t="str">
        <f>IFERROR(__xludf.DUMMYFUNCTION("""COMPUTED_VALUE"""),"ASTELLAS PHARMA INDIA")</f>
        <v>ASTELLAS PHARMA INDIA</v>
      </c>
    </row>
    <row r="350" ht="16.5" customHeight="1">
      <c r="H350" s="1" t="str">
        <f>IFERROR(__xludf.DUMMYFUNCTION("""COMPUTED_VALUE"""),"ASTEMAX BIOTECH")</f>
        <v>ASTEMAX BIOTECH</v>
      </c>
    </row>
    <row r="351" ht="16.5" customHeight="1">
      <c r="H351" s="1" t="str">
        <f>IFERROR(__xludf.DUMMYFUNCTION("""COMPUTED_VALUE"""),"ASTER MEDIPHARM P LTD")</f>
        <v>ASTER MEDIPHARM P LTD</v>
      </c>
    </row>
    <row r="352" ht="16.5" customHeight="1">
      <c r="H352" s="1" t="str">
        <f>IFERROR(__xludf.DUMMYFUNCTION("""COMPUTED_VALUE"""),"ASTERISK LABS PVT LTD")</f>
        <v>ASTERISK LABS PVT LTD</v>
      </c>
    </row>
    <row r="353" ht="16.5" customHeight="1">
      <c r="H353" s="1" t="str">
        <f>IFERROR(__xludf.DUMMYFUNCTION("""COMPUTED_VALUE"""),"ASTEROIDS PHARMA")</f>
        <v>ASTEROIDS PHARMA</v>
      </c>
    </row>
    <row r="354" ht="16.5" customHeight="1">
      <c r="H354" s="1" t="str">
        <f>IFERROR(__xludf.DUMMYFUNCTION("""COMPUTED_VALUE"""),"ASTON ORGANICS")</f>
        <v>ASTON ORGANICS</v>
      </c>
    </row>
    <row r="355" ht="16.5" customHeight="1">
      <c r="H355" s="1" t="str">
        <f>IFERROR(__xludf.DUMMYFUNCTION("""COMPUTED_VALUE"""),"Astra Zeneca")</f>
        <v>Astra Zeneca</v>
      </c>
    </row>
    <row r="356" ht="16.5" customHeight="1">
      <c r="H356" s="1" t="str">
        <f>IFERROR(__xludf.DUMMYFUNCTION("""COMPUTED_VALUE"""),"Astra Zeneca (ACS LIFE)")</f>
        <v>Astra Zeneca (ACS LIFE)</v>
      </c>
    </row>
    <row r="357" ht="16.5" customHeight="1">
      <c r="H357" s="1" t="str">
        <f>IFERROR(__xludf.DUMMYFUNCTION("""COMPUTED_VALUE"""),"Astra Zeneca (AZCENT)")</f>
        <v>Astra Zeneca (AZCENT)</v>
      </c>
    </row>
    <row r="358" ht="16.5" customHeight="1">
      <c r="H358" s="1" t="str">
        <f>IFERROR(__xludf.DUMMYFUNCTION("""COMPUTED_VALUE"""),"Astra Zeneca (AZPIRE)")</f>
        <v>Astra Zeneca (AZPIRE)</v>
      </c>
    </row>
    <row r="359" ht="16.5" customHeight="1">
      <c r="H359" s="1" t="str">
        <f>IFERROR(__xludf.DUMMYFUNCTION("""COMPUTED_VALUE"""),"Astra Zeneca (CRESCENT)")</f>
        <v>Astra Zeneca (CRESCENT)</v>
      </c>
    </row>
    <row r="360" ht="16.5" customHeight="1">
      <c r="H360" s="1" t="str">
        <f>IFERROR(__xludf.DUMMYFUNCTION("""COMPUTED_VALUE"""),"Astra Zeneca (DIABITIES)")</f>
        <v>Astra Zeneca (DIABITIES)</v>
      </c>
    </row>
    <row r="361" ht="16.5" customHeight="1">
      <c r="H361" s="1" t="str">
        <f>IFERROR(__xludf.DUMMYFUNCTION("""COMPUTED_VALUE"""),"Astra Zeneca (INFECTION)")</f>
        <v>Astra Zeneca (INFECTION)</v>
      </c>
    </row>
    <row r="362" ht="16.5" customHeight="1">
      <c r="H362" s="1" t="str">
        <f>IFERROR(__xludf.DUMMYFUNCTION("""COMPUTED_VALUE"""),"Astra Zeneca (MHC)")</f>
        <v>Astra Zeneca (MHC)</v>
      </c>
    </row>
    <row r="363" ht="16.5" customHeight="1">
      <c r="H363" s="1" t="str">
        <f>IFERROR(__xludf.DUMMYFUNCTION("""COMPUTED_VALUE"""),"ASTRA-IDL LIMITED")</f>
        <v>ASTRA-IDL LIMITED</v>
      </c>
    </row>
    <row r="364" ht="16.5" customHeight="1">
      <c r="H364" s="1" t="str">
        <f>IFERROR(__xludf.DUMMYFUNCTION("""COMPUTED_VALUE"""),"ASTRONIA LIFE SCIENCES")</f>
        <v>ASTRONIA LIFE SCIENCES</v>
      </c>
    </row>
    <row r="365" ht="16.5" customHeight="1">
      <c r="H365" s="1" t="str">
        <f>IFERROR(__xludf.DUMMYFUNCTION("""COMPUTED_VALUE"""),"ASTRUM HEALTHCARE PVT LTD")</f>
        <v>ASTRUM HEALTHCARE PVT LTD</v>
      </c>
    </row>
    <row r="366" ht="16.5" customHeight="1">
      <c r="H366" s="1" t="str">
        <f>IFERROR(__xludf.DUMMYFUNCTION("""COMPUTED_VALUE"""),"ASWINI HOMEO PHARMACY")</f>
        <v>ASWINI HOMEO PHARMACY</v>
      </c>
    </row>
    <row r="367" ht="16.5" customHeight="1">
      <c r="H367" s="1" t="str">
        <f>IFERROR(__xludf.DUMMYFUNCTION("""COMPUTED_VALUE"""),"ATHARVMEILLEUR HEALTH")</f>
        <v>ATHARVMEILLEUR HEALTH</v>
      </c>
    </row>
    <row r="368" ht="16.5" customHeight="1">
      <c r="H368" s="1" t="str">
        <f>IFERROR(__xludf.DUMMYFUNCTION("""COMPUTED_VALUE"""),"ATHENE LABORATORIES LTD")</f>
        <v>ATHENE LABORATORIES LTD</v>
      </c>
    </row>
    <row r="369" ht="16.5" customHeight="1">
      <c r="H369" s="1" t="str">
        <f>IFERROR(__xludf.DUMMYFUNCTION("""COMPUTED_VALUE"""),"ATHLON MEDIVENTURES")</f>
        <v>ATHLON MEDIVENTURES</v>
      </c>
    </row>
    <row r="370" ht="16.5" customHeight="1">
      <c r="H370" s="1" t="str">
        <f>IFERROR(__xludf.DUMMYFUNCTION("""COMPUTED_VALUE"""),"ATIT PHARMA")</f>
        <v>ATIT PHARMA</v>
      </c>
    </row>
    <row r="371" ht="16.5" customHeight="1">
      <c r="H371" s="1" t="str">
        <f>IFERROR(__xludf.DUMMYFUNCTION("""COMPUTED_VALUE"""),"ATLANTIC PHARMACEUTICALS")</f>
        <v>ATLANTIC PHARMACEUTICALS</v>
      </c>
    </row>
    <row r="372" ht="16.5" customHeight="1">
      <c r="H372" s="1" t="str">
        <f>IFERROR(__xludf.DUMMYFUNCTION("""COMPUTED_VALUE"""),"ATLINA LIFE SCIENCES PVT LTD")</f>
        <v>ATLINA LIFE SCIENCES PVT LTD</v>
      </c>
    </row>
    <row r="373" ht="16.5" customHeight="1">
      <c r="H373" s="1" t="str">
        <f>IFERROR(__xludf.DUMMYFUNCTION("""COMPUTED_VALUE"""),"ATON BIOTECH")</f>
        <v>ATON BIOTECH</v>
      </c>
    </row>
    <row r="374" ht="16.5" customHeight="1">
      <c r="H374" s="1" t="str">
        <f>IFERROR(__xludf.DUMMYFUNCTION("""COMPUTED_VALUE"""),"ATOPIC LABORATORIES PVT LTD")</f>
        <v>ATOPIC LABORATORIES PVT LTD</v>
      </c>
    </row>
    <row r="375" ht="16.5" customHeight="1">
      <c r="H375" s="1" t="str">
        <f>IFERROR(__xludf.DUMMYFUNCTION("""COMPUTED_VALUE"""),"ATOPIC LABS PVT LTD")</f>
        <v>ATOPIC LABS PVT LTD</v>
      </c>
    </row>
    <row r="376" ht="16.5" customHeight="1">
      <c r="H376" s="1" t="str">
        <f>IFERROR(__xludf.DUMMYFUNCTION("""COMPUTED_VALUE"""),"ATTAR PHARMACEUTICALS")</f>
        <v>ATTAR PHARMACEUTICALS</v>
      </c>
    </row>
    <row r="377" ht="16.5" customHeight="1">
      <c r="H377" s="1" t="str">
        <f>IFERROR(__xludf.DUMMYFUNCTION("""COMPUTED_VALUE"""),"ATTEMP HEALTHCARE")</f>
        <v>ATTEMP HEALTHCARE</v>
      </c>
    </row>
    <row r="378" ht="16.5" customHeight="1">
      <c r="H378" s="1" t="str">
        <f>IFERROR(__xludf.DUMMYFUNCTION("""COMPUTED_VALUE"""),"ATTEMPT LIFE")</f>
        <v>ATTEMPT LIFE</v>
      </c>
    </row>
    <row r="379" ht="16.5" customHeight="1">
      <c r="H379" s="1" t="str">
        <f>IFERROR(__xludf.DUMMYFUNCTION("""COMPUTED_VALUE"""),"AURA NUTRACEUTICALS LTD")</f>
        <v>AURA NUTRACEUTICALS LTD</v>
      </c>
    </row>
    <row r="380" ht="16.5" customHeight="1">
      <c r="H380" s="1" t="str">
        <f>IFERROR(__xludf.DUMMYFUNCTION("""COMPUTED_VALUE"""),"AURAM LIFESCIENCES P LTD")</f>
        <v>AURAM LIFESCIENCES P LTD</v>
      </c>
    </row>
    <row r="381" ht="16.5" customHeight="1">
      <c r="H381" s="1" t="str">
        <f>IFERROR(__xludf.DUMMYFUNCTION("""COMPUTED_VALUE"""),"AURAYA HEALTHCARE")</f>
        <v>AURAYA HEALTHCARE</v>
      </c>
    </row>
    <row r="382" ht="16.5" customHeight="1">
      <c r="H382" s="1" t="str">
        <f>IFERROR(__xludf.DUMMYFUNCTION("""COMPUTED_VALUE"""),"AUREATE HEALTHCARE")</f>
        <v>AUREATE HEALTHCARE</v>
      </c>
    </row>
    <row r="383" ht="16.5" customHeight="1">
      <c r="H383" s="1" t="str">
        <f>IFERROR(__xludf.DUMMYFUNCTION("""COMPUTED_VALUE"""),"AUREL DERMA")</f>
        <v>AUREL DERMA</v>
      </c>
    </row>
    <row r="384" ht="16.5" customHeight="1">
      <c r="H384" s="1" t="str">
        <f>IFERROR(__xludf.DUMMYFUNCTION("""COMPUTED_VALUE"""),"AURICARE LIFESCIENCES")</f>
        <v>AURICARE LIFESCIENCES</v>
      </c>
    </row>
    <row r="385" ht="16.5" customHeight="1">
      <c r="H385" s="1" t="str">
        <f>IFERROR(__xludf.DUMMYFUNCTION("""COMPUTED_VALUE"""),"AURO SYSTEMS &amp; COMMUNICATIONS")</f>
        <v>AURO SYSTEMS &amp; COMMUNICATIONS</v>
      </c>
    </row>
    <row r="386" ht="16.5" customHeight="1">
      <c r="H386" s="1" t="str">
        <f>IFERROR(__xludf.DUMMYFUNCTION("""COMPUTED_VALUE"""),"AUROBINDO PHARMA LTD")</f>
        <v>AUROBINDO PHARMA LTD</v>
      </c>
    </row>
    <row r="387" ht="16.5" customHeight="1">
      <c r="H387" s="1" t="str">
        <f>IFERROR(__xludf.DUMMYFUNCTION("""COMPUTED_VALUE"""),"AUROCHEM LABORATORIES INDIA PVT LTD")</f>
        <v>AUROCHEM LABORATORIES INDIA PVT LTD</v>
      </c>
    </row>
    <row r="388" ht="16.5" customHeight="1">
      <c r="H388" s="1" t="str">
        <f>IFERROR(__xludf.DUMMYFUNCTION("""COMPUTED_VALUE"""),"AUSKIN CARE")</f>
        <v>AUSKIN CARE</v>
      </c>
    </row>
    <row r="389" ht="16.5" customHeight="1">
      <c r="H389" s="1" t="str">
        <f>IFERROR(__xludf.DUMMYFUNCTION("""COMPUTED_VALUE"""),"AUSMED LIFE SCIENCES")</f>
        <v>AUSMED LIFE SCIENCES</v>
      </c>
    </row>
    <row r="390" ht="16.5" customHeight="1">
      <c r="H390" s="1" t="str">
        <f>IFERROR(__xludf.DUMMYFUNCTION("""COMPUTED_VALUE"""),"AUSTIRA PHARMACEUTICAL")</f>
        <v>AUSTIRA PHARMACEUTICAL</v>
      </c>
    </row>
    <row r="391" ht="16.5" customHeight="1">
      <c r="H391" s="1" t="str">
        <f>IFERROR(__xludf.DUMMYFUNCTION("""COMPUTED_VALUE"""),"AUSTRAK PVT LTD")</f>
        <v>AUSTRAK PVT LTD</v>
      </c>
    </row>
    <row r="392" ht="16.5" customHeight="1">
      <c r="H392" s="1" t="str">
        <f>IFERROR(__xludf.DUMMYFUNCTION("""COMPUTED_VALUE"""),"AUSTRO LAB")</f>
        <v>AUSTRO LAB</v>
      </c>
    </row>
    <row r="393" ht="16.5" customHeight="1">
      <c r="H393" s="1" t="str">
        <f>IFERROR(__xludf.DUMMYFUNCTION("""COMPUTED_VALUE"""),"AUXTER BIOMEDIC")</f>
        <v>AUXTER BIOMEDIC</v>
      </c>
    </row>
    <row r="394" ht="16.5" customHeight="1">
      <c r="H394" s="1" t="str">
        <f>IFERROR(__xludf.DUMMYFUNCTION("""COMPUTED_VALUE"""),"AUZALUS LIFE SCIENCES")</f>
        <v>AUZALUS LIFE SCIENCES</v>
      </c>
    </row>
    <row r="395" ht="16.5" customHeight="1">
      <c r="H395" s="1" t="str">
        <f>IFERROR(__xludf.DUMMYFUNCTION("""COMPUTED_VALUE"""),"AVALLAC PHARMACEUTICAL")</f>
        <v>AVALLAC PHARMACEUTICAL</v>
      </c>
    </row>
    <row r="396" ht="16.5" customHeight="1">
      <c r="H396" s="1" t="str">
        <f>IFERROR(__xludf.DUMMYFUNCTION("""COMPUTED_VALUE"""),"AVANEESH HEALTHCARE")</f>
        <v>AVANEESH HEALTHCARE</v>
      </c>
    </row>
    <row r="397" ht="16.5" customHeight="1">
      <c r="H397" s="1" t="str">
        <f>IFERROR(__xludf.DUMMYFUNCTION("""COMPUTED_VALUE"""),"AVENCIA BIOTECH")</f>
        <v>AVENCIA BIOTECH</v>
      </c>
    </row>
    <row r="398" ht="16.5" customHeight="1">
      <c r="H398" s="1" t="str">
        <f>IFERROR(__xludf.DUMMYFUNCTION("""COMPUTED_VALUE"""),"AVENEW MEDIFACE INDIA")</f>
        <v>AVENEW MEDIFACE INDIA</v>
      </c>
    </row>
    <row r="399" ht="16.5" customHeight="1">
      <c r="H399" s="1" t="str">
        <f>IFERROR(__xludf.DUMMYFUNCTION("""COMPUTED_VALUE"""),"Aventis Pasteur India Ltd.")</f>
        <v>Aventis Pasteur India Ltd.</v>
      </c>
    </row>
    <row r="400" ht="16.5" customHeight="1">
      <c r="H400" s="1" t="str">
        <f>IFERROR(__xludf.DUMMYFUNCTION("""COMPUTED_VALUE"""),"AVILIUS NEUTRACARE")</f>
        <v>AVILIUS NEUTRACARE</v>
      </c>
    </row>
    <row r="401" ht="16.5" customHeight="1">
      <c r="H401" s="1" t="str">
        <f>IFERROR(__xludf.DUMMYFUNCTION("""COMPUTED_VALUE"""),"Avin Pharma")</f>
        <v>Avin Pharma</v>
      </c>
    </row>
    <row r="402" ht="16.5" customHeight="1">
      <c r="H402" s="1" t="str">
        <f>IFERROR(__xludf.DUMMYFUNCTION("""COMPUTED_VALUE"""),"Avinash Health Products Pvt Ltd")</f>
        <v>Avinash Health Products Pvt Ltd</v>
      </c>
    </row>
    <row r="403" ht="16.5" customHeight="1">
      <c r="H403" s="1" t="str">
        <f>IFERROR(__xludf.DUMMYFUNCTION("""COMPUTED_VALUE"""),"AVIOR THERAPPEUTIS")</f>
        <v>AVIOR THERAPPEUTIS</v>
      </c>
    </row>
    <row r="404" ht="16.5" customHeight="1">
      <c r="H404" s="1" t="str">
        <f>IFERROR(__xludf.DUMMYFUNCTION("""COMPUTED_VALUE"""),"Avis Lifecare Pvt Ltd")</f>
        <v>Avis Lifecare Pvt Ltd</v>
      </c>
    </row>
    <row r="405" ht="16.5" customHeight="1">
      <c r="H405" s="1" t="str">
        <f>IFERROR(__xludf.DUMMYFUNCTION("""COMPUTED_VALUE"""),"AVITA BIOPHARMACEUTICALS")</f>
        <v>AVITA BIOPHARMACEUTICALS</v>
      </c>
    </row>
    <row r="406" ht="16.5" customHeight="1">
      <c r="H406" s="1" t="str">
        <f>IFERROR(__xludf.DUMMYFUNCTION("""COMPUTED_VALUE"""),"AVITA BIOPHARNACEUTICALS")</f>
        <v>AVITA BIOPHARNACEUTICALS</v>
      </c>
    </row>
    <row r="407" ht="16.5" customHeight="1">
      <c r="H407" s="1" t="str">
        <f>IFERROR(__xludf.DUMMYFUNCTION("""COMPUTED_VALUE"""),"AVN PHARMACEUTICALS")</f>
        <v>AVN PHARMACEUTICALS</v>
      </c>
    </row>
    <row r="408" ht="16.5" customHeight="1">
      <c r="H408" s="1" t="str">
        <f>IFERROR(__xludf.DUMMYFUNCTION("""COMPUTED_VALUE"""),"AVNI")</f>
        <v>AVNI</v>
      </c>
    </row>
    <row r="409" ht="16.5" customHeight="1">
      <c r="H409" s="1" t="str">
        <f>IFERROR(__xludf.DUMMYFUNCTION("""COMPUTED_VALUE"""),"AVNI PHARMA SOLAN")</f>
        <v>AVNI PHARMA SOLAN</v>
      </c>
    </row>
    <row r="410" ht="16.5" customHeight="1">
      <c r="H410" s="1" t="str">
        <f>IFERROR(__xludf.DUMMYFUNCTION("""COMPUTED_VALUE"""),"AVONIC LIFE SCIENCES")</f>
        <v>AVONIC LIFE SCIENCES</v>
      </c>
    </row>
    <row r="411" ht="16.5" customHeight="1">
      <c r="H411" s="1" t="str">
        <f>IFERROR(__xludf.DUMMYFUNCTION("""COMPUTED_VALUE"""),"AWSTEN REMEDIES")</f>
        <v>AWSTEN REMEDIES</v>
      </c>
    </row>
    <row r="412" ht="16.5" customHeight="1">
      <c r="H412" s="1" t="str">
        <f>IFERROR(__xludf.DUMMYFUNCTION("""COMPUTED_VALUE"""),"AXELTIS HEALTHCARE")</f>
        <v>AXELTIS HEALTHCARE</v>
      </c>
    </row>
    <row r="413" ht="16.5" customHeight="1">
      <c r="H413" s="1" t="str">
        <f>IFERROR(__xludf.DUMMYFUNCTION("""COMPUTED_VALUE"""),"AXINIB 1")</f>
        <v>AXINIB 1</v>
      </c>
    </row>
    <row r="414" ht="16.5" customHeight="1">
      <c r="H414" s="1" t="str">
        <f>IFERROR(__xludf.DUMMYFUNCTION("""COMPUTED_VALUE"""),"AXINIB 5")</f>
        <v>AXINIB 5</v>
      </c>
    </row>
    <row r="415" ht="16.5" customHeight="1">
      <c r="H415" s="1" t="str">
        <f>IFERROR(__xludf.DUMMYFUNCTION("""COMPUTED_VALUE"""),"AXIS PHARMA")</f>
        <v>AXIS PHARMA</v>
      </c>
    </row>
    <row r="416" ht="16.5" customHeight="1">
      <c r="H416" s="1" t="str">
        <f>IFERROR(__xludf.DUMMYFUNCTION("""COMPUTED_VALUE"""),"AXO RESEARCH LABORATORIES")</f>
        <v>AXO RESEARCH LABORATORIES</v>
      </c>
    </row>
    <row r="417" ht="16.5" customHeight="1">
      <c r="H417" s="1" t="str">
        <f>IFERROR(__xludf.DUMMYFUNCTION("""COMPUTED_VALUE"""),"AYNS PHARMA")</f>
        <v>AYNS PHARMA</v>
      </c>
    </row>
    <row r="418" ht="16.5" customHeight="1">
      <c r="H418" s="1" t="str">
        <f>IFERROR(__xludf.DUMMYFUNCTION("""COMPUTED_VALUE"""),"AYURVED SEVA SADAN")</f>
        <v>AYURVED SEVA SADAN</v>
      </c>
    </row>
    <row r="419" ht="16.5" customHeight="1">
      <c r="H419" s="1" t="str">
        <f>IFERROR(__xludf.DUMMYFUNCTION("""COMPUTED_VALUE"""),"AYURVED SUMSHODHANALAYA")</f>
        <v>AYURVED SUMSHODHANALAYA</v>
      </c>
    </row>
    <row r="420" ht="16.5" customHeight="1">
      <c r="H420" s="1" t="str">
        <f>IFERROR(__xludf.DUMMYFUNCTION("""COMPUTED_VALUE"""),"AYURVEDA SEARCH")</f>
        <v>AYURVEDA SEARCH</v>
      </c>
    </row>
    <row r="421" ht="16.5" customHeight="1">
      <c r="H421" s="1" t="str">
        <f>IFERROR(__xludf.DUMMYFUNCTION("""COMPUTED_VALUE"""),"AYURVEDANT P LTD")</f>
        <v>AYURVEDANT P LTD</v>
      </c>
    </row>
    <row r="422" ht="16.5" customHeight="1">
      <c r="H422" s="1" t="str">
        <f>IFERROR(__xludf.DUMMYFUNCTION("""COMPUTED_VALUE"""),"AYURVEDIC VIKAS SANSTHAN")</f>
        <v>AYURVEDIC VIKAS SANSTHAN</v>
      </c>
    </row>
    <row r="423" ht="16.5" customHeight="1">
      <c r="H423" s="1" t="str">
        <f>IFERROR(__xludf.DUMMYFUNCTION("""COMPUTED_VALUE"""),"AYURWIN")</f>
        <v>AYURWIN</v>
      </c>
    </row>
    <row r="424" ht="16.5" customHeight="1">
      <c r="H424" s="1" t="str">
        <f>IFERROR(__xludf.DUMMYFUNCTION("""COMPUTED_VALUE"""),"AYUSH MEDICAL AGENCY (OTHER PRODUCTS)")</f>
        <v>AYUSH MEDICAL AGENCY (OTHER PRODUCTS)</v>
      </c>
    </row>
    <row r="425" ht="16.5" customHeight="1">
      <c r="H425" s="1" t="str">
        <f>IFERROR(__xludf.DUMMYFUNCTION("""COMPUTED_VALUE"""),"AYUSHAKTI HEALTH CARE")</f>
        <v>AYUSHAKTI HEALTH CARE</v>
      </c>
    </row>
    <row r="426" ht="16.5" customHeight="1">
      <c r="H426" s="1" t="str">
        <f>IFERROR(__xludf.DUMMYFUNCTION("""COMPUTED_VALUE"""),"AZILLIAN HEALTHCARE PVT LTD")</f>
        <v>AZILLIAN HEALTHCARE PVT LTD</v>
      </c>
    </row>
    <row r="427" ht="16.5" customHeight="1">
      <c r="H427" s="1" t="str">
        <f>IFERROR(__xludf.DUMMYFUNCTION("""COMPUTED_VALUE"""),"AZINE HEALTHCARE P LTD")</f>
        <v>AZINE HEALTHCARE P LTD</v>
      </c>
    </row>
    <row r="428" ht="16.5" customHeight="1">
      <c r="H428" s="1" t="str">
        <f>IFERROR(__xludf.DUMMYFUNCTION("""COMPUTED_VALUE"""),"AZKKA PHARMACEUTICALS PVT LTD")</f>
        <v>AZKKA PHARMACEUTICALS PVT LTD</v>
      </c>
    </row>
    <row r="429" ht="16.5" customHeight="1">
      <c r="H429" s="1" t="str">
        <f>IFERROR(__xludf.DUMMYFUNCTION("""COMPUTED_VALUE"""),"AZKKOR PHARMA")</f>
        <v>AZKKOR PHARMA</v>
      </c>
    </row>
    <row r="430" ht="16.5" customHeight="1">
      <c r="H430" s="1" t="str">
        <f>IFERROR(__xludf.DUMMYFUNCTION("""COMPUTED_VALUE"""),"AZZURRA PHARMA")</f>
        <v>AZZURRA PHARMA</v>
      </c>
    </row>
    <row r="431" ht="16.5" customHeight="1">
      <c r="H431" s="1" t="str">
        <f>IFERROR(__xludf.DUMMYFUNCTION("""COMPUTED_VALUE"""),"B BRAUN")</f>
        <v>B BRAUN</v>
      </c>
    </row>
    <row r="432" ht="16.5" customHeight="1">
      <c r="H432" s="1" t="str">
        <f>IFERROR(__xludf.DUMMYFUNCTION("""COMPUTED_VALUE"""),"B-TEX OINTMENT")</f>
        <v>B-TEX OINTMENT</v>
      </c>
    </row>
    <row r="433" ht="16.5" customHeight="1">
      <c r="H433" s="1" t="str">
        <f>IFERROR(__xludf.DUMMYFUNCTION("""COMPUTED_VALUE"""),"B&amp;B GROUP")</f>
        <v>B&amp;B GROUP</v>
      </c>
    </row>
    <row r="434" ht="16.5" customHeight="1">
      <c r="H434" s="1" t="str">
        <f>IFERROR(__xludf.DUMMYFUNCTION("""COMPUTED_VALUE"""),"B&amp;J LIFE SCIENCES")</f>
        <v>B&amp;J LIFE SCIENCES</v>
      </c>
    </row>
    <row r="435" ht="16.5" customHeight="1">
      <c r="H435" s="1" t="str">
        <f>IFERROR(__xludf.DUMMYFUNCTION("""COMPUTED_VALUE"""),"BACFO Pharmaceuticals (India) Ltd.")</f>
        <v>BACFO Pharmaceuticals (India) Ltd.</v>
      </c>
    </row>
    <row r="436" ht="16.5" customHeight="1">
      <c r="H436" s="1" t="str">
        <f>IFERROR(__xludf.DUMMYFUNCTION("""COMPUTED_VALUE"""),"BAHOLA")</f>
        <v>BAHOLA</v>
      </c>
    </row>
    <row r="437" ht="16.5" customHeight="1">
      <c r="H437" s="1" t="str">
        <f>IFERROR(__xludf.DUMMYFUNCTION("""COMPUTED_VALUE"""),"BAIN MEDICAL EQIPMENT")</f>
        <v>BAIN MEDICAL EQIPMENT</v>
      </c>
    </row>
    <row r="438" ht="16.5" customHeight="1">
      <c r="H438" s="1" t="str">
        <f>IFERROR(__xludf.DUMMYFUNCTION("""COMPUTED_VALUE"""),"BAJAJ CORP LTD")</f>
        <v>BAJAJ CORP LTD</v>
      </c>
    </row>
    <row r="439" ht="16.5" customHeight="1">
      <c r="H439" s="1" t="str">
        <f>IFERROR(__xludf.DUMMYFUNCTION("""COMPUTED_VALUE"""),"BAJAJ MEDICARE")</f>
        <v>BAJAJ MEDICARE</v>
      </c>
    </row>
    <row r="440" ht="16.5" customHeight="1">
      <c r="H440" s="1" t="str">
        <f>IFERROR(__xludf.DUMMYFUNCTION("""COMPUTED_VALUE"""),"BAKSON")</f>
        <v>BAKSON</v>
      </c>
    </row>
    <row r="441" ht="16.5" customHeight="1">
      <c r="H441" s="1" t="str">
        <f>IFERROR(__xludf.DUMMYFUNCTION("""COMPUTED_VALUE"""),"Bal Pharma Ltd")</f>
        <v>Bal Pharma Ltd</v>
      </c>
    </row>
    <row r="442" ht="16.5" customHeight="1">
      <c r="H442" s="1" t="str">
        <f>IFERROR(__xludf.DUMMYFUNCTION("""COMPUTED_VALUE"""),"BALAJI AYURVED SANSTHAN")</f>
        <v>BALAJI AYURVED SANSTHAN</v>
      </c>
    </row>
    <row r="443" ht="16.5" customHeight="1">
      <c r="H443" s="1" t="str">
        <f>IFERROR(__xludf.DUMMYFUNCTION("""COMPUTED_VALUE"""),"BALAJI HEALTHCARE")</f>
        <v>BALAJI HEALTHCARE</v>
      </c>
    </row>
    <row r="444" ht="16.5" customHeight="1">
      <c r="H444" s="1" t="str">
        <f>IFERROR(__xludf.DUMMYFUNCTION("""COMPUTED_VALUE"""),"BALSON PHARMACEUTICALS (BESTCURE PHARMA)")</f>
        <v>BALSON PHARMACEUTICALS (BESTCURE PHARMA)</v>
      </c>
    </row>
    <row r="445" ht="16.5" customHeight="1">
      <c r="H445" s="1" t="str">
        <f>IFERROR(__xludf.DUMMYFUNCTION("""COMPUTED_VALUE"""),"Ban Labs")</f>
        <v>Ban Labs</v>
      </c>
    </row>
    <row r="446" ht="16.5" customHeight="1">
      <c r="H446" s="1" t="str">
        <f>IFERROR(__xludf.DUMMYFUNCTION("""COMPUTED_VALUE"""),"BANFORD")</f>
        <v>BANFORD</v>
      </c>
    </row>
    <row r="447" ht="16.5" customHeight="1">
      <c r="H447" s="1" t="str">
        <f>IFERROR(__xludf.DUMMYFUNCTION("""COMPUTED_VALUE"""),"BARD ACCESS SYSTEMS")</f>
        <v>BARD ACCESS SYSTEMS</v>
      </c>
    </row>
    <row r="448" ht="16.5" customHeight="1">
      <c r="H448" s="1" t="str">
        <f>IFERROR(__xludf.DUMMYFUNCTION("""COMPUTED_VALUE"""),"BARDIA")</f>
        <v>BARDIA</v>
      </c>
    </row>
    <row r="449" ht="16.5" customHeight="1">
      <c r="H449" s="1" t="str">
        <f>IFERROR(__xludf.DUMMYFUNCTION("""COMPUTED_VALUE"""),"BAROQUE PHARMACEUTICALS")</f>
        <v>BAROQUE PHARMACEUTICALS</v>
      </c>
    </row>
    <row r="450" ht="16.5" customHeight="1">
      <c r="H450" s="1" t="str">
        <f>IFERROR(__xludf.DUMMYFUNCTION("""COMPUTED_VALUE"""),"BAUSCH &amp; LOMB")</f>
        <v>BAUSCH &amp; LOMB</v>
      </c>
    </row>
    <row r="451" ht="16.5" customHeight="1">
      <c r="H451" s="1" t="str">
        <f>IFERROR(__xludf.DUMMYFUNCTION("""COMPUTED_VALUE"""),"BAUSCH &amp; LOMB (SL-59)")</f>
        <v>BAUSCH &amp; LOMB (SL-59)</v>
      </c>
    </row>
    <row r="452" ht="16.5" customHeight="1">
      <c r="H452" s="1" t="str">
        <f>IFERROR(__xludf.DUMMYFUNCTION("""COMPUTED_VALUE"""),"Bausch &amp; Lomb Inc")</f>
        <v>Bausch &amp; Lomb Inc</v>
      </c>
    </row>
    <row r="453" ht="16.5" customHeight="1">
      <c r="H453" s="1" t="str">
        <f>IFERROR(__xludf.DUMMYFUNCTION("""COMPUTED_VALUE"""),"Baxter India Pvt Ltd")</f>
        <v>Baxter India Pvt Ltd</v>
      </c>
    </row>
    <row r="454" ht="16.5" customHeight="1">
      <c r="H454" s="1" t="str">
        <f>IFERROR(__xludf.DUMMYFUNCTION("""COMPUTED_VALUE"""),"BAYER (ZYDUS BLUE)")</f>
        <v>BAYER (ZYDUS BLUE)</v>
      </c>
    </row>
    <row r="455" ht="16.5" customHeight="1">
      <c r="H455" s="1" t="str">
        <f>IFERROR(__xludf.DUMMYFUNCTION("""COMPUTED_VALUE"""),"Bayer Pharmaceuticals Pvt Ltd")</f>
        <v>Bayer Pharmaceuticals Pvt Ltd</v>
      </c>
    </row>
    <row r="456" ht="16.5" customHeight="1">
      <c r="H456" s="1" t="str">
        <f>IFERROR(__xludf.DUMMYFUNCTION("""COMPUTED_VALUE"""),"BAYZE BIOCARE PVT LTD")</f>
        <v>BAYZE BIOCARE PVT LTD</v>
      </c>
    </row>
    <row r="457" ht="16.5" customHeight="1">
      <c r="H457" s="1" t="str">
        <f>IFERROR(__xludf.DUMMYFUNCTION("""COMPUTED_VALUE"""),"BD SURGICAL")</f>
        <v>BD SURGICAL</v>
      </c>
    </row>
    <row r="458" ht="16.5" customHeight="1">
      <c r="H458" s="1" t="str">
        <f>IFERROR(__xludf.DUMMYFUNCTION("""COMPUTED_VALUE"""),"BDR PHARMACEUTICALS")</f>
        <v>BDR PHARMACEUTICALS</v>
      </c>
    </row>
    <row r="459" ht="16.5" customHeight="1">
      <c r="H459" s="1" t="str">
        <f>IFERROR(__xludf.DUMMYFUNCTION("""COMPUTED_VALUE"""),"BEAMS REMEDIES")</f>
        <v>BEAMS REMEDIES</v>
      </c>
    </row>
    <row r="460" ht="16.5" customHeight="1">
      <c r="H460" s="1" t="str">
        <f>IFERROR(__xludf.DUMMYFUNCTION("""COMPUTED_VALUE"""),"BEAUDERM PAHARMA")</f>
        <v>BEAUDERM PAHARMA</v>
      </c>
    </row>
    <row r="461" ht="16.5" customHeight="1">
      <c r="H461" s="1" t="str">
        <f>IFERROR(__xludf.DUMMYFUNCTION("""COMPUTED_VALUE"""),"BECK &amp; KOLL")</f>
        <v>BECK &amp; KOLL</v>
      </c>
    </row>
    <row r="462" ht="16.5" customHeight="1">
      <c r="H462" s="1" t="str">
        <f>IFERROR(__xludf.DUMMYFUNCTION("""COMPUTED_VALUE"""),"BEEKAY PHARMACEUTICALS")</f>
        <v>BEEKAY PHARMACEUTICALS</v>
      </c>
    </row>
    <row r="463" ht="16.5" customHeight="1">
      <c r="H463" s="1" t="str">
        <f>IFERROR(__xludf.DUMMYFUNCTION("""COMPUTED_VALUE"""),"BEETA SURGICALS")</f>
        <v>BEETA SURGICALS</v>
      </c>
    </row>
    <row r="464" ht="16.5" customHeight="1">
      <c r="H464" s="1" t="str">
        <f>IFERROR(__xludf.DUMMYFUNCTION("""COMPUTED_VALUE"""),"BEIERSDORF")</f>
        <v>BEIERSDORF</v>
      </c>
    </row>
    <row r="465" ht="16.5" customHeight="1">
      <c r="H465" s="1" t="str">
        <f>IFERROR(__xludf.DUMMYFUNCTION("""COMPUTED_VALUE"""),"Bengal Chemicals &amp; Pharmaceuticals Ltd")</f>
        <v>Bengal Chemicals &amp; Pharmaceuticals Ltd</v>
      </c>
    </row>
    <row r="466" ht="16.5" customHeight="1">
      <c r="H466" s="1" t="str">
        <f>IFERROR(__xludf.DUMMYFUNCTION("""COMPUTED_VALUE"""),"BENNET PHARMA (CRITICAL CARE)")</f>
        <v>BENNET PHARMA (CRITICAL CARE)</v>
      </c>
    </row>
    <row r="467" ht="16.5" customHeight="1">
      <c r="H467" s="1" t="str">
        <f>IFERROR(__xludf.DUMMYFUNCTION("""COMPUTED_VALUE"""),"BENNET PHARMA (EXTRA CARE)")</f>
        <v>BENNET PHARMA (EXTRA CARE)</v>
      </c>
    </row>
    <row r="468" ht="16.5" customHeight="1">
      <c r="H468" s="1" t="str">
        <f>IFERROR(__xludf.DUMMYFUNCTION("""COMPUTED_VALUE"""),"BENNET PHARMA (MAIN)")</f>
        <v>BENNET PHARMA (MAIN)</v>
      </c>
    </row>
    <row r="469" ht="16.5" customHeight="1">
      <c r="H469" s="1" t="str">
        <f>IFERROR(__xludf.DUMMYFUNCTION("""COMPUTED_VALUE"""),"BENNET PHARMA (MYPHER)")</f>
        <v>BENNET PHARMA (MYPHER)</v>
      </c>
    </row>
    <row r="470" ht="16.5" customHeight="1">
      <c r="H470" s="1" t="str">
        <f>IFERROR(__xludf.DUMMYFUNCTION("""COMPUTED_VALUE"""),"Bennet Pharmaceuticals Limited")</f>
        <v>Bennet Pharmaceuticals Limited</v>
      </c>
    </row>
    <row r="471" ht="16.5" customHeight="1">
      <c r="H471" s="1" t="str">
        <f>IFERROR(__xludf.DUMMYFUNCTION("""COMPUTED_VALUE"""),"BERBRICK HEALTHCARE")</f>
        <v>BERBRICK HEALTHCARE</v>
      </c>
    </row>
    <row r="472" ht="16.5" customHeight="1">
      <c r="H472" s="1" t="str">
        <f>IFERROR(__xludf.DUMMYFUNCTION("""COMPUTED_VALUE"""),"BERNICE PHARMA")</f>
        <v>BERNICE PHARMA</v>
      </c>
    </row>
    <row r="473" ht="16.5" customHeight="1">
      <c r="H473" s="1" t="str">
        <f>IFERROR(__xludf.DUMMYFUNCTION("""COMPUTED_VALUE"""),"BERRY &amp; HERBS PHARMA PVT LTD")</f>
        <v>BERRY &amp; HERBS PHARMA PVT LTD</v>
      </c>
    </row>
    <row r="474" ht="16.5" customHeight="1">
      <c r="H474" s="1" t="str">
        <f>IFERROR(__xludf.DUMMYFUNCTION("""COMPUTED_VALUE"""),"BERYL DRUGS LTD")</f>
        <v>BERYL DRUGS LTD</v>
      </c>
    </row>
    <row r="475" ht="16.5" customHeight="1">
      <c r="H475" s="1" t="str">
        <f>IFERROR(__xludf.DUMMYFUNCTION("""COMPUTED_VALUE"""),"Besins Healthcare India Pvt Ltd")</f>
        <v>Besins Healthcare India Pvt Ltd</v>
      </c>
    </row>
    <row r="476" ht="16.5" customHeight="1">
      <c r="H476" s="1" t="str">
        <f>IFERROR(__xludf.DUMMYFUNCTION("""COMPUTED_VALUE"""),"BEST BIOTECH")</f>
        <v>BEST BIOTECH</v>
      </c>
    </row>
    <row r="477" ht="16.5" customHeight="1">
      <c r="H477" s="1" t="str">
        <f>IFERROR(__xludf.DUMMYFUNCTION("""COMPUTED_VALUE"""),"BESTEL LABORATORIES")</f>
        <v>BESTEL LABORATORIES</v>
      </c>
    </row>
    <row r="478" ht="16.5" customHeight="1">
      <c r="H478" s="1" t="str">
        <f>IFERROR(__xludf.DUMMYFUNCTION("""COMPUTED_VALUE"""),"BESTOCHEM (SALUTE)")</f>
        <v>BESTOCHEM (SALUTE)</v>
      </c>
    </row>
    <row r="479" ht="16.5" customHeight="1">
      <c r="H479" s="1" t="str">
        <f>IFERROR(__xludf.DUMMYFUNCTION("""COMPUTED_VALUE"""),"BestoChem Formulations India Ltd")</f>
        <v>BestoChem Formulations India Ltd</v>
      </c>
    </row>
    <row r="480" ht="16.5" customHeight="1">
      <c r="H480" s="1" t="str">
        <f>IFERROR(__xludf.DUMMYFUNCTION("""COMPUTED_VALUE"""),"BestoChem Formulations India Ltd (GENERIC)")</f>
        <v>BestoChem Formulations India Ltd (GENERIC)</v>
      </c>
    </row>
    <row r="481" ht="16.5" customHeight="1">
      <c r="H481" s="1" t="str">
        <f>IFERROR(__xludf.DUMMYFUNCTION("""COMPUTED_VALUE"""),"BETA DRUGS LTD")</f>
        <v>BETA DRUGS LTD</v>
      </c>
    </row>
    <row r="482" ht="16.5" customHeight="1">
      <c r="H482" s="1" t="str">
        <f>IFERROR(__xludf.DUMMYFUNCTION("""COMPUTED_VALUE"""),"BHAGWAT PHARMACEUTICAL")</f>
        <v>BHAGWAT PHARMACEUTICAL</v>
      </c>
    </row>
    <row r="483" ht="16.5" customHeight="1">
      <c r="H483" s="1" t="str">
        <f>IFERROR(__xludf.DUMMYFUNCTION("""COMPUTED_VALUE"""),"BHANDARI")</f>
        <v>BHANDARI</v>
      </c>
    </row>
    <row r="484" ht="16.5" customHeight="1">
      <c r="H484" s="1" t="str">
        <f>IFERROR(__xludf.DUMMYFUNCTION("""COMPUTED_VALUE"""),"Bhandari Labs")</f>
        <v>Bhandari Labs</v>
      </c>
    </row>
    <row r="485" ht="16.5" customHeight="1">
      <c r="H485" s="1" t="str">
        <f>IFERROR(__xludf.DUMMYFUNCTION("""COMPUTED_VALUE"""),"Bharat Biotech")</f>
        <v>Bharat Biotech</v>
      </c>
    </row>
    <row r="486" ht="16.5" customHeight="1">
      <c r="H486" s="1" t="str">
        <f>IFERROR(__xludf.DUMMYFUNCTION("""COMPUTED_VALUE"""),"BHARAT HOMOEO")</f>
        <v>BHARAT HOMOEO</v>
      </c>
    </row>
    <row r="487" ht="16.5" customHeight="1">
      <c r="H487" s="1" t="str">
        <f>IFERROR(__xludf.DUMMYFUNCTION("""COMPUTED_VALUE"""),"Bharat Serums &amp; Vaccines Ltd")</f>
        <v>Bharat Serums &amp; Vaccines Ltd</v>
      </c>
    </row>
    <row r="488" ht="16.5" customHeight="1">
      <c r="H488" s="1" t="str">
        <f>IFERROR(__xludf.DUMMYFUNCTION("""COMPUTED_VALUE"""),"BHARATIYAPHARMACEUTICALS INDIA")</f>
        <v>BHARATIYAPHARMACEUTICALS INDIA</v>
      </c>
    </row>
    <row r="489" ht="16.5" customHeight="1">
      <c r="H489" s="1" t="str">
        <f>IFERROR(__xludf.DUMMYFUNCTION("""COMPUTED_VALUE"""),"Bharti Life Sciences")</f>
        <v>Bharti Life Sciences</v>
      </c>
    </row>
    <row r="490" ht="16.5" customHeight="1">
      <c r="H490" s="1" t="str">
        <f>IFERROR(__xludf.DUMMYFUNCTION("""COMPUTED_VALUE"""),"BHARTIYAPHARMA")</f>
        <v>BHARTIYAPHARMA</v>
      </c>
    </row>
    <row r="491" ht="16.5" customHeight="1">
      <c r="H491" s="1" t="str">
        <f>IFERROR(__xludf.DUMMYFUNCTION("""COMPUTED_VALUE"""),"BHAWANI PHARMACEUTICAL")</f>
        <v>BHAWANI PHARMACEUTICAL</v>
      </c>
    </row>
    <row r="492" ht="16.5" customHeight="1">
      <c r="H492" s="1" t="str">
        <f>IFERROR(__xludf.DUMMYFUNCTION("""COMPUTED_VALUE"""),"BHAWASAR CHEMICALS")</f>
        <v>BHAWASAR CHEMICALS</v>
      </c>
    </row>
    <row r="493" ht="16.5" customHeight="1">
      <c r="H493" s="1" t="str">
        <f>IFERROR(__xludf.DUMMYFUNCTION("""COMPUTED_VALUE"""),"BHAWSAR PHARMACEUTICAL WORKS")</f>
        <v>BHAWSAR PHARMACEUTICAL WORKS</v>
      </c>
    </row>
    <row r="494" ht="16.5" customHeight="1">
      <c r="H494" s="1" t="str">
        <f>IFERROR(__xludf.DUMMYFUNCTION("""COMPUTED_VALUE"""),"BHOGILAL PREMCHAND")</f>
        <v>BHOGILAL PREMCHAND</v>
      </c>
    </row>
    <row r="495" ht="16.5" customHeight="1">
      <c r="H495" s="1" t="str">
        <f>IFERROR(__xludf.DUMMYFUNCTION("""COMPUTED_VALUE"""),"BIGWIG REMEDIES")</f>
        <v>BIGWIG REMEDIES</v>
      </c>
    </row>
    <row r="496" ht="16.5" customHeight="1">
      <c r="H496" s="1" t="str">
        <f>IFERROR(__xludf.DUMMYFUNCTION("""COMPUTED_VALUE"""),"BILBERRY PHARMACEUTICAL PVT LTD")</f>
        <v>BILBERRY PHARMACEUTICAL PVT LTD</v>
      </c>
    </row>
    <row r="497" ht="16.5" customHeight="1">
      <c r="H497" s="1" t="str">
        <f>IFERROR(__xludf.DUMMYFUNCTION("""COMPUTED_VALUE"""),"BILBERRY PHARMACEUTICALS PVT LTD")</f>
        <v>BILBERRY PHARMACEUTICALS PVT LTD</v>
      </c>
    </row>
    <row r="498" ht="16.5" customHeight="1">
      <c r="H498" s="1" t="str">
        <f>IFERROR(__xludf.DUMMYFUNCTION("""COMPUTED_VALUE"""),"BILLS CHEMICAL LIMITED")</f>
        <v>BILLS CHEMICAL LIMITED</v>
      </c>
    </row>
    <row r="499" ht="16.5" customHeight="1">
      <c r="H499" s="1" t="str">
        <f>IFERROR(__xludf.DUMMYFUNCTION("""COMPUTED_VALUE"""),"BINDU MADHAV PHARMA PVT LTD")</f>
        <v>BINDU MADHAV PHARMA PVT LTD</v>
      </c>
    </row>
    <row r="500" ht="16.5" customHeight="1">
      <c r="H500" s="1" t="str">
        <f>IFERROR(__xludf.DUMMYFUNCTION("""COMPUTED_VALUE"""),"BIO EXCELLENCE")</f>
        <v>BIO EXCELLENCE</v>
      </c>
    </row>
    <row r="501" ht="16.5" customHeight="1">
      <c r="H501" s="1" t="str">
        <f>IFERROR(__xludf.DUMMYFUNCTION("""COMPUTED_VALUE"""),"BIO MEDICA LABORATORIES PVT LTD")</f>
        <v>BIO MEDICA LABORATORIES PVT LTD</v>
      </c>
    </row>
    <row r="502" ht="16.5" customHeight="1">
      <c r="H502" s="1" t="str">
        <f>IFERROR(__xludf.DUMMYFUNCTION("""COMPUTED_VALUE"""),"BIO TRUE LENS")</f>
        <v>BIO TRUE LENS</v>
      </c>
    </row>
    <row r="503" ht="16.5" customHeight="1">
      <c r="H503" s="1" t="str">
        <f>IFERROR(__xludf.DUMMYFUNCTION("""COMPUTED_VALUE"""),"BIO-MEDICA LAB INDORE")</f>
        <v>BIO-MEDICA LAB INDORE</v>
      </c>
    </row>
    <row r="504" ht="16.5" customHeight="1">
      <c r="H504" s="1" t="str">
        <f>IFERROR(__xludf.DUMMYFUNCTION("""COMPUTED_VALUE"""),"BIOAS MEDICO P LTD")</f>
        <v>BIOAS MEDICO P LTD</v>
      </c>
    </row>
    <row r="505" ht="16.5" customHeight="1">
      <c r="H505" s="1" t="str">
        <f>IFERROR(__xludf.DUMMYFUNCTION("""COMPUTED_VALUE"""),"BIOCEUTICS PHARMACEUTICALS")</f>
        <v>BIOCEUTICS PHARMACEUTICALS</v>
      </c>
    </row>
    <row r="506" ht="16.5" customHeight="1">
      <c r="H506" s="1" t="str">
        <f>IFERROR(__xludf.DUMMYFUNCTION("""COMPUTED_VALUE"""),"Biochem Pharmaceutical Industries")</f>
        <v>Biochem Pharmaceutical Industries</v>
      </c>
    </row>
    <row r="507" ht="16.5" customHeight="1">
      <c r="H507" s="1" t="str">
        <f>IFERROR(__xludf.DUMMYFUNCTION("""COMPUTED_VALUE"""),"Biochem Pharmaceutical Industries (GENERIC)")</f>
        <v>Biochem Pharmaceutical Industries (GENERIC)</v>
      </c>
    </row>
    <row r="508" ht="16.5" customHeight="1">
      <c r="H508" s="1" t="str">
        <f>IFERROR(__xludf.DUMMYFUNCTION("""COMPUTED_VALUE"""),"BIOCHEMIX HEALTHCARE")</f>
        <v>BIOCHEMIX HEALTHCARE</v>
      </c>
    </row>
    <row r="509" ht="16.5" customHeight="1">
      <c r="H509" s="1" t="str">
        <f>IFERROR(__xludf.DUMMYFUNCTION("""COMPUTED_VALUE"""),"BIOCHEMIX HEALTHCARE (NOVAMED  PHARMA)")</f>
        <v>BIOCHEMIX HEALTHCARE (NOVAMED  PHARMA)</v>
      </c>
    </row>
    <row r="510" ht="16.5" customHeight="1">
      <c r="H510" s="1" t="str">
        <f>IFERROR(__xludf.DUMMYFUNCTION("""COMPUTED_VALUE"""),"BIOCHEMIX HEALTHCARE (OLMED)")</f>
        <v>BIOCHEMIX HEALTHCARE (OLMED)</v>
      </c>
    </row>
    <row r="511" ht="16.5" customHeight="1">
      <c r="H511" s="1" t="str">
        <f>IFERROR(__xludf.DUMMYFUNCTION("""COMPUTED_VALUE"""),"BIOCHEMIX HEALTHCARE (VIVIA DERMACARE)")</f>
        <v>BIOCHEMIX HEALTHCARE (VIVIA DERMACARE)</v>
      </c>
    </row>
    <row r="512" ht="16.5" customHeight="1">
      <c r="H512" s="1" t="str">
        <f>IFERROR(__xludf.DUMMYFUNCTION("""COMPUTED_VALUE"""),"Biocon")</f>
        <v>Biocon</v>
      </c>
    </row>
    <row r="513" ht="16.5" customHeight="1">
      <c r="H513" s="1" t="str">
        <f>IFERROR(__xludf.DUMMYFUNCTION("""COMPUTED_VALUE"""),"BIOCON (ALTIUS)")</f>
        <v>BIOCON (ALTIUS)</v>
      </c>
    </row>
    <row r="514" ht="16.5" customHeight="1">
      <c r="H514" s="1" t="str">
        <f>IFERROR(__xludf.DUMMYFUNCTION("""COMPUTED_VALUE"""),"BIOCON (CITIUS)")</f>
        <v>BIOCON (CITIUS)</v>
      </c>
    </row>
    <row r="515" ht="16.5" customHeight="1">
      <c r="H515" s="1" t="str">
        <f>IFERROR(__xludf.DUMMYFUNCTION("""COMPUTED_VALUE"""),"BIOCON (CRITICAL CARE)")</f>
        <v>BIOCON (CRITICAL CARE)</v>
      </c>
    </row>
    <row r="516" ht="16.5" customHeight="1">
      <c r="H516" s="1" t="str">
        <f>IFERROR(__xludf.DUMMYFUNCTION("""COMPUTED_VALUE"""),"BIOCON (DERMA)")</f>
        <v>BIOCON (DERMA)</v>
      </c>
    </row>
    <row r="517" ht="16.5" customHeight="1">
      <c r="H517" s="1" t="str">
        <f>IFERROR(__xludf.DUMMYFUNCTION("""COMPUTED_VALUE"""),"BIOCORE PHARMACEUTICALS")</f>
        <v>BIOCORE PHARMACEUTICALS</v>
      </c>
    </row>
    <row r="518" ht="16.5" customHeight="1">
      <c r="H518" s="1" t="str">
        <f>IFERROR(__xludf.DUMMYFUNCTION("""COMPUTED_VALUE"""),"BIODERMA SOLUTIONS")</f>
        <v>BIODERMA SOLUTIONS</v>
      </c>
    </row>
    <row r="519" ht="16.5" customHeight="1">
      <c r="H519" s="1" t="str">
        <f>IFERROR(__xludf.DUMMYFUNCTION("""COMPUTED_VALUE"""),"BIODERMA SOLUTIONS (AESTETIX)")</f>
        <v>BIODERMA SOLUTIONS (AESTETIX)</v>
      </c>
    </row>
    <row r="520" ht="16.5" customHeight="1">
      <c r="H520" s="1" t="str">
        <f>IFERROR(__xludf.DUMMYFUNCTION("""COMPUTED_VALUE"""),"BIODERMA SOLUTIONS (CYTOZ)")</f>
        <v>BIODERMA SOLUTIONS (CYTOZ)</v>
      </c>
    </row>
    <row r="521" ht="16.5" customHeight="1">
      <c r="H521" s="1" t="str">
        <f>IFERROR(__xludf.DUMMYFUNCTION("""COMPUTED_VALUE"""),"BIODERMA SOLUTIONS (DENTAL)")</f>
        <v>BIODERMA SOLUTIONS (DENTAL)</v>
      </c>
    </row>
    <row r="522" ht="16.5" customHeight="1">
      <c r="H522" s="1" t="str">
        <f>IFERROR(__xludf.DUMMYFUNCTION("""COMPUTED_VALUE"""),"BIODERMA SOLUTIONS (MAIN)")</f>
        <v>BIODERMA SOLUTIONS (MAIN)</v>
      </c>
    </row>
    <row r="523" ht="16.5" customHeight="1">
      <c r="H523" s="1" t="str">
        <f>IFERROR(__xludf.DUMMYFUNCTION("""COMPUTED_VALUE"""),"BIOFORCE")</f>
        <v>BIOFORCE</v>
      </c>
    </row>
    <row r="524" ht="16.5" customHeight="1">
      <c r="H524" s="1" t="str">
        <f>IFERROR(__xludf.DUMMYFUNCTION("""COMPUTED_VALUE"""),"BIOFORD REMEDIES PVT LTD")</f>
        <v>BIOFORD REMEDIES PVT LTD</v>
      </c>
    </row>
    <row r="525" ht="16.5" customHeight="1">
      <c r="H525" s="1" t="str">
        <f>IFERROR(__xludf.DUMMYFUNCTION("""COMPUTED_VALUE"""),"BIOGEN HEALTH CARE")</f>
        <v>BIOGEN HEALTH CARE</v>
      </c>
    </row>
    <row r="526" ht="16.5" customHeight="1">
      <c r="H526" s="1" t="str">
        <f>IFERROR(__xludf.DUMMYFUNCTION("""COMPUTED_VALUE"""),"BIOGEN IDEC BIOTECH INDIA PVT LTD")</f>
        <v>BIOGEN IDEC BIOTECH INDIA PVT LTD</v>
      </c>
    </row>
    <row r="527" ht="16.5" customHeight="1">
      <c r="H527" s="1" t="str">
        <f>IFERROR(__xludf.DUMMYFUNCTION("""COMPUTED_VALUE"""),"Biogen Idec India")</f>
        <v>Biogen Idec India</v>
      </c>
    </row>
    <row r="528" ht="16.5" customHeight="1">
      <c r="H528" s="1" t="str">
        <f>IFERROR(__xludf.DUMMYFUNCTION("""COMPUTED_VALUE"""),"BIOGENOMICS LIMITED")</f>
        <v>BIOGENOMICS LIMITED</v>
      </c>
    </row>
    <row r="529" ht="16.5" customHeight="1">
      <c r="H529" s="1" t="str">
        <f>IFERROR(__xludf.DUMMYFUNCTION("""COMPUTED_VALUE"""),"BIOGRACE PHARMA")</f>
        <v>BIOGRACE PHARMA</v>
      </c>
    </row>
    <row r="530" ht="16.5" customHeight="1">
      <c r="H530" s="1" t="str">
        <f>IFERROR(__xludf.DUMMYFUNCTION("""COMPUTED_VALUE"""),"BIOKINDLE LIFESCIENCES")</f>
        <v>BIOKINDLE LIFESCIENCES</v>
      </c>
    </row>
    <row r="531" ht="16.5" customHeight="1">
      <c r="H531" s="1" t="str">
        <f>IFERROR(__xludf.DUMMYFUNCTION("""COMPUTED_VALUE"""),"BIOLIFE")</f>
        <v>BIOLIFE</v>
      </c>
    </row>
    <row r="532" ht="16.5" customHeight="1">
      <c r="H532" s="1" t="str">
        <f>IFERROR(__xludf.DUMMYFUNCTION("""COMPUTED_VALUE"""),"Biological E Ltd")</f>
        <v>Biological E Ltd</v>
      </c>
    </row>
    <row r="533" ht="16.5" customHeight="1">
      <c r="H533" s="1" t="str">
        <f>IFERROR(__xludf.DUMMYFUNCTION("""COMPUTED_VALUE"""),"BIOMAX BIOTECHNICS")</f>
        <v>BIOMAX BIOTECHNICS</v>
      </c>
    </row>
    <row r="534" ht="16.5" customHeight="1">
      <c r="H534" s="1" t="str">
        <f>IFERROR(__xludf.DUMMYFUNCTION("""COMPUTED_VALUE"""),"BIOMEDICA INTERNATIONAL")</f>
        <v>BIOMEDICA INTERNATIONAL</v>
      </c>
    </row>
    <row r="535" ht="16.5" customHeight="1">
      <c r="H535" s="1" t="str">
        <f>IFERROR(__xludf.DUMMYFUNCTION("""COMPUTED_VALUE"""),"BIOMI LIFE SCIENCES")</f>
        <v>BIOMI LIFE SCIENCES</v>
      </c>
    </row>
    <row r="536" ht="16.5" customHeight="1">
      <c r="H536" s="1" t="str">
        <f>IFERROR(__xludf.DUMMYFUNCTION("""COMPUTED_VALUE"""),"BION HEALTHCARE PVT LTD")</f>
        <v>BION HEALTHCARE PVT LTD</v>
      </c>
    </row>
    <row r="537" ht="16.5" customHeight="1">
      <c r="H537" s="1" t="str">
        <f>IFERROR(__xludf.DUMMYFUNCTION("""COMPUTED_VALUE"""),"BION HEALTHCARE PVT LTD (OCTALIFE)")</f>
        <v>BION HEALTHCARE PVT LTD (OCTALIFE)</v>
      </c>
    </row>
    <row r="538" ht="16.5" customHeight="1">
      <c r="H538" s="1" t="str">
        <f>IFERROR(__xludf.DUMMYFUNCTION("""COMPUTED_VALUE"""),"BION HEALTHCARE PVT LTD (TRULAM)")</f>
        <v>BION HEALTHCARE PVT LTD (TRULAM)</v>
      </c>
    </row>
    <row r="539" ht="16.5" customHeight="1">
      <c r="H539" s="1" t="str">
        <f>IFERROR(__xludf.DUMMYFUNCTION("""COMPUTED_VALUE"""),"BIONICS REMEDIES LTD")</f>
        <v>BIONICS REMEDIES LTD</v>
      </c>
    </row>
    <row r="540" ht="16.5" customHeight="1">
      <c r="H540" s="1" t="str">
        <f>IFERROR(__xludf.DUMMYFUNCTION("""COMPUTED_VALUE"""),"BIONOMICS")</f>
        <v>BIONOMICS</v>
      </c>
    </row>
    <row r="541" ht="16.5" customHeight="1">
      <c r="H541" s="1" t="str">
        <f>IFERROR(__xludf.DUMMYFUNCTION("""COMPUTED_VALUE"""),"BIONOVA (MAXNOVA)")</f>
        <v>BIONOVA (MAXNOVA)</v>
      </c>
    </row>
    <row r="542" ht="16.5" customHeight="1">
      <c r="H542" s="1" t="str">
        <f>IFERROR(__xludf.DUMMYFUNCTION("""COMPUTED_VALUE"""),"BIONOVA PHARMACEUTICALS")</f>
        <v>BIONOVA PHARMACEUTICALS</v>
      </c>
    </row>
    <row r="543" ht="16.5" customHeight="1">
      <c r="H543" s="1" t="str">
        <f>IFERROR(__xludf.DUMMYFUNCTION("""COMPUTED_VALUE"""),"BIONOVICS PHARMACEUTICALS PVT LTD")</f>
        <v>BIONOVICS PHARMACEUTICALS PVT LTD</v>
      </c>
    </row>
    <row r="544" ht="16.5" customHeight="1">
      <c r="H544" s="1" t="str">
        <f>IFERROR(__xludf.DUMMYFUNCTION("""COMPUTED_VALUE"""),"BIONOVO REMEDIES")</f>
        <v>BIONOVO REMEDIES</v>
      </c>
    </row>
    <row r="545" ht="16.5" customHeight="1">
      <c r="H545" s="1" t="str">
        <f>IFERROR(__xludf.DUMMYFUNCTION("""COMPUTED_VALUE"""),"BIOPHAR LIFESCIENCES")</f>
        <v>BIOPHAR LIFESCIENCES</v>
      </c>
    </row>
    <row r="546" ht="16.5" customHeight="1">
      <c r="H546" s="1" t="str">
        <f>IFERROR(__xludf.DUMMYFUNCTION("""COMPUTED_VALUE"""),"BIOPHARM GROUP")</f>
        <v>BIOPHARM GROUP</v>
      </c>
    </row>
    <row r="547" ht="16.5" customHeight="1">
      <c r="H547" s="1" t="str">
        <f>IFERROR(__xludf.DUMMYFUNCTION("""COMPUTED_VALUE"""),"BIOS (HOMEO)")</f>
        <v>BIOS (HOMEO)</v>
      </c>
    </row>
    <row r="548" ht="16.5" customHeight="1">
      <c r="H548" s="1" t="str">
        <f>IFERROR(__xludf.DUMMYFUNCTION("""COMPUTED_VALUE"""),"BIOS LABS")</f>
        <v>BIOS LABS</v>
      </c>
    </row>
    <row r="549" ht="16.5" customHeight="1">
      <c r="H549" s="1" t="str">
        <f>IFERROR(__xludf.DUMMYFUNCTION("""COMPUTED_VALUE"""),"BIOSAFE LIFECARE P LTD")</f>
        <v>BIOSAFE LIFECARE P LTD</v>
      </c>
    </row>
    <row r="550" ht="16.5" customHeight="1">
      <c r="H550" s="1" t="str">
        <f>IFERROR(__xludf.DUMMYFUNCTION("""COMPUTED_VALUE"""),"BIOSANS LIFECARE")</f>
        <v>BIOSANS LIFECARE</v>
      </c>
    </row>
    <row r="551" ht="16.5" customHeight="1">
      <c r="H551" s="1" t="str">
        <f>IFERROR(__xludf.DUMMYFUNCTION("""COMPUTED_VALUE"""),"BIOSAP")</f>
        <v>BIOSAP</v>
      </c>
    </row>
    <row r="552" ht="16.5" customHeight="1">
      <c r="H552" s="1" t="str">
        <f>IFERROR(__xludf.DUMMYFUNCTION("""COMPUTED_VALUE"""),"BIOSCIENCE HEALTHCARE")</f>
        <v>BIOSCIENCE HEALTHCARE</v>
      </c>
    </row>
    <row r="553" ht="16.5" customHeight="1">
      <c r="H553" s="1" t="str">
        <f>IFERROR(__xludf.DUMMYFUNCTION("""COMPUTED_VALUE"""),"BIOSHIELDS")</f>
        <v>BIOSHIELDS</v>
      </c>
    </row>
    <row r="554" ht="16.5" customHeight="1">
      <c r="H554" s="1" t="str">
        <f>IFERROR(__xludf.DUMMYFUNCTION("""COMPUTED_VALUE"""),"BIOSLAB")</f>
        <v>BIOSLAB</v>
      </c>
    </row>
    <row r="555" ht="16.5" customHeight="1">
      <c r="H555" s="1" t="str">
        <f>IFERROR(__xludf.DUMMYFUNCTION("""COMPUTED_VALUE"""),"BIOSTADT INDIA LIMITED")</f>
        <v>BIOSTADT INDIA LIMITED</v>
      </c>
    </row>
    <row r="556" ht="16.5" customHeight="1">
      <c r="H556" s="1" t="str">
        <f>IFERROR(__xludf.DUMMYFUNCTION("""COMPUTED_VALUE"""),"BIOSTAR PHARMACEUTICALS")</f>
        <v>BIOSTAR PHARMACEUTICALS</v>
      </c>
    </row>
    <row r="557" ht="16.5" customHeight="1">
      <c r="H557" s="1" t="str">
        <f>IFERROR(__xludf.DUMMYFUNCTION("""COMPUTED_VALUE"""),"BIOSUR PHARMA")</f>
        <v>BIOSUR PHARMA</v>
      </c>
    </row>
    <row r="558" ht="16.5" customHeight="1">
      <c r="H558" s="1" t="str">
        <f>IFERROR(__xludf.DUMMYFUNCTION("""COMPUTED_VALUE"""),"BIOSURE PHARMA")</f>
        <v>BIOSURE PHARMA</v>
      </c>
    </row>
    <row r="559" ht="16.5" customHeight="1">
      <c r="H559" s="1" t="str">
        <f>IFERROR(__xludf.DUMMYFUNCTION("""COMPUTED_VALUE"""),"BIOSYNERGY LIFECARE PVT LTD")</f>
        <v>BIOSYNERGY LIFECARE PVT LTD</v>
      </c>
    </row>
    <row r="560" ht="16.5" customHeight="1">
      <c r="H560" s="1" t="str">
        <f>IFERROR(__xludf.DUMMYFUNCTION("""COMPUTED_VALUE"""),"BIOTA REMEDIES")</f>
        <v>BIOTA REMEDIES</v>
      </c>
    </row>
    <row r="561" ht="16.5" customHeight="1">
      <c r="H561" s="1" t="str">
        <f>IFERROR(__xludf.DUMMYFUNCTION("""COMPUTED_VALUE"""),"BIOTEST PHARMA")</f>
        <v>BIOTEST PHARMA</v>
      </c>
    </row>
    <row r="562" ht="16.5" customHeight="1">
      <c r="H562" s="1" t="str">
        <f>IFERROR(__xludf.DUMMYFUNCTION("""COMPUTED_VALUE"""),"BIOVALENCE")</f>
        <v>BIOVALENCE</v>
      </c>
    </row>
    <row r="563" ht="16.5" customHeight="1">
      <c r="H563" s="1" t="str">
        <f>IFERROR(__xludf.DUMMYFUNCTION("""COMPUTED_VALUE"""),"BIOVERVE PHARMACEUTICALS")</f>
        <v>BIOVERVE PHARMACEUTICALS</v>
      </c>
    </row>
    <row r="564" ht="16.5" customHeight="1">
      <c r="H564" s="1" t="str">
        <f>IFERROR(__xludf.DUMMYFUNCTION("""COMPUTED_VALUE"""),"BIOVITAMINS PVT LTD")</f>
        <v>BIOVITAMINS PVT LTD</v>
      </c>
    </row>
    <row r="565" ht="16.5" customHeight="1">
      <c r="H565" s="1" t="str">
        <f>IFERROR(__xludf.DUMMYFUNCTION("""COMPUTED_VALUE"""),"BIOVIZ TECHNOLOGIES")</f>
        <v>BIOVIZ TECHNOLOGIES</v>
      </c>
    </row>
    <row r="566" ht="16.5" customHeight="1">
      <c r="H566" s="1" t="str">
        <f>IFERROR(__xludf.DUMMYFUNCTION("""COMPUTED_VALUE"""),"BIOWIN HEALTHCARE")</f>
        <v>BIOWIN HEALTHCARE</v>
      </c>
    </row>
    <row r="567" ht="16.5" customHeight="1">
      <c r="H567" s="1" t="str">
        <f>IFERROR(__xludf.DUMMYFUNCTION("""COMPUTED_VALUE"""),"BIOZEN HEALTHCARE")</f>
        <v>BIOZEN HEALTHCARE</v>
      </c>
    </row>
    <row r="568" ht="16.5" customHeight="1">
      <c r="H568" s="1" t="str">
        <f>IFERROR(__xludf.DUMMYFUNCTION("""COMPUTED_VALUE"""),"BIOZEN PHARMACEUTICALS")</f>
        <v>BIOZEN PHARMACEUTICALS</v>
      </c>
    </row>
    <row r="569" ht="16.5" customHeight="1">
      <c r="H569" s="1" t="str">
        <f>IFERROR(__xludf.DUMMYFUNCTION("""COMPUTED_VALUE"""),"BISANI PHARMACEUTICS")</f>
        <v>BISANI PHARMACEUTICS</v>
      </c>
    </row>
    <row r="570" ht="16.5" customHeight="1">
      <c r="H570" s="1" t="str">
        <f>IFERROR(__xludf.DUMMYFUNCTION("""COMPUTED_VALUE"""),"BITTU PHARMACEUTICALS")</f>
        <v>BITTU PHARMACEUTICALS</v>
      </c>
    </row>
    <row r="571" ht="16.5" customHeight="1">
      <c r="H571" s="1" t="str">
        <f>IFERROR(__xludf.DUMMYFUNCTION("""COMPUTED_VALUE"""),"BLISS CHEMICAL &amp; PHARMA")</f>
        <v>BLISS CHEMICAL &amp; PHARMA</v>
      </c>
    </row>
    <row r="572" ht="16.5" customHeight="1">
      <c r="H572" s="1" t="str">
        <f>IFERROR(__xludf.DUMMYFUNCTION("""COMPUTED_VALUE"""),"BLISSON (MEDICA)")</f>
        <v>BLISSON (MEDICA)</v>
      </c>
    </row>
    <row r="573" ht="16.5" customHeight="1">
      <c r="H573" s="1" t="str">
        <f>IFERROR(__xludf.DUMMYFUNCTION("""COMPUTED_VALUE"""),"BLISSON (MEDIPLUS)")</f>
        <v>BLISSON (MEDIPLUS)</v>
      </c>
    </row>
    <row r="574" ht="16.5" customHeight="1">
      <c r="H574" s="1" t="str">
        <f>IFERROR(__xludf.DUMMYFUNCTION("""COMPUTED_VALUE"""),"Blubell Pharma")</f>
        <v>Blubell Pharma</v>
      </c>
    </row>
    <row r="575" ht="16.5" customHeight="1">
      <c r="H575" s="1" t="str">
        <f>IFERROR(__xludf.DUMMYFUNCTION("""COMPUTED_VALUE"""),"BLUE CROSS (EXCEL)")</f>
        <v>BLUE CROSS (EXCEL)</v>
      </c>
    </row>
    <row r="576" ht="16.5" customHeight="1">
      <c r="H576" s="1" t="str">
        <f>IFERROR(__xludf.DUMMYFUNCTION("""COMPUTED_VALUE"""),"Blue Cross Laboratories Ltd")</f>
        <v>Blue Cross Laboratories Ltd</v>
      </c>
    </row>
    <row r="577" ht="16.5" customHeight="1">
      <c r="H577" s="1" t="str">
        <f>IFERROR(__xludf.DUMMYFUNCTION("""COMPUTED_VALUE"""),"BLUECELL HEALTHCARE SOLUTIONS")</f>
        <v>BLUECELL HEALTHCARE SOLUTIONS</v>
      </c>
    </row>
    <row r="578" ht="16.5" customHeight="1">
      <c r="H578" s="1" t="str">
        <f>IFERROR(__xludf.DUMMYFUNCTION("""COMPUTED_VALUE"""),"BLUEDROP LIFESCIENCE")</f>
        <v>BLUEDROP LIFESCIENCE</v>
      </c>
    </row>
    <row r="579" ht="16.5" customHeight="1">
      <c r="H579" s="1" t="str">
        <f>IFERROR(__xludf.DUMMYFUNCTION("""COMPUTED_VALUE"""),"BMA (OP)")</f>
        <v>BMA (OP)</v>
      </c>
    </row>
    <row r="580" ht="16.5" customHeight="1">
      <c r="H580" s="1" t="str">
        <f>IFERROR(__xludf.DUMMYFUNCTION("""COMPUTED_VALUE"""),"BMW PHARMACO")</f>
        <v>BMW PHARMACO</v>
      </c>
    </row>
    <row r="581" ht="16.5" customHeight="1">
      <c r="H581" s="1" t="str">
        <f>IFERROR(__xludf.DUMMYFUNCTION("""COMPUTED_VALUE"""),"Boehringer Ingelheim")</f>
        <v>Boehringer Ingelheim</v>
      </c>
    </row>
    <row r="582" ht="16.5" customHeight="1">
      <c r="H582" s="1" t="str">
        <f>IFERROR(__xludf.DUMMYFUNCTION("""COMPUTED_VALUE"""),"Boehringer Ingelheim (CARDIO)")</f>
        <v>Boehringer Ingelheim (CARDIO)</v>
      </c>
    </row>
    <row r="583" ht="16.5" customHeight="1">
      <c r="H583" s="1" t="str">
        <f>IFERROR(__xludf.DUMMYFUNCTION("""COMPUTED_VALUE"""),"Boehringer Ingelheim (DIABETES)")</f>
        <v>Boehringer Ingelheim (DIABETES)</v>
      </c>
    </row>
    <row r="584" ht="16.5" customHeight="1">
      <c r="H584" s="1" t="str">
        <f>IFERROR(__xludf.DUMMYFUNCTION("""COMPUTED_VALUE"""),"BONDANE PHARMA")</f>
        <v>BONDANE PHARMA</v>
      </c>
    </row>
    <row r="585" ht="16.5" customHeight="1">
      <c r="H585" s="1" t="str">
        <f>IFERROR(__xludf.DUMMYFUNCTION("""COMPUTED_VALUE"""),"BONNY BABY CARE PVT LTD")</f>
        <v>BONNY BABY CARE PVT LTD</v>
      </c>
    </row>
    <row r="586" ht="16.5" customHeight="1">
      <c r="H586" s="1" t="str">
        <f>IFERROR(__xludf.DUMMYFUNCTION("""COMPUTED_VALUE"""),"BONSAI PHARMA")</f>
        <v>BONSAI PHARMA</v>
      </c>
    </row>
    <row r="587" ht="16.5" customHeight="1">
      <c r="H587" s="1" t="str">
        <f>IFERROR(__xludf.DUMMYFUNCTION("""COMPUTED_VALUE"""),"BOOLEAN PHARMACEUTICAL")</f>
        <v>BOOLEAN PHARMACEUTICAL</v>
      </c>
    </row>
    <row r="588" ht="16.5" customHeight="1">
      <c r="H588" s="1" t="str">
        <f>IFERROR(__xludf.DUMMYFUNCTION("""COMPUTED_VALUE"""),"BOOTS LIFESCIENCES LTD")</f>
        <v>BOOTS LIFESCIENCES LTD</v>
      </c>
    </row>
    <row r="589" ht="16.5" customHeight="1">
      <c r="H589" s="1" t="str">
        <f>IFERROR(__xludf.DUMMYFUNCTION("""COMPUTED_VALUE"""),"BOOTS LIFESCIENCES LTD (GENERIC)")</f>
        <v>BOOTS LIFESCIENCES LTD (GENERIC)</v>
      </c>
    </row>
    <row r="590" ht="16.5" customHeight="1">
      <c r="H590" s="1" t="str">
        <f>IFERROR(__xludf.DUMMYFUNCTION("""COMPUTED_VALUE"""),"BRAINWAVE HEALTHCARE PVT LTD")</f>
        <v>BRAINWAVE HEALTHCARE PVT LTD</v>
      </c>
    </row>
    <row r="591" ht="16.5" customHeight="1">
      <c r="H591" s="1" t="str">
        <f>IFERROR(__xludf.DUMMYFUNCTION("""COMPUTED_VALUE"""),"Brawn Laboratories Ltd")</f>
        <v>Brawn Laboratories Ltd</v>
      </c>
    </row>
    <row r="592" ht="16.5" customHeight="1">
      <c r="H592" s="1" t="str">
        <f>IFERROR(__xludf.DUMMYFUNCTION("""COMPUTED_VALUE"""),"BRIGHT LIFECARE PVT LTD (TRUEBASICS)")</f>
        <v>BRIGHT LIFECARE PVT LTD (TRUEBASICS)</v>
      </c>
    </row>
    <row r="593" ht="16.5" customHeight="1">
      <c r="H593" s="1" t="str">
        <f>IFERROR(__xludf.DUMMYFUNCTION("""COMPUTED_VALUE"""),"BRIHANS NATURAL PRODUCTS")</f>
        <v>BRIHANS NATURAL PRODUCTS</v>
      </c>
    </row>
    <row r="594" ht="16.5" customHeight="1">
      <c r="H594" s="1" t="str">
        <f>IFERROR(__xludf.DUMMYFUNCTION("""COMPUTED_VALUE"""),"BRIJ HONEY LABORATORY")</f>
        <v>BRIJ HONEY LABORATORY</v>
      </c>
    </row>
    <row r="595" ht="16.5" customHeight="1">
      <c r="H595" s="1" t="str">
        <f>IFERROR(__xludf.DUMMYFUNCTION("""COMPUTED_VALUE"""),"BRINTON (FALCON)")</f>
        <v>BRINTON (FALCON)</v>
      </c>
    </row>
    <row r="596" ht="16.5" customHeight="1">
      <c r="H596" s="1" t="str">
        <f>IFERROR(__xludf.DUMMYFUNCTION("""COMPUTED_VALUE"""),"BRINTON (HAWKS)")</f>
        <v>BRINTON (HAWKS)</v>
      </c>
    </row>
    <row r="597" ht="16.5" customHeight="1">
      <c r="H597" s="1" t="str">
        <f>IFERROR(__xludf.DUMMYFUNCTION("""COMPUTED_VALUE"""),"BRINTON (HEALTHCARE)")</f>
        <v>BRINTON (HEALTHCARE)</v>
      </c>
    </row>
    <row r="598" ht="16.5" customHeight="1">
      <c r="H598" s="1" t="str">
        <f>IFERROR(__xludf.DUMMYFUNCTION("""COMPUTED_VALUE"""),"BRINTON (PED)")</f>
        <v>BRINTON (PED)</v>
      </c>
    </row>
    <row r="599" ht="16.5" customHeight="1">
      <c r="H599" s="1" t="str">
        <f>IFERROR(__xludf.DUMMYFUNCTION("""COMPUTED_VALUE"""),"Brinton Pharmaceuticals Pvt Ltd")</f>
        <v>Brinton Pharmaceuticals Pvt Ltd</v>
      </c>
    </row>
    <row r="600" ht="16.5" customHeight="1">
      <c r="H600" s="1" t="str">
        <f>IFERROR(__xludf.DUMMYFUNCTION("""COMPUTED_VALUE"""),"BRIO BLISS LIFE SCIENCE (ALPINO)")</f>
        <v>BRIO BLISS LIFE SCIENCE (ALPINO)</v>
      </c>
    </row>
    <row r="601" ht="16.5" customHeight="1">
      <c r="H601" s="1" t="str">
        <f>IFERROR(__xludf.DUMMYFUNCTION("""COMPUTED_VALUE"""),"BRIO BLISS LIFE SCIENCE (ANGELO)")</f>
        <v>BRIO BLISS LIFE SCIENCE (ANGELO)</v>
      </c>
    </row>
    <row r="602" ht="16.5" customHeight="1">
      <c r="H602" s="1" t="str">
        <f>IFERROR(__xludf.DUMMYFUNCTION("""COMPUTED_VALUE"""),"BRIO BLISS LIFE SCIENCE (BAMBINO)")</f>
        <v>BRIO BLISS LIFE SCIENCE (BAMBINO)</v>
      </c>
    </row>
    <row r="603" ht="16.5" customHeight="1">
      <c r="H603" s="1" t="str">
        <f>IFERROR(__xludf.DUMMYFUNCTION("""COMPUTED_VALUE"""),"BRISTOL MAYER SQUIBB")</f>
        <v>BRISTOL MAYER SQUIBB</v>
      </c>
    </row>
    <row r="604" ht="16.5" customHeight="1">
      <c r="H604" s="1" t="str">
        <f>IFERROR(__xludf.DUMMYFUNCTION("""COMPUTED_VALUE"""),"British Biologicals")</f>
        <v>British Biologicals</v>
      </c>
    </row>
    <row r="605" ht="16.5" customHeight="1">
      <c r="H605" s="1" t="str">
        <f>IFERROR(__xludf.DUMMYFUNCTION("""COMPUTED_VALUE"""),"British Life Science")</f>
        <v>British Life Science</v>
      </c>
    </row>
    <row r="606" ht="16.5" customHeight="1">
      <c r="H606" s="1" t="str">
        <f>IFERROR(__xludf.DUMMYFUNCTION("""COMPUTED_VALUE"""),"Brooks Pharmaceuticals")</f>
        <v>Brooks Pharmaceuticals</v>
      </c>
    </row>
    <row r="607" ht="16.5" customHeight="1">
      <c r="H607" s="1" t="str">
        <f>IFERROR(__xludf.DUMMYFUNCTION("""COMPUTED_VALUE"""),"BROSTIN SEIZZ BIOCARE")</f>
        <v>BROSTIN SEIZZ BIOCARE</v>
      </c>
    </row>
    <row r="608" ht="16.5" customHeight="1">
      <c r="H608" s="1" t="str">
        <f>IFERROR(__xludf.DUMMYFUNCTION("""COMPUTED_VALUE"""),"BRPL")</f>
        <v>BRPL</v>
      </c>
    </row>
    <row r="609" ht="16.5" customHeight="1">
      <c r="H609" s="1" t="str">
        <f>IFERROR(__xludf.DUMMYFUNCTION("""COMPUTED_VALUE"""),"BRYSON PHARMACEUTICAL")</f>
        <v>BRYSON PHARMACEUTICAL</v>
      </c>
    </row>
    <row r="610" ht="16.5" customHeight="1">
      <c r="H610" s="1" t="str">
        <f>IFERROR(__xludf.DUMMYFUNCTION("""COMPUTED_VALUE"""),"BSV (EMA CARE)")</f>
        <v>BSV (EMA CARE)</v>
      </c>
    </row>
    <row r="611" ht="16.5" customHeight="1">
      <c r="H611" s="1" t="str">
        <f>IFERROR(__xludf.DUMMYFUNCTION("""COMPUTED_VALUE"""),"BSV (FEMI CARE)")</f>
        <v>BSV (FEMI CARE)</v>
      </c>
    </row>
    <row r="612" ht="16.5" customHeight="1">
      <c r="H612" s="1" t="str">
        <f>IFERROR(__xludf.DUMMYFUNCTION("""COMPUTED_VALUE"""),"BSV (ZOE CARE)")</f>
        <v>BSV (ZOE CARE)</v>
      </c>
    </row>
    <row r="613" ht="16.5" customHeight="1">
      <c r="H613" s="1" t="str">
        <f>IFERROR(__xludf.DUMMYFUNCTION("""COMPUTED_VALUE"""),"BTM LIFESCIENCES")</f>
        <v>BTM LIFESCIENCES</v>
      </c>
    </row>
    <row r="614" ht="16.5" customHeight="1">
      <c r="H614" s="1" t="str">
        <f>IFERROR(__xludf.DUMMYFUNCTION("""COMPUTED_VALUE"""),"BULLFORD PHARMACEUTICALS")</f>
        <v>BULLFORD PHARMACEUTICALS</v>
      </c>
    </row>
    <row r="615" ht="16.5" customHeight="1">
      <c r="H615" s="1" t="str">
        <f>IFERROR(__xludf.DUMMYFUNCTION("""COMPUTED_VALUE"""),"BURGEON PHARMACEUTICALS")</f>
        <v>BURGEON PHARMACEUTICALS</v>
      </c>
    </row>
    <row r="616" ht="16.5" customHeight="1">
      <c r="H616" s="1" t="str">
        <f>IFERROR(__xludf.DUMMYFUNCTION("""COMPUTED_VALUE"""),"BUSHWELL P LTD")</f>
        <v>BUSHWELL P LTD</v>
      </c>
    </row>
    <row r="617" ht="16.5" customHeight="1">
      <c r="H617" s="1" t="str">
        <f>IFERROR(__xludf.DUMMYFUNCTION("""COMPUTED_VALUE"""),"CA RETRANS 10MG")</f>
        <v>CA RETRANS 10MG</v>
      </c>
    </row>
    <row r="618" ht="16.5" customHeight="1">
      <c r="H618" s="1" t="str">
        <f>IFERROR(__xludf.DUMMYFUNCTION("""COMPUTED_VALUE"""),"Cachet Pharmaceuticals Ltd.")</f>
        <v>Cachet Pharmaceuticals Ltd.</v>
      </c>
    </row>
    <row r="619" ht="16.5" customHeight="1">
      <c r="H619" s="1" t="str">
        <f>IFERROR(__xludf.DUMMYFUNCTION("""COMPUTED_VALUE"""),"Cachet Pharmaceuticals Pvt Ltd")</f>
        <v>Cachet Pharmaceuticals Pvt Ltd</v>
      </c>
    </row>
    <row r="620" ht="16.5" customHeight="1">
      <c r="H620" s="1" t="str">
        <f>IFERROR(__xludf.DUMMYFUNCTION("""COMPUTED_VALUE"""),"CADEX LABORATORIES")</f>
        <v>CADEX LABORATORIES</v>
      </c>
    </row>
    <row r="621" ht="16.5" customHeight="1">
      <c r="H621" s="1" t="str">
        <f>IFERROR(__xludf.DUMMYFUNCTION("""COMPUTED_VALUE"""),"CADICO REMEDIES")</f>
        <v>CADICO REMEDIES</v>
      </c>
    </row>
    <row r="622" ht="16.5" customHeight="1">
      <c r="H622" s="1" t="str">
        <f>IFERROR(__xludf.DUMMYFUNCTION("""COMPUTED_VALUE"""),"CADILA (DERMA)")</f>
        <v>CADILA (DERMA)</v>
      </c>
    </row>
    <row r="623" ht="16.5" customHeight="1">
      <c r="H623" s="1" t="str">
        <f>IFERROR(__xludf.DUMMYFUNCTION("""COMPUTED_VALUE"""),"CADILA (GENERIC)")</f>
        <v>CADILA (GENERIC)</v>
      </c>
    </row>
    <row r="624" ht="16.5" customHeight="1">
      <c r="H624" s="1" t="str">
        <f>IFERROR(__xludf.DUMMYFUNCTION("""COMPUTED_VALUE"""),"CADILA (MAGFAM)")</f>
        <v>CADILA (MAGFAM)</v>
      </c>
    </row>
    <row r="625" ht="16.5" customHeight="1">
      <c r="H625" s="1" t="str">
        <f>IFERROR(__xludf.DUMMYFUNCTION("""COMPUTED_VALUE"""),"CADILA (MAGNN WAVE)")</f>
        <v>CADILA (MAGNN WAVE)</v>
      </c>
    </row>
    <row r="626" ht="16.5" customHeight="1">
      <c r="H626" s="1" t="str">
        <f>IFERROR(__xludf.DUMMYFUNCTION("""COMPUTED_VALUE"""),"CADILA (VOLTA)")</f>
        <v>CADILA (VOLTA)</v>
      </c>
    </row>
    <row r="627" ht="16.5" customHeight="1">
      <c r="H627" s="1" t="str">
        <f>IFERROR(__xludf.DUMMYFUNCTION("""COMPUTED_VALUE"""),"Cadila Healthcare Limited")</f>
        <v>Cadila Healthcare Limited</v>
      </c>
    </row>
    <row r="628" ht="16.5" customHeight="1">
      <c r="H628" s="1" t="str">
        <f>IFERROR(__xludf.DUMMYFUNCTION("""COMPUTED_VALUE"""),"CADILA PHARMA (IRM)")</f>
        <v>CADILA PHARMA (IRM)</v>
      </c>
    </row>
    <row r="629" ht="16.5" customHeight="1">
      <c r="H629" s="1" t="str">
        <f>IFERROR(__xludf.DUMMYFUNCTION("""COMPUTED_VALUE"""),"CADILA PHARMA(GERMAN-MAXX)")</f>
        <v>CADILA PHARMA(GERMAN-MAXX)</v>
      </c>
    </row>
    <row r="630" ht="16.5" customHeight="1">
      <c r="H630" s="1" t="str">
        <f>IFERROR(__xludf.DUMMYFUNCTION("""COMPUTED_VALUE"""),"Cadila Pharmaceuticals Ltd")</f>
        <v>Cadila Pharmaceuticals Ltd</v>
      </c>
    </row>
    <row r="631" ht="16.5" customHeight="1">
      <c r="H631" s="1" t="str">
        <f>IFERROR(__xludf.DUMMYFUNCTION("""COMPUTED_VALUE"""),"CADIZ LIFESCIENCE (LYKA NOVOGEN)")</f>
        <v>CADIZ LIFESCIENCE (LYKA NOVOGEN)</v>
      </c>
    </row>
    <row r="632" ht="16.5" customHeight="1">
      <c r="H632" s="1" t="str">
        <f>IFERROR(__xludf.DUMMYFUNCTION("""COMPUTED_VALUE"""),"CADMA BIOTECH")</f>
        <v>CADMA BIOTECH</v>
      </c>
    </row>
    <row r="633" ht="16.5" customHeight="1">
      <c r="H633" s="1" t="str">
        <f>IFERROR(__xludf.DUMMYFUNCTION("""COMPUTED_VALUE"""),"CADOMED PHARMACEUTICALS INDIA PVT LTD")</f>
        <v>CADOMED PHARMACEUTICALS INDIA PVT LTD</v>
      </c>
    </row>
    <row r="634" ht="16.5" customHeight="1">
      <c r="H634" s="1" t="str">
        <f>IFERROR(__xludf.DUMMYFUNCTION("""COMPUTED_VALUE"""),"Calix Health Care")</f>
        <v>Calix Health Care</v>
      </c>
    </row>
    <row r="635" ht="16.5" customHeight="1">
      <c r="H635" s="1" t="str">
        <f>IFERROR(__xludf.DUMMYFUNCTION("""COMPUTED_VALUE"""),"CAMRUT PHARMA")</f>
        <v>CAMRUT PHARMA</v>
      </c>
    </row>
    <row r="636" ht="16.5" customHeight="1">
      <c r="H636" s="1" t="str">
        <f>IFERROR(__xludf.DUMMYFUNCTION("""COMPUTED_VALUE"""),"CAN CARE BIOTECH")</f>
        <v>CAN CARE BIOTECH</v>
      </c>
    </row>
    <row r="637" ht="16.5" customHeight="1">
      <c r="H637" s="1" t="str">
        <f>IFERROR(__xludf.DUMMYFUNCTION("""COMPUTED_VALUE"""),"CANADIAN PHARMACEUTICALS")</f>
        <v>CANADIAN PHARMACEUTICALS</v>
      </c>
    </row>
    <row r="638" ht="16.5" customHeight="1">
      <c r="H638" s="1" t="str">
        <f>IFERROR(__xludf.DUMMYFUNCTION("""COMPUTED_VALUE"""),"Canixa Life Sciences Pvt")</f>
        <v>Canixa Life Sciences Pvt</v>
      </c>
    </row>
    <row r="639" ht="16.5" customHeight="1">
      <c r="H639" s="1" t="str">
        <f>IFERROR(__xludf.DUMMYFUNCTION("""COMPUTED_VALUE"""),"CAPLET INDIA PVT LTD")</f>
        <v>CAPLET INDIA PVT LTD</v>
      </c>
    </row>
    <row r="640" ht="16.5" customHeight="1">
      <c r="H640" s="1" t="str">
        <f>IFERROR(__xludf.DUMMYFUNCTION("""COMPUTED_VALUE"""),"CAPRI PHARMACEUTICALS")</f>
        <v>CAPRI PHARMACEUTICALS</v>
      </c>
    </row>
    <row r="641" ht="16.5" customHeight="1">
      <c r="H641" s="1" t="str">
        <f>IFERROR(__xludf.DUMMYFUNCTION("""COMPUTED_VALUE"""),"CAPS PHARMA PVT LTD")</f>
        <v>CAPS PHARMA PVT LTD</v>
      </c>
    </row>
    <row r="642" ht="16.5" customHeight="1">
      <c r="H642" s="1" t="str">
        <f>IFERROR(__xludf.DUMMYFUNCTION("""COMPUTED_VALUE"""),"Captab Biotech")</f>
        <v>Captab Biotech</v>
      </c>
    </row>
    <row r="643" ht="16.5" customHeight="1">
      <c r="H643" s="1" t="str">
        <f>IFERROR(__xludf.DUMMYFUNCTION("""COMPUTED_VALUE"""),"CAPTO THERAPEUTICS")</f>
        <v>CAPTO THERAPEUTICS</v>
      </c>
    </row>
    <row r="644" ht="16.5" customHeight="1">
      <c r="H644" s="1" t="str">
        <f>IFERROR(__xludf.DUMMYFUNCTION("""COMPUTED_VALUE"""),"Care Biochemicals Pvt Ltd")</f>
        <v>Care Biochemicals Pvt Ltd</v>
      </c>
    </row>
    <row r="645" ht="16.5" customHeight="1">
      <c r="H645" s="1" t="str">
        <f>IFERROR(__xludf.DUMMYFUNCTION("""COMPUTED_VALUE"""),"CARE FORMULATION LABS PVT LTD")</f>
        <v>CARE FORMULATION LABS PVT LTD</v>
      </c>
    </row>
    <row r="646" ht="16.5" customHeight="1">
      <c r="H646" s="1" t="str">
        <f>IFERROR(__xludf.DUMMYFUNCTION("""COMPUTED_VALUE"""),"CARE GROUP")</f>
        <v>CARE GROUP</v>
      </c>
    </row>
    <row r="647" ht="16.5" customHeight="1">
      <c r="H647" s="1" t="str">
        <f>IFERROR(__xludf.DUMMYFUNCTION("""COMPUTED_VALUE"""),"CARE LIFESCIENCE")</f>
        <v>CARE LIFESCIENCE</v>
      </c>
    </row>
    <row r="648" ht="16.5" customHeight="1">
      <c r="H648" s="1" t="str">
        <f>IFERROR(__xludf.DUMMYFUNCTION("""COMPUTED_VALUE"""),"Care Pharma India Ltd")</f>
        <v>Care Pharma India Ltd</v>
      </c>
    </row>
    <row r="649" ht="16.5" customHeight="1">
      <c r="H649" s="1" t="str">
        <f>IFERROR(__xludf.DUMMYFUNCTION("""COMPUTED_VALUE"""),"CARE VISION")</f>
        <v>CARE VISION</v>
      </c>
    </row>
    <row r="650" ht="16.5" customHeight="1">
      <c r="H650" s="1" t="str">
        <f>IFERROR(__xludf.DUMMYFUNCTION("""COMPUTED_VALUE"""),"CAREMED PHARMA")</f>
        <v>CAREMED PHARMA</v>
      </c>
    </row>
    <row r="651" ht="16.5" customHeight="1">
      <c r="H651" s="1" t="str">
        <f>IFERROR(__xludf.DUMMYFUNCTION("""COMPUTED_VALUE"""),"CAREWELL PHARMACEUTICALS")</f>
        <v>CAREWELL PHARMACEUTICALS</v>
      </c>
    </row>
    <row r="652" ht="16.5" customHeight="1">
      <c r="H652" s="1" t="str">
        <f>IFERROR(__xludf.DUMMYFUNCTION("""COMPUTED_VALUE"""),"CARISE PHARMACEUTICALS")</f>
        <v>CARISE PHARMACEUTICALS</v>
      </c>
    </row>
    <row r="653" ht="16.5" customHeight="1">
      <c r="H653" s="1" t="str">
        <f>IFERROR(__xludf.DUMMYFUNCTION("""COMPUTED_VALUE"""),"CARLTON")</f>
        <v>CARLTON</v>
      </c>
    </row>
    <row r="654" ht="16.5" customHeight="1">
      <c r="H654" s="1" t="str">
        <f>IFERROR(__xludf.DUMMYFUNCTION("""COMPUTED_VALUE"""),"CASCA REMEDIES PVT LTD")</f>
        <v>CASCA REMEDIES PVT LTD</v>
      </c>
    </row>
    <row r="655" ht="16.5" customHeight="1">
      <c r="H655" s="1" t="str">
        <f>IFERROR(__xludf.DUMMYFUNCTION("""COMPUTED_VALUE"""),"CAVIAR DERMA CARE")</f>
        <v>CAVIAR DERMA CARE</v>
      </c>
    </row>
    <row r="656" ht="16.5" customHeight="1">
      <c r="H656" s="1" t="str">
        <f>IFERROR(__xludf.DUMMYFUNCTION("""COMPUTED_VALUE"""),"CAVIN PHARMACEUTICALS")</f>
        <v>CAVIN PHARMACEUTICALS</v>
      </c>
    </row>
    <row r="657" ht="16.5" customHeight="1">
      <c r="H657" s="1" t="str">
        <f>IFERROR(__xludf.DUMMYFUNCTION("""COMPUTED_VALUE"""),"CAZLE AYURVEDA")</f>
        <v>CAZLE AYURVEDA</v>
      </c>
    </row>
    <row r="658" ht="16.5" customHeight="1">
      <c r="H658" s="1" t="str">
        <f>IFERROR(__xludf.DUMMYFUNCTION("""COMPUTED_VALUE"""),"CCI PRODUCTS")</f>
        <v>CCI PRODUCTS</v>
      </c>
    </row>
    <row r="659" ht="16.5" customHeight="1">
      <c r="H659" s="1" t="str">
        <f>IFERROR(__xludf.DUMMYFUNCTION("""COMPUTED_VALUE"""),"CELAGENEX RESEARCH INDIA P LTD")</f>
        <v>CELAGENEX RESEARCH INDIA P LTD</v>
      </c>
    </row>
    <row r="660" ht="16.5" customHeight="1">
      <c r="H660" s="1" t="str">
        <f>IFERROR(__xludf.DUMMYFUNCTION("""COMPUTED_VALUE"""),"CELESTIAL PHARMA")</f>
        <v>CELESTIAL PHARMA</v>
      </c>
    </row>
    <row r="661" ht="16.5" customHeight="1">
      <c r="H661" s="1" t="str">
        <f>IFERROR(__xludf.DUMMYFUNCTION("""COMPUTED_VALUE"""),"CELLGEN BIOPHARMA LLP")</f>
        <v>CELLGEN BIOPHARMA LLP</v>
      </c>
    </row>
    <row r="662" ht="16.5" customHeight="1">
      <c r="H662" s="1" t="str">
        <f>IFERROR(__xludf.DUMMYFUNCTION("""COMPUTED_VALUE"""),"CELON LABS")</f>
        <v>CELON LABS</v>
      </c>
    </row>
    <row r="663" ht="16.5" customHeight="1">
      <c r="H663" s="1" t="str">
        <f>IFERROR(__xludf.DUMMYFUNCTION("""COMPUTED_VALUE"""),"CELON LABS (EVALIFE)")</f>
        <v>CELON LABS (EVALIFE)</v>
      </c>
    </row>
    <row r="664" ht="16.5" customHeight="1">
      <c r="H664" s="1" t="str">
        <f>IFERROR(__xludf.DUMMYFUNCTION("""COMPUTED_VALUE"""),"CELON LABS (REVILON)")</f>
        <v>CELON LABS (REVILON)</v>
      </c>
    </row>
    <row r="665" ht="16.5" customHeight="1">
      <c r="H665" s="1" t="str">
        <f>IFERROR(__xludf.DUMMYFUNCTION("""COMPUTED_VALUE"""),"CELON LABS (UROLOGY &amp; NEPHRO)")</f>
        <v>CELON LABS (UROLOGY &amp; NEPHRO)</v>
      </c>
    </row>
    <row r="666" ht="16.5" customHeight="1">
      <c r="H666" s="1" t="str">
        <f>IFERROR(__xludf.DUMMYFUNCTION("""COMPUTED_VALUE"""),"CELON LABS (VIVILON)")</f>
        <v>CELON LABS (VIVILON)</v>
      </c>
    </row>
    <row r="667" ht="16.5" customHeight="1">
      <c r="H667" s="1" t="str">
        <f>IFERROR(__xludf.DUMMYFUNCTION("""COMPUTED_VALUE"""),"CELON LABS (VIVILON)")</f>
        <v>CELON LABS (VIVILON)</v>
      </c>
    </row>
    <row r="668" ht="16.5" customHeight="1">
      <c r="H668" s="1" t="str">
        <f>IFERROR(__xludf.DUMMYFUNCTION("""COMPUTED_VALUE"""),"CELSIUS HEALTHCARE")</f>
        <v>CELSIUS HEALTHCARE</v>
      </c>
    </row>
    <row r="669" ht="16.5" customHeight="1">
      <c r="H669" s="1" t="str">
        <f>IFERROR(__xludf.DUMMYFUNCTION("""COMPUTED_VALUE"""),"CENESYS CARE INDIA")</f>
        <v>CENESYS CARE INDIA</v>
      </c>
    </row>
    <row r="670" ht="16.5" customHeight="1">
      <c r="H670" s="1" t="str">
        <f>IFERROR(__xludf.DUMMYFUNCTION("""COMPUTED_VALUE"""),"CENOZOIC REMEDIES P LTD")</f>
        <v>CENOZOIC REMEDIES P LTD</v>
      </c>
    </row>
    <row r="671" ht="16.5" customHeight="1">
      <c r="H671" s="1" t="str">
        <f>IFERROR(__xludf.DUMMYFUNCTION("""COMPUTED_VALUE"""),"CENTAUR (ENT)")</f>
        <v>CENTAUR (ENT)</v>
      </c>
    </row>
    <row r="672" ht="16.5" customHeight="1">
      <c r="H672" s="1" t="str">
        <f>IFERROR(__xludf.DUMMYFUNCTION("""COMPUTED_VALUE"""),"CENTAUR (PRAGYA)")</f>
        <v>CENTAUR (PRAGYA)</v>
      </c>
    </row>
    <row r="673" ht="16.5" customHeight="1">
      <c r="H673" s="1" t="str">
        <f>IFERROR(__xludf.DUMMYFUNCTION("""COMPUTED_VALUE"""),"CENTAUR (SAKSHAM)")</f>
        <v>CENTAUR (SAKSHAM)</v>
      </c>
    </row>
    <row r="674" ht="16.5" customHeight="1">
      <c r="H674" s="1" t="str">
        <f>IFERROR(__xludf.DUMMYFUNCTION("""COMPUTED_VALUE"""),"CENTAUR (SAMRUDDHI)")</f>
        <v>CENTAUR (SAMRUDDHI)</v>
      </c>
    </row>
    <row r="675" ht="16.5" customHeight="1">
      <c r="H675" s="1" t="str">
        <f>IFERROR(__xludf.DUMMYFUNCTION("""COMPUTED_VALUE"""),"CENTAUR (SANKALP)")</f>
        <v>CENTAUR (SANKALP)</v>
      </c>
    </row>
    <row r="676" ht="16.5" customHeight="1">
      <c r="H676" s="1" t="str">
        <f>IFERROR(__xludf.DUMMYFUNCTION("""COMPUTED_VALUE"""),"CENTAUR (SARTHAK)")</f>
        <v>CENTAUR (SARTHAK)</v>
      </c>
    </row>
    <row r="677" ht="16.5" customHeight="1">
      <c r="H677" s="1" t="str">
        <f>IFERROR(__xludf.DUMMYFUNCTION("""COMPUTED_VALUE"""),"CENTAUR (SHASHVTA)")</f>
        <v>CENTAUR (SHASHVTA)</v>
      </c>
    </row>
    <row r="678" ht="16.5" customHeight="1">
      <c r="H678" s="1" t="str">
        <f>IFERROR(__xludf.DUMMYFUNCTION("""COMPUTED_VALUE"""),"Centaur Pharmaceuticals Pvt Ltd")</f>
        <v>Centaur Pharmaceuticals Pvt Ltd</v>
      </c>
    </row>
    <row r="679" ht="16.5" customHeight="1">
      <c r="H679" s="1" t="str">
        <f>IFERROR(__xludf.DUMMYFUNCTION("""COMPUTED_VALUE"""),"CENTURE (SAHAKALM)")</f>
        <v>CENTURE (SAHAKALM)</v>
      </c>
    </row>
    <row r="680" ht="16.5" customHeight="1">
      <c r="H680" s="1" t="str">
        <f>IFERROR(__xludf.DUMMYFUNCTION("""COMPUTED_VALUE"""),"CENTURY")</f>
        <v>CENTURY</v>
      </c>
    </row>
    <row r="681" ht="16.5" customHeight="1">
      <c r="H681" s="1" t="str">
        <f>IFERROR(__xludf.DUMMYFUNCTION("""COMPUTED_VALUE"""),"CENTURY DRUGS")</f>
        <v>CENTURY DRUGS</v>
      </c>
    </row>
    <row r="682" ht="16.5" customHeight="1">
      <c r="H682" s="1" t="str">
        <f>IFERROR(__xludf.DUMMYFUNCTION("""COMPUTED_VALUE"""),"CERAS PHARMACEUTICALS CHENNAI")</f>
        <v>CERAS PHARMACEUTICALS CHENNAI</v>
      </c>
    </row>
    <row r="683" ht="16.5" customHeight="1">
      <c r="H683" s="1" t="str">
        <f>IFERROR(__xludf.DUMMYFUNCTION("""COMPUTED_VALUE"""),"CERYS PHARMA")</f>
        <v>CERYS PHARMA</v>
      </c>
    </row>
    <row r="684" ht="16.5" customHeight="1">
      <c r="H684" s="1" t="str">
        <f>IFERROR(__xludf.DUMMYFUNCTION("""COMPUTED_VALUE"""),"CFL PHARMACEUTICALS LTD")</f>
        <v>CFL PHARMACEUTICALS LTD</v>
      </c>
    </row>
    <row r="685" ht="16.5" customHeight="1">
      <c r="H685" s="1" t="str">
        <f>IFERROR(__xludf.DUMMYFUNCTION("""COMPUTED_VALUE"""),"CHAMBAL PHARMACY")</f>
        <v>CHAMBAL PHARMACY</v>
      </c>
    </row>
    <row r="686" ht="16.5" customHeight="1">
      <c r="H686" s="1" t="str">
        <f>IFERROR(__xludf.DUMMYFUNCTION("""COMPUTED_VALUE"""),"CHANDRA BHAGAT (DSIRE)")</f>
        <v>CHANDRA BHAGAT (DSIRE)</v>
      </c>
    </row>
    <row r="687" ht="16.5" customHeight="1">
      <c r="H687" s="1" t="str">
        <f>IFERROR(__xludf.DUMMYFUNCTION("""COMPUTED_VALUE"""),"CHANDRABHAGAT CORPN LTD")</f>
        <v>CHANDRABHAGAT CORPN LTD</v>
      </c>
    </row>
    <row r="688" ht="16.5" customHeight="1">
      <c r="H688" s="1" t="str">
        <f>IFERROR(__xludf.DUMMYFUNCTION("""COMPUTED_VALUE"""),"CHANDRASHRI LABORATORES")</f>
        <v>CHANDRASHRI LABORATORES</v>
      </c>
    </row>
    <row r="689" ht="16.5" customHeight="1">
      <c r="H689" s="1" t="str">
        <f>IFERROR(__xludf.DUMMYFUNCTION("""COMPUTED_VALUE"""),"Charak Pharma Pvt Ltd")</f>
        <v>Charak Pharma Pvt Ltd</v>
      </c>
    </row>
    <row r="690" ht="16.5" customHeight="1">
      <c r="H690" s="1" t="str">
        <f>IFERROR(__xludf.DUMMYFUNCTION("""COMPUTED_VALUE"""),"Charak Pharma Pvt Ltd (PHYTONOVA)")</f>
        <v>Charak Pharma Pvt Ltd (PHYTONOVA)</v>
      </c>
    </row>
    <row r="691" ht="16.5" customHeight="1">
      <c r="H691" s="1" t="str">
        <f>IFERROR(__xludf.DUMMYFUNCTION("""COMPUTED_VALUE"""),"Charak Pharma Pvt. Ltd.")</f>
        <v>Charak Pharma Pvt. Ltd.</v>
      </c>
    </row>
    <row r="692" ht="16.5" customHeight="1">
      <c r="H692" s="1" t="str">
        <f>IFERROR(__xludf.DUMMYFUNCTION("""COMPUTED_VALUE"""),"Chaturbhuj Pharma")</f>
        <v>Chaturbhuj Pharma</v>
      </c>
    </row>
    <row r="693" ht="16.5" customHeight="1">
      <c r="H693" s="1" t="str">
        <f>IFERROR(__xludf.DUMMYFUNCTION("""COMPUTED_VALUE"""),"CHEK MED PHARMA")</f>
        <v>CHEK MED PHARMA</v>
      </c>
    </row>
    <row r="694" ht="16.5" customHeight="1">
      <c r="H694" s="1" t="str">
        <f>IFERROR(__xludf.DUMMYFUNCTION("""COMPUTED_VALUE"""),"CHEMACK LAB")</f>
        <v>CHEMACK LAB</v>
      </c>
    </row>
    <row r="695" ht="16.5" customHeight="1">
      <c r="H695" s="1" t="str">
        <f>IFERROR(__xludf.DUMMYFUNCTION("""COMPUTED_VALUE"""),"CHEMICARE REMEDIES")</f>
        <v>CHEMICARE REMEDIES</v>
      </c>
    </row>
    <row r="696" ht="16.5" customHeight="1">
      <c r="H696" s="1" t="str">
        <f>IFERROR(__xludf.DUMMYFUNCTION("""COMPUTED_VALUE"""),"CHEMICARE REMEDIES PVT LTD")</f>
        <v>CHEMICARE REMEDIES PVT LTD</v>
      </c>
    </row>
    <row r="697" ht="16.5" customHeight="1">
      <c r="H697" s="1" t="str">
        <f>IFERROR(__xludf.DUMMYFUNCTION("""COMPUTED_VALUE"""),"CHEMINNOVA LIFE SCIENCES")</f>
        <v>CHEMINNOVA LIFE SCIENCES</v>
      </c>
    </row>
    <row r="698" ht="16.5" customHeight="1">
      <c r="H698" s="1" t="str">
        <f>IFERROR(__xludf.DUMMYFUNCTION("""COMPUTED_VALUE"""),"Chemo Biological")</f>
        <v>Chemo Biological</v>
      </c>
    </row>
    <row r="699" ht="16.5" customHeight="1">
      <c r="H699" s="1" t="str">
        <f>IFERROR(__xludf.DUMMYFUNCTION("""COMPUTED_VALUE"""),"CHEMO HEALTH CARE")</f>
        <v>CHEMO HEALTH CARE</v>
      </c>
    </row>
    <row r="700" ht="16.5" customHeight="1">
      <c r="H700" s="1" t="str">
        <f>IFERROR(__xludf.DUMMYFUNCTION("""COMPUTED_VALUE"""),"CHINA HERBALS")</f>
        <v>CHINA HERBALS</v>
      </c>
    </row>
    <row r="701" ht="16.5" customHeight="1">
      <c r="H701" s="1" t="str">
        <f>IFERROR(__xludf.DUMMYFUNCTION("""COMPUTED_VALUE"""),"CHIRAYU PHARMACEUTICALS")</f>
        <v>CHIRAYU PHARMACEUTICALS</v>
      </c>
    </row>
    <row r="702" ht="16.5" customHeight="1">
      <c r="H702" s="1" t="str">
        <f>IFERROR(__xludf.DUMMYFUNCTION("""COMPUTED_VALUE"""),"CHIRON BEHRING VACCINES PVT LTD")</f>
        <v>CHIRON BEHRING VACCINES PVT LTD</v>
      </c>
    </row>
    <row r="703" ht="16.5" customHeight="1">
      <c r="H703" s="1" t="str">
        <f>IFERROR(__xludf.DUMMYFUNCTION("""COMPUTED_VALUE"""),"CHROMOSOM INDIA")</f>
        <v>CHROMOSOM INDIA</v>
      </c>
    </row>
    <row r="704" ht="16.5" customHeight="1">
      <c r="H704" s="1" t="str">
        <f>IFERROR(__xludf.DUMMYFUNCTION("""COMPUTED_VALUE"""),"CHRONICLES DRUGS &amp; CHEMICALS PVT LTD")</f>
        <v>CHRONICLES DRUGS &amp; CHEMICALS PVT LTD</v>
      </c>
    </row>
    <row r="705" ht="16.5" customHeight="1">
      <c r="H705" s="1" t="str">
        <f>IFERROR(__xludf.DUMMYFUNCTION("""COMPUTED_VALUE"""),"CIAGA PHARMA")</f>
        <v>CIAGA PHARMA</v>
      </c>
    </row>
    <row r="706" ht="16.5" customHeight="1">
      <c r="H706" s="1" t="str">
        <f>IFERROR(__xludf.DUMMYFUNCTION("""COMPUTED_VALUE"""),"CIAN HEALTHCARE P LTD")</f>
        <v>CIAN HEALTHCARE P LTD</v>
      </c>
    </row>
    <row r="707" ht="16.5" customHeight="1">
      <c r="H707" s="1" t="str">
        <f>IFERROR(__xludf.DUMMYFUNCTION("""COMPUTED_VALUE"""),"CIBELES PHARMACEUTICALS PVT LTD")</f>
        <v>CIBELES PHARMACEUTICALS PVT LTD</v>
      </c>
    </row>
    <row r="708" ht="16.5" customHeight="1">
      <c r="H708" s="1" t="str">
        <f>IFERROR(__xludf.DUMMYFUNCTION("""COMPUTED_VALUE"""),"CIPCO PHARMA")</f>
        <v>CIPCO PHARMA</v>
      </c>
    </row>
    <row r="709" ht="16.5" customHeight="1">
      <c r="H709" s="1" t="str">
        <f>IFERROR(__xludf.DUMMYFUNCTION("""COMPUTED_VALUE"""),"CIPLA (CRESTA)")</f>
        <v>CIPLA (CRESTA)</v>
      </c>
    </row>
    <row r="710" ht="16.5" customHeight="1">
      <c r="H710" s="1" t="str">
        <f>IFERROR(__xludf.DUMMYFUNCTION("""COMPUTED_VALUE"""),"CIPLA (CRITICAL CARE)")</f>
        <v>CIPLA (CRITICAL CARE)</v>
      </c>
    </row>
    <row r="711" ht="16.5" customHeight="1">
      <c r="H711" s="1" t="str">
        <f>IFERROR(__xludf.DUMMYFUNCTION("""COMPUTED_VALUE"""),"CIPLA (DISCONTD)")</f>
        <v>CIPLA (DISCONTD)</v>
      </c>
    </row>
    <row r="712" ht="16.5" customHeight="1">
      <c r="H712" s="1" t="str">
        <f>IFERROR(__xludf.DUMMYFUNCTION("""COMPUTED_VALUE"""),"CIPLA (FORESIGHT)")</f>
        <v>CIPLA (FORESIGHT)</v>
      </c>
    </row>
    <row r="713" ht="16.5" customHeight="1">
      <c r="H713" s="1" t="str">
        <f>IFERROR(__xludf.DUMMYFUNCTION("""COMPUTED_VALUE"""),"CIPLA (GENERIC)")</f>
        <v>CIPLA (GENERIC)</v>
      </c>
    </row>
    <row r="714" ht="16.5" customHeight="1">
      <c r="H714" s="1" t="str">
        <f>IFERROR(__xludf.DUMMYFUNCTION("""COMPUTED_VALUE"""),"CIPLA (HEALTH)")</f>
        <v>CIPLA (HEALTH)</v>
      </c>
    </row>
    <row r="715" ht="16.5" customHeight="1">
      <c r="H715" s="1" t="str">
        <f>IFERROR(__xludf.DUMMYFUNCTION("""COMPUTED_VALUE"""),"CIPLA (HEPATOLOGY)")</f>
        <v>CIPLA (HEPATOLOGY)</v>
      </c>
    </row>
    <row r="716" ht="16.5" customHeight="1">
      <c r="H716" s="1" t="str">
        <f>IFERROR(__xludf.DUMMYFUNCTION("""COMPUTED_VALUE"""),"CIPLA (HIV)")</f>
        <v>CIPLA (HIV)</v>
      </c>
    </row>
    <row r="717" ht="16.5" customHeight="1">
      <c r="H717" s="1" t="str">
        <f>IFERROR(__xludf.DUMMYFUNCTION("""COMPUTED_VALUE"""),"CIPLA (IMPULSE)")</f>
        <v>CIPLA (IMPULSE)</v>
      </c>
    </row>
    <row r="718" ht="16.5" customHeight="1">
      <c r="H718" s="1" t="str">
        <f>IFERROR(__xludf.DUMMYFUNCTION("""COMPUTED_VALUE"""),"CIPLA (INSPIRA)")</f>
        <v>CIPLA (INSPIRA)</v>
      </c>
    </row>
    <row r="719" ht="16.5" customHeight="1">
      <c r="H719" s="1" t="str">
        <f>IFERROR(__xludf.DUMMYFUNCTION("""COMPUTED_VALUE"""),"CIPLA (LIFE CARE)")</f>
        <v>CIPLA (LIFE CARE)</v>
      </c>
    </row>
    <row r="720" ht="16.5" customHeight="1">
      <c r="H720" s="1" t="str">
        <f>IFERROR(__xludf.DUMMYFUNCTION("""COMPUTED_VALUE"""),"CIPLA (LUCENTA)")</f>
        <v>CIPLA (LUCENTA)</v>
      </c>
    </row>
    <row r="721" ht="16.5" customHeight="1">
      <c r="H721" s="1" t="str">
        <f>IFERROR(__xludf.DUMMYFUNCTION("""COMPUTED_VALUE"""),"CIPLA (NEPHMUN)")</f>
        <v>CIPLA (NEPHMUN)</v>
      </c>
    </row>
    <row r="722" ht="16.5" customHeight="1">
      <c r="H722" s="1" t="str">
        <f>IFERROR(__xludf.DUMMYFUNCTION("""COMPUTED_VALUE"""),"CIPLA (NON HIV)")</f>
        <v>CIPLA (NON HIV)</v>
      </c>
    </row>
    <row r="723" ht="16.5" customHeight="1">
      <c r="H723" s="1" t="str">
        <f>IFERROR(__xludf.DUMMYFUNCTION("""COMPUTED_VALUE"""),"CIPLA (NURTURE)")</f>
        <v>CIPLA (NURTURE)</v>
      </c>
    </row>
    <row r="724" ht="16.5" customHeight="1">
      <c r="H724" s="1" t="str">
        <f>IFERROR(__xludf.DUMMYFUNCTION("""COMPUTED_VALUE"""),"CIPLA (OMNICARE)")</f>
        <v>CIPLA (OMNICARE)</v>
      </c>
    </row>
    <row r="725" ht="16.5" customHeight="1">
      <c r="H725" s="1" t="str">
        <f>IFERROR(__xludf.DUMMYFUNCTION("""COMPUTED_VALUE"""),"CIPLA (OPTIMUS)")</f>
        <v>CIPLA (OPTIMUS)</v>
      </c>
    </row>
    <row r="726" ht="16.5" customHeight="1">
      <c r="H726" s="1" t="str">
        <f>IFERROR(__xludf.DUMMYFUNCTION("""COMPUTED_VALUE"""),"CIPLA (OTC)")</f>
        <v>CIPLA (OTC)</v>
      </c>
    </row>
    <row r="727" ht="16.5" customHeight="1">
      <c r="H727" s="1" t="str">
        <f>IFERROR(__xludf.DUMMYFUNCTION("""COMPUTED_VALUE"""),"CIPLA (PH CARE)")</f>
        <v>CIPLA (PH CARE)</v>
      </c>
    </row>
    <row r="728" ht="16.5" customHeight="1">
      <c r="H728" s="1" t="str">
        <f>IFERROR(__xludf.DUMMYFUNCTION("""COMPUTED_VALUE"""),"CIPLA (PROTEC)")</f>
        <v>CIPLA (PROTEC)</v>
      </c>
    </row>
    <row r="729" ht="16.5" customHeight="1">
      <c r="H729" s="1" t="str">
        <f>IFERROR(__xludf.DUMMYFUNCTION("""COMPUTED_VALUE"""),"CIPLA (QUADRA)")</f>
        <v>CIPLA (QUADRA)</v>
      </c>
    </row>
    <row r="730" ht="16.5" customHeight="1">
      <c r="H730" s="1" t="str">
        <f>IFERROR(__xludf.DUMMYFUNCTION("""COMPUTED_VALUE"""),"CIPLA (RESPIRATORY 2)")</f>
        <v>CIPLA (RESPIRATORY 2)</v>
      </c>
    </row>
    <row r="731" ht="16.5" customHeight="1">
      <c r="H731" s="1" t="str">
        <f>IFERROR(__xludf.DUMMYFUNCTION("""COMPUTED_VALUE"""),"CIPLA (RESPIRATORY 3)")</f>
        <v>CIPLA (RESPIRATORY 3)</v>
      </c>
    </row>
    <row r="732" ht="16.5" customHeight="1">
      <c r="H732" s="1" t="str">
        <f>IFERROR(__xludf.DUMMYFUNCTION("""COMPUTED_VALUE"""),"CIPLA (RESPIRATORY)")</f>
        <v>CIPLA (RESPIRATORY)</v>
      </c>
    </row>
    <row r="733" ht="16.5" customHeight="1">
      <c r="H733" s="1" t="str">
        <f>IFERROR(__xludf.DUMMYFUNCTION("""COMPUTED_VALUE"""),"CIPLA (RHEUMATOLOGY)")</f>
        <v>CIPLA (RHEUMATOLOGY)</v>
      </c>
    </row>
    <row r="734" ht="16.5" customHeight="1">
      <c r="H734" s="1" t="str">
        <f>IFERROR(__xludf.DUMMYFUNCTION("""COMPUTED_VALUE"""),"CIPLA (SPECIALITIES 2)")</f>
        <v>CIPLA (SPECIALITIES 2)</v>
      </c>
    </row>
    <row r="735" ht="16.5" customHeight="1">
      <c r="H735" s="1" t="str">
        <f>IFERROR(__xludf.DUMMYFUNCTION("""COMPUTED_VALUE"""),"CIPLA (SPECIALITIES)")</f>
        <v>CIPLA (SPECIALITIES)</v>
      </c>
    </row>
    <row r="736" ht="16.5" customHeight="1">
      <c r="H736" s="1" t="str">
        <f>IFERROR(__xludf.DUMMYFUNCTION("""COMPUTED_VALUE"""),"CIPLA (SUPRACARE)")</f>
        <v>CIPLA (SUPRACARE)</v>
      </c>
    </row>
    <row r="737" ht="16.5" customHeight="1">
      <c r="H737" s="1" t="str">
        <f>IFERROR(__xludf.DUMMYFUNCTION("""COMPUTED_VALUE"""),"CIPLA (TERNA)")</f>
        <v>CIPLA (TERNA)</v>
      </c>
    </row>
    <row r="738" ht="16.5" customHeight="1">
      <c r="H738" s="1" t="str">
        <f>IFERROR(__xludf.DUMMYFUNCTION("""COMPUTED_VALUE"""),"CIPLA (UROLOGY 2)")</f>
        <v>CIPLA (UROLOGY 2)</v>
      </c>
    </row>
    <row r="739" ht="16.5" customHeight="1">
      <c r="H739" s="1" t="str">
        <f>IFERROR(__xludf.DUMMYFUNCTION("""COMPUTED_VALUE"""),"CIPLA (UROLOGY)")</f>
        <v>CIPLA (UROLOGY)</v>
      </c>
    </row>
    <row r="740" ht="16.5" customHeight="1">
      <c r="H740" s="1" t="str">
        <f>IFERROR(__xludf.DUMMYFUNCTION("""COMPUTED_VALUE"""),"CIPLA (VITALCARE)")</f>
        <v>CIPLA (VITALCARE)</v>
      </c>
    </row>
    <row r="741" ht="16.5" customHeight="1">
      <c r="H741" s="1" t="str">
        <f>IFERROR(__xludf.DUMMYFUNCTION("""COMPUTED_VALUE"""),"CIPLA (VITALIS 2)")</f>
        <v>CIPLA (VITALIS 2)</v>
      </c>
    </row>
    <row r="742" ht="16.5" customHeight="1">
      <c r="H742" s="1" t="str">
        <f>IFERROR(__xludf.DUMMYFUNCTION("""COMPUTED_VALUE"""),"CIPLA (VITALIS 3)")</f>
        <v>CIPLA (VITALIS 3)</v>
      </c>
    </row>
    <row r="743" ht="16.5" customHeight="1">
      <c r="H743" s="1" t="str">
        <f>IFERROR(__xludf.DUMMYFUNCTION("""COMPUTED_VALUE"""),"CIPLA (VITALIS)")</f>
        <v>CIPLA (VITALIS)</v>
      </c>
    </row>
    <row r="744" ht="16.5" customHeight="1">
      <c r="H744" s="1" t="str">
        <f>IFERROR(__xludf.DUMMYFUNCTION("""COMPUTED_VALUE"""),"CIPLA (WOMENS HEALTH NUTRAC)")</f>
        <v>CIPLA (WOMENS HEALTH NUTRAC)</v>
      </c>
    </row>
    <row r="745" ht="16.5" customHeight="1">
      <c r="H745" s="1" t="str">
        <f>IFERROR(__xludf.DUMMYFUNCTION("""COMPUTED_VALUE"""),"CIPLA (XTERNA 2)")</f>
        <v>CIPLA (XTERNA 2)</v>
      </c>
    </row>
    <row r="746" ht="16.5" customHeight="1">
      <c r="H746" s="1" t="str">
        <f>IFERROR(__xludf.DUMMYFUNCTION("""COMPUTED_VALUE"""),"CIPLA (XTERNA)")</f>
        <v>CIPLA (XTERNA)</v>
      </c>
    </row>
    <row r="747" ht="16.5" customHeight="1">
      <c r="H747" s="1" t="str">
        <f>IFERROR(__xludf.DUMMYFUNCTION("""COMPUTED_VALUE"""),"CIPLA (ZESTA)")</f>
        <v>CIPLA (ZESTA)</v>
      </c>
    </row>
    <row r="748" ht="16.5" customHeight="1">
      <c r="H748" s="1" t="str">
        <f>IFERROR(__xludf.DUMMYFUNCTION("""COMPUTED_VALUE"""),"Cipla Ltd")</f>
        <v>Cipla Ltd</v>
      </c>
    </row>
    <row r="749" ht="16.5" customHeight="1">
      <c r="H749" s="1" t="str">
        <f>IFERROR(__xludf.DUMMYFUNCTION("""COMPUTED_VALUE"""),"CIPLA SPECTRACARE")</f>
        <v>CIPLA SPECTRACARE</v>
      </c>
    </row>
    <row r="750" ht="16.5" customHeight="1">
      <c r="H750" s="1" t="str">
        <f>IFERROR(__xludf.DUMMYFUNCTION("""COMPUTED_VALUE"""),"CISTA MEDICORP")</f>
        <v>CISTA MEDICORP</v>
      </c>
    </row>
    <row r="751" ht="16.5" customHeight="1">
      <c r="H751" s="1" t="str">
        <f>IFERROR(__xludf.DUMMYFUNCTION("""COMPUTED_VALUE"""),"CISTUS HEALTHCARE")</f>
        <v>CISTUS HEALTHCARE</v>
      </c>
    </row>
    <row r="752" ht="16.5" customHeight="1">
      <c r="H752" s="1" t="str">
        <f>IFERROR(__xludf.DUMMYFUNCTION("""COMPUTED_VALUE"""),"CITADERM PHARMA P LTD")</f>
        <v>CITADERM PHARMA P LTD</v>
      </c>
    </row>
    <row r="753" ht="16.5" customHeight="1">
      <c r="H753" s="1" t="str">
        <f>IFERROR(__xludf.DUMMYFUNCTION("""COMPUTED_VALUE"""),"CLAAS PHARMA")</f>
        <v>CLAAS PHARMA</v>
      </c>
    </row>
    <row r="754" ht="16.5" customHeight="1">
      <c r="H754" s="1" t="str">
        <f>IFERROR(__xludf.DUMMYFUNCTION("""COMPUTED_VALUE"""),"CLANTHIS LIFE SCIENCES")</f>
        <v>CLANTHIS LIFE SCIENCES</v>
      </c>
    </row>
    <row r="755" ht="16.5" customHeight="1">
      <c r="H755" s="1" t="str">
        <f>IFERROR(__xludf.DUMMYFUNCTION("""COMPUTED_VALUE"""),"Clanthis Lifesciences Pvt Ltd")</f>
        <v>Clanthis Lifesciences Pvt Ltd</v>
      </c>
    </row>
    <row r="756" ht="16.5" customHeight="1">
      <c r="H756" s="1" t="str">
        <f>IFERROR(__xludf.DUMMYFUNCTION("""COMPUTED_VALUE"""),"Claris INJECTABLES LTD")</f>
        <v>Claris INJECTABLES LTD</v>
      </c>
    </row>
    <row r="757" ht="16.5" customHeight="1">
      <c r="H757" s="1" t="str">
        <f>IFERROR(__xludf.DUMMYFUNCTION("""COMPUTED_VALUE"""),"Claris Lifesciences Ltd")</f>
        <v>Claris Lifesciences Ltd</v>
      </c>
    </row>
    <row r="758" ht="16.5" customHeight="1">
      <c r="H758" s="1" t="str">
        <f>IFERROR(__xludf.DUMMYFUNCTION("""COMPUTED_VALUE"""),"Clariwell Pharmaceutics")</f>
        <v>Clariwell Pharmaceutics</v>
      </c>
    </row>
    <row r="759" ht="16.5" customHeight="1">
      <c r="H759" s="1" t="str">
        <f>IFERROR(__xludf.DUMMYFUNCTION("""COMPUTED_VALUE"""),"CLARK PHARMACEUTICALS LTD")</f>
        <v>CLARK PHARMACEUTICALS LTD</v>
      </c>
    </row>
    <row r="760" ht="16.5" customHeight="1">
      <c r="H760" s="1" t="str">
        <f>IFERROR(__xludf.DUMMYFUNCTION("""COMPUTED_VALUE"""),"CLIDE INTERNATIONAL PVT LTD")</f>
        <v>CLIDE INTERNATIONAL PVT LTD</v>
      </c>
    </row>
    <row r="761" ht="16.5" customHeight="1">
      <c r="H761" s="1" t="str">
        <f>IFERROR(__xludf.DUMMYFUNCTION("""COMPUTED_VALUE"""),"Clyde Biotech P Ltd")</f>
        <v>Clyde Biotech P Ltd</v>
      </c>
    </row>
    <row r="762" ht="16.5" customHeight="1">
      <c r="H762" s="1" t="str">
        <f>IFERROR(__xludf.DUMMYFUNCTION("""COMPUTED_VALUE"""),"Clyde Pharmaceuticals Pvt Ltd")</f>
        <v>Clyde Pharmaceuticals Pvt Ltd</v>
      </c>
    </row>
    <row r="763" ht="16.5" customHeight="1">
      <c r="H763" s="1" t="str">
        <f>IFERROR(__xludf.DUMMYFUNCTION("""COMPUTED_VALUE"""),"CMR Life Sciences")</f>
        <v>CMR Life Sciences</v>
      </c>
    </row>
    <row r="764" ht="16.5" customHeight="1">
      <c r="H764" s="1" t="str">
        <f>IFERROR(__xludf.DUMMYFUNCTION("""COMPUTED_VALUE"""),"COLARD LIFE SCIENCE")</f>
        <v>COLARD LIFE SCIENCE</v>
      </c>
    </row>
    <row r="765" ht="16.5" customHeight="1">
      <c r="H765" s="1" t="str">
        <f>IFERROR(__xludf.DUMMYFUNCTION("""COMPUTED_VALUE"""),"COLES PHARMACEUTICALS PVT LTD")</f>
        <v>COLES PHARMACEUTICALS PVT LTD</v>
      </c>
    </row>
    <row r="766" ht="16.5" customHeight="1">
      <c r="H766" s="1" t="str">
        <f>IFERROR(__xludf.DUMMYFUNCTION("""COMPUTED_VALUE"""),"Colgate-Palmolive Company")</f>
        <v>Colgate-Palmolive Company</v>
      </c>
    </row>
    <row r="767" ht="16.5" customHeight="1">
      <c r="H767" s="1" t="str">
        <f>IFERROR(__xludf.DUMMYFUNCTION("""COMPUTED_VALUE"""),"Comed Chemicals Ltd")</f>
        <v>Comed Chemicals Ltd</v>
      </c>
    </row>
    <row r="768" ht="16.5" customHeight="1">
      <c r="H768" s="1" t="str">
        <f>IFERROR(__xludf.DUMMYFUNCTION("""COMPUTED_VALUE"""),"COMED LABORATORIES LTD.")</f>
        <v>COMED LABORATORIES LTD.</v>
      </c>
    </row>
    <row r="769" ht="16.5" customHeight="1">
      <c r="H769" s="1" t="str">
        <f>IFERROR(__xludf.DUMMYFUNCTION("""COMPUTED_VALUE"""),"Company Name")</f>
        <v>Company Name</v>
      </c>
    </row>
    <row r="770" ht="16.5" customHeight="1">
      <c r="H770" s="1" t="str">
        <f>IFERROR(__xludf.DUMMYFUNCTION("""COMPUTED_VALUE"""),"COMWORLD REMEDIES")</f>
        <v>COMWORLD REMEDIES</v>
      </c>
    </row>
    <row r="771" ht="16.5" customHeight="1">
      <c r="H771" s="1" t="str">
        <f>IFERROR(__xludf.DUMMYFUNCTION("""COMPUTED_VALUE"""),"CONATUS HEALTHCARE")</f>
        <v>CONATUS HEALTHCARE</v>
      </c>
    </row>
    <row r="772" ht="16.5" customHeight="1">
      <c r="H772" s="1" t="str">
        <f>IFERROR(__xludf.DUMMYFUNCTION("""COMPUTED_VALUE"""),"CONCEPT BIOSCIENCES LTD")</f>
        <v>CONCEPT BIOSCIENCES LTD</v>
      </c>
    </row>
    <row r="773" ht="16.5" customHeight="1">
      <c r="H773" s="1" t="str">
        <f>IFERROR(__xludf.DUMMYFUNCTION("""COMPUTED_VALUE"""),"Concept Pharmaceuticals Ltd")</f>
        <v>Concept Pharmaceuticals Ltd</v>
      </c>
    </row>
    <row r="774" ht="16.5" customHeight="1">
      <c r="H774" s="1" t="str">
        <f>IFERROR(__xludf.DUMMYFUNCTION("""COMPUTED_VALUE"""),"CONCORD BIOTECH")</f>
        <v>CONCORD BIOTECH</v>
      </c>
    </row>
    <row r="775" ht="16.5" customHeight="1">
      <c r="H775" s="1" t="str">
        <f>IFERROR(__xludf.DUMMYFUNCTION("""COMPUTED_VALUE"""),"CONCORD PHARMACEUTICALS PVT LTD")</f>
        <v>CONCORD PHARMACEUTICALS PVT LTD</v>
      </c>
    </row>
    <row r="776" ht="16.5" customHeight="1">
      <c r="H776" s="1" t="str">
        <f>IFERROR(__xludf.DUMMYFUNCTION("""COMPUTED_VALUE"""),"CONSERN pharma")</f>
        <v>CONSERN pharma</v>
      </c>
    </row>
    <row r="777" ht="16.5" customHeight="1">
      <c r="H777" s="1" t="str">
        <f>IFERROR(__xludf.DUMMYFUNCTION("""COMPUTED_VALUE"""),"CONSISTO HEALTHCARE")</f>
        <v>CONSISTO HEALTHCARE</v>
      </c>
    </row>
    <row r="778" ht="16.5" customHeight="1">
      <c r="H778" s="1" t="str">
        <f>IFERROR(__xludf.DUMMYFUNCTION("""COMPUTED_VALUE"""),"CONSUMER MARKETING P LTD")</f>
        <v>CONSUMER MARKETING P LTD</v>
      </c>
    </row>
    <row r="779" ht="16.5" customHeight="1">
      <c r="H779" s="1" t="str">
        <f>IFERROR(__xludf.DUMMYFUNCTION("""COMPUTED_VALUE"""),"CONVEX GLOBAL")</f>
        <v>CONVEX GLOBAL</v>
      </c>
    </row>
    <row r="780" ht="16.5" customHeight="1">
      <c r="H780" s="1" t="str">
        <f>IFERROR(__xludf.DUMMYFUNCTION("""COMPUTED_VALUE"""),"Convina Research Laboratory")</f>
        <v>Convina Research Laboratory</v>
      </c>
    </row>
    <row r="781" ht="16.5" customHeight="1">
      <c r="H781" s="1" t="str">
        <f>IFERROR(__xludf.DUMMYFUNCTION("""COMPUTED_VALUE"""),"CONWELL PHARMA")</f>
        <v>CONWELL PHARMA</v>
      </c>
    </row>
    <row r="782" ht="16.5" customHeight="1">
      <c r="H782" s="1" t="str">
        <f>IFERROR(__xludf.DUMMYFUNCTION("""COMPUTED_VALUE"""),"CORAL")</f>
        <v>CORAL</v>
      </c>
    </row>
    <row r="783" ht="16.5" customHeight="1">
      <c r="H783" s="1" t="str">
        <f>IFERROR(__xludf.DUMMYFUNCTION("""COMPUTED_VALUE"""),"CORAZON PHARMA PVT.LTD.")</f>
        <v>CORAZON PHARMA PVT.LTD.</v>
      </c>
    </row>
    <row r="784" ht="16.5" customHeight="1">
      <c r="H784" s="1" t="str">
        <f>IFERROR(__xludf.DUMMYFUNCTION("""COMPUTED_VALUE"""),"CORE GESTRA")</f>
        <v>CORE GESTRA</v>
      </c>
    </row>
    <row r="785" ht="16.5" customHeight="1">
      <c r="H785" s="1" t="str">
        <f>IFERROR(__xludf.DUMMYFUNCTION("""COMPUTED_VALUE"""),"CORE LABORITISE")</f>
        <v>CORE LABORITISE</v>
      </c>
    </row>
    <row r="786" ht="16.5" customHeight="1">
      <c r="H786" s="1" t="str">
        <f>IFERROR(__xludf.DUMMYFUNCTION("""COMPUTED_VALUE"""),"CORE NUTRILIFE LLP")</f>
        <v>CORE NUTRILIFE LLP</v>
      </c>
    </row>
    <row r="787" ht="16.5" customHeight="1">
      <c r="H787" s="1" t="str">
        <f>IFERROR(__xludf.DUMMYFUNCTION("""COMPUTED_VALUE"""),"COREX PHARMA")</f>
        <v>COREX PHARMA</v>
      </c>
    </row>
    <row r="788" ht="16.5" customHeight="1">
      <c r="H788" s="1" t="str">
        <f>IFERROR(__xludf.DUMMYFUNCTION("""COMPUTED_VALUE"""),"CORONA REMEDIES (AURA)")</f>
        <v>CORONA REMEDIES (AURA)</v>
      </c>
    </row>
    <row r="789" ht="16.5" customHeight="1">
      <c r="H789" s="1" t="str">
        <f>IFERROR(__xludf.DUMMYFUNCTION("""COMPUTED_VALUE"""),"CORONA REMEDIES (PIONEER)")</f>
        <v>CORONA REMEDIES (PIONEER)</v>
      </c>
    </row>
    <row r="790" ht="16.5" customHeight="1">
      <c r="H790" s="1" t="str">
        <f>IFERROR(__xludf.DUMMYFUNCTION("""COMPUTED_VALUE"""),"CORONA REMEDIES (RADIANCE)")</f>
        <v>CORONA REMEDIES (RADIANCE)</v>
      </c>
    </row>
    <row r="791" ht="16.5" customHeight="1">
      <c r="H791" s="1" t="str">
        <f>IFERROR(__xludf.DUMMYFUNCTION("""COMPUTED_VALUE"""),"CORONA REMEDIES (SOLARIS)")</f>
        <v>CORONA REMEDIES (SOLARIS)</v>
      </c>
    </row>
    <row r="792" ht="16.5" customHeight="1">
      <c r="H792" s="1" t="str">
        <f>IFERROR(__xludf.DUMMYFUNCTION("""COMPUTED_VALUE"""),"CORONA REMEDIES (SOLIS)")</f>
        <v>CORONA REMEDIES (SOLIS)</v>
      </c>
    </row>
    <row r="793" ht="16.5" customHeight="1">
      <c r="H793" s="1" t="str">
        <f>IFERROR(__xludf.DUMMYFUNCTION("""COMPUTED_VALUE"""),"CORONA REMEDIES (WELLNESS)")</f>
        <v>CORONA REMEDIES (WELLNESS)</v>
      </c>
    </row>
    <row r="794" ht="16.5" customHeight="1">
      <c r="H794" s="1" t="str">
        <f>IFERROR(__xludf.DUMMYFUNCTION("""COMPUTED_VALUE"""),"CORONA REMEDIES (XEMX)")</f>
        <v>CORONA REMEDIES (XEMX)</v>
      </c>
    </row>
    <row r="795" ht="16.5" customHeight="1">
      <c r="H795" s="1" t="str">
        <f>IFERROR(__xludf.DUMMYFUNCTION("""COMPUTED_VALUE"""),"Corona Remedies Pvt Ltd")</f>
        <v>Corona Remedies Pvt Ltd</v>
      </c>
    </row>
    <row r="796" ht="16.5" customHeight="1">
      <c r="H796" s="1" t="str">
        <f>IFERROR(__xludf.DUMMYFUNCTION("""COMPUTED_VALUE"""),"CORVIN PHARMACEUTICALS")</f>
        <v>CORVIN PHARMACEUTICALS</v>
      </c>
    </row>
    <row r="797" ht="16.5" customHeight="1">
      <c r="H797" s="1" t="str">
        <f>IFERROR(__xludf.DUMMYFUNCTION("""COMPUTED_VALUE"""),"CORVUS REMEDIES")</f>
        <v>CORVUS REMEDIES</v>
      </c>
    </row>
    <row r="798" ht="16.5" customHeight="1">
      <c r="H798" s="1" t="str">
        <f>IFERROR(__xludf.DUMMYFUNCTION("""COMPUTED_VALUE"""),"CORWIS PHARMACEUTICALS LIMITED")</f>
        <v>CORWIS PHARMACEUTICALS LIMITED</v>
      </c>
    </row>
    <row r="799" ht="16.5" customHeight="1">
      <c r="H799" s="1" t="str">
        <f>IFERROR(__xludf.DUMMYFUNCTION("""COMPUTED_VALUE"""),"COSEC HEALTH CARE")</f>
        <v>COSEC HEALTH CARE</v>
      </c>
    </row>
    <row r="800" ht="16.5" customHeight="1">
      <c r="H800" s="1" t="str">
        <f>IFERROR(__xludf.DUMMYFUNCTION("""COMPUTED_VALUE"""),"COSME HEALTHCARE")</f>
        <v>COSME HEALTHCARE</v>
      </c>
    </row>
    <row r="801" ht="16.5" customHeight="1">
      <c r="H801" s="1" t="str">
        <f>IFERROR(__xludf.DUMMYFUNCTION("""COMPUTED_VALUE"""),"COSMEDERMA REMEDIES")</f>
        <v>COSMEDERMA REMEDIES</v>
      </c>
    </row>
    <row r="802" ht="16.5" customHeight="1">
      <c r="H802" s="1" t="str">
        <f>IFERROR(__xludf.DUMMYFUNCTION("""COMPUTED_VALUE"""),"COSMETIC LABORATORIES")</f>
        <v>COSMETIC LABORATORIES</v>
      </c>
    </row>
    <row r="803" ht="16.5" customHeight="1">
      <c r="H803" s="1" t="str">
        <f>IFERROR(__xludf.DUMMYFUNCTION("""COMPUTED_VALUE"""),"COSMIC NUTRACOS SOLUTIONS")</f>
        <v>COSMIC NUTRACOS SOLUTIONS</v>
      </c>
    </row>
    <row r="804" ht="16.5" customHeight="1">
      <c r="H804" s="1" t="str">
        <f>IFERROR(__xludf.DUMMYFUNCTION("""COMPUTED_VALUE"""),"COSMODERM INDIA")</f>
        <v>COSMODERM INDIA</v>
      </c>
    </row>
    <row r="805" ht="16.5" customHeight="1">
      <c r="H805" s="1" t="str">
        <f>IFERROR(__xludf.DUMMYFUNCTION("""COMPUTED_VALUE"""),"COSMOGEN INDIA")</f>
        <v>COSMOGEN INDIA</v>
      </c>
    </row>
    <row r="806" ht="16.5" customHeight="1">
      <c r="H806" s="1" t="str">
        <f>IFERROR(__xludf.DUMMYFUNCTION("""COMPUTED_VALUE"""),"COSWAY PHARMACEUTICAL")</f>
        <v>COSWAY PHARMACEUTICAL</v>
      </c>
    </row>
    <row r="807" ht="16.5" customHeight="1">
      <c r="H807" s="1" t="str">
        <f>IFERROR(__xludf.DUMMYFUNCTION("""COMPUTED_VALUE"""),"CPAZ DRUGS")</f>
        <v>CPAZ DRUGS</v>
      </c>
    </row>
    <row r="808" ht="16.5" customHeight="1">
      <c r="H808" s="1" t="str">
        <f>IFERROR(__xludf.DUMMYFUNCTION("""COMPUTED_VALUE"""),"CRASSULA PHAMACEUTICALS P LTD")</f>
        <v>CRASSULA PHAMACEUTICALS P LTD</v>
      </c>
    </row>
    <row r="809" ht="16.5" customHeight="1">
      <c r="H809" s="1" t="str">
        <f>IFERROR(__xludf.DUMMYFUNCTION("""COMPUTED_VALUE"""),"CRATUS LIFE CARE")</f>
        <v>CRATUS LIFE CARE</v>
      </c>
    </row>
    <row r="810" ht="16.5" customHeight="1">
      <c r="H810" s="1" t="str">
        <f>IFERROR(__xludf.DUMMYFUNCTION("""COMPUTED_VALUE"""),"CRAVOS PHARMACEUTICALS")</f>
        <v>CRAVOS PHARMACEUTICALS</v>
      </c>
    </row>
    <row r="811" ht="16.5" customHeight="1">
      <c r="H811" s="1" t="str">
        <f>IFERROR(__xludf.DUMMYFUNCTION("""COMPUTED_VALUE"""),"CRAYON HEALTHCARE PVT LTD")</f>
        <v>CRAYON HEALTHCARE PVT LTD</v>
      </c>
    </row>
    <row r="812" ht="16.5" customHeight="1">
      <c r="H812" s="1" t="str">
        <f>IFERROR(__xludf.DUMMYFUNCTION("""COMPUTED_VALUE"""),"CREOGENIC PHARMA")</f>
        <v>CREOGENIC PHARMA</v>
      </c>
    </row>
    <row r="813" ht="16.5" customHeight="1">
      <c r="H813" s="1" t="str">
        <f>IFERROR(__xludf.DUMMYFUNCTION("""COMPUTED_VALUE"""),"CRESCENT THERAPEUTICS LTD.")</f>
        <v>CRESCENT THERAPEUTICS LTD.</v>
      </c>
    </row>
    <row r="814" ht="16.5" customHeight="1">
      <c r="H814" s="1" t="str">
        <f>IFERROR(__xludf.DUMMYFUNCTION("""COMPUTED_VALUE"""),"CRINOVA HEALTHCARE PVT LTD")</f>
        <v>CRINOVA HEALTHCARE PVT LTD</v>
      </c>
    </row>
    <row r="815" ht="16.5" customHeight="1">
      <c r="H815" s="1" t="str">
        <f>IFERROR(__xludf.DUMMYFUNCTION("""COMPUTED_VALUE"""),"CRIS PHARMA LTD")</f>
        <v>CRIS PHARMA LTD</v>
      </c>
    </row>
    <row r="816" ht="16.5" customHeight="1">
      <c r="H816" s="1" t="str">
        <f>IFERROR(__xludf.DUMMYFUNCTION("""COMPUTED_VALUE"""),"CROFORD PHARMA")</f>
        <v>CROFORD PHARMA</v>
      </c>
    </row>
    <row r="817" ht="16.5" customHeight="1">
      <c r="H817" s="1" t="str">
        <f>IFERROR(__xludf.DUMMYFUNCTION("""COMPUTED_VALUE"""),"CROMPTON PHARMA")</f>
        <v>CROMPTON PHARMA</v>
      </c>
    </row>
    <row r="818" ht="16.5" customHeight="1">
      <c r="H818" s="1" t="str">
        <f>IFERROR(__xludf.DUMMYFUNCTION("""COMPUTED_VALUE"""),"Cross Berry Pharma")</f>
        <v>Cross Berry Pharma</v>
      </c>
    </row>
    <row r="819" ht="16.5" customHeight="1">
      <c r="H819" s="1" t="str">
        <f>IFERROR(__xludf.DUMMYFUNCTION("""COMPUTED_VALUE"""),"CROSSED FINGERSS ORGANIC PVT LTD")</f>
        <v>CROSSED FINGERSS ORGANIC PVT LTD</v>
      </c>
    </row>
    <row r="820" ht="16.5" customHeight="1">
      <c r="H820" s="1" t="str">
        <f>IFERROR(__xludf.DUMMYFUNCTION("""COMPUTED_VALUE"""),"CROSSWIND BIOTECH")</f>
        <v>CROSSWIND BIOTECH</v>
      </c>
    </row>
    <row r="821" ht="16.5" customHeight="1">
      <c r="H821" s="1" t="str">
        <f>IFERROR(__xludf.DUMMYFUNCTION("""COMPUTED_VALUE"""),"CSC HEALTHCARE")</f>
        <v>CSC HEALTHCARE</v>
      </c>
    </row>
    <row r="822" ht="16.5" customHeight="1">
      <c r="H822" s="1" t="str">
        <f>IFERROR(__xludf.DUMMYFUNCTION("""COMPUTED_VALUE"""),"CUBIC LIFESCIENCES LTD")</f>
        <v>CUBIC LIFESCIENCES LTD</v>
      </c>
    </row>
    <row r="823" ht="16.5" customHeight="1">
      <c r="H823" s="1" t="str">
        <f>IFERROR(__xludf.DUMMYFUNCTION("""COMPUTED_VALUE"""),"CUBIT HEALTHCARE")</f>
        <v>CUBIT HEALTHCARE</v>
      </c>
    </row>
    <row r="824" ht="16.5" customHeight="1">
      <c r="H824" s="1" t="str">
        <f>IFERROR(__xludf.DUMMYFUNCTION("""COMPUTED_VALUE"""),"CUBIT HEALTHCARE (CU CARD GYNOCARE)")</f>
        <v>CUBIT HEALTHCARE (CU CARD GYNOCARE)</v>
      </c>
    </row>
    <row r="825" ht="16.5" customHeight="1">
      <c r="H825" s="1" t="str">
        <f>IFERROR(__xludf.DUMMYFUNCTION("""COMPUTED_VALUE"""),"CUBIT HEALTHCARE (CU CARD LIFECARE)")</f>
        <v>CUBIT HEALTHCARE (CU CARD LIFECARE)</v>
      </c>
    </row>
    <row r="826" ht="16.5" customHeight="1">
      <c r="H826" s="1" t="str">
        <f>IFERROR(__xludf.DUMMYFUNCTION("""COMPUTED_VALUE"""),"CUBIT HEALTHCARE (CU CARD SKINCARE)")</f>
        <v>CUBIT HEALTHCARE (CU CARD SKINCARE)</v>
      </c>
    </row>
    <row r="827" ht="16.5" customHeight="1">
      <c r="H827" s="1" t="str">
        <f>IFERROR(__xludf.DUMMYFUNCTION("""COMPUTED_VALUE"""),"CURA PHARMACEUTICALS")</f>
        <v>CURA PHARMACEUTICALS</v>
      </c>
    </row>
    <row r="828" ht="16.5" customHeight="1">
      <c r="H828" s="1" t="str">
        <f>IFERROR(__xludf.DUMMYFUNCTION("""COMPUTED_VALUE"""),"CURATAS PHARMACEUTICALS LLP")</f>
        <v>CURATAS PHARMACEUTICALS LLP</v>
      </c>
    </row>
    <row r="829" ht="16.5" customHeight="1">
      <c r="H829" s="1" t="str">
        <f>IFERROR(__xludf.DUMMYFUNCTION("""COMPUTED_VALUE"""),"Curatio Healthcare India Pvt Ltd")</f>
        <v>Curatio Healthcare India Pvt Ltd</v>
      </c>
    </row>
    <row r="830" ht="16.5" customHeight="1">
      <c r="H830" s="1" t="str">
        <f>IFERROR(__xludf.DUMMYFUNCTION("""COMPUTED_VALUE"""),"CURE N CURE PHARMACEUTICALS")</f>
        <v>CURE N CURE PHARMACEUTICALS</v>
      </c>
    </row>
    <row r="831" ht="16.5" customHeight="1">
      <c r="H831" s="1" t="str">
        <f>IFERROR(__xludf.DUMMYFUNCTION("""COMPUTED_VALUE"""),"CURE QUICK PHARMACEUTICALS")</f>
        <v>CURE QUICK PHARMACEUTICALS</v>
      </c>
    </row>
    <row r="832" ht="16.5" customHeight="1">
      <c r="H832" s="1" t="str">
        <f>IFERROR(__xludf.DUMMYFUNCTION("""COMPUTED_VALUE"""),"CUREALL LIFE SCIENCES")</f>
        <v>CUREALL LIFE SCIENCES</v>
      </c>
    </row>
    <row r="833" ht="16.5" customHeight="1">
      <c r="H833" s="1" t="str">
        <f>IFERROR(__xludf.DUMMYFUNCTION("""COMPUTED_VALUE"""),"CUREMAX")</f>
        <v>CUREMAX</v>
      </c>
    </row>
    <row r="834" ht="16.5" customHeight="1">
      <c r="H834" s="1" t="str">
        <f>IFERROR(__xludf.DUMMYFUNCTION("""COMPUTED_VALUE"""),"CURETECH SKINCARE")</f>
        <v>CURETECH SKINCARE</v>
      </c>
    </row>
    <row r="835" ht="16.5" customHeight="1">
      <c r="H835" s="1" t="str">
        <f>IFERROR(__xludf.DUMMYFUNCTION("""COMPUTED_VALUE"""),"CUREWELL AURVEDA")</f>
        <v>CUREWELL AURVEDA</v>
      </c>
    </row>
    <row r="836" ht="16.5" customHeight="1">
      <c r="H836" s="1" t="str">
        <f>IFERROR(__xludf.DUMMYFUNCTION("""COMPUTED_VALUE"""),"Curewell Drugs &amp; Pharmaceuticals Pvt. Ltd.")</f>
        <v>Curewell Drugs &amp; Pharmaceuticals Pvt. Ltd.</v>
      </c>
    </row>
    <row r="837" ht="16.5" customHeight="1">
      <c r="H837" s="1" t="str">
        <f>IFERROR(__xludf.DUMMYFUNCTION("""COMPUTED_VALUE"""),"CUREWIN HYLICO PVT LTD")</f>
        <v>CUREWIN HYLICO PVT LTD</v>
      </c>
    </row>
    <row r="838" ht="16.5" customHeight="1">
      <c r="H838" s="1" t="str">
        <f>IFERROR(__xludf.DUMMYFUNCTION("""COMPUTED_VALUE"""),"CURIOUS BIOTECH")</f>
        <v>CURIOUS BIOTECH</v>
      </c>
    </row>
    <row r="839" ht="16.5" customHeight="1">
      <c r="H839" s="1" t="str">
        <f>IFERROR(__xludf.DUMMYFUNCTION("""COMPUTED_VALUE"""),"CUROSIS PHARMACEUTICALS")</f>
        <v>CUROSIS PHARMACEUTICALS</v>
      </c>
    </row>
    <row r="840" ht="16.5" customHeight="1">
      <c r="H840" s="1" t="str">
        <f>IFERROR(__xludf.DUMMYFUNCTION("""COMPUTED_VALUE"""),"Cutis Derma Care - Intra Life")</f>
        <v>Cutis Derma Care - Intra Life</v>
      </c>
    </row>
    <row r="841" ht="16.5" customHeight="1">
      <c r="H841" s="1" t="str">
        <f>IFERROR(__xludf.DUMMYFUNCTION("""COMPUTED_VALUE"""),"CVS BIOTECH (FARLEX)")</f>
        <v>CVS BIOTECH (FARLEX)</v>
      </c>
    </row>
    <row r="842" ht="16.5" customHeight="1">
      <c r="H842" s="1" t="str">
        <f>IFERROR(__xludf.DUMMYFUNCTION("""COMPUTED_VALUE"""),"CYANAMID INDIA LTD")</f>
        <v>CYANAMID INDIA LTD</v>
      </c>
    </row>
    <row r="843" ht="16.5" customHeight="1">
      <c r="H843" s="1" t="str">
        <f>IFERROR(__xludf.DUMMYFUNCTION("""COMPUTED_VALUE"""),"CYMER PHARMA")</f>
        <v>CYMER PHARMA</v>
      </c>
    </row>
    <row r="844" ht="16.5" customHeight="1">
      <c r="H844" s="1" t="str">
        <f>IFERROR(__xludf.DUMMYFUNCTION("""COMPUTED_VALUE"""),"D D Pharmaceuticals")</f>
        <v>D D Pharmaceuticals</v>
      </c>
    </row>
    <row r="845" ht="16.5" customHeight="1">
      <c r="H845" s="1" t="str">
        <f>IFERROR(__xludf.DUMMYFUNCTION("""COMPUTED_VALUE"""),"D R JOHN'S LAB PHARMA")</f>
        <v>D R JOHN'S LAB PHARMA</v>
      </c>
    </row>
    <row r="846" ht="16.5" customHeight="1">
      <c r="H846" s="1" t="str">
        <f>IFERROR(__xludf.DUMMYFUNCTION("""COMPUTED_VALUE"""),"Dabur India Ltd")</f>
        <v>Dabur India Ltd</v>
      </c>
    </row>
    <row r="847" ht="16.5" customHeight="1">
      <c r="H847" s="1" t="str">
        <f>IFERROR(__xludf.DUMMYFUNCTION("""COMPUTED_VALUE"""),"Dabur Pharmaceuticals Ltd.")</f>
        <v>Dabur Pharmaceuticals Ltd.</v>
      </c>
    </row>
    <row r="848" ht="16.5" customHeight="1">
      <c r="H848" s="1" t="str">
        <f>IFERROR(__xludf.DUMMYFUNCTION("""COMPUTED_VALUE"""),"DAFFOHILS LABORATORIES")</f>
        <v>DAFFOHILS LABORATORIES</v>
      </c>
    </row>
    <row r="849" ht="16.5" customHeight="1">
      <c r="H849" s="1" t="str">
        <f>IFERROR(__xludf.DUMMYFUNCTION("""COMPUTED_VALUE"""),"DAGNAL PHARMACUTICALS")</f>
        <v>DAGNAL PHARMACUTICALS</v>
      </c>
    </row>
    <row r="850" ht="16.5" customHeight="1">
      <c r="H850" s="1" t="str">
        <f>IFERROR(__xludf.DUMMYFUNCTION("""COMPUTED_VALUE"""),"Dakshinamurti Pharma Pvt Ltd")</f>
        <v>Dakshinamurti Pharma Pvt Ltd</v>
      </c>
    </row>
    <row r="851" ht="16.5" customHeight="1">
      <c r="H851" s="1" t="str">
        <f>IFERROR(__xludf.DUMMYFUNCTION("""COMPUTED_VALUE"""),"DALIY WEAR")</f>
        <v>DALIY WEAR</v>
      </c>
    </row>
    <row r="852" ht="16.5" customHeight="1">
      <c r="H852" s="1" t="str">
        <f>IFERROR(__xludf.DUMMYFUNCTION("""COMPUTED_VALUE"""),"DANIEL PASTEUR")</f>
        <v>DANIEL PASTEUR</v>
      </c>
    </row>
    <row r="853" ht="16.5" customHeight="1">
      <c r="H853" s="1" t="str">
        <f>IFERROR(__xludf.DUMMYFUNCTION("""COMPUTED_VALUE"""),"DANISH HEALTHCARE")</f>
        <v>DANISH HEALTHCARE</v>
      </c>
    </row>
    <row r="854" ht="16.5" customHeight="1">
      <c r="H854" s="1" t="str">
        <f>IFERROR(__xludf.DUMMYFUNCTION("""COMPUTED_VALUE"""),"DARA PHARMACEUTICALS")</f>
        <v>DARA PHARMACEUTICALS</v>
      </c>
    </row>
    <row r="855" ht="16.5" customHeight="1">
      <c r="H855" s="1" t="str">
        <f>IFERROR(__xludf.DUMMYFUNCTION("""COMPUTED_VALUE"""),"DASAMAPS 50MG")</f>
        <v>DASAMAPS 50MG</v>
      </c>
    </row>
    <row r="856" ht="16.5" customHeight="1">
      <c r="H856" s="1" t="str">
        <f>IFERROR(__xludf.DUMMYFUNCTION("""COMPUTED_VALUE"""),"DASAMPAS 70MG")</f>
        <v>DASAMPAS 70MG</v>
      </c>
    </row>
    <row r="857" ht="16.5" customHeight="1">
      <c r="H857" s="1" t="str">
        <f>IFERROR(__xludf.DUMMYFUNCTION("""COMPUTED_VALUE"""),"DASSO PHARMACEUTICALS")</f>
        <v>DASSO PHARMACEUTICALS</v>
      </c>
    </row>
    <row r="858" ht="16.5" customHeight="1">
      <c r="H858" s="1" t="str">
        <f>IFERROR(__xludf.DUMMYFUNCTION("""COMPUTED_VALUE"""),"DATA SAILANI AYURVEDIC SANSTHA")</f>
        <v>DATA SAILANI AYURVEDIC SANSTHA</v>
      </c>
    </row>
    <row r="859" ht="16.5" customHeight="1">
      <c r="H859" s="1" t="str">
        <f>IFERROR(__xludf.DUMMYFUNCTION("""COMPUTED_VALUE"""),"DATTATRAYA SEVASHRAM")</f>
        <v>DATTATRAYA SEVASHRAM</v>
      </c>
    </row>
    <row r="860" ht="16.5" customHeight="1">
      <c r="H860" s="1" t="str">
        <f>IFERROR(__xludf.DUMMYFUNCTION("""COMPUTED_VALUE"""),"DAWCHEM PHARMACEUTICALS P LTD")</f>
        <v>DAWCHEM PHARMACEUTICALS P LTD</v>
      </c>
    </row>
    <row r="861" ht="16.5" customHeight="1">
      <c r="H861" s="1" t="str">
        <f>IFERROR(__xludf.DUMMYFUNCTION("""COMPUTED_VALUE"""),"DAWN &amp; COMPANY")</f>
        <v>DAWN &amp; COMPANY</v>
      </c>
    </row>
    <row r="862" ht="16.5" customHeight="1">
      <c r="H862" s="1" t="str">
        <f>IFERROR(__xludf.DUMMYFUNCTION("""COMPUTED_VALUE"""),"DD Nutritions")</f>
        <v>DD Nutritions</v>
      </c>
    </row>
    <row r="863" ht="16.5" customHeight="1">
      <c r="H863" s="1" t="str">
        <f>IFERROR(__xludf.DUMMYFUNCTION("""COMPUTED_VALUE"""),"DEE INDIA HERBALS")</f>
        <v>DEE INDIA HERBALS</v>
      </c>
    </row>
    <row r="864" ht="16.5" customHeight="1">
      <c r="H864" s="1" t="str">
        <f>IFERROR(__xludf.DUMMYFUNCTION("""COMPUTED_VALUE"""),"DEFENCE HEALTHCARE")</f>
        <v>DEFENCE HEALTHCARE</v>
      </c>
    </row>
    <row r="865" ht="16.5" customHeight="1">
      <c r="H865" s="1" t="str">
        <f>IFERROR(__xludf.DUMMYFUNCTION("""COMPUTED_VALUE"""),"DELAVIE HEALTHCARE PVT LTD")</f>
        <v>DELAVIE HEALTHCARE PVT LTD</v>
      </c>
    </row>
    <row r="866" ht="16.5" customHeight="1">
      <c r="H866" s="1" t="str">
        <f>IFERROR(__xludf.DUMMYFUNCTION("""COMPUTED_VALUE"""),"Delcure Life Sciences")</f>
        <v>Delcure Life Sciences</v>
      </c>
    </row>
    <row r="867" ht="16.5" customHeight="1">
      <c r="H867" s="1" t="str">
        <f>IFERROR(__xludf.DUMMYFUNCTION("""COMPUTED_VALUE"""),"DELLWICH HEALTHCARE")</f>
        <v>DELLWICH HEALTHCARE</v>
      </c>
    </row>
    <row r="868" ht="16.5" customHeight="1">
      <c r="H868" s="1" t="str">
        <f>IFERROR(__xludf.DUMMYFUNCTION("""COMPUTED_VALUE"""),"DELTAS PHARMA")</f>
        <v>DELTAS PHARMA</v>
      </c>
    </row>
    <row r="869" ht="16.5" customHeight="1">
      <c r="H869" s="1" t="str">
        <f>IFERROR(__xludf.DUMMYFUNCTION("""COMPUTED_VALUE"""),"Delvin Formulations Pvt Ltd")</f>
        <v>Delvin Formulations Pvt Ltd</v>
      </c>
    </row>
    <row r="870" ht="16.5" customHeight="1">
      <c r="H870" s="1" t="str">
        <f>IFERROR(__xludf.DUMMYFUNCTION("""COMPUTED_VALUE"""),"DELWIS HEALTHCARE")</f>
        <v>DELWIS HEALTHCARE</v>
      </c>
    </row>
    <row r="871" ht="16.5" customHeight="1">
      <c r="H871" s="1" t="str">
        <f>IFERROR(__xludf.DUMMYFUNCTION("""COMPUTED_VALUE"""),"DEON HEALTH CARE")</f>
        <v>DEON HEALTH CARE</v>
      </c>
    </row>
    <row r="872" ht="16.5" customHeight="1">
      <c r="H872" s="1" t="str">
        <f>IFERROR(__xludf.DUMMYFUNCTION("""COMPUTED_VALUE"""),"DEON HEALTHCARE")</f>
        <v>DEON HEALTHCARE</v>
      </c>
    </row>
    <row r="873" ht="16.5" customHeight="1">
      <c r="H873" s="1" t="str">
        <f>IFERROR(__xludf.DUMMYFUNCTION("""COMPUTED_VALUE"""),"Depsons Pharma")</f>
        <v>Depsons Pharma</v>
      </c>
    </row>
    <row r="874" ht="16.5" customHeight="1">
      <c r="H874" s="1" t="str">
        <f>IFERROR(__xludf.DUMMYFUNCTION("""COMPUTED_VALUE"""),"DERMA TOPICS HEALTHCARE")</f>
        <v>DERMA TOPICS HEALTHCARE</v>
      </c>
    </row>
    <row r="875" ht="16.5" customHeight="1">
      <c r="H875" s="1" t="str">
        <f>IFERROR(__xludf.DUMMYFUNCTION("""COMPUTED_VALUE"""),"DERMAKARE PHARMACEUTICALS PVT LTD")</f>
        <v>DERMAKARE PHARMACEUTICALS PVT LTD</v>
      </c>
    </row>
    <row r="876" ht="16.5" customHeight="1">
      <c r="H876" s="1" t="str">
        <f>IFERROR(__xludf.DUMMYFUNCTION("""COMPUTED_VALUE"""),"DERMASIL LABS")</f>
        <v>DERMASIL LABS</v>
      </c>
    </row>
    <row r="877" ht="16.5" customHeight="1">
      <c r="H877" s="1" t="str">
        <f>IFERROR(__xludf.DUMMYFUNCTION("""COMPUTED_VALUE"""),"DERMAWIN PHARMA")</f>
        <v>DERMAWIN PHARMA</v>
      </c>
    </row>
    <row r="878" ht="16.5" customHeight="1">
      <c r="H878" s="1" t="str">
        <f>IFERROR(__xludf.DUMMYFUNCTION("""COMPUTED_VALUE"""),"Dermawiz Laboratories Pvt Ltd")</f>
        <v>Dermawiz Laboratories Pvt Ltd</v>
      </c>
    </row>
    <row r="879" ht="16.5" customHeight="1">
      <c r="H879" s="1" t="str">
        <f>IFERROR(__xludf.DUMMYFUNCTION("""COMPUTED_VALUE"""),"DERMIA CONTICARE")</f>
        <v>DERMIA CONTICARE</v>
      </c>
    </row>
    <row r="880" ht="16.5" customHeight="1">
      <c r="H880" s="1" t="str">
        <f>IFERROR(__xludf.DUMMYFUNCTION("""COMPUTED_VALUE"""),"DERMITAS HEALTHCARE")</f>
        <v>DERMITAS HEALTHCARE</v>
      </c>
    </row>
    <row r="881" ht="16.5" customHeight="1">
      <c r="H881" s="1" t="str">
        <f>IFERROR(__xludf.DUMMYFUNCTION("""COMPUTED_VALUE"""),"Dermo Care Laboratories")</f>
        <v>Dermo Care Laboratories</v>
      </c>
    </row>
    <row r="882" ht="16.5" customHeight="1">
      <c r="H882" s="1" t="str">
        <f>IFERROR(__xludf.DUMMYFUNCTION("""COMPUTED_VALUE"""),"DERMO GLOW")</f>
        <v>DERMO GLOW</v>
      </c>
    </row>
    <row r="883" ht="16.5" customHeight="1">
      <c r="H883" s="1" t="str">
        <f>IFERROR(__xludf.DUMMYFUNCTION("""COMPUTED_VALUE"""),"DERMOGRACE")</f>
        <v>DERMOGRACE</v>
      </c>
    </row>
    <row r="884" ht="16.5" customHeight="1">
      <c r="H884" s="1" t="str">
        <f>IFERROR(__xludf.DUMMYFUNCTION("""COMPUTED_VALUE"""),"DERMOS")</f>
        <v>DERMOS</v>
      </c>
    </row>
    <row r="885" ht="16.5" customHeight="1">
      <c r="H885" s="1" t="str">
        <f>IFERROR(__xludf.DUMMYFUNCTION("""COMPUTED_VALUE"""),"DEV PHARMACY")</f>
        <v>DEV PHARMACY</v>
      </c>
    </row>
    <row r="886" ht="16.5" customHeight="1">
      <c r="H886" s="1" t="str">
        <f>IFERROR(__xludf.DUMMYFUNCTION("""COMPUTED_VALUE"""),"DEWCARE CONCEPT P LTD")</f>
        <v>DEWCARE CONCEPT P LTD</v>
      </c>
    </row>
    <row r="887" ht="16.5" customHeight="1">
      <c r="H887" s="1" t="str">
        <f>IFERROR(__xludf.DUMMYFUNCTION("""COMPUTED_VALUE"""),"Dexter Labratories")</f>
        <v>Dexter Labratories</v>
      </c>
    </row>
    <row r="888" ht="16.5" customHeight="1">
      <c r="H888" s="1" t="str">
        <f>IFERROR(__xludf.DUMMYFUNCTION("""COMPUTED_VALUE"""),"Dey's Medical Stores (Mfg) Ltd")</f>
        <v>Dey's Medical Stores (Mfg) Ltd</v>
      </c>
    </row>
    <row r="889" ht="16.5" customHeight="1">
      <c r="H889" s="1" t="str">
        <f>IFERROR(__xludf.DUMMYFUNCTION("""COMPUTED_VALUE"""),"Deys Medical")</f>
        <v>Deys Medical</v>
      </c>
    </row>
    <row r="890" ht="16.5" customHeight="1">
      <c r="H890" s="1" t="str">
        <f>IFERROR(__xludf.DUMMYFUNCTION("""COMPUTED_VALUE"""),"DHAMUS PHARMA")</f>
        <v>DHAMUS PHARMA</v>
      </c>
    </row>
    <row r="891" ht="16.5" customHeight="1">
      <c r="H891" s="1" t="str">
        <f>IFERROR(__xludf.DUMMYFUNCTION("""COMPUTED_VALUE"""),"DHANSINGH AYURVED BHAWAN")</f>
        <v>DHANSINGH AYURVED BHAWAN</v>
      </c>
    </row>
    <row r="892" ht="16.5" customHeight="1">
      <c r="H892" s="1" t="str">
        <f>IFERROR(__xludf.DUMMYFUNCTION("""COMPUTED_VALUE"""),"DHANVANTARI AYURVEDIC RESEARCH")</f>
        <v>DHANVANTARI AYURVEDIC RESEARCH</v>
      </c>
    </row>
    <row r="893" ht="16.5" customHeight="1">
      <c r="H893" s="1" t="str">
        <f>IFERROR(__xludf.DUMMYFUNCTION("""COMPUTED_VALUE"""),"DHANVANTRI GUJ HERBS")</f>
        <v>DHANVANTRI GUJ HERBS</v>
      </c>
    </row>
    <row r="894" ht="16.5" customHeight="1">
      <c r="H894" s="1" t="str">
        <f>IFERROR(__xludf.DUMMYFUNCTION("""COMPUTED_VALUE"""),"DHOOTPAPESHWAR")</f>
        <v>DHOOTPAPESHWAR</v>
      </c>
    </row>
    <row r="895" ht="16.5" customHeight="1">
      <c r="H895" s="1" t="str">
        <f>IFERROR(__xludf.DUMMYFUNCTION("""COMPUTED_VALUE"""),"DHUTAPAPESHAVAR (SOLUMIKS)")</f>
        <v>DHUTAPAPESHAVAR (SOLUMIKS)</v>
      </c>
    </row>
    <row r="896" ht="16.5" customHeight="1">
      <c r="H896" s="1" t="str">
        <f>IFERROR(__xludf.DUMMYFUNCTION("""COMPUTED_VALUE"""),"DIAL PHARMA")</f>
        <v>DIAL PHARMA</v>
      </c>
    </row>
    <row r="897" ht="16.5" customHeight="1">
      <c r="H897" s="1" t="str">
        <f>IFERROR(__xludf.DUMMYFUNCTION("""COMPUTED_VALUE"""),"DIAMOND BIOTECH")</f>
        <v>DIAMOND BIOTECH</v>
      </c>
    </row>
    <row r="898" ht="16.5" customHeight="1">
      <c r="H898" s="1" t="str">
        <f>IFERROR(__xludf.DUMMYFUNCTION("""COMPUTED_VALUE"""),"DIGITAL VISION SIRMOUR")</f>
        <v>DIGITAL VISION SIRMOUR</v>
      </c>
    </row>
    <row r="899" ht="16.5" customHeight="1">
      <c r="H899" s="1" t="str">
        <f>IFERROR(__xludf.DUMMYFUNCTION("""COMPUTED_VALUE"""),"DILL PHARMACEUTICALS")</f>
        <v>DILL PHARMACEUTICALS</v>
      </c>
    </row>
    <row r="900" ht="16.5" customHeight="1">
      <c r="H900" s="1" t="str">
        <f>IFERROR(__xludf.DUMMYFUNCTION("""COMPUTED_VALUE"""),"DINDAYAL")</f>
        <v>DINDAYAL</v>
      </c>
    </row>
    <row r="901" ht="16.5" customHeight="1">
      <c r="H901" s="1" t="str">
        <f>IFERROR(__xludf.DUMMYFUNCTION("""COMPUTED_VALUE"""),"DIOS LIFESINCES PVT LTD")</f>
        <v>DIOS LIFESINCES PVT LTD</v>
      </c>
    </row>
    <row r="902" ht="16.5" customHeight="1">
      <c r="H902" s="1" t="str">
        <f>IFERROR(__xludf.DUMMYFUNCTION("""COMPUTED_VALUE"""),"DIOSMA LIFE SCIENCES")</f>
        <v>DIOSMA LIFE SCIENCES</v>
      </c>
    </row>
    <row r="903" ht="16.5" customHeight="1">
      <c r="H903" s="1" t="str">
        <f>IFERROR(__xludf.DUMMYFUNCTION("""COMPUTED_VALUE"""),"DISPO")</f>
        <v>DISPO</v>
      </c>
    </row>
    <row r="904" ht="16.5" customHeight="1">
      <c r="H904" s="1" t="str">
        <f>IFERROR(__xludf.DUMMYFUNCTION("""COMPUTED_VALUE"""),"DIVERGENT LIFESCIENCES")</f>
        <v>DIVERGENT LIFESCIENCES</v>
      </c>
    </row>
    <row r="905" ht="16.5" customHeight="1">
      <c r="H905" s="1" t="str">
        <f>IFERROR(__xludf.DUMMYFUNCTION("""COMPUTED_VALUE"""),"DIVINE DEW BIOTECH")</f>
        <v>DIVINE DEW BIOTECH</v>
      </c>
    </row>
    <row r="906" ht="16.5" customHeight="1">
      <c r="H906" s="1" t="str">
        <f>IFERROR(__xludf.DUMMYFUNCTION("""COMPUTED_VALUE"""),"DIVISA")</f>
        <v>DIVISA</v>
      </c>
    </row>
    <row r="907" ht="16.5" customHeight="1">
      <c r="H907" s="1" t="str">
        <f>IFERROR(__xludf.DUMMYFUNCTION("""COMPUTED_VALUE"""),"DIVIT NUTRACEUTICAL P LTD")</f>
        <v>DIVIT NUTRACEUTICAL P LTD</v>
      </c>
    </row>
    <row r="908" ht="16.5" customHeight="1">
      <c r="H908" s="1" t="str">
        <f>IFERROR(__xludf.DUMMYFUNCTION("""COMPUTED_VALUE"""),"Divya Pharmacy")</f>
        <v>Divya Pharmacy</v>
      </c>
    </row>
    <row r="909" ht="16.5" customHeight="1">
      <c r="H909" s="1" t="str">
        <f>IFERROR(__xludf.DUMMYFUNCTION("""COMPUTED_VALUE"""),"DKT India Ltd")</f>
        <v>DKT India Ltd</v>
      </c>
    </row>
    <row r="910" ht="16.5" customHeight="1">
      <c r="H910" s="1" t="str">
        <f>IFERROR(__xludf.DUMMYFUNCTION("""COMPUTED_VALUE"""),"DLS PHARMA")</f>
        <v>DLS PHARMA</v>
      </c>
    </row>
    <row r="911" ht="16.5" customHeight="1">
      <c r="H911" s="1" t="str">
        <f>IFERROR(__xludf.DUMMYFUNCTION("""COMPUTED_VALUE"""),"DM PHARMA")</f>
        <v>DM PHARMA</v>
      </c>
    </row>
    <row r="912" ht="16.5" customHeight="1">
      <c r="H912" s="1" t="str">
        <f>IFERROR(__xludf.DUMMYFUNCTION("""COMPUTED_VALUE"""),"DO NOT ADD")</f>
        <v>DO NOT ADD</v>
      </c>
    </row>
    <row r="913" ht="16.5" customHeight="1">
      <c r="H913" s="1" t="str">
        <f>IFERROR(__xludf.DUMMYFUNCTION("""COMPUTED_VALUE"""),"DOCEMAPS 20")</f>
        <v>DOCEMAPS 20</v>
      </c>
    </row>
    <row r="914" ht="16.5" customHeight="1">
      <c r="H914" s="1" t="str">
        <f>IFERROR(__xludf.DUMMYFUNCTION("""COMPUTED_VALUE"""),"DOCEMAPS 80")</f>
        <v>DOCEMAPS 80</v>
      </c>
    </row>
    <row r="915" ht="16.5" customHeight="1">
      <c r="H915" s="1" t="str">
        <f>IFERROR(__xludf.DUMMYFUNCTION("""COMPUTED_VALUE"""),"DOCTOR")</f>
        <v>DOCTOR</v>
      </c>
    </row>
    <row r="916" ht="16.5" customHeight="1">
      <c r="H916" s="1" t="str">
        <f>IFERROR(__xludf.DUMMYFUNCTION("""COMPUTED_VALUE"""),"DOCTOR MOREPEN LIMITED")</f>
        <v>DOCTOR MOREPEN LIMITED</v>
      </c>
    </row>
    <row r="917" ht="16.5" customHeight="1">
      <c r="H917" s="1" t="str">
        <f>IFERROR(__xludf.DUMMYFUNCTION("""COMPUTED_VALUE"""),"DOKCARE LIFESCIENCES")</f>
        <v>DOKCARE LIFESCIENCES</v>
      </c>
    </row>
    <row r="918" ht="16.5" customHeight="1">
      <c r="H918" s="1" t="str">
        <f>IFERROR(__xludf.DUMMYFUNCTION("""COMPUTED_VALUE"""),"DOLLAR COMPANY")</f>
        <v>DOLLAR COMPANY</v>
      </c>
    </row>
    <row r="919" ht="16.5" customHeight="1">
      <c r="H919" s="1" t="str">
        <f>IFERROR(__xludf.DUMMYFUNCTION("""COMPUTED_VALUE"""),"DOLPHIN PHARMACEUTICALS")</f>
        <v>DOLPHIN PHARMACEUTICALS</v>
      </c>
    </row>
    <row r="920" ht="16.5" customHeight="1">
      <c r="H920" s="1" t="str">
        <f>IFERROR(__xludf.DUMMYFUNCTION("""COMPUTED_VALUE"""),"DR GROVER [EYE] HOSPITAL")</f>
        <v>DR GROVER [EYE] HOSPITAL</v>
      </c>
    </row>
    <row r="921" ht="16.5" customHeight="1">
      <c r="H921" s="1" t="str">
        <f>IFERROR(__xludf.DUMMYFUNCTION("""COMPUTED_VALUE"""),"Dr JRK Siddha Research and Pharmaceuticals Pvt Ltd")</f>
        <v>Dr JRK Siddha Research and Pharmaceuticals Pvt Ltd</v>
      </c>
    </row>
    <row r="922" ht="16.5" customHeight="1">
      <c r="H922" s="1" t="str">
        <f>IFERROR(__xludf.DUMMYFUNCTION("""COMPUTED_VALUE"""),"DR LOONAWAT RESEARCH LAB")</f>
        <v>DR LOONAWAT RESEARCH LAB</v>
      </c>
    </row>
    <row r="923" ht="16.5" customHeight="1">
      <c r="H923" s="1" t="str">
        <f>IFERROR(__xludf.DUMMYFUNCTION("""COMPUTED_VALUE"""),"DR LORMANS")</f>
        <v>DR LORMANS</v>
      </c>
    </row>
    <row r="924" ht="16.5" customHeight="1">
      <c r="H924" s="1" t="str">
        <f>IFERROR(__xludf.DUMMYFUNCTION("""COMPUTED_VALUE"""),"DR MOREPEN (GENERIC)")</f>
        <v>DR MOREPEN (GENERIC)</v>
      </c>
    </row>
    <row r="925" ht="16.5" customHeight="1">
      <c r="H925" s="1" t="str">
        <f>IFERROR(__xludf.DUMMYFUNCTION("""COMPUTED_VALUE"""),"DR MOREPEN DEVICES")</f>
        <v>DR MOREPEN DEVICES</v>
      </c>
    </row>
    <row r="926" ht="16.5" customHeight="1">
      <c r="H926" s="1" t="str">
        <f>IFERROR(__xludf.DUMMYFUNCTION("""COMPUTED_VALUE"""),"DR NAVEEN")</f>
        <v>DR NAVEEN</v>
      </c>
    </row>
    <row r="927" ht="16.5" customHeight="1">
      <c r="H927" s="1" t="str">
        <f>IFERROR(__xludf.DUMMYFUNCTION("""COMPUTED_VALUE"""),"DR PALEP'S")</f>
        <v>DR PALEP'S</v>
      </c>
    </row>
    <row r="928" ht="16.5" customHeight="1">
      <c r="H928" s="1" t="str">
        <f>IFERROR(__xludf.DUMMYFUNCTION("""COMPUTED_VALUE"""),"DR REDDY'S (DENTAL)")</f>
        <v>DR REDDY'S (DENTAL)</v>
      </c>
    </row>
    <row r="929" ht="16.5" customHeight="1">
      <c r="H929" s="1" t="str">
        <f>IFERROR(__xludf.DUMMYFUNCTION("""COMPUTED_VALUE"""),"Dr Reddy's Lab (AQURA-2)")</f>
        <v>Dr Reddy's Lab (AQURA-2)</v>
      </c>
    </row>
    <row r="930" ht="16.5" customHeight="1">
      <c r="H930" s="1" t="str">
        <f>IFERROR(__xludf.DUMMYFUNCTION("""COMPUTED_VALUE"""),"Dr Reddy's Lab (AQURA)")</f>
        <v>Dr Reddy's Lab (AQURA)</v>
      </c>
    </row>
    <row r="931" ht="16.5" customHeight="1">
      <c r="H931" s="1" t="str">
        <f>IFERROR(__xludf.DUMMYFUNCTION("""COMPUTED_VALUE"""),"Dr Reddy's Lab (ASPIRA)")</f>
        <v>Dr Reddy's Lab (ASPIRA)</v>
      </c>
    </row>
    <row r="932" ht="16.5" customHeight="1">
      <c r="H932" s="1" t="str">
        <f>IFERROR(__xludf.DUMMYFUNCTION("""COMPUTED_VALUE"""),"Dr Reddy's Lab (DERMA C)")</f>
        <v>Dr Reddy's Lab (DERMA C)</v>
      </c>
    </row>
    <row r="933" ht="16.5" customHeight="1">
      <c r="H933" s="1" t="str">
        <f>IFERROR(__xludf.DUMMYFUNCTION("""COMPUTED_VALUE"""),"Dr Reddy's Lab (DERMA-2)")</f>
        <v>Dr Reddy's Lab (DERMA-2)</v>
      </c>
    </row>
    <row r="934" ht="16.5" customHeight="1">
      <c r="H934" s="1" t="str">
        <f>IFERROR(__xludf.DUMMYFUNCTION("""COMPUTED_VALUE"""),"Dr Reddy's Lab (DERMA)")</f>
        <v>Dr Reddy's Lab (DERMA)</v>
      </c>
    </row>
    <row r="935" ht="16.5" customHeight="1">
      <c r="H935" s="1" t="str">
        <f>IFERROR(__xludf.DUMMYFUNCTION("""COMPUTED_VALUE"""),"Dr Reddy's Lab (FUTURA LEO)")</f>
        <v>Dr Reddy's Lab (FUTURA LEO)</v>
      </c>
    </row>
    <row r="936" ht="16.5" customHeight="1">
      <c r="H936" s="1" t="str">
        <f>IFERROR(__xludf.DUMMYFUNCTION("""COMPUTED_VALUE"""),"Dr Reddy's Lab (FUTURA MAX)")</f>
        <v>Dr Reddy's Lab (FUTURA MAX)</v>
      </c>
    </row>
    <row r="937" ht="16.5" customHeight="1">
      <c r="H937" s="1" t="str">
        <f>IFERROR(__xludf.DUMMYFUNCTION("""COMPUTED_VALUE"""),"Dr Reddy's Lab (FUTURA)")</f>
        <v>Dr Reddy's Lab (FUTURA)</v>
      </c>
    </row>
    <row r="938" ht="16.5" customHeight="1">
      <c r="H938" s="1" t="str">
        <f>IFERROR(__xludf.DUMMYFUNCTION("""COMPUTED_VALUE"""),"Dr Reddy's Lab (GRAND ERA)")</f>
        <v>Dr Reddy's Lab (GRAND ERA)</v>
      </c>
    </row>
    <row r="939" ht="16.5" customHeight="1">
      <c r="H939" s="1" t="str">
        <f>IFERROR(__xludf.DUMMYFUNCTION("""COMPUTED_VALUE"""),"Dr Reddy's Lab (HAMETOLOGY)")</f>
        <v>Dr Reddy's Lab (HAMETOLOGY)</v>
      </c>
    </row>
    <row r="940" ht="16.5" customHeight="1">
      <c r="H940" s="1" t="str">
        <f>IFERROR(__xludf.DUMMYFUNCTION("""COMPUTED_VALUE"""),"Dr Reddy's Lab (INDURA)")</f>
        <v>Dr Reddy's Lab (INDURA)</v>
      </c>
    </row>
    <row r="941" ht="16.5" customHeight="1">
      <c r="H941" s="1" t="str">
        <f>IFERROR(__xludf.DUMMYFUNCTION("""COMPUTED_VALUE"""),"Dr Reddy's Lab (MERIND)")</f>
        <v>Dr Reddy's Lab (MERIND)</v>
      </c>
    </row>
    <row r="942" ht="16.5" customHeight="1">
      <c r="H942" s="1" t="str">
        <f>IFERROR(__xludf.DUMMYFUNCTION("""COMPUTED_VALUE"""),"Dr Reddy's Lab (ORION)")</f>
        <v>Dr Reddy's Lab (ORION)</v>
      </c>
    </row>
    <row r="943" ht="16.5" customHeight="1">
      <c r="H943" s="1" t="str">
        <f>IFERROR(__xludf.DUMMYFUNCTION("""COMPUTED_VALUE"""),"Dr Reddy's Lab (PTF)")</f>
        <v>Dr Reddy's Lab (PTF)</v>
      </c>
    </row>
    <row r="944" ht="16.5" customHeight="1">
      <c r="H944" s="1" t="str">
        <f>IFERROR(__xludf.DUMMYFUNCTION("""COMPUTED_VALUE"""),"Dr Reddy's Lab (RECURA ACE)")</f>
        <v>Dr Reddy's Lab (RECURA ACE)</v>
      </c>
    </row>
    <row r="945" ht="16.5" customHeight="1">
      <c r="H945" s="1" t="str">
        <f>IFERROR(__xludf.DUMMYFUNCTION("""COMPUTED_VALUE"""),"Dr Reddy's Lab (RECURA)")</f>
        <v>Dr Reddy's Lab (RECURA)</v>
      </c>
    </row>
    <row r="946" ht="16.5" customHeight="1">
      <c r="H946" s="1" t="str">
        <f>IFERROR(__xludf.DUMMYFUNCTION("""COMPUTED_VALUE"""),"Dr Reddy's Lab (RHEUMATOLOGY)")</f>
        <v>Dr Reddy's Lab (RHEUMATOLOGY)</v>
      </c>
    </row>
    <row r="947" ht="16.5" customHeight="1">
      <c r="H947" s="1" t="str">
        <f>IFERROR(__xludf.DUMMYFUNCTION("""COMPUTED_VALUE"""),"Dr Reddy's Lab (SPECTRA)")</f>
        <v>Dr Reddy's Lab (SPECTRA)</v>
      </c>
    </row>
    <row r="948" ht="16.5" customHeight="1">
      <c r="H948" s="1" t="str">
        <f>IFERROR(__xludf.DUMMYFUNCTION("""COMPUTED_VALUE"""),"Dr Reddy's Lab (WINTURA)")</f>
        <v>Dr Reddy's Lab (WINTURA)</v>
      </c>
    </row>
    <row r="949" ht="16.5" customHeight="1">
      <c r="H949" s="1" t="str">
        <f>IFERROR(__xludf.DUMMYFUNCTION("""COMPUTED_VALUE"""),"Dr Reddy's Lab (WOCKHARDT)")</f>
        <v>Dr Reddy's Lab (WOCKHARDT)</v>
      </c>
    </row>
    <row r="950" ht="16.5" customHeight="1">
      <c r="H950" s="1" t="str">
        <f>IFERROR(__xludf.DUMMYFUNCTION("""COMPUTED_VALUE"""),"Dr Reddy's Lab (XENURA-1)")</f>
        <v>Dr Reddy's Lab (XENURA-1)</v>
      </c>
    </row>
    <row r="951" ht="16.5" customHeight="1">
      <c r="H951" s="1" t="str">
        <f>IFERROR(__xludf.DUMMYFUNCTION("""COMPUTED_VALUE"""),"Dr Reddy's Lab (XENURA-3)")</f>
        <v>Dr Reddy's Lab (XENURA-3)</v>
      </c>
    </row>
    <row r="952" ht="16.5" customHeight="1">
      <c r="H952" s="1" t="str">
        <f>IFERROR(__xludf.DUMMYFUNCTION("""COMPUTED_VALUE"""),"Dr Reddy's Lab (XENURA)")</f>
        <v>Dr Reddy's Lab (XENURA)</v>
      </c>
    </row>
    <row r="953" ht="16.5" customHeight="1">
      <c r="H953" s="1" t="str">
        <f>IFERROR(__xludf.DUMMYFUNCTION("""COMPUTED_VALUE"""),"Dr Reddy's Laboratories Ltd")</f>
        <v>Dr Reddy's Laboratories Ltd</v>
      </c>
    </row>
    <row r="954" ht="16.5" customHeight="1">
      <c r="H954" s="1" t="str">
        <f>IFERROR(__xludf.DUMMYFUNCTION("""COMPUTED_VALUE"""),"Dr Reddy's Laboratories Ltd (SPECIALITY)")</f>
        <v>Dr Reddy's Laboratories Ltd (SPECIALITY)</v>
      </c>
    </row>
    <row r="955" ht="16.5" customHeight="1">
      <c r="H955" s="1" t="str">
        <f>IFERROR(__xludf.DUMMYFUNCTION("""COMPUTED_VALUE"""),"DR SENT REMEDIES PVT LTD")</f>
        <v>DR SENT REMEDIES PVT LTD</v>
      </c>
    </row>
    <row r="956" ht="16.5" customHeight="1">
      <c r="H956" s="1" t="str">
        <f>IFERROR(__xludf.DUMMYFUNCTION("""COMPUTED_VALUE"""),"DR SMITH'S HERBAL LABORATORIES")</f>
        <v>DR SMITH'S HERBAL LABORATORIES</v>
      </c>
    </row>
    <row r="957" ht="16.5" customHeight="1">
      <c r="H957" s="1" t="str">
        <f>IFERROR(__xludf.DUMMYFUNCTION("""COMPUTED_VALUE"""),"DR VEDA")</f>
        <v>DR VEDA</v>
      </c>
    </row>
    <row r="958" ht="16.5" customHeight="1">
      <c r="H958" s="1" t="str">
        <f>IFERROR(__xludf.DUMMYFUNCTION("""COMPUTED_VALUE"""),"DR WILLMAR SCHWABE INDIA PVT LTD")</f>
        <v>DR WILLMAR SCHWABE INDIA PVT LTD</v>
      </c>
    </row>
    <row r="959" ht="16.5" customHeight="1">
      <c r="H959" s="1" t="str">
        <f>IFERROR(__xludf.DUMMYFUNCTION("""COMPUTED_VALUE"""),"Dr. Johns Laboratories Pvt Ltd")</f>
        <v>Dr. Johns Laboratories Pvt Ltd</v>
      </c>
    </row>
    <row r="960" ht="16.5" customHeight="1">
      <c r="H960" s="1" t="str">
        <f>IFERROR(__xludf.DUMMYFUNCTION("""COMPUTED_VALUE"""),"DR. SURGICAL")</f>
        <v>DR. SURGICAL</v>
      </c>
    </row>
    <row r="961" ht="16.5" customHeight="1">
      <c r="H961" s="1" t="str">
        <f>IFERROR(__xludf.DUMMYFUNCTION("""COMPUTED_VALUE"""),"DRS CHOICE HEALTHCARE")</f>
        <v>DRS CHOICE HEALTHCARE</v>
      </c>
    </row>
    <row r="962" ht="16.5" customHeight="1">
      <c r="H962" s="1" t="str">
        <f>IFERROR(__xludf.DUMMYFUNCTION("""COMPUTED_VALUE"""),"DRUG INDIA")</f>
        <v>DRUG INDIA</v>
      </c>
    </row>
    <row r="963" ht="16.5" customHeight="1">
      <c r="H963" s="1" t="str">
        <f>IFERROR(__xludf.DUMMYFUNCTION("""COMPUTED_VALUE"""),"Dupen Laboratories Pvt Ltd")</f>
        <v>Dupen Laboratories Pvt Ltd</v>
      </c>
    </row>
    <row r="964" ht="16.5" customHeight="1">
      <c r="H964" s="1" t="str">
        <f>IFERROR(__xludf.DUMMYFUNCTION("""COMPUTED_VALUE"""),"DUPHA")</f>
        <v>DUPHA</v>
      </c>
    </row>
    <row r="965" ht="16.5" customHeight="1">
      <c r="H965" s="1" t="str">
        <f>IFERROR(__xludf.DUMMYFUNCTION("""COMPUTED_VALUE"""),"Duphar")</f>
        <v>Duphar</v>
      </c>
    </row>
    <row r="966" ht="16.5" customHeight="1">
      <c r="H966" s="1" t="str">
        <f>IFERROR(__xludf.DUMMYFUNCTION("""COMPUTED_VALUE"""),"DUPHAR (SOLVAY 2)")</f>
        <v>DUPHAR (SOLVAY 2)</v>
      </c>
    </row>
    <row r="967" ht="16.5" customHeight="1">
      <c r="H967" s="1" t="str">
        <f>IFERROR(__xludf.DUMMYFUNCTION("""COMPUTED_VALUE"""),"DUPONT ORGANICS")</f>
        <v>DUPONT ORGANICS</v>
      </c>
    </row>
    <row r="968" ht="16.5" customHeight="1">
      <c r="H968" s="1" t="str">
        <f>IFERROR(__xludf.DUMMYFUNCTION("""COMPUTED_VALUE"""),"DUTT SURGICAL")</f>
        <v>DUTT SURGICAL</v>
      </c>
    </row>
    <row r="969" ht="16.5" customHeight="1">
      <c r="H969" s="1" t="str">
        <f>IFERROR(__xludf.DUMMYFUNCTION("""COMPUTED_VALUE"""),"DWD PHARMA (PRIME)")</f>
        <v>DWD PHARMA (PRIME)</v>
      </c>
    </row>
    <row r="970" ht="16.5" customHeight="1">
      <c r="H970" s="1" t="str">
        <f>IFERROR(__xludf.DUMMYFUNCTION("""COMPUTED_VALUE"""),"DWD PHARMA (SUPREME)")</f>
        <v>DWD PHARMA (SUPREME)</v>
      </c>
    </row>
    <row r="971" ht="16.5" customHeight="1">
      <c r="H971" s="1" t="str">
        <f>IFERROR(__xludf.DUMMYFUNCTION("""COMPUTED_VALUE"""),"DWD Pharmaceuticals Ltd")</f>
        <v>DWD Pharmaceuticals Ltd</v>
      </c>
    </row>
    <row r="972" ht="16.5" customHeight="1">
      <c r="H972" s="1" t="str">
        <f>IFERROR(__xludf.DUMMYFUNCTION("""COMPUTED_VALUE"""),"Dycine Pharmaceuticals Ltd")</f>
        <v>Dycine Pharmaceuticals Ltd</v>
      </c>
    </row>
    <row r="973" ht="16.5" customHeight="1">
      <c r="H973" s="1" t="str">
        <f>IFERROR(__xludf.DUMMYFUNCTION("""COMPUTED_VALUE"""),"DYMIX PHARMACEUTICALS PVT LTD")</f>
        <v>DYMIX PHARMACEUTICALS PVT LTD</v>
      </c>
    </row>
    <row r="974" ht="16.5" customHeight="1">
      <c r="H974" s="1" t="str">
        <f>IFERROR(__xludf.DUMMYFUNCTION("""COMPUTED_VALUE"""),"DYNAMIC")</f>
        <v>DYNAMIC</v>
      </c>
    </row>
    <row r="975" ht="16.5" customHeight="1">
      <c r="H975" s="1" t="str">
        <f>IFERROR(__xludf.DUMMYFUNCTION("""COMPUTED_VALUE"""),"DYRICH CAPSULE")</f>
        <v>DYRICH CAPSULE</v>
      </c>
    </row>
    <row r="976" ht="16.5" customHeight="1">
      <c r="H976" s="1" t="str">
        <f>IFERROR(__xludf.DUMMYFUNCTION("""COMPUTED_VALUE"""),"DYRICH PLUS CAPSULE")</f>
        <v>DYRICH PLUS CAPSULE</v>
      </c>
    </row>
    <row r="977" ht="16.5" customHeight="1">
      <c r="H977" s="1" t="str">
        <f>IFERROR(__xludf.DUMMYFUNCTION("""COMPUTED_VALUE"""),"DYRICH SYP")</f>
        <v>DYRICH SYP</v>
      </c>
    </row>
    <row r="978" ht="16.5" customHeight="1">
      <c r="H978" s="1" t="str">
        <f>IFERROR(__xludf.DUMMYFUNCTION("""COMPUTED_VALUE"""),"E DERMA")</f>
        <v>E DERMA</v>
      </c>
    </row>
    <row r="979" ht="16.5" customHeight="1">
      <c r="H979" s="1" t="str">
        <f>IFERROR(__xludf.DUMMYFUNCTION("""COMPUTED_VALUE"""),"EAMON DRUGS PVT LTD")</f>
        <v>EAMON DRUGS PVT LTD</v>
      </c>
    </row>
    <row r="980" ht="16.5" customHeight="1">
      <c r="H980" s="1" t="str">
        <f>IFERROR(__xludf.DUMMYFUNCTION("""COMPUTED_VALUE"""),"East India Pharmaceutical Works Ltd")</f>
        <v>East India Pharmaceutical Works Ltd</v>
      </c>
    </row>
    <row r="981" ht="16.5" customHeight="1">
      <c r="H981" s="1" t="str">
        <f>IFERROR(__xludf.DUMMYFUNCTION("""COMPUTED_VALUE"""),"East West Pharma")</f>
        <v>East West Pharma</v>
      </c>
    </row>
    <row r="982" ht="16.5" customHeight="1">
      <c r="H982" s="1" t="str">
        <f>IFERROR(__xludf.DUMMYFUNCTION("""COMPUTED_VALUE"""),"EASTERN HEALTH CARE")</f>
        <v>EASTERN HEALTH CARE</v>
      </c>
    </row>
    <row r="983" ht="16.5" customHeight="1">
      <c r="H983" s="1" t="str">
        <f>IFERROR(__xludf.DUMMYFUNCTION("""COMPUTED_VALUE"""),"ECLIPSER PHARMACEUTICALS")</f>
        <v>ECLIPSER PHARMACEUTICALS</v>
      </c>
    </row>
    <row r="984" ht="16.5" customHeight="1">
      <c r="H984" s="1" t="str">
        <f>IFERROR(__xludf.DUMMYFUNCTION("""COMPUTED_VALUE"""),"ECLIPTA PHARMACEUTICAL PVT LTD")</f>
        <v>ECLIPTA PHARMACEUTICAL PVT LTD</v>
      </c>
    </row>
    <row r="985" ht="16.5" customHeight="1">
      <c r="H985" s="1" t="str">
        <f>IFERROR(__xludf.DUMMYFUNCTION("""COMPUTED_VALUE"""),"ECLIPTA PHARMACEUTICAL PVT LTD")</f>
        <v>ECLIPTA PHARMACEUTICAL PVT LTD</v>
      </c>
    </row>
    <row r="986" ht="16.5" customHeight="1">
      <c r="H986" s="1" t="str">
        <f>IFERROR(__xludf.DUMMYFUNCTION("""COMPUTED_VALUE"""),"ECOMED")</f>
        <v>ECOMED</v>
      </c>
    </row>
    <row r="987" ht="16.5" customHeight="1">
      <c r="H987" s="1" t="str">
        <f>IFERROR(__xludf.DUMMYFUNCTION("""COMPUTED_VALUE"""),"EDDONA LIFE SCIENCES")</f>
        <v>EDDONA LIFE SCIENCES</v>
      </c>
    </row>
    <row r="988" ht="16.5" customHeight="1">
      <c r="H988" s="1" t="str">
        <f>IFERROR(__xludf.DUMMYFUNCTION("""COMPUTED_VALUE"""),"EDEN HEALTHCARE")</f>
        <v>EDEN HEALTHCARE</v>
      </c>
    </row>
    <row r="989" ht="16.5" customHeight="1">
      <c r="H989" s="1" t="str">
        <f>IFERROR(__xludf.DUMMYFUNCTION("""COMPUTED_VALUE"""),"EDICO LAB")</f>
        <v>EDICO LAB</v>
      </c>
    </row>
    <row r="990" ht="16.5" customHeight="1">
      <c r="H990" s="1" t="str">
        <f>IFERROR(__xludf.DUMMYFUNCTION("""COMPUTED_VALUE"""),"EDISON ORGANICS PHARMACEUTICALS")</f>
        <v>EDISON ORGANICS PHARMACEUTICALS</v>
      </c>
    </row>
    <row r="991" ht="16.5" customHeight="1">
      <c r="H991" s="1" t="str">
        <f>IFERROR(__xludf.DUMMYFUNCTION("""COMPUTED_VALUE"""),"Edrant pharmaceuticals")</f>
        <v>Edrant pharmaceuticals</v>
      </c>
    </row>
    <row r="992" ht="16.5" customHeight="1">
      <c r="H992" s="1" t="str">
        <f>IFERROR(__xludf.DUMMYFUNCTION("""COMPUTED_VALUE"""),"EDWARD YOUNG LABS")</f>
        <v>EDWARD YOUNG LABS</v>
      </c>
    </row>
    <row r="993" ht="16.5" customHeight="1">
      <c r="H993" s="1" t="str">
        <f>IFERROR(__xludf.DUMMYFUNCTION("""COMPUTED_VALUE"""),"Eisai Pharmaceuticals India Pvt Ltd")</f>
        <v>Eisai Pharmaceuticals India Pvt Ltd</v>
      </c>
    </row>
    <row r="994" ht="16.5" customHeight="1">
      <c r="H994" s="1" t="str">
        <f>IFERROR(__xludf.DUMMYFUNCTION("""COMPUTED_VALUE"""),"EISEN PHARMA")</f>
        <v>EISEN PHARMA</v>
      </c>
    </row>
    <row r="995" ht="16.5" customHeight="1">
      <c r="H995" s="1" t="str">
        <f>IFERROR(__xludf.DUMMYFUNCTION("""COMPUTED_VALUE"""),"EKMAY")</f>
        <v>EKMAY</v>
      </c>
    </row>
    <row r="996" ht="16.5" customHeight="1">
      <c r="H996" s="1" t="str">
        <f>IFERROR(__xludf.DUMMYFUNCTION("""COMPUTED_VALUE"""),"Elan Pharma India Pvt Ltd")</f>
        <v>Elan Pharma India Pvt Ltd</v>
      </c>
    </row>
    <row r="997" ht="16.5" customHeight="1">
      <c r="H997" s="1" t="str">
        <f>IFERROR(__xludf.DUMMYFUNCTION("""COMPUTED_VALUE"""),"ELANCER PHARMACEUTICALS")</f>
        <v>ELANCER PHARMACEUTICALS</v>
      </c>
    </row>
    <row r="998" ht="16.5" customHeight="1">
      <c r="H998" s="1" t="str">
        <f>IFERROR(__xludf.DUMMYFUNCTION("""COMPUTED_VALUE"""),"ELAXIM PHARMA")</f>
        <v>ELAXIM PHARMA</v>
      </c>
    </row>
    <row r="999" ht="16.5" customHeight="1">
      <c r="H999" s="1" t="str">
        <f>IFERROR(__xludf.DUMMYFUNCTION("""COMPUTED_VALUE"""),"ELCLIF FORMULATION")</f>
        <v>ELCLIF FORMULATION</v>
      </c>
    </row>
    <row r="1000" ht="16.5" customHeight="1">
      <c r="H1000" s="1" t="str">
        <f>IFERROR(__xludf.DUMMYFUNCTION("""COMPUTED_VALUE"""),"ELCURE BIOTEC")</f>
        <v>ELCURE BIOTEC</v>
      </c>
    </row>
    <row r="1001" ht="16.5" customHeight="1">
      <c r="H1001" s="1" t="str">
        <f>IFERROR(__xludf.DUMMYFUNCTION("""COMPUTED_VALUE"""),"ELDER (A)")</f>
        <v>ELDER (A)</v>
      </c>
    </row>
    <row r="1002" ht="16.5" customHeight="1">
      <c r="H1002" s="1" t="str">
        <f>IFERROR(__xludf.DUMMYFUNCTION("""COMPUTED_VALUE"""),"ELDER (ADVENTT)")</f>
        <v>ELDER (ADVENTT)</v>
      </c>
    </row>
    <row r="1003" ht="16.5" customHeight="1">
      <c r="H1003" s="1" t="str">
        <f>IFERROR(__xludf.DUMMYFUNCTION("""COMPUTED_VALUE"""),"ELDER (ADVENTUS)")</f>
        <v>ELDER (ADVENTUS)</v>
      </c>
    </row>
    <row r="1004" ht="16.5" customHeight="1">
      <c r="H1004" s="1" t="str">
        <f>IFERROR(__xludf.DUMMYFUNCTION("""COMPUTED_VALUE"""),"ELDER (B-SPECIALITIES)")</f>
        <v>ELDER (B-SPECIALITIES)</v>
      </c>
    </row>
    <row r="1005" ht="16.5" customHeight="1">
      <c r="H1005" s="1" t="str">
        <f>IFERROR(__xludf.DUMMYFUNCTION("""COMPUTED_VALUE"""),"ELDER (B)")</f>
        <v>ELDER (B)</v>
      </c>
    </row>
    <row r="1006" ht="16.5" customHeight="1">
      <c r="H1006" s="1" t="str">
        <f>IFERROR(__xludf.DUMMYFUNCTION("""COMPUTED_VALUE"""),"ELDER (ELNOVA)")</f>
        <v>ELDER (ELNOVA)</v>
      </c>
    </row>
    <row r="1007" ht="16.5" customHeight="1">
      <c r="H1007" s="1" t="str">
        <f>IFERROR(__xludf.DUMMYFUNCTION("""COMPUTED_VALUE"""),"ELDER (ELVISTA)")</f>
        <v>ELDER (ELVISTA)</v>
      </c>
    </row>
    <row r="1008" ht="16.5" customHeight="1">
      <c r="H1008" s="1" t="str">
        <f>IFERROR(__xludf.DUMMYFUNCTION("""COMPUTED_VALUE"""),"ELDER (GENERIC)")</f>
        <v>ELDER (GENERIC)</v>
      </c>
    </row>
    <row r="1009" ht="16.5" customHeight="1">
      <c r="H1009" s="1" t="str">
        <f>IFERROR(__xludf.DUMMYFUNCTION("""COMPUTED_VALUE"""),"ELDER (MIS)")</f>
        <v>ELDER (MIS)</v>
      </c>
    </row>
    <row r="1010" ht="16.5" customHeight="1">
      <c r="H1010" s="1" t="str">
        <f>IFERROR(__xludf.DUMMYFUNCTION("""COMPUTED_VALUE"""),"Elder Pharmaceuticals Ltd")</f>
        <v>Elder Pharmaceuticals Ltd</v>
      </c>
    </row>
    <row r="1011" ht="16.5" customHeight="1">
      <c r="H1011" s="1" t="str">
        <f>IFERROR(__xludf.DUMMYFUNCTION("""COMPUTED_VALUE"""),"ELDORA HEALTHCARE")</f>
        <v>ELDORA HEALTHCARE</v>
      </c>
    </row>
    <row r="1012" ht="16.5" customHeight="1">
      <c r="H1012" s="1" t="str">
        <f>IFERROR(__xludf.DUMMYFUNCTION("""COMPUTED_VALUE"""),"ELEMENSIS LIFESCIENCES")</f>
        <v>ELEMENSIS LIFESCIENCES</v>
      </c>
    </row>
    <row r="1013" ht="16.5" customHeight="1">
      <c r="H1013" s="1" t="str">
        <f>IFERROR(__xludf.DUMMYFUNCTION("""COMPUTED_VALUE"""),"ELEMENSIS LIFESCIENCES PVT LTD")</f>
        <v>ELEMENSIS LIFESCIENCES PVT LTD</v>
      </c>
    </row>
    <row r="1014" ht="16.5" customHeight="1">
      <c r="H1014" s="1" t="str">
        <f>IFERROR(__xludf.DUMMYFUNCTION("""COMPUTED_VALUE"""),"ELEMENTS WELLNESS")</f>
        <v>ELEMENTS WELLNESS</v>
      </c>
    </row>
    <row r="1015" ht="16.5" customHeight="1">
      <c r="H1015" s="1" t="str">
        <f>IFERROR(__xludf.DUMMYFUNCTION("""COMPUTED_VALUE"""),"ELENOR HEALTHCARE")</f>
        <v>ELENOR HEALTHCARE</v>
      </c>
    </row>
    <row r="1016" ht="16.5" customHeight="1">
      <c r="H1016" s="1" t="str">
        <f>IFERROR(__xludf.DUMMYFUNCTION("""COMPUTED_VALUE"""),"ELFIN PHARMA P LTD")</f>
        <v>ELFIN PHARMA P LTD</v>
      </c>
    </row>
    <row r="1017" ht="16.5" customHeight="1">
      <c r="H1017" s="1" t="str">
        <f>IFERROR(__xludf.DUMMYFUNCTION("""COMPUTED_VALUE"""),"Eli Lilly and Company India Pvt Ltd")</f>
        <v>Eli Lilly and Company India Pvt Ltd</v>
      </c>
    </row>
    <row r="1018" ht="16.5" customHeight="1">
      <c r="H1018" s="1" t="str">
        <f>IFERROR(__xludf.DUMMYFUNCTION("""COMPUTED_VALUE"""),"ELI PHARMACEUTICALS")</f>
        <v>ELI PHARMACEUTICALS</v>
      </c>
    </row>
    <row r="1019" ht="16.5" customHeight="1">
      <c r="H1019" s="1" t="str">
        <f>IFERROR(__xludf.DUMMYFUNCTION("""COMPUTED_VALUE"""),"ELIKEM PHARMACEUTICALS PVT LTD")</f>
        <v>ELIKEM PHARMACEUTICALS PVT LTD</v>
      </c>
    </row>
    <row r="1020" ht="16.5" customHeight="1">
      <c r="H1020" s="1" t="str">
        <f>IFERROR(__xludf.DUMMYFUNCTION("""COMPUTED_VALUE"""),"ELILVILI PHARMA PVT LTD")</f>
        <v>ELILVILI PHARMA PVT LTD</v>
      </c>
    </row>
    <row r="1021" ht="16.5" customHeight="1">
      <c r="H1021" s="1" t="str">
        <f>IFERROR(__xludf.DUMMYFUNCTION("""COMPUTED_VALUE"""),"ELION HEALTHCARE PVT LTD")</f>
        <v>ELION HEALTHCARE PVT LTD</v>
      </c>
    </row>
    <row r="1022" ht="16.5" customHeight="1">
      <c r="H1022" s="1" t="str">
        <f>IFERROR(__xludf.DUMMYFUNCTION("""COMPUTED_VALUE"""),"ELIXIR LIFE CARE")</f>
        <v>ELIXIR LIFE CARE</v>
      </c>
    </row>
    <row r="1023" ht="16.5" customHeight="1">
      <c r="H1023" s="1" t="str">
        <f>IFERROR(__xludf.DUMMYFUNCTION("""COMPUTED_VALUE"""),"ELIXIR LIFE CARE (ACCELENT)")</f>
        <v>ELIXIR LIFE CARE (ACCELENT)</v>
      </c>
    </row>
    <row r="1024" ht="16.5" customHeight="1">
      <c r="H1024" s="1" t="str">
        <f>IFERROR(__xludf.DUMMYFUNCTION("""COMPUTED_VALUE"""),"ELIXIR MEDISERVE P LTD")</f>
        <v>ELIXIR MEDISERVE P LTD</v>
      </c>
    </row>
    <row r="1025" ht="16.5" customHeight="1">
      <c r="H1025" s="1" t="str">
        <f>IFERROR(__xludf.DUMMYFUNCTION("""COMPUTED_VALUE"""),"ELKOS HEALTHCARE P LTD")</f>
        <v>ELKOS HEALTHCARE P LTD</v>
      </c>
    </row>
    <row r="1026" ht="16.5" customHeight="1">
      <c r="H1026" s="1" t="str">
        <f>IFERROR(__xludf.DUMMYFUNCTION("""COMPUTED_VALUE"""),"ELLINOR LIFESCIENCES")</f>
        <v>ELLINOR LIFESCIENCES</v>
      </c>
    </row>
    <row r="1027" ht="16.5" customHeight="1">
      <c r="H1027" s="1" t="str">
        <f>IFERROR(__xludf.DUMMYFUNCTION("""COMPUTED_VALUE"""),"ELLIOT BIOTECH")</f>
        <v>ELLIOT BIOTECH</v>
      </c>
    </row>
    <row r="1028" ht="16.5" customHeight="1">
      <c r="H1028" s="1" t="str">
        <f>IFERROR(__xludf.DUMMYFUNCTION("""COMPUTED_VALUE"""),"ELNOVA PHARMA SIRMOUR")</f>
        <v>ELNOVA PHARMA SIRMOUR</v>
      </c>
    </row>
    <row r="1029" ht="16.5" customHeight="1">
      <c r="H1029" s="1" t="str">
        <f>IFERROR(__xludf.DUMMYFUNCTION("""COMPUTED_VALUE"""),"ELVIA")</f>
        <v>ELVIA</v>
      </c>
    </row>
    <row r="1030" ht="16.5" customHeight="1">
      <c r="H1030" s="1" t="str">
        <f>IFERROR(__xludf.DUMMYFUNCTION("""COMPUTED_VALUE"""),"ELZA LABORATORIES INDIA PVT LTD")</f>
        <v>ELZA LABORATORIES INDIA PVT LTD</v>
      </c>
    </row>
    <row r="1031" ht="16.5" customHeight="1">
      <c r="H1031" s="1" t="str">
        <f>IFERROR(__xludf.DUMMYFUNCTION("""COMPUTED_VALUE"""),"Emami Ltd")</f>
        <v>Emami Ltd</v>
      </c>
    </row>
    <row r="1032" ht="16.5" customHeight="1">
      <c r="H1032" s="1" t="str">
        <f>IFERROR(__xludf.DUMMYFUNCTION("""COMPUTED_VALUE"""),"EMBARK LIFESCIENCE PVT LTD")</f>
        <v>EMBARK LIFESCIENCE PVT LTD</v>
      </c>
    </row>
    <row r="1033" ht="16.5" customHeight="1">
      <c r="H1033" s="1" t="str">
        <f>IFERROR(__xludf.DUMMYFUNCTION("""COMPUTED_VALUE"""),"EMCURE (EMCUTIX)")</f>
        <v>EMCURE (EMCUTIX)</v>
      </c>
    </row>
    <row r="1034" ht="16.5" customHeight="1">
      <c r="H1034" s="1" t="str">
        <f>IFERROR(__xludf.DUMMYFUNCTION("""COMPUTED_VALUE"""),"EMCURE (GENNOVA)")</f>
        <v>EMCURE (GENNOVA)</v>
      </c>
    </row>
    <row r="1035" ht="16.5" customHeight="1">
      <c r="H1035" s="1" t="str">
        <f>IFERROR(__xludf.DUMMYFUNCTION("""COMPUTED_VALUE"""),"EMCURE (NUSURGE)")</f>
        <v>EMCURE (NUSURGE)</v>
      </c>
    </row>
    <row r="1036" ht="16.5" customHeight="1">
      <c r="H1036" s="1" t="str">
        <f>IFERROR(__xludf.DUMMYFUNCTION("""COMPUTED_VALUE"""),"EMCURE PHARMA (CD)")</f>
        <v>EMCURE PHARMA (CD)</v>
      </c>
    </row>
    <row r="1037" ht="16.5" customHeight="1">
      <c r="H1037" s="1" t="str">
        <f>IFERROR(__xludf.DUMMYFUNCTION("""COMPUTED_VALUE"""),"EMCURE PHARMA (CNS)")</f>
        <v>EMCURE PHARMA (CNS)</v>
      </c>
    </row>
    <row r="1038" ht="16.5" customHeight="1">
      <c r="H1038" s="1" t="str">
        <f>IFERROR(__xludf.DUMMYFUNCTION("""COMPUTED_VALUE"""),"EMCURE PHARMA (CRIANTE)")</f>
        <v>EMCURE PHARMA (CRIANTE)</v>
      </c>
    </row>
    <row r="1039" ht="16.5" customHeight="1">
      <c r="H1039" s="1" t="str">
        <f>IFERROR(__xludf.DUMMYFUNCTION("""COMPUTED_VALUE"""),"EMCURE PHARMA (FERIUM)")</f>
        <v>EMCURE PHARMA (FERIUM)</v>
      </c>
    </row>
    <row r="1040" ht="16.5" customHeight="1">
      <c r="H1040" s="1" t="str">
        <f>IFERROR(__xludf.DUMMYFUNCTION("""COMPUTED_VALUE"""),"EMCURE PHARMA (IMPETUS)")</f>
        <v>EMCURE PHARMA (IMPETUS)</v>
      </c>
    </row>
    <row r="1041" ht="16.5" customHeight="1">
      <c r="H1041" s="1" t="str">
        <f>IFERROR(__xludf.DUMMYFUNCTION("""COMPUTED_VALUE"""),"EMCURE PHARMA (INFIUS)")</f>
        <v>EMCURE PHARMA (INFIUS)</v>
      </c>
    </row>
    <row r="1042" ht="16.5" customHeight="1">
      <c r="H1042" s="1" t="str">
        <f>IFERROR(__xludf.DUMMYFUNCTION("""COMPUTED_VALUE"""),"EMCURE PHARMA (INVENTIA)")</f>
        <v>EMCURE PHARMA (INVENTIA)</v>
      </c>
    </row>
    <row r="1043" ht="16.5" customHeight="1">
      <c r="H1043" s="1" t="str">
        <f>IFERROR(__xludf.DUMMYFUNCTION("""COMPUTED_VALUE"""),"EMCURE PHARMA (KONKER)")</f>
        <v>EMCURE PHARMA (KONKER)</v>
      </c>
    </row>
    <row r="1044" ht="16.5" customHeight="1">
      <c r="H1044" s="1" t="str">
        <f>IFERROR(__xludf.DUMMYFUNCTION("""COMPUTED_VALUE"""),"EMCURE PHARMA (NEPHRO)")</f>
        <v>EMCURE PHARMA (NEPHRO)</v>
      </c>
    </row>
    <row r="1045" ht="16.5" customHeight="1">
      <c r="H1045" s="1" t="str">
        <f>IFERROR(__xludf.DUMMYFUNCTION("""COMPUTED_VALUE"""),"EMCURE PHARMA (NUCRON CV)")</f>
        <v>EMCURE PHARMA (NUCRON CV)</v>
      </c>
    </row>
    <row r="1046" ht="16.5" customHeight="1">
      <c r="H1046" s="1" t="str">
        <f>IFERROR(__xludf.DUMMYFUNCTION("""COMPUTED_VALUE"""),"EMCURE PHARMA (NUCRON)")</f>
        <v>EMCURE PHARMA (NUCRON)</v>
      </c>
    </row>
    <row r="1047" ht="16.5" customHeight="1">
      <c r="H1047" s="1" t="str">
        <f>IFERROR(__xludf.DUMMYFUNCTION("""COMPUTED_VALUE"""),"EMCURE PHARMA (PHARMA)")</f>
        <v>EMCURE PHARMA (PHARMA)</v>
      </c>
    </row>
    <row r="1048" ht="16.5" customHeight="1">
      <c r="H1048" s="1" t="str">
        <f>IFERROR(__xludf.DUMMYFUNCTION("""COMPUTED_VALUE"""),"EMCURE PHARMA (URO)")</f>
        <v>EMCURE PHARMA (URO)</v>
      </c>
    </row>
    <row r="1049" ht="16.5" customHeight="1">
      <c r="H1049" s="1" t="str">
        <f>IFERROR(__xludf.DUMMYFUNCTION("""COMPUTED_VALUE"""),"EMCURE PHARMA (VIROLOGY)")</f>
        <v>EMCURE PHARMA (VIROLOGY)</v>
      </c>
    </row>
    <row r="1050" ht="16.5" customHeight="1">
      <c r="H1050" s="1" t="str">
        <f>IFERROR(__xludf.DUMMYFUNCTION("""COMPUTED_VALUE"""),"EMCURE PHARMA (XENNEX)")</f>
        <v>EMCURE PHARMA (XENNEX)</v>
      </c>
    </row>
    <row r="1051" ht="16.5" customHeight="1">
      <c r="H1051" s="1" t="str">
        <f>IFERROR(__xludf.DUMMYFUNCTION("""COMPUTED_VALUE"""),"EMCURE PHARMA (ZEMCURE)")</f>
        <v>EMCURE PHARMA (ZEMCURE)</v>
      </c>
    </row>
    <row r="1052" ht="16.5" customHeight="1">
      <c r="H1052" s="1" t="str">
        <f>IFERROR(__xludf.DUMMYFUNCTION("""COMPUTED_VALUE"""),"Emcure Pharmaceuticals Ltd")</f>
        <v>Emcure Pharmaceuticals Ltd</v>
      </c>
    </row>
    <row r="1053" ht="16.5" customHeight="1">
      <c r="H1053" s="1" t="str">
        <f>IFERROR(__xludf.DUMMYFUNCTION("""COMPUTED_VALUE"""),"EMENOX HEALTHCARE")</f>
        <v>EMENOX HEALTHCARE</v>
      </c>
    </row>
    <row r="1054" ht="16.5" customHeight="1">
      <c r="H1054" s="1" t="str">
        <f>IFERROR(__xludf.DUMMYFUNCTION("""COMPUTED_VALUE"""),"EMIL PHARMACEUTICAL INDUSTRIES PVT LTD")</f>
        <v>EMIL PHARMACEUTICAL INDUSTRIES PVT LTD</v>
      </c>
    </row>
    <row r="1055" ht="16.5" customHeight="1">
      <c r="H1055" s="1" t="str">
        <f>IFERROR(__xludf.DUMMYFUNCTION("""COMPUTED_VALUE"""),"EMKEDY HEALTH CARE")</f>
        <v>EMKEDY HEALTH CARE</v>
      </c>
    </row>
    <row r="1056" ht="16.5" customHeight="1">
      <c r="H1056" s="1" t="str">
        <f>IFERROR(__xludf.DUMMYFUNCTION("""COMPUTED_VALUE"""),"EMMY PHARMACEUTICAL")</f>
        <v>EMMY PHARMACEUTICAL</v>
      </c>
    </row>
    <row r="1057" ht="16.5" customHeight="1">
      <c r="H1057" s="1" t="str">
        <f>IFERROR(__xludf.DUMMYFUNCTION("""COMPUTED_VALUE"""),"EMPHASIS PHARMA P LTD")</f>
        <v>EMPHASIS PHARMA P LTD</v>
      </c>
    </row>
    <row r="1058" ht="16.5" customHeight="1">
      <c r="H1058" s="1" t="str">
        <f>IFERROR(__xludf.DUMMYFUNCTION("""COMPUTED_VALUE"""),"Empiai Pharmaceuticals Pvt Ltd")</f>
        <v>Empiai Pharmaceuticals Pvt Ltd</v>
      </c>
    </row>
    <row r="1059" ht="16.5" customHeight="1">
      <c r="H1059" s="1" t="str">
        <f>IFERROR(__xludf.DUMMYFUNCTION("""COMPUTED_VALUE"""),"ENCORE HEALTHCARE PVT LTD")</f>
        <v>ENCORE HEALTHCARE PVT LTD</v>
      </c>
    </row>
    <row r="1060" ht="16.5" customHeight="1">
      <c r="H1060" s="1" t="str">
        <f>IFERROR(__xludf.DUMMYFUNCTION("""COMPUTED_VALUE"""),"Encore Pharmaceuticals Inc.")</f>
        <v>Encore Pharmaceuticals Inc.</v>
      </c>
    </row>
    <row r="1061" ht="16.5" customHeight="1">
      <c r="H1061" s="1" t="str">
        <f>IFERROR(__xludf.DUMMYFUNCTION("""COMPUTED_VALUE"""),"ENCYCLO HEATHCARE")</f>
        <v>ENCYCLO HEATHCARE</v>
      </c>
    </row>
    <row r="1062" ht="16.5" customHeight="1">
      <c r="H1062" s="1" t="str">
        <f>IFERROR(__xludf.DUMMYFUNCTION("""COMPUTED_VALUE"""),"ENDOLABS LTD")</f>
        <v>ENDOLABS LTD</v>
      </c>
    </row>
    <row r="1063" ht="16.5" customHeight="1">
      <c r="H1063" s="1" t="str">
        <f>IFERROR(__xludf.DUMMYFUNCTION("""COMPUTED_VALUE"""),"ENRICO PHARMA")</f>
        <v>ENRICO PHARMA</v>
      </c>
    </row>
    <row r="1064" ht="16.5" customHeight="1">
      <c r="H1064" s="1" t="str">
        <f>IFERROR(__xludf.DUMMYFUNCTION("""COMPUTED_VALUE"""),"ENTOD (ENSIGHT)")</f>
        <v>ENTOD (ENSIGHT)</v>
      </c>
    </row>
    <row r="1065" ht="16.5" customHeight="1">
      <c r="H1065" s="1" t="str">
        <f>IFERROR(__xludf.DUMMYFUNCTION("""COMPUTED_VALUE"""),"ENTOD (G-TECH)")</f>
        <v>ENTOD (G-TECH)</v>
      </c>
    </row>
    <row r="1066" ht="16.5" customHeight="1">
      <c r="H1066" s="1" t="str">
        <f>IFERROR(__xludf.DUMMYFUNCTION("""COMPUTED_VALUE"""),"ENTOD (HYTEK)")</f>
        <v>ENTOD (HYTEK)</v>
      </c>
    </row>
    <row r="1067" ht="16.5" customHeight="1">
      <c r="H1067" s="1" t="str">
        <f>IFERROR(__xludf.DUMMYFUNCTION("""COMPUTED_VALUE"""),"ENTOD (OPHTHALMIC)")</f>
        <v>ENTOD (OPHTHALMIC)</v>
      </c>
    </row>
    <row r="1068" ht="16.5" customHeight="1">
      <c r="H1068" s="1" t="str">
        <f>IFERROR(__xludf.DUMMYFUNCTION("""COMPUTED_VALUE"""),"ENTOD (OPTHAL)")</f>
        <v>ENTOD (OPTHAL)</v>
      </c>
    </row>
    <row r="1069" ht="16.5" customHeight="1">
      <c r="H1069" s="1" t="str">
        <f>IFERROR(__xludf.DUMMYFUNCTION("""COMPUTED_VALUE"""),"Entod Pharmaceuticals Ltd")</f>
        <v>Entod Pharmaceuticals Ltd</v>
      </c>
    </row>
    <row r="1070" ht="16.5" customHeight="1">
      <c r="H1070" s="1" t="str">
        <f>IFERROR(__xludf.DUMMYFUNCTION("""COMPUTED_VALUE"""),"EOS DERMACEUTICALS")</f>
        <v>EOS DERMACEUTICALS</v>
      </c>
    </row>
    <row r="1071" ht="16.5" customHeight="1">
      <c r="H1071" s="1" t="str">
        <f>IFERROR(__xludf.DUMMYFUNCTION("""COMPUTED_VALUE"""),"EPIC LIFESCIENCE")</f>
        <v>EPIC LIFESCIENCE</v>
      </c>
    </row>
    <row r="1072" ht="16.5" customHeight="1">
      <c r="H1072" s="1" t="str">
        <f>IFERROR(__xludf.DUMMYFUNCTION("""COMPUTED_VALUE"""),"EPONA PHARMACEUTICALS")</f>
        <v>EPONA PHARMACEUTICALS</v>
      </c>
    </row>
    <row r="1073" ht="16.5" customHeight="1">
      <c r="H1073" s="1" t="str">
        <f>IFERROR(__xludf.DUMMYFUNCTION("""COMPUTED_VALUE"""),"Era Pharmaceuticals")</f>
        <v>Era Pharmaceuticals</v>
      </c>
    </row>
    <row r="1074" ht="16.5" customHeight="1">
      <c r="H1074" s="1" t="str">
        <f>IFERROR(__xludf.DUMMYFUNCTION("""COMPUTED_VALUE"""),"ERIDANUS HEALTHCARE")</f>
        <v>ERIDANUS HEALTHCARE</v>
      </c>
    </row>
    <row r="1075" ht="16.5" customHeight="1">
      <c r="H1075" s="1" t="str">
        <f>IFERROR(__xludf.DUMMYFUNCTION("""COMPUTED_VALUE"""),"ERIKA REMEDIES")</f>
        <v>ERIKA REMEDIES</v>
      </c>
    </row>
    <row r="1076" ht="16.5" customHeight="1">
      <c r="H1076" s="1" t="str">
        <f>IFERROR(__xludf.DUMMYFUNCTION("""COMPUTED_VALUE"""),"ERIS (ADURA)")</f>
        <v>ERIS (ADURA)</v>
      </c>
    </row>
    <row r="1077" ht="16.5" customHeight="1">
      <c r="H1077" s="1" t="str">
        <f>IFERROR(__xludf.DUMMYFUNCTION("""COMPUTED_VALUE"""),"ERIS (ALTIZA)")</f>
        <v>ERIS (ALTIZA)</v>
      </c>
    </row>
    <row r="1078" ht="16.5" customHeight="1">
      <c r="H1078" s="1" t="str">
        <f>IFERROR(__xludf.DUMMYFUNCTION("""COMPUTED_VALUE"""),"ERIS (ASPIRE)")</f>
        <v>ERIS (ASPIRE)</v>
      </c>
    </row>
    <row r="1079" ht="16.5" customHeight="1">
      <c r="H1079" s="1" t="str">
        <f>IFERROR(__xludf.DUMMYFUNCTION("""COMPUTED_VALUE"""),"ERIS (ETERNA)")</f>
        <v>ERIS (ETERNA)</v>
      </c>
    </row>
    <row r="1080" ht="16.5" customHeight="1">
      <c r="H1080" s="1" t="str">
        <f>IFERROR(__xludf.DUMMYFUNCTION("""COMPUTED_VALUE"""),"ERIS (INSPIRA)")</f>
        <v>ERIS (INSPIRA)</v>
      </c>
    </row>
    <row r="1081" ht="16.5" customHeight="1">
      <c r="H1081" s="1" t="str">
        <f>IFERROR(__xludf.DUMMYFUNCTION("""COMPUTED_VALUE"""),"ERIS (LIFE-I)")</f>
        <v>ERIS (LIFE-I)</v>
      </c>
    </row>
    <row r="1082" ht="16.5" customHeight="1">
      <c r="H1082" s="1" t="str">
        <f>IFERROR(__xludf.DUMMYFUNCTION("""COMPUTED_VALUE"""),"ERIS (LIFE-II)")</f>
        <v>ERIS (LIFE-II)</v>
      </c>
    </row>
    <row r="1083" ht="16.5" customHeight="1">
      <c r="H1083" s="1" t="str">
        <f>IFERROR(__xludf.DUMMYFUNCTION("""COMPUTED_VALUE"""),"ERIS (MONTANA)")</f>
        <v>ERIS (MONTANA)</v>
      </c>
    </row>
    <row r="1084" ht="16.5" customHeight="1">
      <c r="H1084" s="1" t="str">
        <f>IFERROR(__xludf.DUMMYFUNCTION("""COMPUTED_VALUE"""),"ERIS (NIKKOS)")</f>
        <v>ERIS (NIKKOS)</v>
      </c>
    </row>
    <row r="1085" ht="16.5" customHeight="1">
      <c r="H1085" s="1" t="str">
        <f>IFERROR(__xludf.DUMMYFUNCTION("""COMPUTED_VALUE"""),"ERIS (ONE)")</f>
        <v>ERIS (ONE)</v>
      </c>
    </row>
    <row r="1086" ht="16.5" customHeight="1">
      <c r="H1086" s="1" t="str">
        <f>IFERROR(__xludf.DUMMYFUNCTION("""COMPUTED_VALUE"""),"ERIS (PHOENIX)")</f>
        <v>ERIS (PHOENIX)</v>
      </c>
    </row>
    <row r="1087" ht="16.5" customHeight="1">
      <c r="H1087" s="1" t="str">
        <f>IFERROR(__xludf.DUMMYFUNCTION("""COMPUTED_VALUE"""),"ERIS (TWO)")</f>
        <v>ERIS (TWO)</v>
      </c>
    </row>
    <row r="1088" ht="16.5" customHeight="1">
      <c r="H1088" s="1" t="str">
        <f>IFERROR(__xludf.DUMMYFUNCTION("""COMPUTED_VALUE"""),"ERIS (VICTUS)")</f>
        <v>ERIS (VICTUS)</v>
      </c>
    </row>
    <row r="1089" ht="16.5" customHeight="1">
      <c r="H1089" s="1" t="str">
        <f>IFERROR(__xludf.DUMMYFUNCTION("""COMPUTED_VALUE"""),"Eris Life Sciences Pvt Ltd")</f>
        <v>Eris Life Sciences Pvt Ltd</v>
      </c>
    </row>
    <row r="1090" ht="16.5" customHeight="1">
      <c r="H1090" s="1" t="str">
        <f>IFERROR(__xludf.DUMMYFUNCTION("""COMPUTED_VALUE"""),"ERIS LIFESCIENCES PVT LTD.")</f>
        <v>ERIS LIFESCIENCES PVT LTD.</v>
      </c>
    </row>
    <row r="1091" ht="16.5" customHeight="1">
      <c r="H1091" s="1" t="str">
        <f>IFERROR(__xludf.DUMMYFUNCTION("""COMPUTED_VALUE"""),"ERNST PHARMACIA")</f>
        <v>ERNST PHARMACIA</v>
      </c>
    </row>
    <row r="1092" ht="16.5" customHeight="1">
      <c r="H1092" s="1" t="str">
        <f>IFERROR(__xludf.DUMMYFUNCTION("""COMPUTED_VALUE"""),"EROSE PHARMACEUTICALS")</f>
        <v>EROSE PHARMACEUTICALS</v>
      </c>
    </row>
    <row r="1093" ht="16.5" customHeight="1">
      <c r="H1093" s="1" t="str">
        <f>IFERROR(__xludf.DUMMYFUNCTION("""COMPUTED_VALUE"""),"ERYX HEALTHCARE P LTD")</f>
        <v>ERYX HEALTHCARE P LTD</v>
      </c>
    </row>
    <row r="1094" ht="16.5" customHeight="1">
      <c r="H1094" s="1" t="str">
        <f>IFERROR(__xludf.DUMMYFUNCTION("""COMPUTED_VALUE"""),"ESKAG PHARMA")</f>
        <v>ESKAG PHARMA</v>
      </c>
    </row>
    <row r="1095" ht="16.5" customHeight="1">
      <c r="H1095" s="1" t="str">
        <f>IFERROR(__xludf.DUMMYFUNCTION("""COMPUTED_VALUE"""),"ESTRELLAS LIFESCIENCES")</f>
        <v>ESTRELLAS LIFESCIENCES</v>
      </c>
    </row>
    <row r="1096" ht="16.5" customHeight="1">
      <c r="H1096" s="1" t="str">
        <f>IFERROR(__xludf.DUMMYFUNCTION("""COMPUTED_VALUE"""),"Ethicare Pharma")</f>
        <v>Ethicare Pharma</v>
      </c>
    </row>
    <row r="1097" ht="16.5" customHeight="1">
      <c r="H1097" s="1" t="str">
        <f>IFERROR(__xludf.DUMMYFUNCTION("""COMPUTED_VALUE"""),"Ethicare Remedies")</f>
        <v>Ethicare Remedies</v>
      </c>
    </row>
    <row r="1098" ht="16.5" customHeight="1">
      <c r="H1098" s="1" t="str">
        <f>IFERROR(__xludf.DUMMYFUNCTION("""COMPUTED_VALUE"""),"Ethilexhealth Care Guj Ltd")</f>
        <v>Ethilexhealth Care Guj Ltd</v>
      </c>
    </row>
    <row r="1099" ht="16.5" customHeight="1">
      <c r="H1099" s="1" t="str">
        <f>IFERROR(__xludf.DUMMYFUNCTION("""COMPUTED_VALUE"""),"Ethinext Pharma")</f>
        <v>Ethinext Pharma</v>
      </c>
    </row>
    <row r="1100" ht="16.5" customHeight="1">
      <c r="H1100" s="1" t="str">
        <f>IFERROR(__xludf.DUMMYFUNCTION("""COMPUTED_VALUE"""),"EU GENIA BIOCARE INTERNATIONAL")</f>
        <v>EU GENIA BIOCARE INTERNATIONAL</v>
      </c>
    </row>
    <row r="1101" ht="16.5" customHeight="1">
      <c r="H1101" s="1" t="str">
        <f>IFERROR(__xludf.DUMMYFUNCTION("""COMPUTED_VALUE"""),"EUPHONY HEALTHCARE")</f>
        <v>EUPHONY HEALTHCARE</v>
      </c>
    </row>
    <row r="1102" ht="16.5" customHeight="1">
      <c r="H1102" s="1" t="str">
        <f>IFERROR(__xludf.DUMMYFUNCTION("""COMPUTED_VALUE"""),"EUPHORIA INDIA PHARMACEUTICALS")</f>
        <v>EUPHORIA INDIA PHARMACEUTICALS</v>
      </c>
    </row>
    <row r="1103" ht="16.5" customHeight="1">
      <c r="H1103" s="1" t="str">
        <f>IFERROR(__xludf.DUMMYFUNCTION("""COMPUTED_VALUE"""),"EURO BIOLOGICALS")</f>
        <v>EURO BIOLOGICALS</v>
      </c>
    </row>
    <row r="1104" ht="16.5" customHeight="1">
      <c r="H1104" s="1" t="str">
        <f>IFERROR(__xludf.DUMMYFUNCTION("""COMPUTED_VALUE"""),"EURO BIOTECH")</f>
        <v>EURO BIOTECH</v>
      </c>
    </row>
    <row r="1105" ht="16.5" customHeight="1">
      <c r="H1105" s="1" t="str">
        <f>IFERROR(__xludf.DUMMYFUNCTION("""COMPUTED_VALUE"""),"EURO HEALTH &amp; BIOSEARCH")</f>
        <v>EURO HEALTH &amp; BIOSEARCH</v>
      </c>
    </row>
    <row r="1106" ht="16.5" customHeight="1">
      <c r="H1106" s="1" t="str">
        <f>IFERROR(__xludf.DUMMYFUNCTION("""COMPUTED_VALUE"""),"EUROCARE")</f>
        <v>EUROCARE</v>
      </c>
    </row>
    <row r="1107" ht="16.5" customHeight="1">
      <c r="H1107" s="1" t="str">
        <f>IFERROR(__xludf.DUMMYFUNCTION("""COMPUTED_VALUE"""),"EUROPA HEALTH CARE")</f>
        <v>EUROPA HEALTH CARE</v>
      </c>
    </row>
    <row r="1108" ht="16.5" customHeight="1">
      <c r="H1108" s="1" t="str">
        <f>IFERROR(__xludf.DUMMYFUNCTION("""COMPUTED_VALUE"""),"EVANCE PHARMA")</f>
        <v>EVANCE PHARMA</v>
      </c>
    </row>
    <row r="1109" ht="16.5" customHeight="1">
      <c r="H1109" s="1" t="str">
        <f>IFERROR(__xludf.DUMMYFUNCTION("""COMPUTED_VALUE"""),"EVDOXIA LIFESCIENCES PVT LTD")</f>
        <v>EVDOXIA LIFESCIENCES PVT LTD</v>
      </c>
    </row>
    <row r="1110" ht="16.5" customHeight="1">
      <c r="H1110" s="1" t="str">
        <f>IFERROR(__xludf.DUMMYFUNCTION("""COMPUTED_VALUE"""),"EVEREN HEALTHCARE")</f>
        <v>EVEREN HEALTHCARE</v>
      </c>
    </row>
    <row r="1111" ht="16.5" customHeight="1">
      <c r="H1111" s="1" t="str">
        <f>IFERROR(__xludf.DUMMYFUNCTION("""COMPUTED_VALUE"""),"EVERVITAL LIFESCIENCES PVT LTD")</f>
        <v>EVERVITAL LIFESCIENCES PVT LTD</v>
      </c>
    </row>
    <row r="1112" ht="16.5" customHeight="1">
      <c r="H1112" s="1" t="str">
        <f>IFERROR(__xludf.DUMMYFUNCTION("""COMPUTED_VALUE"""),"EVERWELL PHARMA")</f>
        <v>EVERWELL PHARMA</v>
      </c>
    </row>
    <row r="1113" ht="16.5" customHeight="1">
      <c r="H1113" s="1" t="str">
        <f>IFERROR(__xludf.DUMMYFUNCTION("""COMPUTED_VALUE"""),"EVOK LIFESCIENCES PVT LTD")</f>
        <v>EVOK LIFESCIENCES PVT LTD</v>
      </c>
    </row>
    <row r="1114" ht="16.5" customHeight="1">
      <c r="H1114" s="1" t="str">
        <f>IFERROR(__xludf.DUMMYFUNCTION("""COMPUTED_VALUE"""),"EXAZAM MD")</f>
        <v>EXAZAM MD</v>
      </c>
    </row>
    <row r="1115" ht="16.5" customHeight="1">
      <c r="H1115" s="1" t="str">
        <f>IFERROR(__xludf.DUMMYFUNCTION("""COMPUTED_VALUE"""),"Eyekare Kilitch Limited")</f>
        <v>Eyekare Kilitch Limited</v>
      </c>
    </row>
    <row r="1116" ht="16.5" customHeight="1">
      <c r="H1116" s="1" t="str">
        <f>IFERROR(__xludf.DUMMYFUNCTION("""COMPUTED_VALUE"""),"EYEORA LIFESCIENCES")</f>
        <v>EYEORA LIFESCIENCES</v>
      </c>
    </row>
    <row r="1117" ht="16.5" customHeight="1">
      <c r="H1117" s="1" t="str">
        <f>IFERROR(__xludf.DUMMYFUNCTION("""COMPUTED_VALUE"""),"FAIR DERMA REMEDIES")</f>
        <v>FAIR DERMA REMEDIES</v>
      </c>
    </row>
    <row r="1118" ht="16.5" customHeight="1">
      <c r="H1118" s="1" t="str">
        <f>IFERROR(__xludf.DUMMYFUNCTION("""COMPUTED_VALUE"""),"FAIR FORD PHARMACEUTICAL")</f>
        <v>FAIR FORD PHARMACEUTICAL</v>
      </c>
    </row>
    <row r="1119" ht="16.5" customHeight="1">
      <c r="H1119" s="1" t="str">
        <f>IFERROR(__xludf.DUMMYFUNCTION("""COMPUTED_VALUE"""),"FAMY CARE LTD")</f>
        <v>FAMY CARE LTD</v>
      </c>
    </row>
    <row r="1120" ht="16.5" customHeight="1">
      <c r="H1120" s="1" t="str">
        <f>IFERROR(__xludf.DUMMYFUNCTION("""COMPUTED_VALUE"""),"FARLEX PHARMACEUTICAL")</f>
        <v>FARLEX PHARMACEUTICAL</v>
      </c>
    </row>
    <row r="1121" ht="16.5" customHeight="1">
      <c r="H1121" s="1" t="str">
        <f>IFERROR(__xludf.DUMMYFUNCTION("""COMPUTED_VALUE"""),"FARMEXO HEALTHCARE PVT LTD")</f>
        <v>FARMEXO HEALTHCARE PVT LTD</v>
      </c>
    </row>
    <row r="1122" ht="16.5" customHeight="1">
      <c r="H1122" s="1" t="str">
        <f>IFERROR(__xludf.DUMMYFUNCTION("""COMPUTED_VALUE"""),"FATEH PHARMACY")</f>
        <v>FATEH PHARMACY</v>
      </c>
    </row>
    <row r="1123" ht="16.5" customHeight="1">
      <c r="H1123" s="1" t="str">
        <f>IFERROR(__xludf.DUMMYFUNCTION("""COMPUTED_VALUE"""),"FATHER MULLER")</f>
        <v>FATHER MULLER</v>
      </c>
    </row>
    <row r="1124" ht="16.5" customHeight="1">
      <c r="H1124" s="1" t="str">
        <f>IFERROR(__xludf.DUMMYFUNCTION("""COMPUTED_VALUE"""),"FAWN PHARMA")</f>
        <v>FAWN PHARMA</v>
      </c>
    </row>
    <row r="1125" ht="16.5" customHeight="1">
      <c r="H1125" s="1" t="str">
        <f>IFERROR(__xludf.DUMMYFUNCTION("""COMPUTED_VALUE"""),"FDC Ltd")</f>
        <v>FDC Ltd</v>
      </c>
    </row>
    <row r="1126" ht="16.5" customHeight="1">
      <c r="H1126" s="1" t="str">
        <f>IFERROR(__xludf.DUMMYFUNCTION("""COMPUTED_VALUE"""),"FDC Ltd (DILSE)")</f>
        <v>FDC Ltd (DILSE)</v>
      </c>
    </row>
    <row r="1127" ht="16.5" customHeight="1">
      <c r="H1127" s="1" t="str">
        <f>IFERROR(__xludf.DUMMYFUNCTION("""COMPUTED_VALUE"""),"FDC Ltd (ELECTRAL)")</f>
        <v>FDC Ltd (ELECTRAL)</v>
      </c>
    </row>
    <row r="1128" ht="16.5" customHeight="1">
      <c r="H1128" s="1" t="str">
        <f>IFERROR(__xludf.DUMMYFUNCTION("""COMPUTED_VALUE"""),"FDC Ltd (LUMINA)")</f>
        <v>FDC Ltd (LUMINA)</v>
      </c>
    </row>
    <row r="1129" ht="16.5" customHeight="1">
      <c r="H1129" s="1" t="str">
        <f>IFERROR(__xludf.DUMMYFUNCTION("""COMPUTED_VALUE"""),"FDC Ltd (PIXEL)")</f>
        <v>FDC Ltd (PIXEL)</v>
      </c>
    </row>
    <row r="1130" ht="16.5" customHeight="1">
      <c r="H1130" s="1" t="str">
        <f>IFERROR(__xludf.DUMMYFUNCTION("""COMPUTED_VALUE"""),"FDC Ltd (PROXIMA)")</f>
        <v>FDC Ltd (PROXIMA)</v>
      </c>
    </row>
    <row r="1131" ht="16.5" customHeight="1">
      <c r="H1131" s="1" t="str">
        <f>IFERROR(__xludf.DUMMYFUNCTION("""COMPUTED_VALUE"""),"FDC Ltd (SELECT)")</f>
        <v>FDC Ltd (SELECT)</v>
      </c>
    </row>
    <row r="1132" ht="16.5" customHeight="1">
      <c r="H1132" s="1" t="str">
        <f>IFERROR(__xludf.DUMMYFUNCTION("""COMPUTED_VALUE"""),"FDC Ltd (SPECTRA)")</f>
        <v>FDC Ltd (SPECTRA)</v>
      </c>
    </row>
    <row r="1133" ht="16.5" customHeight="1">
      <c r="H1133" s="1" t="str">
        <f>IFERROR(__xludf.DUMMYFUNCTION("""COMPUTED_VALUE"""),"FDC Ltd (VISTA)")</f>
        <v>FDC Ltd (VISTA)</v>
      </c>
    </row>
    <row r="1134" ht="16.5" customHeight="1">
      <c r="H1134" s="1" t="str">
        <f>IFERROR(__xludf.DUMMYFUNCTION("""COMPUTED_VALUE"""),"FDC LtdTED")</f>
        <v>FDC LtdTED</v>
      </c>
    </row>
    <row r="1135" ht="16.5" customHeight="1">
      <c r="H1135" s="1" t="str">
        <f>IFERROR(__xludf.DUMMYFUNCTION("""COMPUTED_VALUE"""),"FEDERAL BIOSCIENCES")</f>
        <v>FEDERAL BIOSCIENCES</v>
      </c>
    </row>
    <row r="1136" ht="16.5" customHeight="1">
      <c r="H1136" s="1" t="str">
        <f>IFERROR(__xludf.DUMMYFUNCTION("""COMPUTED_VALUE"""),"FEDERAL'S BIOS")</f>
        <v>FEDERAL'S BIOS</v>
      </c>
    </row>
    <row r="1137" ht="16.5" customHeight="1">
      <c r="H1137" s="1" t="str">
        <f>IFERROR(__xludf.DUMMYFUNCTION("""COMPUTED_VALUE"""),"Fem Care Pharma Ltd.")</f>
        <v>Fem Care Pharma Ltd.</v>
      </c>
    </row>
    <row r="1138" ht="16.5" customHeight="1">
      <c r="H1138" s="1" t="str">
        <f>IFERROR(__xludf.DUMMYFUNCTION("""COMPUTED_VALUE"""),"FEMINOR HEALTHCARE PVT LTD")</f>
        <v>FEMINOR HEALTHCARE PVT LTD</v>
      </c>
    </row>
    <row r="1139" ht="16.5" customHeight="1">
      <c r="H1139" s="1" t="str">
        <f>IFERROR(__xludf.DUMMYFUNCTION("""COMPUTED_VALUE"""),"Ferring Pharmaceuticals")</f>
        <v>Ferring Pharmaceuticals</v>
      </c>
    </row>
    <row r="1140" ht="16.5" customHeight="1">
      <c r="H1140" s="1" t="str">
        <f>IFERROR(__xludf.DUMMYFUNCTION("""COMPUTED_VALUE"""),"Ferring Pharmaceuticals (IVF)")</f>
        <v>Ferring Pharmaceuticals (IVF)</v>
      </c>
    </row>
    <row r="1141" ht="16.5" customHeight="1">
      <c r="H1141" s="1" t="str">
        <f>IFERROR(__xludf.DUMMYFUNCTION("""COMPUTED_VALUE"""),"FERTILESURE PHARMA")</f>
        <v>FERTILESURE PHARMA</v>
      </c>
    </row>
    <row r="1142" ht="16.5" customHeight="1">
      <c r="H1142" s="1" t="str">
        <f>IFERROR(__xludf.DUMMYFUNCTION("""COMPUTED_VALUE"""),"Fiale Pharmaceuticals")</f>
        <v>Fiale Pharmaceuticals</v>
      </c>
    </row>
    <row r="1143" ht="16.5" customHeight="1">
      <c r="H1143" s="1" t="str">
        <f>IFERROR(__xludf.DUMMYFUNCTION("""COMPUTED_VALUE"""),"Fidalgo Laboratories Pvt Ltd")</f>
        <v>Fidalgo Laboratories Pvt Ltd</v>
      </c>
    </row>
    <row r="1144" ht="16.5" customHeight="1">
      <c r="H1144" s="1" t="str">
        <f>IFERROR(__xludf.DUMMYFUNCTION("""COMPUTED_VALUE"""),"FIDELITY LIFESCIENCES")</f>
        <v>FIDELITY LIFESCIENCES</v>
      </c>
    </row>
    <row r="1145" ht="16.5" customHeight="1">
      <c r="H1145" s="1" t="str">
        <f>IFERROR(__xludf.DUMMYFUNCTION("""COMPUTED_VALUE"""),"FIDULIS BIO INC")</f>
        <v>FIDULIS BIO INC</v>
      </c>
    </row>
    <row r="1146" ht="16.5" customHeight="1">
      <c r="H1146" s="1" t="str">
        <f>IFERROR(__xludf.DUMMYFUNCTION("""COMPUTED_VALUE"""),"Figaro")</f>
        <v>Figaro</v>
      </c>
    </row>
    <row r="1147" ht="16.5" customHeight="1">
      <c r="H1147" s="1" t="str">
        <f>IFERROR(__xludf.DUMMYFUNCTION("""COMPUTED_VALUE"""),"FINECURE PHARMACEUTICAL INDORE")</f>
        <v>FINECURE PHARMACEUTICAL INDORE</v>
      </c>
    </row>
    <row r="1148" ht="16.5" customHeight="1">
      <c r="H1148" s="1" t="str">
        <f>IFERROR(__xludf.DUMMYFUNCTION("""COMPUTED_VALUE"""),"FITWEL PHARMACEUTICALS")</f>
        <v>FITWEL PHARMACEUTICALS</v>
      </c>
    </row>
    <row r="1149" ht="16.5" customHeight="1">
      <c r="H1149" s="1" t="str">
        <f>IFERROR(__xludf.DUMMYFUNCTION("""COMPUTED_VALUE"""),"FIXDERMA INDIA")</f>
        <v>FIXDERMA INDIA</v>
      </c>
    </row>
    <row r="1150" ht="16.5" customHeight="1">
      <c r="H1150" s="1" t="str">
        <f>IFERROR(__xludf.DUMMYFUNCTION("""COMPUTED_VALUE"""),"FIZARK HEALTHCARE")</f>
        <v>FIZARK HEALTHCARE</v>
      </c>
    </row>
    <row r="1151" ht="16.5" customHeight="1">
      <c r="H1151" s="1" t="str">
        <f>IFERROR(__xludf.DUMMYFUNCTION("""COMPUTED_VALUE"""),"FIZEN BIOSCIENCES")</f>
        <v>FIZEN BIOSCIENCES</v>
      </c>
    </row>
    <row r="1152" ht="16.5" customHeight="1">
      <c r="H1152" s="1" t="str">
        <f>IFERROR(__xludf.DUMMYFUNCTION("""COMPUTED_VALUE"""),"FLAMINGO HEALTHCARE")</f>
        <v>FLAMINGO HEALTHCARE</v>
      </c>
    </row>
    <row r="1153" ht="16.5" customHeight="1">
      <c r="H1153" s="1" t="str">
        <f>IFERROR(__xludf.DUMMYFUNCTION("""COMPUTED_VALUE"""),"FLAMINGO PHARMACUTICALS LTD")</f>
        <v>FLAMINGO PHARMACUTICALS LTD</v>
      </c>
    </row>
    <row r="1154" ht="16.5" customHeight="1">
      <c r="H1154" s="1" t="str">
        <f>IFERROR(__xludf.DUMMYFUNCTION("""COMPUTED_VALUE"""),"FLANCA LIFE SCIENCES")</f>
        <v>FLANCA LIFE SCIENCES</v>
      </c>
    </row>
    <row r="1155" ht="16.5" customHeight="1">
      <c r="H1155" s="1" t="str">
        <f>IFERROR(__xludf.DUMMYFUNCTION("""COMPUTED_VALUE"""),"FOCUS HEALTHCARE PVT LTD")</f>
        <v>FOCUS HEALTHCARE PVT LTD</v>
      </c>
    </row>
    <row r="1156" ht="16.5" customHeight="1">
      <c r="H1156" s="1" t="str">
        <f>IFERROR(__xludf.DUMMYFUNCTION("""COMPUTED_VALUE"""),"FONCER PHARMA P LTD")</f>
        <v>FONCER PHARMA P LTD</v>
      </c>
    </row>
    <row r="1157" ht="16.5" customHeight="1">
      <c r="H1157" s="1" t="str">
        <f>IFERROR(__xludf.DUMMYFUNCTION("""COMPUTED_VALUE"""),"FONCER PHARMA PVT LTD")</f>
        <v>FONCER PHARMA PVT LTD</v>
      </c>
    </row>
    <row r="1158" ht="16.5" customHeight="1">
      <c r="H1158" s="1" t="str">
        <f>IFERROR(__xludf.DUMMYFUNCTION("""COMPUTED_VALUE"""),"FOREVER LIVING PRODUCTS INTERNATIONAL")</f>
        <v>FOREVER LIVING PRODUCTS INTERNATIONAL</v>
      </c>
    </row>
    <row r="1159" ht="16.5" customHeight="1">
      <c r="H1159" s="1" t="str">
        <f>IFERROR(__xludf.DUMMYFUNCTION("""COMPUTED_VALUE"""),"FORMAN MEDICS PVT LTD")</f>
        <v>FORMAN MEDICS PVT LTD</v>
      </c>
    </row>
    <row r="1160" ht="16.5" customHeight="1">
      <c r="H1160" s="1" t="str">
        <f>IFERROR(__xludf.DUMMYFUNCTION("""COMPUTED_VALUE"""),"FOSSIL REMEDIES")</f>
        <v>FOSSIL REMEDIES</v>
      </c>
    </row>
    <row r="1161" ht="16.5" customHeight="1">
      <c r="H1161" s="1" t="str">
        <f>IFERROR(__xludf.DUMMYFUNCTION("""COMPUTED_VALUE"""),"Fountil Life Sciences Pvt Ltd")</f>
        <v>Fountil Life Sciences Pvt Ltd</v>
      </c>
    </row>
    <row r="1162" ht="16.5" customHeight="1">
      <c r="H1162" s="1" t="str">
        <f>IFERROR(__xludf.DUMMYFUNCTION("""COMPUTED_VALUE"""),"FOURRTS INDIA LABORATORIES (NEPHRO)")</f>
        <v>FOURRTS INDIA LABORATORIES (NEPHRO)</v>
      </c>
    </row>
    <row r="1163" ht="16.5" customHeight="1">
      <c r="H1163" s="1" t="str">
        <f>IFERROR(__xludf.DUMMYFUNCTION("""COMPUTED_VALUE"""),"Fourrts India Laboratories Pvt Ltd")</f>
        <v>Fourrts India Laboratories Pvt Ltd</v>
      </c>
    </row>
    <row r="1164" ht="16.5" customHeight="1">
      <c r="H1164" s="1" t="str">
        <f>IFERROR(__xludf.DUMMYFUNCTION("""COMPUTED_VALUE"""),"Fourrts India Laboratories Pvt Ltd (DIABETO)")</f>
        <v>Fourrts India Laboratories Pvt Ltd (DIABETO)</v>
      </c>
    </row>
    <row r="1165" ht="16.5" customHeight="1">
      <c r="H1165" s="1" t="str">
        <f>IFERROR(__xludf.DUMMYFUNCTION("""COMPUTED_VALUE"""),"FRAGRANCE")</f>
        <v>FRAGRANCE</v>
      </c>
    </row>
    <row r="1166" ht="16.5" customHeight="1">
      <c r="H1166" s="1" t="str">
        <f>IFERROR(__xludf.DUMMYFUNCTION("""COMPUTED_VALUE"""),"FRANCESCA PHARMA")</f>
        <v>FRANCESCA PHARMA</v>
      </c>
    </row>
    <row r="1167" ht="16.5" customHeight="1">
      <c r="H1167" s="1" t="str">
        <f>IFERROR(__xludf.DUMMYFUNCTION("""COMPUTED_VALUE"""),"Franco-Indian Pharmaceuticals")</f>
        <v>Franco-Indian Pharmaceuticals</v>
      </c>
    </row>
    <row r="1168" ht="16.5" customHeight="1">
      <c r="H1168" s="1" t="str">
        <f>IFERROR(__xludf.DUMMYFUNCTION("""COMPUTED_VALUE"""),"Franco-Indian Pharmaceuticals (DIABETIC)")</f>
        <v>Franco-Indian Pharmaceuticals (DIABETIC)</v>
      </c>
    </row>
    <row r="1169" ht="16.5" customHeight="1">
      <c r="H1169" s="1" t="str">
        <f>IFERROR(__xludf.DUMMYFUNCTION("""COMPUTED_VALUE"""),"Franco-Indian Pharmaceuticals (MAIN)")</f>
        <v>Franco-Indian Pharmaceuticals (MAIN)</v>
      </c>
    </row>
    <row r="1170" ht="16.5" customHeight="1">
      <c r="H1170" s="1" t="str">
        <f>IFERROR(__xludf.DUMMYFUNCTION("""COMPUTED_VALUE"""),"Franco-Indian Pharmaceuticals (ZINDA)")</f>
        <v>Franco-Indian Pharmaceuticals (ZINDA)</v>
      </c>
    </row>
    <row r="1171" ht="16.5" customHeight="1">
      <c r="H1171" s="1" t="str">
        <f>IFERROR(__xludf.DUMMYFUNCTION("""COMPUTED_VALUE"""),"Franklin Laboratories India Pvt Ltd")</f>
        <v>Franklin Laboratories India Pvt Ltd</v>
      </c>
    </row>
    <row r="1172" ht="16.5" customHeight="1">
      <c r="H1172" s="1" t="str">
        <f>IFERROR(__xludf.DUMMYFUNCTION("""COMPUTED_VALUE"""),"FREIA")</f>
        <v>FREIA</v>
      </c>
    </row>
    <row r="1173" ht="16.5" customHeight="1">
      <c r="H1173" s="1" t="str">
        <f>IFERROR(__xludf.DUMMYFUNCTION("""COMPUTED_VALUE"""),"Fresenius Kabi India Pvt Ltd")</f>
        <v>Fresenius Kabi India Pvt Ltd</v>
      </c>
    </row>
    <row r="1174" ht="16.5" customHeight="1">
      <c r="H1174" s="1" t="str">
        <f>IFERROR(__xludf.DUMMYFUNCTION("""COMPUTED_VALUE"""),"FRESENIUS KABI INDIA PVT LTD (CRITICAL CARE)")</f>
        <v>FRESENIUS KABI INDIA PVT LTD (CRITICAL CARE)</v>
      </c>
    </row>
    <row r="1175" ht="16.5" customHeight="1">
      <c r="H1175" s="1" t="str">
        <f>IFERROR(__xludf.DUMMYFUNCTION("""COMPUTED_VALUE"""),"FRESENIUS KABI INDIA PVT LTD (NEPHRO)")</f>
        <v>FRESENIUS KABI INDIA PVT LTD (NEPHRO)</v>
      </c>
    </row>
    <row r="1176" ht="16.5" customHeight="1">
      <c r="H1176" s="1" t="str">
        <f>IFERROR(__xludf.DUMMYFUNCTION("""COMPUTED_VALUE"""),"FRIMLINE P LTD")</f>
        <v>FRIMLINE P LTD</v>
      </c>
    </row>
    <row r="1177" ht="16.5" customHeight="1">
      <c r="H1177" s="1" t="str">
        <f>IFERROR(__xludf.DUMMYFUNCTION("""COMPUTED_VALUE"""),"Fulford India Ltd")</f>
        <v>Fulford India Ltd</v>
      </c>
    </row>
    <row r="1178" ht="16.5" customHeight="1">
      <c r="H1178" s="1" t="str">
        <f>IFERROR(__xludf.DUMMYFUNCTION("""COMPUTED_VALUE"""),"FUSION HEALTHCARE PVT LTD")</f>
        <v>FUSION HEALTHCARE PVT LTD</v>
      </c>
    </row>
    <row r="1179" ht="16.5" customHeight="1">
      <c r="H1179" s="1" t="str">
        <f>IFERROR(__xludf.DUMMYFUNCTION("""COMPUTED_VALUE"""),"FUTURELIFE PHARMACEUTICALS PVT LTD")</f>
        <v>FUTURELIFE PHARMACEUTICALS PVT LTD</v>
      </c>
    </row>
    <row r="1180" ht="16.5" customHeight="1">
      <c r="H1180" s="1" t="str">
        <f>IFERROR(__xludf.DUMMYFUNCTION("""COMPUTED_VALUE"""),"G.S.K")</f>
        <v>G.S.K</v>
      </c>
    </row>
    <row r="1181" ht="16.5" customHeight="1">
      <c r="H1181" s="1" t="str">
        <f>IFERROR(__xludf.DUMMYFUNCTION("""COMPUTED_VALUE"""),"G&amp;G PHARMACY")</f>
        <v>G&amp;G PHARMACY</v>
      </c>
    </row>
    <row r="1182" ht="16.5" customHeight="1">
      <c r="H1182" s="1" t="str">
        <f>IFERROR(__xludf.DUMMYFUNCTION("""COMPUTED_VALUE"""),"GADIN BIOTECH")</f>
        <v>GADIN BIOTECH</v>
      </c>
    </row>
    <row r="1183" ht="16.5" customHeight="1">
      <c r="H1183" s="1" t="str">
        <f>IFERROR(__xludf.DUMMYFUNCTION("""COMPUTED_VALUE"""),"GAHARWAR PHARMA")</f>
        <v>GAHARWAR PHARMA</v>
      </c>
    </row>
    <row r="1184" ht="16.5" customHeight="1">
      <c r="H1184" s="1" t="str">
        <f>IFERROR(__xludf.DUMMYFUNCTION("""COMPUTED_VALUE"""),"GALACUS HEALTHCARE")</f>
        <v>GALACUS HEALTHCARE</v>
      </c>
    </row>
    <row r="1185" ht="16.5" customHeight="1">
      <c r="H1185" s="1" t="str">
        <f>IFERROR(__xludf.DUMMYFUNCTION("""COMPUTED_VALUE"""),"Galcare Pharmaceutical Pvt Ltd")</f>
        <v>Galcare Pharmaceutical Pvt Ltd</v>
      </c>
    </row>
    <row r="1186" ht="16.5" customHeight="1">
      <c r="H1186" s="1" t="str">
        <f>IFERROR(__xludf.DUMMYFUNCTION("""COMPUTED_VALUE"""),"Galderma India Pvt Ltd")</f>
        <v>Galderma India Pvt Ltd</v>
      </c>
    </row>
    <row r="1187" ht="16.5" customHeight="1">
      <c r="H1187" s="1" t="str">
        <f>IFERROR(__xludf.DUMMYFUNCTION("""COMPUTED_VALUE"""),"Galpha Laboratories Ltd")</f>
        <v>Galpha Laboratories Ltd</v>
      </c>
    </row>
    <row r="1188" ht="16.5" customHeight="1">
      <c r="H1188" s="1" t="str">
        <f>IFERROR(__xludf.DUMMYFUNCTION("""COMPUTED_VALUE"""),"GALTON MEDICA")</f>
        <v>GALTON MEDICA</v>
      </c>
    </row>
    <row r="1189" ht="16.5" customHeight="1">
      <c r="H1189" s="1" t="str">
        <f>IFERROR(__xludf.DUMMYFUNCTION("""COMPUTED_VALUE"""),"GAMANOL 400")</f>
        <v>GAMANOL 400</v>
      </c>
    </row>
    <row r="1190" ht="16.5" customHeight="1">
      <c r="H1190" s="1" t="str">
        <f>IFERROR(__xludf.DUMMYFUNCTION("""COMPUTED_VALUE"""),"GAMBIA BIOTECH")</f>
        <v>GAMBIA BIOTECH</v>
      </c>
    </row>
    <row r="1191" ht="16.5" customHeight="1">
      <c r="H1191" s="1" t="str">
        <f>IFERROR(__xludf.DUMMYFUNCTION("""COMPUTED_VALUE"""),"GANDHI HERBAL PVT LTD")</f>
        <v>GANDHI HERBAL PVT LTD</v>
      </c>
    </row>
    <row r="1192" ht="16.5" customHeight="1">
      <c r="H1192" s="1" t="str">
        <f>IFERROR(__xludf.DUMMYFUNCTION("""COMPUTED_VALUE"""),"GARIMA HEALTHCARE")</f>
        <v>GARIMA HEALTHCARE</v>
      </c>
    </row>
    <row r="1193" ht="16.5" customHeight="1">
      <c r="H1193" s="1" t="str">
        <f>IFERROR(__xludf.DUMMYFUNCTION("""COMPUTED_VALUE"""),"Gary Pharmaceuticals Pvt Ltd")</f>
        <v>Gary Pharmaceuticals Pvt Ltd</v>
      </c>
    </row>
    <row r="1194" ht="16.5" customHeight="1">
      <c r="H1194" s="1" t="str">
        <f>IFERROR(__xludf.DUMMYFUNCTION("""COMPUTED_VALUE"""),"GATLE HEALTHCARE")</f>
        <v>GATLE HEALTHCARE</v>
      </c>
    </row>
    <row r="1195" ht="16.5" customHeight="1">
      <c r="H1195" s="1" t="str">
        <f>IFERROR(__xludf.DUMMYFUNCTION("""COMPUTED_VALUE"""),"GAURANG REMEDIES INDIA PVT LTD")</f>
        <v>GAURANG REMEDIES INDIA PVT LTD</v>
      </c>
    </row>
    <row r="1196" ht="16.5" customHeight="1">
      <c r="H1196" s="1" t="str">
        <f>IFERROR(__xludf.DUMMYFUNCTION("""COMPUTED_VALUE"""),"GAVIT")</f>
        <v>GAVIT</v>
      </c>
    </row>
    <row r="1197" ht="16.5" customHeight="1">
      <c r="H1197" s="1" t="str">
        <f>IFERROR(__xludf.DUMMYFUNCTION("""COMPUTED_VALUE"""),"GD PHRMACEUTICALS LTD")</f>
        <v>GD PHRMACEUTICALS LTD</v>
      </c>
    </row>
    <row r="1198" ht="16.5" customHeight="1">
      <c r="H1198" s="1" t="str">
        <f>IFERROR(__xludf.DUMMYFUNCTION("""COMPUTED_VALUE"""),"GE WIPRO")</f>
        <v>GE WIPRO</v>
      </c>
    </row>
    <row r="1199" ht="16.5" customHeight="1">
      <c r="H1199" s="1" t="str">
        <f>IFERROR(__xludf.DUMMYFUNCTION("""COMPUTED_VALUE"""),"GELNOVA LABORATORIES (INDIA) PVT LTD")</f>
        <v>GELNOVA LABORATORIES (INDIA) PVT LTD</v>
      </c>
    </row>
    <row r="1200" ht="16.5" customHeight="1">
      <c r="H1200" s="1" t="str">
        <f>IFERROR(__xludf.DUMMYFUNCTION("""COMPUTED_VALUE"""),"GELUK PHARMA P LTD")</f>
        <v>GELUK PHARMA P LTD</v>
      </c>
    </row>
    <row r="1201" ht="16.5" customHeight="1">
      <c r="H1201" s="1" t="str">
        <f>IFERROR(__xludf.DUMMYFUNCTION("""COMPUTED_VALUE"""),"GENESIS BIOTEC INC")</f>
        <v>GENESIS BIOTEC INC</v>
      </c>
    </row>
    <row r="1202" ht="16.5" customHeight="1">
      <c r="H1202" s="1" t="str">
        <f>IFERROR(__xludf.DUMMYFUNCTION("""COMPUTED_VALUE"""),"GENETIC PHARMA")</f>
        <v>GENETIC PHARMA</v>
      </c>
    </row>
    <row r="1203" ht="16.5" customHeight="1">
      <c r="H1203" s="1" t="str">
        <f>IFERROR(__xludf.DUMMYFUNCTION("""COMPUTED_VALUE"""),"GENEX PHARMA LIMITED")</f>
        <v>GENEX PHARMA LIMITED</v>
      </c>
    </row>
    <row r="1204" ht="16.5" customHeight="1">
      <c r="H1204" s="1" t="str">
        <f>IFERROR(__xludf.DUMMYFUNCTION("""COMPUTED_VALUE"""),"GENIAL HEALTHCARE")</f>
        <v>GENIAL HEALTHCARE</v>
      </c>
    </row>
    <row r="1205" ht="16.5" customHeight="1">
      <c r="H1205" s="1" t="str">
        <f>IFERROR(__xludf.DUMMYFUNCTION("""COMPUTED_VALUE"""),"GENIX PHARMA LTD")</f>
        <v>GENIX PHARMA LTD</v>
      </c>
    </row>
    <row r="1206" ht="16.5" customHeight="1">
      <c r="H1206" s="1" t="str">
        <f>IFERROR(__xludf.DUMMYFUNCTION("""COMPUTED_VALUE"""),"GENMAC")</f>
        <v>GENMAC</v>
      </c>
    </row>
    <row r="1207" ht="16.5" customHeight="1">
      <c r="H1207" s="1" t="str">
        <f>IFERROR(__xludf.DUMMYFUNCTION("""COMPUTED_VALUE"""),"Geno Pharmaceuticals Ltd")</f>
        <v>Geno Pharmaceuticals Ltd</v>
      </c>
    </row>
    <row r="1208" ht="16.5" customHeight="1">
      <c r="H1208" s="1" t="str">
        <f>IFERROR(__xludf.DUMMYFUNCTION("""COMPUTED_VALUE"""),"GENOTEK PHARMACEUTICALS")</f>
        <v>GENOTEK PHARMACEUTICALS</v>
      </c>
    </row>
    <row r="1209" ht="16.5" customHeight="1">
      <c r="H1209" s="1" t="str">
        <f>IFERROR(__xludf.DUMMYFUNCTION("""COMPUTED_VALUE"""),"GENZYME BIOSURGARY")</f>
        <v>GENZYME BIOSURGARY</v>
      </c>
    </row>
    <row r="1210" ht="16.5" customHeight="1">
      <c r="H1210" s="1" t="str">
        <f>IFERROR(__xludf.DUMMYFUNCTION("""COMPUTED_VALUE"""),"GEO LIFESCIENCES")</f>
        <v>GEO LIFESCIENCES</v>
      </c>
    </row>
    <row r="1211" ht="16.5" customHeight="1">
      <c r="H1211" s="1" t="str">
        <f>IFERROR(__xludf.DUMMYFUNCTION("""COMPUTED_VALUE"""),"Geo Pharma Pvt Ltd")</f>
        <v>Geo Pharma Pvt Ltd</v>
      </c>
    </row>
    <row r="1212" ht="16.5" customHeight="1">
      <c r="H1212" s="1" t="str">
        <f>IFERROR(__xludf.DUMMYFUNCTION("""COMPUTED_VALUE"""),"GEOFFROI LABS P LTD")</f>
        <v>GEOFFROI LABS P LTD</v>
      </c>
    </row>
    <row r="1213" ht="16.5" customHeight="1">
      <c r="H1213" s="1" t="str">
        <f>IFERROR(__xludf.DUMMYFUNCTION("""COMPUTED_VALUE"""),"GEOLIFE SCIENCES")</f>
        <v>GEOLIFE SCIENCES</v>
      </c>
    </row>
    <row r="1214" ht="16.5" customHeight="1">
      <c r="H1214" s="1" t="str">
        <f>IFERROR(__xludf.DUMMYFUNCTION("""COMPUTED_VALUE"""),"GERMAN HEALTHCARE PVT LTD")</f>
        <v>GERMAN HEALTHCARE PVT LTD</v>
      </c>
    </row>
    <row r="1215" ht="16.5" customHeight="1">
      <c r="H1215" s="1" t="str">
        <f>IFERROR(__xludf.DUMMYFUNCTION("""COMPUTED_VALUE"""),"German Remedies")</f>
        <v>German Remedies</v>
      </c>
    </row>
    <row r="1216" ht="16.5" customHeight="1">
      <c r="H1216" s="1" t="str">
        <f>IFERROR(__xludf.DUMMYFUNCTION("""COMPUTED_VALUE"""),"GERMAN REMEDIES (AEROFORCE)")</f>
        <v>GERMAN REMEDIES (AEROFORCE)</v>
      </c>
    </row>
    <row r="1217" ht="16.5" customHeight="1">
      <c r="H1217" s="1" t="str">
        <f>IFERROR(__xludf.DUMMYFUNCTION("""COMPUTED_VALUE"""),"GERMAN REMEDIES (GYNEXT)")</f>
        <v>GERMAN REMEDIES (GYNEXT)</v>
      </c>
    </row>
    <row r="1218" ht="16.5" customHeight="1">
      <c r="H1218" s="1" t="str">
        <f>IFERROR(__xludf.DUMMYFUNCTION("""COMPUTED_VALUE"""),"GERMAN REMEDIES (GYNOVA)")</f>
        <v>GERMAN REMEDIES (GYNOVA)</v>
      </c>
    </row>
    <row r="1219" ht="16.5" customHeight="1">
      <c r="H1219" s="1" t="str">
        <f>IFERROR(__xludf.DUMMYFUNCTION("""COMPUTED_VALUE"""),"GERMAN REMEDIES (MAIN)")</f>
        <v>GERMAN REMEDIES (MAIN)</v>
      </c>
    </row>
    <row r="1220" ht="16.5" customHeight="1">
      <c r="H1220" s="1" t="str">
        <f>IFERROR(__xludf.DUMMYFUNCTION("""COMPUTED_VALUE"""),"GERMAN REMEDIES (RESPICARE)")</f>
        <v>GERMAN REMEDIES (RESPICARE)</v>
      </c>
    </row>
    <row r="1221" ht="16.5" customHeight="1">
      <c r="H1221" s="1" t="str">
        <f>IFERROR(__xludf.DUMMYFUNCTION("""COMPUTED_VALUE"""),"GERMAN REMEDIES (ZESPIRA)")</f>
        <v>GERMAN REMEDIES (ZESPIRA)</v>
      </c>
    </row>
    <row r="1222" ht="16.5" customHeight="1">
      <c r="H1222" s="1" t="str">
        <f>IFERROR(__xludf.DUMMYFUNCTION("""COMPUTED_VALUE"""),"Gerrysun Pharmaceuticals Pvt Ltd")</f>
        <v>Gerrysun Pharmaceuticals Pvt Ltd</v>
      </c>
    </row>
    <row r="1223" ht="16.5" customHeight="1">
      <c r="H1223" s="1" t="str">
        <f>IFERROR(__xludf.DUMMYFUNCTION("""COMPUTED_VALUE"""),"GETRON PHARMACEUTICAL")</f>
        <v>GETRON PHARMACEUTICAL</v>
      </c>
    </row>
    <row r="1224" ht="16.5" customHeight="1">
      <c r="H1224" s="1" t="str">
        <f>IFERROR(__xludf.DUMMYFUNCTION("""COMPUTED_VALUE"""),"GHANDHI JAIN KARYALAYA")</f>
        <v>GHANDHI JAIN KARYALAYA</v>
      </c>
    </row>
    <row r="1225" ht="16.5" customHeight="1">
      <c r="H1225" s="1" t="str">
        <f>IFERROR(__xludf.DUMMYFUNCTION("""COMPUTED_VALUE"""),"GHL")</f>
        <v>GHL</v>
      </c>
    </row>
    <row r="1226" ht="16.5" customHeight="1">
      <c r="H1226" s="1" t="str">
        <f>IFERROR(__xludf.DUMMYFUNCTION("""COMPUTED_VALUE"""),"GIOCON PHARMA LTD.")</f>
        <v>GIOCON PHARMA LTD.</v>
      </c>
    </row>
    <row r="1227" ht="16.5" customHeight="1">
      <c r="H1227" s="1" t="str">
        <f>IFERROR(__xludf.DUMMYFUNCTION("""COMPUTED_VALUE"""),"GK BURMAN HERBALS")</f>
        <v>GK BURMAN HERBALS</v>
      </c>
    </row>
    <row r="1228" ht="16.5" customHeight="1">
      <c r="H1228" s="1" t="str">
        <f>IFERROR(__xludf.DUMMYFUNCTION("""COMPUTED_VALUE"""),"GK ENTERPRISES")</f>
        <v>GK ENTERPRISES</v>
      </c>
    </row>
    <row r="1229" ht="16.5" customHeight="1">
      <c r="H1229" s="1" t="str">
        <f>IFERROR(__xludf.DUMMYFUNCTION("""COMPUTED_VALUE"""),"GLADDEN HEALTHCARE PVT LTD")</f>
        <v>GLADDEN HEALTHCARE PVT LTD</v>
      </c>
    </row>
    <row r="1230" ht="16.5" customHeight="1">
      <c r="H1230" s="1" t="str">
        <f>IFERROR(__xludf.DUMMYFUNCTION("""COMPUTED_VALUE"""),"GLAMDERMA INDIA PHARMACEUTICAL PRIVATE LIMITED")</f>
        <v>GLAMDERMA INDIA PHARMACEUTICAL PRIVATE LIMITED</v>
      </c>
    </row>
    <row r="1231" ht="16.5" customHeight="1">
      <c r="H1231" s="1" t="str">
        <f>IFERROR(__xludf.DUMMYFUNCTION("""COMPUTED_VALUE"""),"GLANZ HEALTHCARE")</f>
        <v>GLANZ HEALTHCARE</v>
      </c>
    </row>
    <row r="1232" ht="16.5" customHeight="1">
      <c r="H1232" s="1" t="str">
        <f>IFERROR(__xludf.DUMMYFUNCTION("""COMPUTED_VALUE"""),"GLASIER WELLNESS INC")</f>
        <v>GLASIER WELLNESS INC</v>
      </c>
    </row>
    <row r="1233" ht="16.5" customHeight="1">
      <c r="H1233" s="1" t="str">
        <f>IFERROR(__xludf.DUMMYFUNCTION("""COMPUTED_VALUE"""),"GLAXO (1)")</f>
        <v>GLAXO (1)</v>
      </c>
    </row>
    <row r="1234" ht="16.5" customHeight="1">
      <c r="H1234" s="1" t="str">
        <f>IFERROR(__xludf.DUMMYFUNCTION("""COMPUTED_VALUE"""),"GLAXO (2)")</f>
        <v>GLAXO (2)</v>
      </c>
    </row>
    <row r="1235" ht="16.5" customHeight="1">
      <c r="H1235" s="1" t="str">
        <f>IFERROR(__xludf.DUMMYFUNCTION("""COMPUTED_VALUE"""),"GLAXO (3)")</f>
        <v>GLAXO (3)</v>
      </c>
    </row>
    <row r="1236" ht="16.5" customHeight="1">
      <c r="H1236" s="1" t="str">
        <f>IFERROR(__xludf.DUMMYFUNCTION("""COMPUTED_VALUE"""),"GLAXO (4)")</f>
        <v>GLAXO (4)</v>
      </c>
    </row>
    <row r="1237" ht="16.5" customHeight="1">
      <c r="H1237" s="1" t="str">
        <f>IFERROR(__xludf.DUMMYFUNCTION("""COMPUTED_VALUE"""),"GLAXO (5)")</f>
        <v>GLAXO (5)</v>
      </c>
    </row>
    <row r="1238" ht="16.5" customHeight="1">
      <c r="H1238" s="1" t="str">
        <f>IFERROR(__xludf.DUMMYFUNCTION("""COMPUTED_VALUE"""),"GLAXO (6)")</f>
        <v>GLAXO (6)</v>
      </c>
    </row>
    <row r="1239" ht="16.5" customHeight="1">
      <c r="H1239" s="1" t="str">
        <f>IFERROR(__xludf.DUMMYFUNCTION("""COMPUTED_VALUE"""),"GLAXO (7)")</f>
        <v>GLAXO (7)</v>
      </c>
    </row>
    <row r="1240" ht="16.5" customHeight="1">
      <c r="H1240" s="1" t="str">
        <f>IFERROR(__xludf.DUMMYFUNCTION("""COMPUTED_VALUE"""),"GLAXO (8)")</f>
        <v>GLAXO (8)</v>
      </c>
    </row>
    <row r="1241" ht="16.5" customHeight="1">
      <c r="H1241" s="1" t="str">
        <f>IFERROR(__xludf.DUMMYFUNCTION("""COMPUTED_VALUE"""),"GLAXO (BEECHEM)")</f>
        <v>GLAXO (BEECHEM)</v>
      </c>
    </row>
    <row r="1242" ht="16.5" customHeight="1">
      <c r="H1242" s="1" t="str">
        <f>IFERROR(__xludf.DUMMYFUNCTION("""COMPUTED_VALUE"""),"GLAXO (CNS)")</f>
        <v>GLAXO (CNS)</v>
      </c>
    </row>
    <row r="1243" ht="16.5" customHeight="1">
      <c r="H1243" s="1" t="str">
        <f>IFERROR(__xludf.DUMMYFUNCTION("""COMPUTED_VALUE"""),"GLAXO (CONSUMER)")</f>
        <v>GLAXO (CONSUMER)</v>
      </c>
    </row>
    <row r="1244" ht="16.5" customHeight="1">
      <c r="H1244" s="1" t="str">
        <f>IFERROR(__xludf.DUMMYFUNCTION("""COMPUTED_VALUE"""),"GLAXO (CTC)")</f>
        <v>GLAXO (CTC)</v>
      </c>
    </row>
    <row r="1245" ht="16.5" customHeight="1">
      <c r="H1245" s="1" t="str">
        <f>IFERROR(__xludf.DUMMYFUNCTION("""COMPUTED_VALUE"""),"GLAXO (FORTIOR)")</f>
        <v>GLAXO (FORTIOR)</v>
      </c>
    </row>
    <row r="1246" ht="16.5" customHeight="1">
      <c r="H1246" s="1" t="str">
        <f>IFERROR(__xludf.DUMMYFUNCTION("""COMPUTED_VALUE"""),"GLAXO (NEUROSCIENCES)")</f>
        <v>GLAXO (NEUROSCIENCES)</v>
      </c>
    </row>
    <row r="1247" ht="16.5" customHeight="1">
      <c r="H1247" s="1" t="str">
        <f>IFERROR(__xludf.DUMMYFUNCTION("""COMPUTED_VALUE"""),"GLAXO (OTC)")</f>
        <v>GLAXO (OTC)</v>
      </c>
    </row>
    <row r="1248" ht="16.5" customHeight="1">
      <c r="H1248" s="1" t="str">
        <f>IFERROR(__xludf.DUMMYFUNCTION("""COMPUTED_VALUE"""),"GLAXO (VACCINE)")</f>
        <v>GLAXO (VACCINE)</v>
      </c>
    </row>
    <row r="1249" ht="16.5" customHeight="1">
      <c r="H1249" s="1" t="str">
        <f>IFERROR(__xludf.DUMMYFUNCTION("""COMPUTED_VALUE"""),"Glaxo SmithKline Pharmaceuticals Ltd")</f>
        <v>Glaxo SmithKline Pharmaceuticals Ltd</v>
      </c>
    </row>
    <row r="1250" ht="16.5" customHeight="1">
      <c r="H1250" s="1" t="str">
        <f>IFERROR(__xludf.DUMMYFUNCTION("""COMPUTED_VALUE"""),"GLENMARK (CCD)")</f>
        <v>GLENMARK (CCD)</v>
      </c>
    </row>
    <row r="1251" ht="16.5" customHeight="1">
      <c r="H1251" s="1" t="str">
        <f>IFERROR(__xludf.DUMMYFUNCTION("""COMPUTED_VALUE"""),"GLENMARK (COSMOCARE)")</f>
        <v>GLENMARK (COSMOCARE)</v>
      </c>
    </row>
    <row r="1252" ht="16.5" customHeight="1">
      <c r="H1252" s="1" t="str">
        <f>IFERROR(__xludf.DUMMYFUNCTION("""COMPUTED_VALUE"""),"GLENMARK (CRITICAL CARE)")</f>
        <v>GLENMARK (CRITICAL CARE)</v>
      </c>
    </row>
    <row r="1253" ht="16.5" customHeight="1">
      <c r="H1253" s="1" t="str">
        <f>IFERROR(__xludf.DUMMYFUNCTION("""COMPUTED_VALUE"""),"GLENMARK (CV)")</f>
        <v>GLENMARK (CV)</v>
      </c>
    </row>
    <row r="1254" ht="16.5" customHeight="1">
      <c r="H1254" s="1" t="str">
        <f>IFERROR(__xludf.DUMMYFUNCTION("""COMPUTED_VALUE"""),"GLENMARK (DERMAX)")</f>
        <v>GLENMARK (DERMAX)</v>
      </c>
    </row>
    <row r="1255" ht="16.5" customHeight="1">
      <c r="H1255" s="1" t="str">
        <f>IFERROR(__xludf.DUMMYFUNCTION("""COMPUTED_VALUE"""),"GLENMARK (G&amp;G)")</f>
        <v>GLENMARK (G&amp;G)</v>
      </c>
    </row>
    <row r="1256" ht="16.5" customHeight="1">
      <c r="H1256" s="1" t="str">
        <f>IFERROR(__xludf.DUMMYFUNCTION("""COMPUTED_VALUE"""),"GLENMARK (GRACEWELL-SPECIALITIY)")</f>
        <v>GLENMARK (GRACEWELL-SPECIALITIY)</v>
      </c>
    </row>
    <row r="1257" ht="16.5" customHeight="1">
      <c r="H1257" s="1" t="str">
        <f>IFERROR(__xludf.DUMMYFUNCTION("""COMPUTED_VALUE"""),"GLENMARK (GRACEWELL)")</f>
        <v>GLENMARK (GRACEWELL)</v>
      </c>
    </row>
    <row r="1258" ht="16.5" customHeight="1">
      <c r="H1258" s="1" t="str">
        <f>IFERROR(__xludf.DUMMYFUNCTION("""COMPUTED_VALUE"""),"GLENMARK (HEALTHEON)")</f>
        <v>GLENMARK (HEALTHEON)</v>
      </c>
    </row>
    <row r="1259" ht="16.5" customHeight="1">
      <c r="H1259" s="1" t="str">
        <f>IFERROR(__xludf.DUMMYFUNCTION("""COMPUTED_VALUE"""),"GLENMARK (INTIGRACE)")</f>
        <v>GLENMARK (INTIGRACE)</v>
      </c>
    </row>
    <row r="1260" ht="16.5" customHeight="1">
      <c r="H1260" s="1" t="str">
        <f>IFERROR(__xludf.DUMMYFUNCTION("""COMPUTED_VALUE"""),"GLENMARK (MAGESTA)")</f>
        <v>GLENMARK (MAGESTA)</v>
      </c>
    </row>
    <row r="1261" ht="16.5" customHeight="1">
      <c r="H1261" s="1" t="str">
        <f>IFERROR(__xludf.DUMMYFUNCTION("""COMPUTED_VALUE"""),"GLENMARK (MILLIOUS)")</f>
        <v>GLENMARK (MILLIOUS)</v>
      </c>
    </row>
    <row r="1262" ht="16.5" customHeight="1">
      <c r="H1262" s="1" t="str">
        <f>IFERROR(__xludf.DUMMYFUNCTION("""COMPUTED_VALUE"""),"GLENMARK (OTC)")</f>
        <v>GLENMARK (OTC)</v>
      </c>
    </row>
    <row r="1263" ht="16.5" customHeight="1">
      <c r="H1263" s="1" t="str">
        <f>IFERROR(__xludf.DUMMYFUNCTION("""COMPUTED_VALUE"""),"GLENMARK (PHARMA)")</f>
        <v>GLENMARK (PHARMA)</v>
      </c>
    </row>
    <row r="1264" ht="16.5" customHeight="1">
      <c r="H1264" s="1" t="str">
        <f>IFERROR(__xludf.DUMMYFUNCTION("""COMPUTED_VALUE"""),"GLENMARK (RESPICARE)")</f>
        <v>GLENMARK (RESPICARE)</v>
      </c>
    </row>
    <row r="1265" ht="16.5" customHeight="1">
      <c r="H1265" s="1" t="str">
        <f>IFERROR(__xludf.DUMMYFUNCTION("""COMPUTED_VALUE"""),"GLENMARK (RESPIRATORY)")</f>
        <v>GLENMARK (RESPIRATORY)</v>
      </c>
    </row>
    <row r="1266" ht="16.5" customHeight="1">
      <c r="H1266" s="1" t="str">
        <f>IFERROR(__xludf.DUMMYFUNCTION("""COMPUTED_VALUE"""),"GLENMARK (SKINNORA)")</f>
        <v>GLENMARK (SKINNORA)</v>
      </c>
    </row>
    <row r="1267" ht="16.5" customHeight="1">
      <c r="H1267" s="1" t="str">
        <f>IFERROR(__xludf.DUMMYFUNCTION("""COMPUTED_VALUE"""),"GLENMARK (ZOLTAN CARE)")</f>
        <v>GLENMARK (ZOLTAN CARE)</v>
      </c>
    </row>
    <row r="1268" ht="16.5" customHeight="1">
      <c r="H1268" s="1" t="str">
        <f>IFERROR(__xludf.DUMMYFUNCTION("""COMPUTED_VALUE"""),"GLENMARK (ZOLTAN)")</f>
        <v>GLENMARK (ZOLTAN)</v>
      </c>
    </row>
    <row r="1269" ht="16.5" customHeight="1">
      <c r="H1269" s="1" t="str">
        <f>IFERROR(__xludf.DUMMYFUNCTION("""COMPUTED_VALUE"""),"Glenmark Pharmaceuticals Ltd")</f>
        <v>Glenmark Pharmaceuticals Ltd</v>
      </c>
    </row>
    <row r="1270" ht="16.5" customHeight="1">
      <c r="H1270" s="1" t="str">
        <f>IFERROR(__xludf.DUMMYFUNCTION("""COMPUTED_VALUE"""),"Glenmark Pharmaceuticals Ltd (GENERIC)")</f>
        <v>Glenmark Pharmaceuticals Ltd (GENERIC)</v>
      </c>
    </row>
    <row r="1271" ht="16.5" customHeight="1">
      <c r="H1271" s="1" t="str">
        <f>IFERROR(__xludf.DUMMYFUNCTION("""COMPUTED_VALUE"""),"Glenmark Pharmaceuticals Ltd (SPECIALITY)")</f>
        <v>Glenmark Pharmaceuticals Ltd (SPECIALITY)</v>
      </c>
    </row>
    <row r="1272" ht="16.5" customHeight="1">
      <c r="H1272" s="1" t="str">
        <f>IFERROR(__xludf.DUMMYFUNCTION("""COMPUTED_VALUE"""),"GLISTER PHARMACEUTICALS")</f>
        <v>GLISTER PHARMACEUTICALS</v>
      </c>
    </row>
    <row r="1273" ht="16.5" customHeight="1">
      <c r="H1273" s="1" t="str">
        <f>IFERROR(__xludf.DUMMYFUNCTION("""COMPUTED_VALUE"""),"GLOBAL MEDICAMNETS LTD")</f>
        <v>GLOBAL MEDICAMNETS LTD</v>
      </c>
    </row>
    <row r="1274" ht="16.5" customHeight="1">
      <c r="H1274" s="1" t="str">
        <f>IFERROR(__xludf.DUMMYFUNCTION("""COMPUTED_VALUE"""),"GLOBAL PHARMAHERB CARE")</f>
        <v>GLOBAL PHARMAHERB CARE</v>
      </c>
    </row>
    <row r="1275" ht="16.5" customHeight="1">
      <c r="H1275" s="1" t="str">
        <f>IFERROR(__xludf.DUMMYFUNCTION("""COMPUTED_VALUE"""),"GLOBIN PHARMACEUTICALS P LTD")</f>
        <v>GLOBIN PHARMACEUTICALS P LTD</v>
      </c>
    </row>
    <row r="1276" ht="16.5" customHeight="1">
      <c r="H1276" s="1" t="str">
        <f>IFERROR(__xludf.DUMMYFUNCTION("""COMPUTED_VALUE"""),"GLORIOUS HEATHCAR")</f>
        <v>GLORIOUS HEATHCAR</v>
      </c>
    </row>
    <row r="1277" ht="16.5" customHeight="1">
      <c r="H1277" s="1" t="str">
        <f>IFERROR(__xludf.DUMMYFUNCTION("""COMPUTED_VALUE"""),"Glow")</f>
        <v>Glow</v>
      </c>
    </row>
    <row r="1278" ht="16.5" customHeight="1">
      <c r="H1278" s="1" t="str">
        <f>IFERROR(__xludf.DUMMYFUNCTION("""COMPUTED_VALUE"""),"Glowderma Labs Pvt Ltd")</f>
        <v>Glowderma Labs Pvt Ltd</v>
      </c>
    </row>
    <row r="1279" ht="16.5" customHeight="1">
      <c r="H1279" s="1" t="str">
        <f>IFERROR(__xludf.DUMMYFUNCTION("""COMPUTED_VALUE"""),"GLS PHARMA")</f>
        <v>GLS PHARMA</v>
      </c>
    </row>
    <row r="1280" ht="16.5" customHeight="1">
      <c r="H1280" s="1" t="str">
        <f>IFERROR(__xludf.DUMMYFUNCTION("""COMPUTED_VALUE"""),"Gluconate Health Ltd")</f>
        <v>Gluconate Health Ltd</v>
      </c>
    </row>
    <row r="1281" ht="16.5" customHeight="1">
      <c r="H1281" s="1" t="str">
        <f>IFERROR(__xludf.DUMMYFUNCTION("""COMPUTED_VALUE"""),"GLUE BIOTECH")</f>
        <v>GLUE BIOTECH</v>
      </c>
    </row>
    <row r="1282" ht="16.5" customHeight="1">
      <c r="H1282" s="1" t="str">
        <f>IFERROR(__xludf.DUMMYFUNCTION("""COMPUTED_VALUE"""),"Glyco Remedies")</f>
        <v>Glyco Remedies</v>
      </c>
    </row>
    <row r="1283" ht="16.5" customHeight="1">
      <c r="H1283" s="1" t="str">
        <f>IFERROR(__xludf.DUMMYFUNCTION("""COMPUTED_VALUE"""),"GMH LABORATORIES")</f>
        <v>GMH LABORATORIES</v>
      </c>
    </row>
    <row r="1284" ht="16.5" customHeight="1">
      <c r="H1284" s="1" t="str">
        <f>IFERROR(__xludf.DUMMYFUNCTION("""COMPUTED_VALUE"""),"GNESIS ORGANICS")</f>
        <v>GNESIS ORGANICS</v>
      </c>
    </row>
    <row r="1285" ht="16.5" customHeight="1">
      <c r="H1285" s="1" t="str">
        <f>IFERROR(__xludf.DUMMYFUNCTION("""COMPUTED_VALUE"""),"Gnext Lab Pvt Ltd")</f>
        <v>Gnext Lab Pvt Ltd</v>
      </c>
    </row>
    <row r="1286" ht="16.5" customHeight="1">
      <c r="H1286" s="1" t="str">
        <f>IFERROR(__xludf.DUMMYFUNCTION("""COMPUTED_VALUE"""),"GNOVA BIOTECH")</f>
        <v>GNOVA BIOTECH</v>
      </c>
    </row>
    <row r="1287" ht="16.5" customHeight="1">
      <c r="H1287" s="1" t="str">
        <f>IFERROR(__xludf.DUMMYFUNCTION("""COMPUTED_VALUE"""),"GO-ISH REMEDIES LTD SOLAN")</f>
        <v>GO-ISH REMEDIES LTD SOLAN</v>
      </c>
    </row>
    <row r="1288" ht="16.5" customHeight="1">
      <c r="H1288" s="1" t="str">
        <f>IFERROR(__xludf.DUMMYFUNCTION("""COMPUTED_VALUE"""),"Goddres Pharmaceuticals")</f>
        <v>Goddres Pharmaceuticals</v>
      </c>
    </row>
    <row r="1289" ht="16.5" customHeight="1">
      <c r="H1289" s="1" t="str">
        <f>IFERROR(__xludf.DUMMYFUNCTION("""COMPUTED_VALUE"""),"Gold Line")</f>
        <v>Gold Line</v>
      </c>
    </row>
    <row r="1290" ht="16.5" customHeight="1">
      <c r="H1290" s="1" t="str">
        <f>IFERROR(__xludf.DUMMYFUNCTION("""COMPUTED_VALUE"""),"GOMTESH LABORATORIES")</f>
        <v>GOMTESH LABORATORIES</v>
      </c>
    </row>
    <row r="1291" ht="16.5" customHeight="1">
      <c r="H1291" s="1" t="str">
        <f>IFERROR(__xludf.DUMMYFUNCTION("""COMPUTED_VALUE"""),"GOOD HEALTH PVT LTD")</f>
        <v>GOOD HEALTH PVT LTD</v>
      </c>
    </row>
    <row r="1292" ht="16.5" customHeight="1">
      <c r="H1292" s="1" t="str">
        <f>IFERROR(__xludf.DUMMYFUNCTION("""COMPUTED_VALUE"""),"GOOD HEALTH PVT LTD")</f>
        <v>GOOD HEALTH PVT LTD</v>
      </c>
    </row>
    <row r="1293" ht="16.5" customHeight="1">
      <c r="H1293" s="1" t="str">
        <f>IFERROR(__xludf.DUMMYFUNCTION("""COMPUTED_VALUE"""),"GOPISH PHARMA LTD")</f>
        <v>GOPISH PHARMA LTD</v>
      </c>
    </row>
    <row r="1294" ht="16.5" customHeight="1">
      <c r="H1294" s="1" t="str">
        <f>IFERROR(__xludf.DUMMYFUNCTION("""COMPUTED_VALUE"""),"GPP PVT LTD")</f>
        <v>GPP PVT LTD</v>
      </c>
    </row>
    <row r="1295" ht="16.5" customHeight="1">
      <c r="H1295" s="1" t="str">
        <f>IFERROR(__xludf.DUMMYFUNCTION("""COMPUTED_VALUE"""),"GRACEDERMA HELATHCARE")</f>
        <v>GRACEDERMA HELATHCARE</v>
      </c>
    </row>
    <row r="1296" ht="16.5" customHeight="1">
      <c r="H1296" s="1" t="str">
        <f>IFERROR(__xludf.DUMMYFUNCTION("""COMPUTED_VALUE"""),"GRACEWELL HEALTHCARE")</f>
        <v>GRACEWELL HEALTHCARE</v>
      </c>
    </row>
    <row r="1297" ht="16.5" customHeight="1">
      <c r="H1297" s="1" t="str">
        <f>IFERROR(__xludf.DUMMYFUNCTION("""COMPUTED_VALUE"""),"GRAF Laboratories Pvt Ltd")</f>
        <v>GRAF Laboratories Pvt Ltd</v>
      </c>
    </row>
    <row r="1298" ht="16.5" customHeight="1">
      <c r="H1298" s="1" t="str">
        <f>IFERROR(__xludf.DUMMYFUNCTION("""COMPUTED_VALUE"""),"GRANDIX PHARMACEUTICAL")</f>
        <v>GRANDIX PHARMACEUTICAL</v>
      </c>
    </row>
    <row r="1299" ht="16.5" customHeight="1">
      <c r="H1299" s="1" t="str">
        <f>IFERROR(__xludf.DUMMYFUNCTION("""COMPUTED_VALUE"""),"GRAPSUM HEALTHCARE P LTD")</f>
        <v>GRAPSUM HEALTHCARE P LTD</v>
      </c>
    </row>
    <row r="1300" ht="16.5" customHeight="1">
      <c r="H1300" s="1" t="str">
        <f>IFERROR(__xludf.DUMMYFUNCTION("""COMPUTED_VALUE"""),"GREEK PHARMA PVT LTD")</f>
        <v>GREEK PHARMA PVT LTD</v>
      </c>
    </row>
    <row r="1301" ht="16.5" customHeight="1">
      <c r="H1301" s="1" t="str">
        <f>IFERROR(__xludf.DUMMYFUNCTION("""COMPUTED_VALUE"""),"GRIFCON LIFE SCIENCES")</f>
        <v>GRIFCON LIFE SCIENCES</v>
      </c>
    </row>
    <row r="1302" ht="16.5" customHeight="1">
      <c r="H1302" s="1" t="str">
        <f>IFERROR(__xludf.DUMMYFUNCTION("""COMPUTED_VALUE"""),"GRINOLIFE CARE P LTD")</f>
        <v>GRINOLIFE CARE P LTD</v>
      </c>
    </row>
    <row r="1303" ht="16.5" customHeight="1">
      <c r="H1303" s="1" t="str">
        <f>IFERROR(__xludf.DUMMYFUNCTION("""COMPUTED_VALUE"""),"GRL GYNEXT")</f>
        <v>GRL GYNEXT</v>
      </c>
    </row>
    <row r="1304" ht="16.5" customHeight="1">
      <c r="H1304" s="1" t="str">
        <f>IFERROR(__xludf.DUMMYFUNCTION("""COMPUTED_VALUE"""),"GROUP PHARMA (DENTAL CARE)")</f>
        <v>GROUP PHARMA (DENTAL CARE)</v>
      </c>
    </row>
    <row r="1305" ht="16.5" customHeight="1">
      <c r="H1305" s="1" t="str">
        <f>IFERROR(__xludf.DUMMYFUNCTION("""COMPUTED_VALUE"""),"GROUP PHARMA (HEALTHCARE)")</f>
        <v>GROUP PHARMA (HEALTHCARE)</v>
      </c>
    </row>
    <row r="1306" ht="16.5" customHeight="1">
      <c r="H1306" s="1" t="str">
        <f>IFERROR(__xludf.DUMMYFUNCTION("""COMPUTED_VALUE"""),"Group Pharmaceuticals Ltd")</f>
        <v>Group Pharmaceuticals Ltd</v>
      </c>
    </row>
    <row r="1307" ht="16.5" customHeight="1">
      <c r="H1307" s="1" t="str">
        <f>IFERROR(__xludf.DUMMYFUNCTION("""COMPUTED_VALUE"""),"GROWELL VISION")</f>
        <v>GROWELL VISION</v>
      </c>
    </row>
    <row r="1308" ht="16.5" customHeight="1">
      <c r="H1308" s="1" t="str">
        <f>IFERROR(__xludf.DUMMYFUNCTION("""COMPUTED_VALUE"""),"GUFIC (CRITICARE)")</f>
        <v>GUFIC (CRITICARE)</v>
      </c>
    </row>
    <row r="1309" ht="16.5" customHeight="1">
      <c r="H1309" s="1" t="str">
        <f>IFERROR(__xludf.DUMMYFUNCTION("""COMPUTED_VALUE"""),"Gufic Bioscience Ltd")</f>
        <v>Gufic Bioscience Ltd</v>
      </c>
    </row>
    <row r="1310" ht="16.5" customHeight="1">
      <c r="H1310" s="1" t="str">
        <f>IFERROR(__xludf.DUMMYFUNCTION("""COMPUTED_VALUE"""),"GUJARAT LIQUI PHARMACAPS")</f>
        <v>GUJARAT LIQUI PHARMACAPS</v>
      </c>
    </row>
    <row r="1311" ht="16.5" customHeight="1">
      <c r="H1311" s="1" t="str">
        <f>IFERROR(__xludf.DUMMYFUNCTION("""COMPUTED_VALUE"""),"GUJARAT PHARMALAB PVT LTD")</f>
        <v>GUJARAT PHARMALAB PVT LTD</v>
      </c>
    </row>
    <row r="1312" ht="16.5" customHeight="1">
      <c r="H1312" s="1" t="str">
        <f>IFERROR(__xludf.DUMMYFUNCTION("""COMPUTED_VALUE"""),"Gujarat Terce Laboratories Ltd")</f>
        <v>Gujarat Terce Laboratories Ltd</v>
      </c>
    </row>
    <row r="1313" ht="16.5" customHeight="1">
      <c r="H1313" s="1" t="str">
        <f>IFERROR(__xludf.DUMMYFUNCTION("""COMPUTED_VALUE"""),"GURGRACE PHARMACETICALS")</f>
        <v>GURGRACE PHARMACETICALS</v>
      </c>
    </row>
    <row r="1314" ht="16.5" customHeight="1">
      <c r="H1314" s="1" t="str">
        <f>IFERROR(__xludf.DUMMYFUNCTION("""COMPUTED_VALUE"""),"GURUKRIPA CONSUMER CARE")</f>
        <v>GURUKRIPA CONSUMER CARE</v>
      </c>
    </row>
    <row r="1315" ht="16.5" customHeight="1">
      <c r="H1315" s="1" t="str">
        <f>IFERROR(__xludf.DUMMYFUNCTION("""COMPUTED_VALUE"""),"GURUKUL KANGDI PHARMACY")</f>
        <v>GURUKUL KANGDI PHARMACY</v>
      </c>
    </row>
    <row r="1316" ht="16.5" customHeight="1">
      <c r="H1316" s="1" t="str">
        <f>IFERROR(__xludf.DUMMYFUNCTION("""COMPUTED_VALUE"""),"GYMEX PHARMACEUTICALS")</f>
        <v>GYMEX PHARMACEUTICALS</v>
      </c>
    </row>
    <row r="1317" ht="16.5" customHeight="1">
      <c r="H1317" s="1" t="str">
        <f>IFERROR(__xludf.DUMMYFUNCTION("""COMPUTED_VALUE"""),"GYNOFEM HEALTHCARE (CAREON)")</f>
        <v>GYNOFEM HEALTHCARE (CAREON)</v>
      </c>
    </row>
    <row r="1318" ht="16.5" customHeight="1">
      <c r="H1318" s="1" t="str">
        <f>IFERROR(__xludf.DUMMYFUNCTION("""COMPUTED_VALUE"""),"GYNOFEM HEALTHCARE PVT LTD")</f>
        <v>GYNOFEM HEALTHCARE PVT LTD</v>
      </c>
    </row>
    <row r="1319" ht="16.5" customHeight="1">
      <c r="H1319" s="1" t="str">
        <f>IFERROR(__xludf.DUMMYFUNCTION("""COMPUTED_VALUE"""),"GYNORAMA HEALTHCARE PVT LTD")</f>
        <v>GYNORAMA HEALTHCARE PVT LTD</v>
      </c>
    </row>
    <row r="1320" ht="16.5" customHeight="1">
      <c r="H1320" s="1" t="str">
        <f>IFERROR(__xludf.DUMMYFUNCTION("""COMPUTED_VALUE"""),"H AND CARE INCORP INDIA")</f>
        <v>H AND CARE INCORP INDIA</v>
      </c>
    </row>
    <row r="1321" ht="16.5" customHeight="1">
      <c r="H1321" s="1" t="str">
        <f>IFERROR(__xludf.DUMMYFUNCTION("""COMPUTED_VALUE"""),"H&amp;B")</f>
        <v>H&amp;B</v>
      </c>
    </row>
    <row r="1322" ht="16.5" customHeight="1">
      <c r="H1322" s="1" t="str">
        <f>IFERROR(__xludf.DUMMYFUNCTION("""COMPUTED_VALUE"""),"H&amp;H (Hegde and Hegde) (COSMECEUTICAL)")</f>
        <v>H&amp;H (Hegde and Hegde) (COSMECEUTICAL)</v>
      </c>
    </row>
    <row r="1323" ht="16.5" customHeight="1">
      <c r="H1323" s="1" t="str">
        <f>IFERROR(__xludf.DUMMYFUNCTION("""COMPUTED_VALUE"""),"H&amp;H (Hegde and Hegde) (DERMATOLOGY)")</f>
        <v>H&amp;H (Hegde and Hegde) (DERMATOLOGY)</v>
      </c>
    </row>
    <row r="1324" ht="16.5" customHeight="1">
      <c r="H1324" s="1" t="str">
        <f>IFERROR(__xludf.DUMMYFUNCTION("""COMPUTED_VALUE"""),"H&amp;H (Hegde and Hegde) (Pharmaceutical)")</f>
        <v>H&amp;H (Hegde and Hegde) (Pharmaceutical)</v>
      </c>
    </row>
    <row r="1325" ht="16.5" customHeight="1">
      <c r="H1325" s="1" t="str">
        <f>IFERROR(__xludf.DUMMYFUNCTION("""COMPUTED_VALUE"""),"H&amp;H (Hegde and Hegde) (WELLNESS)")</f>
        <v>H&amp;H (Hegde and Hegde) (WELLNESS)</v>
      </c>
    </row>
    <row r="1326" ht="16.5" customHeight="1">
      <c r="H1326" s="1" t="str">
        <f>IFERROR(__xludf.DUMMYFUNCTION("""COMPUTED_VALUE"""),"Hacks &amp; Slacks Healthcare")</f>
        <v>Hacks &amp; Slacks Healthcare</v>
      </c>
    </row>
    <row r="1327" ht="16.5" customHeight="1">
      <c r="H1327" s="1" t="str">
        <f>IFERROR(__xludf.DUMMYFUNCTION("""COMPUTED_VALUE"""),"HAITH PHARMACEUTICALS")</f>
        <v>HAITH PHARMACEUTICALS</v>
      </c>
    </row>
    <row r="1328" ht="16.5" customHeight="1">
      <c r="H1328" s="1" t="str">
        <f>IFERROR(__xludf.DUMMYFUNCTION("""COMPUTED_VALUE"""),"HALEDEW REMEDIES")</f>
        <v>HALEDEW REMEDIES</v>
      </c>
    </row>
    <row r="1329" ht="16.5" customHeight="1">
      <c r="H1329" s="1" t="str">
        <f>IFERROR(__xludf.DUMMYFUNCTION("""COMPUTED_VALUE"""),"HALEWOOD LABORATORIES PVT LTD")</f>
        <v>HALEWOOD LABORATORIES PVT LTD</v>
      </c>
    </row>
    <row r="1330" ht="16.5" customHeight="1">
      <c r="H1330" s="1" t="str">
        <f>IFERROR(__xludf.DUMMYFUNCTION("""COMPUTED_VALUE"""),"Hamdard Laboratories India")</f>
        <v>Hamdard Laboratories India</v>
      </c>
    </row>
    <row r="1331" ht="16.5" customHeight="1">
      <c r="H1331" s="1" t="str">
        <f>IFERROR(__xludf.DUMMYFUNCTION("""COMPUTED_VALUE"""),"HANNOR PHARMA PVT LTD")</f>
        <v>HANNOR PHARMA PVT LTD</v>
      </c>
    </row>
    <row r="1332" ht="16.5" customHeight="1">
      <c r="H1332" s="1" t="str">
        <f>IFERROR(__xludf.DUMMYFUNCTION("""COMPUTED_VALUE"""),"HANS CHEMICALS")</f>
        <v>HANS CHEMICALS</v>
      </c>
    </row>
    <row r="1333" ht="16.5" customHeight="1">
      <c r="H1333" s="1" t="str">
        <f>IFERROR(__xludf.DUMMYFUNCTION("""COMPUTED_VALUE"""),"HAPDCO")</f>
        <v>HAPDCO</v>
      </c>
    </row>
    <row r="1334" ht="16.5" customHeight="1">
      <c r="H1334" s="1" t="str">
        <f>IFERROR(__xludf.DUMMYFUNCTION("""COMPUTED_VALUE"""),"HAPPY PHARMA")</f>
        <v>HAPPY PHARMA</v>
      </c>
    </row>
    <row r="1335" ht="16.5" customHeight="1">
      <c r="H1335" s="1" t="str">
        <f>IFERROR(__xludf.DUMMYFUNCTION("""COMPUTED_VALUE"""),"HARBANSHRAM BHAGWANDAS")</f>
        <v>HARBANSHRAM BHAGWANDAS</v>
      </c>
    </row>
    <row r="1336" ht="16.5" customHeight="1">
      <c r="H1336" s="1" t="str">
        <f>IFERROR(__xludf.DUMMYFUNCTION("""COMPUTED_VALUE"""),"HARMATTAN LIFE SCIENCE")</f>
        <v>HARMATTAN LIFE SCIENCE</v>
      </c>
    </row>
    <row r="1337" ht="16.5" customHeight="1">
      <c r="H1337" s="1" t="str">
        <f>IFERROR(__xludf.DUMMYFUNCTION("""COMPUTED_VALUE"""),"HARMONY PHARMA")</f>
        <v>HARMONY PHARMA</v>
      </c>
    </row>
    <row r="1338" ht="16.5" customHeight="1">
      <c r="H1338" s="1" t="str">
        <f>IFERROR(__xludf.DUMMYFUNCTION("""COMPUTED_VALUE"""),"HARMONY PHARMA (GYN)")</f>
        <v>HARMONY PHARMA (GYN)</v>
      </c>
    </row>
    <row r="1339" ht="16.5" customHeight="1">
      <c r="H1339" s="1" t="str">
        <f>IFERROR(__xludf.DUMMYFUNCTION("""COMPUTED_VALUE"""),"HARSH AYURVED BHAVAN")</f>
        <v>HARSH AYURVED BHAVAN</v>
      </c>
    </row>
    <row r="1340" ht="16.5" customHeight="1">
      <c r="H1340" s="1" t="str">
        <f>IFERROR(__xludf.DUMMYFUNCTION("""COMPUTED_VALUE"""),"HARSON LABORATORIES P LTD")</f>
        <v>HARSON LABORATORIES P LTD</v>
      </c>
    </row>
    <row r="1341" ht="16.5" customHeight="1">
      <c r="H1341" s="1" t="str">
        <f>IFERROR(__xludf.DUMMYFUNCTION("""COMPUTED_VALUE"""),"HAUZ PHARMA P LTD")</f>
        <v>HAUZ PHARMA P LTD</v>
      </c>
    </row>
    <row r="1342" ht="16.5" customHeight="1">
      <c r="H1342" s="1" t="str">
        <f>IFERROR(__xludf.DUMMYFUNCTION("""COMPUTED_VALUE"""),"HAWABAN HARDE DEPOT")</f>
        <v>HAWABAN HARDE DEPOT</v>
      </c>
    </row>
    <row r="1343" ht="16.5" customHeight="1">
      <c r="H1343" s="1" t="str">
        <f>IFERROR(__xludf.DUMMYFUNCTION("""COMPUTED_VALUE"""),"HBC (ATRIA)")</f>
        <v>HBC (ATRIA)</v>
      </c>
    </row>
    <row r="1344" ht="16.5" customHeight="1">
      <c r="H1344" s="1" t="str">
        <f>IFERROR(__xludf.DUMMYFUNCTION("""COMPUTED_VALUE"""),"HBC (CARDIO)")</f>
        <v>HBC (CARDIO)</v>
      </c>
    </row>
    <row r="1345" ht="16.5" customHeight="1">
      <c r="H1345" s="1" t="str">
        <f>IFERROR(__xludf.DUMMYFUNCTION("""COMPUTED_VALUE"""),"HBC (DERMA)")</f>
        <v>HBC (DERMA)</v>
      </c>
    </row>
    <row r="1346" ht="16.5" customHeight="1">
      <c r="H1346" s="1" t="str">
        <f>IFERROR(__xludf.DUMMYFUNCTION("""COMPUTED_VALUE"""),"HBC (QURA)")</f>
        <v>HBC (QURA)</v>
      </c>
    </row>
    <row r="1347" ht="16.5" customHeight="1">
      <c r="H1347" s="1" t="str">
        <f>IFERROR(__xludf.DUMMYFUNCTION("""COMPUTED_VALUE"""),"HBC HEALTHCARE PVT LTD (NURA)")</f>
        <v>HBC HEALTHCARE PVT LTD (NURA)</v>
      </c>
    </row>
    <row r="1348" ht="16.5" customHeight="1">
      <c r="H1348" s="1" t="str">
        <f>IFERROR(__xludf.DUMMYFUNCTION("""COMPUTED_VALUE"""),"HBC Lifesciences Pvt Ltd")</f>
        <v>HBC Lifesciences Pvt Ltd</v>
      </c>
    </row>
    <row r="1349" ht="16.5" customHeight="1">
      <c r="H1349" s="1" t="str">
        <f>IFERROR(__xludf.DUMMYFUNCTION("""COMPUTED_VALUE"""),"HEAL ALL PHARMACETICALS")</f>
        <v>HEAL ALL PHARMACETICALS</v>
      </c>
    </row>
    <row r="1350" ht="16.5" customHeight="1">
      <c r="H1350" s="1" t="str">
        <f>IFERROR(__xludf.DUMMYFUNCTION("""COMPUTED_VALUE"""),"Heal India Laboratories")</f>
        <v>Heal India Laboratories</v>
      </c>
    </row>
    <row r="1351" ht="16.5" customHeight="1">
      <c r="H1351" s="1" t="str">
        <f>IFERROR(__xludf.DUMMYFUNCTION("""COMPUTED_VALUE"""),"HEALING PHARMA INDIA PVT LTD")</f>
        <v>HEALING PHARMA INDIA PVT LTD</v>
      </c>
    </row>
    <row r="1352" ht="16.5" customHeight="1">
      <c r="H1352" s="1" t="str">
        <f>IFERROR(__xludf.DUMMYFUNCTION("""COMPUTED_VALUE"""),"HEALTH BIOLOGICS")</f>
        <v>HEALTH BIOLOGICS</v>
      </c>
    </row>
    <row r="1353" ht="16.5" customHeight="1">
      <c r="H1353" s="1" t="str">
        <f>IFERROR(__xludf.DUMMYFUNCTION("""COMPUTED_VALUE"""),"Health Biomed Pharma")</f>
        <v>Health Biomed Pharma</v>
      </c>
    </row>
    <row r="1354" ht="16.5" customHeight="1">
      <c r="H1354" s="1" t="str">
        <f>IFERROR(__xludf.DUMMYFUNCTION("""COMPUTED_VALUE"""),"HEALTH BIOTECH")</f>
        <v>HEALTH BIOTECH</v>
      </c>
    </row>
    <row r="1355" ht="16.5" customHeight="1">
      <c r="H1355" s="1" t="str">
        <f>IFERROR(__xludf.DUMMYFUNCTION("""COMPUTED_VALUE"""),"Health Biotech Pvt Ltd")</f>
        <v>Health Biotech Pvt Ltd</v>
      </c>
    </row>
    <row r="1356" ht="16.5" customHeight="1">
      <c r="H1356" s="1" t="str">
        <f>IFERROR(__xludf.DUMMYFUNCTION("""COMPUTED_VALUE"""),"Health Care Formulations Pvt Ltd")</f>
        <v>Health Care Formulations Pvt Ltd</v>
      </c>
    </row>
    <row r="1357" ht="16.5" customHeight="1">
      <c r="H1357" s="1" t="str">
        <f>IFERROR(__xludf.DUMMYFUNCTION("""COMPUTED_VALUE"""),"Health Care Formulations Pvt. Ltd.")</f>
        <v>Health Care Formulations Pvt. Ltd.</v>
      </c>
    </row>
    <row r="1358" ht="16.5" customHeight="1">
      <c r="H1358" s="1" t="str">
        <f>IFERROR(__xludf.DUMMYFUNCTION("""COMPUTED_VALUE"""),"Health Guard (I) Pvt. Ltd.")</f>
        <v>Health Guard (I) Pvt. Ltd.</v>
      </c>
    </row>
    <row r="1359" ht="16.5" customHeight="1">
      <c r="H1359" s="1" t="str">
        <f>IFERROR(__xludf.DUMMYFUNCTION("""COMPUTED_VALUE"""),"HEALTH N U THERAPEUTICS PVT LTD")</f>
        <v>HEALTH N U THERAPEUTICS PVT LTD</v>
      </c>
    </row>
    <row r="1360" ht="16.5" customHeight="1">
      <c r="H1360" s="1" t="str">
        <f>IFERROR(__xludf.DUMMYFUNCTION("""COMPUTED_VALUE"""),"Health Plan")</f>
        <v>Health Plan</v>
      </c>
    </row>
    <row r="1361" ht="16.5" customHeight="1">
      <c r="H1361" s="1" t="str">
        <f>IFERROR(__xludf.DUMMYFUNCTION("""COMPUTED_VALUE"""),"HEALTHCARE HERBAL")</f>
        <v>HEALTHCARE HERBAL</v>
      </c>
    </row>
    <row r="1362" ht="16.5" customHeight="1">
      <c r="H1362" s="1" t="str">
        <f>IFERROR(__xludf.DUMMYFUNCTION("""COMPUTED_VALUE"""),"Healthkind Labs Pvt. Ltd.")</f>
        <v>Healthkind Labs Pvt. Ltd.</v>
      </c>
    </row>
    <row r="1363" ht="16.5" customHeight="1">
      <c r="H1363" s="1" t="str">
        <f>IFERROR(__xludf.DUMMYFUNCTION("""COMPUTED_VALUE"""),"HEILMITTEL PHARMA")</f>
        <v>HEILMITTEL PHARMA</v>
      </c>
    </row>
    <row r="1364" ht="16.5" customHeight="1">
      <c r="H1364" s="1" t="str">
        <f>IFERROR(__xludf.DUMMYFUNCTION("""COMPUTED_VALUE"""),"Heinz India Pvt Ltd")</f>
        <v>Heinz India Pvt Ltd</v>
      </c>
    </row>
    <row r="1365" ht="16.5" customHeight="1">
      <c r="H1365" s="1" t="str">
        <f>IFERROR(__xludf.DUMMYFUNCTION("""COMPUTED_VALUE"""),"HELAX HEALTHCARE P LTD")</f>
        <v>HELAX HEALTHCARE P LTD</v>
      </c>
    </row>
    <row r="1366" ht="16.5" customHeight="1">
      <c r="H1366" s="1" t="str">
        <f>IFERROR(__xludf.DUMMYFUNCTION("""COMPUTED_VALUE"""),"HELBREDE HEALTHCARE LTD")</f>
        <v>HELBREDE HEALTHCARE LTD</v>
      </c>
    </row>
    <row r="1367" ht="16.5" customHeight="1">
      <c r="H1367" s="1" t="str">
        <f>IFERROR(__xludf.DUMMYFUNCTION("""COMPUTED_VALUE"""),"HELIK PHARMACEUTICAL")</f>
        <v>HELIK PHARMACEUTICAL</v>
      </c>
    </row>
    <row r="1368" ht="16.5" customHeight="1">
      <c r="H1368" s="1" t="str">
        <f>IFERROR(__xludf.DUMMYFUNCTION("""COMPUTED_VALUE"""),"Helios Pharmaceuticals (GENERIC)")</f>
        <v>Helios Pharmaceuticals (GENERIC)</v>
      </c>
    </row>
    <row r="1369" ht="16.5" customHeight="1">
      <c r="H1369" s="1" t="str">
        <f>IFERROR(__xludf.DUMMYFUNCTION("""COMPUTED_VALUE"""),"HELLOBABY PVT LTD")</f>
        <v>HELLOBABY PVT LTD</v>
      </c>
    </row>
    <row r="1370" ht="16.5" customHeight="1">
      <c r="H1370" s="1" t="str">
        <f>IFERROR(__xludf.DUMMYFUNCTION("""COMPUTED_VALUE"""),"HEMRUS THEREPATICS PVT LTD")</f>
        <v>HEMRUS THEREPATICS PVT LTD</v>
      </c>
    </row>
    <row r="1371" ht="16.5" customHeight="1">
      <c r="H1371" s="1" t="str">
        <f>IFERROR(__xludf.DUMMYFUNCTION("""COMPUTED_VALUE"""),"HEPTAGON LIFESCIENCES PVT LTD")</f>
        <v>HEPTAGON LIFESCIENCES PVT LTD</v>
      </c>
    </row>
    <row r="1372" ht="16.5" customHeight="1">
      <c r="H1372" s="1" t="str">
        <f>IFERROR(__xludf.DUMMYFUNCTION("""COMPUTED_VALUE"""),"HERB EDGE HEALTH CARE PVT LTD")</f>
        <v>HERB EDGE HEALTH CARE PVT LTD</v>
      </c>
    </row>
    <row r="1373" ht="16.5" customHeight="1">
      <c r="H1373" s="1" t="str">
        <f>IFERROR(__xludf.DUMMYFUNCTION("""COMPUTED_VALUE"""),"HERBAL AYURVEDA &amp; RESEARCH CENTRE")</f>
        <v>HERBAL AYURVEDA &amp; RESEARCH CENTRE</v>
      </c>
    </row>
    <row r="1374" ht="16.5" customHeight="1">
      <c r="H1374" s="1" t="str">
        <f>IFERROR(__xludf.DUMMYFUNCTION("""COMPUTED_VALUE"""),"HERBAL GANGA")</f>
        <v>HERBAL GANGA</v>
      </c>
    </row>
    <row r="1375" ht="16.5" customHeight="1">
      <c r="H1375" s="1" t="str">
        <f>IFERROR(__xludf.DUMMYFUNCTION("""COMPUTED_VALUE"""),"HERBO CHEM")</f>
        <v>HERBO CHEM</v>
      </c>
    </row>
    <row r="1376" ht="16.5" customHeight="1">
      <c r="H1376" s="1" t="str">
        <f>IFERROR(__xludf.DUMMYFUNCTION("""COMPUTED_VALUE"""),"HERTZ BIOTECH")</f>
        <v>HERTZ BIOTECH</v>
      </c>
    </row>
    <row r="1377" ht="16.5" customHeight="1">
      <c r="H1377" s="1" t="str">
        <f>IFERROR(__xludf.DUMMYFUNCTION("""COMPUTED_VALUE"""),"Hetero Drugs Ltd")</f>
        <v>Hetero Drugs Ltd</v>
      </c>
    </row>
    <row r="1378" ht="16.5" customHeight="1">
      <c r="H1378" s="1" t="str">
        <f>IFERROR(__xludf.DUMMYFUNCTION("""COMPUTED_VALUE"""),"Hetero Drugs Ltd (DIASPA)")</f>
        <v>Hetero Drugs Ltd (DIASPA)</v>
      </c>
    </row>
    <row r="1379" ht="16.5" customHeight="1">
      <c r="H1379" s="1" t="str">
        <f>IFERROR(__xludf.DUMMYFUNCTION("""COMPUTED_VALUE"""),"Hetero Drugs Ltd (GENIX -HIV)")</f>
        <v>Hetero Drugs Ltd (GENIX -HIV)</v>
      </c>
    </row>
    <row r="1380" ht="16.5" customHeight="1">
      <c r="H1380" s="1" t="str">
        <f>IFERROR(__xludf.DUMMYFUNCTION("""COMPUTED_VALUE"""),"Hetero Drugs Ltd (GENIX)")</f>
        <v>Hetero Drugs Ltd (GENIX)</v>
      </c>
    </row>
    <row r="1381" ht="16.5" customHeight="1">
      <c r="H1381" s="1" t="str">
        <f>IFERROR(__xludf.DUMMYFUNCTION("""COMPUTED_VALUE"""),"Hetero Drugs Ltd (KRIS)")</f>
        <v>Hetero Drugs Ltd (KRIS)</v>
      </c>
    </row>
    <row r="1382" ht="16.5" customHeight="1">
      <c r="H1382" s="1" t="str">
        <f>IFERROR(__xludf.DUMMYFUNCTION("""COMPUTED_VALUE"""),"Hetero Drugs Ltd (MAIN)")</f>
        <v>Hetero Drugs Ltd (MAIN)</v>
      </c>
    </row>
    <row r="1383" ht="16.5" customHeight="1">
      <c r="H1383" s="1" t="str">
        <f>IFERROR(__xludf.DUMMYFUNCTION("""COMPUTED_VALUE"""),"Hetero Drugs Ltd (NEURO)")</f>
        <v>Hetero Drugs Ltd (NEURO)</v>
      </c>
    </row>
    <row r="1384" ht="16.5" customHeight="1">
      <c r="H1384" s="1" t="str">
        <f>IFERROR(__xludf.DUMMYFUNCTION("""COMPUTED_VALUE"""),"Hetero Drugs Ltd (SPECIALITY)")</f>
        <v>Hetero Drugs Ltd (SPECIALITY)</v>
      </c>
    </row>
    <row r="1385" ht="16.5" customHeight="1">
      <c r="H1385" s="1" t="str">
        <f>IFERROR(__xludf.DUMMYFUNCTION("""COMPUTED_VALUE"""),"Hetero Drugs Ltd (VIROLOGY)")</f>
        <v>Hetero Drugs Ltd (VIROLOGY)</v>
      </c>
    </row>
    <row r="1386" ht="16.5" customHeight="1">
      <c r="H1386" s="1" t="str">
        <f>IFERROR(__xludf.DUMMYFUNCTION("""COMPUTED_VALUE"""),"HETRO (COVIFOR)")</f>
        <v>HETRO (COVIFOR)</v>
      </c>
    </row>
    <row r="1387" ht="16.5" customHeight="1">
      <c r="H1387" s="1" t="str">
        <f>IFERROR(__xludf.DUMMYFUNCTION("""COMPUTED_VALUE"""),"HETRO (FRENZA)")</f>
        <v>HETRO (FRENZA)</v>
      </c>
    </row>
    <row r="1388" ht="16.5" customHeight="1">
      <c r="H1388" s="1" t="str">
        <f>IFERROR(__xludf.DUMMYFUNCTION("""COMPUTED_VALUE"""),"HETRO (RUMETO)")</f>
        <v>HETRO (RUMETO)</v>
      </c>
    </row>
    <row r="1389" ht="16.5" customHeight="1">
      <c r="H1389" s="1" t="str">
        <f>IFERROR(__xludf.DUMMYFUNCTION("""COMPUTED_VALUE"""),"HEXAGON NUTRITION")</f>
        <v>HEXAGON NUTRITION</v>
      </c>
    </row>
    <row r="1390" ht="16.5" customHeight="1">
      <c r="H1390" s="1" t="str">
        <f>IFERROR(__xludf.DUMMYFUNCTION("""COMPUTED_VALUE"""),"Hexagon Nutrition Pvt Ltd")</f>
        <v>Hexagon Nutrition Pvt Ltd</v>
      </c>
    </row>
    <row r="1391" ht="16.5" customHeight="1">
      <c r="H1391" s="1" t="str">
        <f>IFERROR(__xludf.DUMMYFUNCTION("""COMPUTED_VALUE"""),"Hi Tech Pharmaceuticals Pvt Ltd")</f>
        <v>Hi Tech Pharmaceuticals Pvt Ltd</v>
      </c>
    </row>
    <row r="1392" ht="16.5" customHeight="1">
      <c r="H1392" s="1" t="str">
        <f>IFERROR(__xludf.DUMMYFUNCTION("""COMPUTED_VALUE"""),"Hicare Pharma")</f>
        <v>Hicare Pharma</v>
      </c>
    </row>
    <row r="1393" ht="16.5" customHeight="1">
      <c r="H1393" s="1" t="str">
        <f>IFERROR(__xludf.DUMMYFUNCTION("""COMPUTED_VALUE"""),"HICKS")</f>
        <v>HICKS</v>
      </c>
    </row>
    <row r="1394" ht="16.5" customHeight="1">
      <c r="H1394" s="1" t="str">
        <f>IFERROR(__xludf.DUMMYFUNCTION("""COMPUTED_VALUE"""),"HIDUSTAN REMEDIES")</f>
        <v>HIDUSTAN REMEDIES</v>
      </c>
    </row>
    <row r="1395" ht="16.5" customHeight="1">
      <c r="H1395" s="1" t="str">
        <f>IFERROR(__xludf.DUMMYFUNCTION("""COMPUTED_VALUE"""),"HIGLANCE LABORATORIES")</f>
        <v>HIGLANCE LABORATORIES</v>
      </c>
    </row>
    <row r="1396" ht="16.5" customHeight="1">
      <c r="H1396" s="1" t="str">
        <f>IFERROR(__xludf.DUMMYFUNCTION("""COMPUTED_VALUE"""),"HIMALAYA (BABY CARE)")</f>
        <v>HIMALAYA (BABY CARE)</v>
      </c>
    </row>
    <row r="1397" ht="16.5" customHeight="1">
      <c r="H1397" s="1" t="str">
        <f>IFERROR(__xludf.DUMMYFUNCTION("""COMPUTED_VALUE"""),"HIMALAYA (HOSPITAL &amp; DENTAL)")</f>
        <v>HIMALAYA (HOSPITAL &amp; DENTAL)</v>
      </c>
    </row>
    <row r="1398" ht="16.5" customHeight="1">
      <c r="H1398" s="1" t="str">
        <f>IFERROR(__xludf.DUMMYFUNCTION("""COMPUTED_VALUE"""),"HIMALAYA (OTX)")</f>
        <v>HIMALAYA (OTX)</v>
      </c>
    </row>
    <row r="1399" ht="16.5" customHeight="1">
      <c r="H1399" s="1" t="str">
        <f>IFERROR(__xludf.DUMMYFUNCTION("""COMPUTED_VALUE"""),"HIMALAYA (PET CARE)")</f>
        <v>HIMALAYA (PET CARE)</v>
      </c>
    </row>
    <row r="1400" ht="16.5" customHeight="1">
      <c r="H1400" s="1" t="str">
        <f>IFERROR(__xludf.DUMMYFUNCTION("""COMPUTED_VALUE"""),"HIMALAYA (ZANDRA)")</f>
        <v>HIMALAYA (ZANDRA)</v>
      </c>
    </row>
    <row r="1401" ht="16.5" customHeight="1">
      <c r="H1401" s="1" t="str">
        <f>IFERROR(__xludf.DUMMYFUNCTION("""COMPUTED_VALUE"""),"HIMALAYA (ZEAL)")</f>
        <v>HIMALAYA (ZEAL)</v>
      </c>
    </row>
    <row r="1402" ht="16.5" customHeight="1">
      <c r="H1402" s="1" t="str">
        <f>IFERROR(__xludf.DUMMYFUNCTION("""COMPUTED_VALUE"""),"HIMALAYA (ZENITH)")</f>
        <v>HIMALAYA (ZENITH)</v>
      </c>
    </row>
    <row r="1403" ht="16.5" customHeight="1">
      <c r="H1403" s="1" t="str">
        <f>IFERROR(__xludf.DUMMYFUNCTION("""COMPUTED_VALUE"""),"HIMALAYA (ZEUS)")</f>
        <v>HIMALAYA (ZEUS)</v>
      </c>
    </row>
    <row r="1404" ht="16.5" customHeight="1">
      <c r="H1404" s="1" t="str">
        <f>IFERROR(__xludf.DUMMYFUNCTION("""COMPUTED_VALUE"""),"HIMALAYA (ZINDEL)")</f>
        <v>HIMALAYA (ZINDEL)</v>
      </c>
    </row>
    <row r="1405" ht="16.5" customHeight="1">
      <c r="H1405" s="1" t="str">
        <f>IFERROR(__xludf.DUMMYFUNCTION("""COMPUTED_VALUE"""),"HIMALAYA (ZIVANKA)")</f>
        <v>HIMALAYA (ZIVANKA)</v>
      </c>
    </row>
    <row r="1406" ht="16.5" customHeight="1">
      <c r="H1406" s="1" t="str">
        <f>IFERROR(__xludf.DUMMYFUNCTION("""COMPUTED_VALUE"""),"Himalaya Drug Company")</f>
        <v>Himalaya Drug Company</v>
      </c>
    </row>
    <row r="1407" ht="16.5" customHeight="1">
      <c r="H1407" s="1" t="str">
        <f>IFERROR(__xludf.DUMMYFUNCTION("""COMPUTED_VALUE"""),"HIMALAYAN MEDICARE PVT LTD")</f>
        <v>HIMALAYAN MEDICARE PVT LTD</v>
      </c>
    </row>
    <row r="1408" ht="16.5" customHeight="1">
      <c r="H1408" s="1" t="str">
        <f>IFERROR(__xludf.DUMMYFUNCTION("""COMPUTED_VALUE"""),"HIMANI")</f>
        <v>HIMANI</v>
      </c>
    </row>
    <row r="1409" ht="16.5" customHeight="1">
      <c r="H1409" s="1" t="str">
        <f>IFERROR(__xludf.DUMMYFUNCTION("""COMPUTED_VALUE"""),"HIMANSHU PHARMACEUTICALS P LTD")</f>
        <v>HIMANSHU PHARMACEUTICALS P LTD</v>
      </c>
    </row>
    <row r="1410" ht="16.5" customHeight="1">
      <c r="H1410" s="1" t="str">
        <f>IFERROR(__xludf.DUMMYFUNCTION("""COMPUTED_VALUE"""),"HIMEROS PHARMA")</f>
        <v>HIMEROS PHARMA</v>
      </c>
    </row>
    <row r="1411" ht="16.5" customHeight="1">
      <c r="H1411" s="1" t="str">
        <f>IFERROR(__xludf.DUMMYFUNCTION("""COMPUTED_VALUE"""),"HIND C&amp;C WORKS")</f>
        <v>HIND C&amp;C WORKS</v>
      </c>
    </row>
    <row r="1412" ht="16.5" customHeight="1">
      <c r="H1412" s="1" t="str">
        <f>IFERROR(__xludf.DUMMYFUNCTION("""COMPUTED_VALUE"""),"HIND CHEMICALS")</f>
        <v>HIND CHEMICALS</v>
      </c>
    </row>
    <row r="1413" ht="16.5" customHeight="1">
      <c r="H1413" s="1" t="str">
        <f>IFERROR(__xludf.DUMMYFUNCTION("""COMPUTED_VALUE"""),"HINDUKUSH BIOPRODUCTS PVT LTD (EMAAR)")</f>
        <v>HINDUKUSH BIOPRODUCTS PVT LTD (EMAAR)</v>
      </c>
    </row>
    <row r="1414" ht="16.5" customHeight="1">
      <c r="H1414" s="1" t="str">
        <f>IFERROR(__xludf.DUMMYFUNCTION("""COMPUTED_VALUE"""),"HINDUSTAN LATEX FAMILY PLANNING PROMOTION TRUST (HLFPPT)")</f>
        <v>HINDUSTAN LATEX FAMILY PLANNING PROMOTION TRUST (HLFPPT)</v>
      </c>
    </row>
    <row r="1415" ht="16.5" customHeight="1">
      <c r="H1415" s="1" t="str">
        <f>IFERROR(__xludf.DUMMYFUNCTION("""COMPUTED_VALUE"""),"Hindustan Latex Ltd")</f>
        <v>Hindustan Latex Ltd</v>
      </c>
    </row>
    <row r="1416" ht="16.5" customHeight="1">
      <c r="H1416" s="1" t="str">
        <f>IFERROR(__xludf.DUMMYFUNCTION("""COMPUTED_VALUE"""),"HINDUSTAN LIFESCIENCES")</f>
        <v>HINDUSTAN LIFESCIENCES</v>
      </c>
    </row>
    <row r="1417" ht="16.5" customHeight="1">
      <c r="H1417" s="1" t="str">
        <f>IFERROR(__xludf.DUMMYFUNCTION("""COMPUTED_VALUE"""),"HINDUSTAN MEDICARE")</f>
        <v>HINDUSTAN MEDICARE</v>
      </c>
    </row>
    <row r="1418" ht="16.5" customHeight="1">
      <c r="H1418" s="1" t="str">
        <f>IFERROR(__xludf.DUMMYFUNCTION("""COMPUTED_VALUE"""),"HINDUSTAN PHARMA")</f>
        <v>HINDUSTAN PHARMA</v>
      </c>
    </row>
    <row r="1419" ht="16.5" customHeight="1">
      <c r="H1419" s="1" t="str">
        <f>IFERROR(__xludf.DUMMYFUNCTION("""COMPUTED_VALUE"""),"HINDUSTAN SYRINGES AND MEDICAL DEVICES")</f>
        <v>HINDUSTAN SYRINGES AND MEDICAL DEVICES</v>
      </c>
    </row>
    <row r="1420" ht="16.5" customHeight="1">
      <c r="H1420" s="1" t="str">
        <f>IFERROR(__xludf.DUMMYFUNCTION("""COMPUTED_VALUE"""),"HINDUSTAN UNILEVER")</f>
        <v>HINDUSTAN UNILEVER</v>
      </c>
    </row>
    <row r="1421" ht="16.5" customHeight="1">
      <c r="H1421" s="1" t="str">
        <f>IFERROR(__xludf.DUMMYFUNCTION("""COMPUTED_VALUE"""),"Hindustan Unilever Ltd")</f>
        <v>Hindustan Unilever Ltd</v>
      </c>
    </row>
    <row r="1422" ht="16.5" customHeight="1">
      <c r="H1422" s="1" t="str">
        <f>IFERROR(__xludf.DUMMYFUNCTION("""COMPUTED_VALUE"""),"HINIKAM DRUGS AND PHARMACEUTICALS")</f>
        <v>HINIKAM DRUGS AND PHARMACEUTICALS</v>
      </c>
    </row>
    <row r="1423" ht="16.5" customHeight="1">
      <c r="H1423" s="1" t="str">
        <f>IFERROR(__xludf.DUMMYFUNCTION("""COMPUTED_VALUE"""),"HL")</f>
        <v>HL</v>
      </c>
    </row>
    <row r="1424" ht="16.5" customHeight="1">
      <c r="H1424" s="1" t="str">
        <f>IFERROR(__xludf.DUMMYFUNCTION("""COMPUTED_VALUE"""),"HL HEALTHCARE")</f>
        <v>HL HEALTHCARE</v>
      </c>
    </row>
    <row r="1425" ht="16.5" customHeight="1">
      <c r="H1425" s="1" t="str">
        <f>IFERROR(__xludf.DUMMYFUNCTION("""COMPUTED_VALUE"""),"HLL Lifecare Ltd")</f>
        <v>HLL Lifecare Ltd</v>
      </c>
    </row>
    <row r="1426" ht="16.5" customHeight="1">
      <c r="H1426" s="1" t="str">
        <f>IFERROR(__xludf.DUMMYFUNCTION("""COMPUTED_VALUE"""),"HMD LTD")</f>
        <v>HMD LTD</v>
      </c>
    </row>
    <row r="1427" ht="16.5" customHeight="1">
      <c r="H1427" s="1" t="str">
        <f>IFERROR(__xludf.DUMMYFUNCTION("""COMPUTED_VALUE"""),"HOECHEST")</f>
        <v>HOECHEST</v>
      </c>
    </row>
    <row r="1428" ht="16.5" customHeight="1">
      <c r="H1428" s="1" t="str">
        <f>IFERROR(__xludf.DUMMYFUNCTION("""COMPUTED_VALUE"""),"HOME REMEDIES")</f>
        <v>HOME REMEDIES</v>
      </c>
    </row>
    <row r="1429" ht="16.5" customHeight="1">
      <c r="H1429" s="1" t="str">
        <f>IFERROR(__xludf.DUMMYFUNCTION("""COMPUTED_VALUE"""),"HORIZON BIOCEUTICALS PVT LTD")</f>
        <v>HORIZON BIOCEUTICALS PVT LTD</v>
      </c>
    </row>
    <row r="1430" ht="16.5" customHeight="1">
      <c r="H1430" s="1" t="str">
        <f>IFERROR(__xludf.DUMMYFUNCTION("""COMPUTED_VALUE"""),"HORIZON MEDICAMENT")</f>
        <v>HORIZON MEDICAMENT</v>
      </c>
    </row>
    <row r="1431" ht="16.5" customHeight="1">
      <c r="H1431" s="1" t="str">
        <f>IFERROR(__xludf.DUMMYFUNCTION("""COMPUTED_VALUE"""),"HORIZON PHARMACEUTICALS")</f>
        <v>HORIZON PHARMACEUTICALS</v>
      </c>
    </row>
    <row r="1432" ht="16.5" customHeight="1">
      <c r="H1432" s="1" t="str">
        <f>IFERROR(__xludf.DUMMYFUNCTION("""COMPUTED_VALUE"""),"HORWEIZ PHARMACEUTICAL")</f>
        <v>HORWEIZ PHARMACEUTICAL</v>
      </c>
    </row>
    <row r="1433" ht="16.5" customHeight="1">
      <c r="H1433" s="1" t="str">
        <f>IFERROR(__xludf.DUMMYFUNCTION("""COMPUTED_VALUE"""),"HOYA LENS INDIA")</f>
        <v>HOYA LENS INDIA</v>
      </c>
    </row>
    <row r="1434" ht="16.5" customHeight="1">
      <c r="H1434" s="1" t="str">
        <f>IFERROR(__xludf.DUMMYFUNCTION("""COMPUTED_VALUE"""),"HP")</f>
        <v>HP</v>
      </c>
    </row>
    <row r="1435" ht="16.5" customHeight="1">
      <c r="H1435" s="1" t="str">
        <f>IFERROR(__xludf.DUMMYFUNCTION("""COMPUTED_VALUE"""),"HRI HEALTHCARE")</f>
        <v>HRI HEALTHCARE</v>
      </c>
    </row>
    <row r="1436" ht="16.5" customHeight="1">
      <c r="H1436" s="1" t="str">
        <f>IFERROR(__xludf.DUMMYFUNCTION("""COMPUTED_VALUE"""),"HSL")</f>
        <v>HSL</v>
      </c>
    </row>
    <row r="1437" ht="16.5" customHeight="1">
      <c r="H1437" s="1" t="str">
        <f>IFERROR(__xludf.DUMMYFUNCTION("""COMPUTED_VALUE"""),"HUMAN BIO ORGANIC")</f>
        <v>HUMAN BIO ORGANIC</v>
      </c>
    </row>
    <row r="1438" ht="16.5" customHeight="1">
      <c r="H1438" s="1" t="str">
        <f>IFERROR(__xludf.DUMMYFUNCTION("""COMPUTED_VALUE"""),"HUMAN HEALTH CARE")</f>
        <v>HUMAN HEALTH CARE</v>
      </c>
    </row>
    <row r="1439" ht="16.5" customHeight="1">
      <c r="H1439" s="1" t="str">
        <f>IFERROR(__xludf.DUMMYFUNCTION("""COMPUTED_VALUE"""),"HUMANBIO-LOGICAL PVT LTD")</f>
        <v>HUMANBIO-LOGICAL PVT LTD</v>
      </c>
    </row>
    <row r="1440" ht="16.5" customHeight="1">
      <c r="H1440" s="1" t="str">
        <f>IFERROR(__xludf.DUMMYFUNCTION("""COMPUTED_VALUE"""),"HUMMOCK PHARMACEUTICALS PVT LTD")</f>
        <v>HUMMOCK PHARMACEUTICALS PVT LTD</v>
      </c>
    </row>
    <row r="1441" ht="16.5" customHeight="1">
      <c r="H1441" s="1" t="str">
        <f>IFERROR(__xludf.DUMMYFUNCTION("""COMPUTED_VALUE"""),"HUMONYX BIOSCIENCE PVT LTD")</f>
        <v>HUMONYX BIOSCIENCE PVT LTD</v>
      </c>
    </row>
    <row r="1442" ht="16.5" customHeight="1">
      <c r="H1442" s="1" t="str">
        <f>IFERROR(__xludf.DUMMYFUNCTION("""COMPUTED_VALUE"""),"HUMPS INDIA PVT LTD")</f>
        <v>HUMPS INDIA PVT LTD</v>
      </c>
    </row>
    <row r="1443" ht="16.5" customHeight="1">
      <c r="H1443" s="1" t="str">
        <f>IFERROR(__xludf.DUMMYFUNCTION("""COMPUTED_VALUE"""),"HYGEIA LABS")</f>
        <v>HYGEIA LABS</v>
      </c>
    </row>
    <row r="1444" ht="16.5" customHeight="1">
      <c r="H1444" s="1" t="str">
        <f>IFERROR(__xludf.DUMMYFUNCTION("""COMPUTED_VALUE"""),"HYGEIA LABS (H)")</f>
        <v>HYGEIA LABS (H)</v>
      </c>
    </row>
    <row r="1445" ht="16.5" customHeight="1">
      <c r="H1445" s="1" t="str">
        <f>IFERROR(__xludf.DUMMYFUNCTION("""COMPUTED_VALUE"""),"HYGIENIC RESEARCH INSTITUTE")</f>
        <v>HYGIENIC RESEARCH INSTITUTE</v>
      </c>
    </row>
    <row r="1446" ht="16.5" customHeight="1">
      <c r="H1446" s="1" t="str">
        <f>IFERROR(__xludf.DUMMYFUNCTION("""COMPUTED_VALUE"""),"HYMAX HEALTHCARE P LTD")</f>
        <v>HYMAX HEALTHCARE P LTD</v>
      </c>
    </row>
    <row r="1447" ht="16.5" customHeight="1">
      <c r="H1447" s="1" t="str">
        <f>IFERROR(__xludf.DUMMYFUNCTION("""COMPUTED_VALUE"""),"HYPATOS PHARMACEUTICALS PVT LTD")</f>
        <v>HYPATOS PHARMACEUTICALS PVT LTD</v>
      </c>
    </row>
    <row r="1448" ht="16.5" customHeight="1">
      <c r="H1448" s="1" t="str">
        <f>IFERROR(__xludf.DUMMYFUNCTION("""COMPUTED_VALUE"""),"HYPOLIN")</f>
        <v>HYPOLIN</v>
      </c>
    </row>
    <row r="1449" ht="16.5" customHeight="1">
      <c r="H1449" s="1" t="str">
        <f>IFERROR(__xludf.DUMMYFUNCTION("""COMPUTED_VALUE"""),"I CONNECT")</f>
        <v>I CONNECT</v>
      </c>
    </row>
    <row r="1450" ht="16.5" customHeight="1">
      <c r="H1450" s="1" t="str">
        <f>IFERROR(__xludf.DUMMYFUNCTION("""COMPUTED_VALUE"""),"IBERIA SKIN BRANDS INDIA PVT LTD")</f>
        <v>IBERIA SKIN BRANDS INDIA PVT LTD</v>
      </c>
    </row>
    <row r="1451" ht="16.5" customHeight="1">
      <c r="H1451" s="1" t="str">
        <f>IFERROR(__xludf.DUMMYFUNCTION("""COMPUTED_VALUE"""),"IBLUE (GENERIC)")</f>
        <v>IBLUE (GENERIC)</v>
      </c>
    </row>
    <row r="1452" ht="16.5" customHeight="1">
      <c r="H1452" s="1" t="str">
        <f>IFERROR(__xludf.DUMMYFUNCTION("""COMPUTED_VALUE"""),"ICON (IMPETUS)")</f>
        <v>ICON (IMPETUS)</v>
      </c>
    </row>
    <row r="1453" ht="16.5" customHeight="1">
      <c r="H1453" s="1" t="str">
        <f>IFERROR(__xludf.DUMMYFUNCTION("""COMPUTED_VALUE"""),"ICON (ITTRIA)")</f>
        <v>ICON (ITTRIA)</v>
      </c>
    </row>
    <row r="1454" ht="16.5" customHeight="1">
      <c r="H1454" s="1" t="str">
        <f>IFERROR(__xludf.DUMMYFUNCTION("""COMPUTED_VALUE"""),"ICON HEALTH CARE")</f>
        <v>ICON HEALTH CARE</v>
      </c>
    </row>
    <row r="1455" ht="16.5" customHeight="1">
      <c r="H1455" s="1" t="str">
        <f>IFERROR(__xludf.DUMMYFUNCTION("""COMPUTED_VALUE"""),"Icon Life Sciences")</f>
        <v>Icon Life Sciences</v>
      </c>
    </row>
    <row r="1456" ht="16.5" customHeight="1">
      <c r="H1456" s="1" t="str">
        <f>IFERROR(__xludf.DUMMYFUNCTION("""COMPUTED_VALUE"""),"Icon Pharma &amp; Surgicals Pvt Ltd")</f>
        <v>Icon Pharma &amp; Surgicals Pvt Ltd</v>
      </c>
    </row>
    <row r="1457" ht="16.5" customHeight="1">
      <c r="H1457" s="1" t="str">
        <f>IFERROR(__xludf.DUMMYFUNCTION("""COMPUTED_VALUE"""),"Icpa Health Products Ltd")</f>
        <v>Icpa Health Products Ltd</v>
      </c>
    </row>
    <row r="1458" ht="16.5" customHeight="1">
      <c r="H1458" s="1" t="str">
        <f>IFERROR(__xludf.DUMMYFUNCTION("""COMPUTED_VALUE"""),"IIFA HEALTHCARE")</f>
        <v>IIFA HEALTHCARE</v>
      </c>
    </row>
    <row r="1459" ht="16.5" customHeight="1">
      <c r="H1459" s="1" t="str">
        <f>IFERROR(__xludf.DUMMYFUNCTION("""COMPUTED_VALUE"""),"Ikon Pharmachem Pvt Ltd")</f>
        <v>Ikon Pharmachem Pvt Ltd</v>
      </c>
    </row>
    <row r="1460" ht="16.5" customHeight="1">
      <c r="H1460" s="1" t="str">
        <f>IFERROR(__xludf.DUMMYFUNCTION("""COMPUTED_VALUE"""),"IKON REMEDIES")</f>
        <v>IKON REMEDIES</v>
      </c>
    </row>
    <row r="1461" ht="16.5" customHeight="1">
      <c r="H1461" s="1" t="str">
        <f>IFERROR(__xludf.DUMMYFUNCTION("""COMPUTED_VALUE"""),"IKON REMEDIES (GENERIC)")</f>
        <v>IKON REMEDIES (GENERIC)</v>
      </c>
    </row>
    <row r="1462" ht="16.5" customHeight="1">
      <c r="H1462" s="1" t="str">
        <f>IFERROR(__xludf.DUMMYFUNCTION("""COMPUTED_VALUE"""),"INAVARS BIOLOGICALS INC")</f>
        <v>INAVARS BIOLOGICALS INC</v>
      </c>
    </row>
    <row r="1463" ht="16.5" customHeight="1">
      <c r="H1463" s="1" t="str">
        <f>IFERROR(__xludf.DUMMYFUNCTION("""COMPUTED_VALUE"""),"INCEPTA PHARMACEUTICALS LTD")</f>
        <v>INCEPTA PHARMACEUTICALS LTD</v>
      </c>
    </row>
    <row r="1464" ht="16.5" customHeight="1">
      <c r="H1464" s="1" t="str">
        <f>IFERROR(__xludf.DUMMYFUNCTION("""COMPUTED_VALUE"""),"INCIPE PHARMACEUTICAL")</f>
        <v>INCIPE PHARMACEUTICAL</v>
      </c>
    </row>
    <row r="1465" ht="16.5" customHeight="1">
      <c r="H1465" s="1" t="str">
        <f>IFERROR(__xludf.DUMMYFUNCTION("""COMPUTED_VALUE"""),"IND RUSSIAN")</f>
        <v>IND RUSSIAN</v>
      </c>
    </row>
    <row r="1466" ht="16.5" customHeight="1">
      <c r="H1466" s="1" t="str">
        <f>IFERROR(__xludf.DUMMYFUNCTION("""COMPUTED_VALUE"""),"Ind Swift (CARDIOSWIFT)")</f>
        <v>Ind Swift (CARDIOSWIFT)</v>
      </c>
    </row>
    <row r="1467" ht="16.5" customHeight="1">
      <c r="H1467" s="1" t="str">
        <f>IFERROR(__xludf.DUMMYFUNCTION("""COMPUTED_VALUE"""),"Ind Swift (GYANOSWIFT)")</f>
        <v>Ind Swift (GYANOSWIFT)</v>
      </c>
    </row>
    <row r="1468" ht="16.5" customHeight="1">
      <c r="H1468" s="1" t="str">
        <f>IFERROR(__xludf.DUMMYFUNCTION("""COMPUTED_VALUE"""),"Ind Swift (MEGASWIFT)")</f>
        <v>Ind Swift (MEGASWIFT)</v>
      </c>
    </row>
    <row r="1469" ht="16.5" customHeight="1">
      <c r="H1469" s="1" t="str">
        <f>IFERROR(__xludf.DUMMYFUNCTION("""COMPUTED_VALUE"""),"Ind Swift (NEUTRAMATRIX)")</f>
        <v>Ind Swift (NEUTRAMATRIX)</v>
      </c>
    </row>
    <row r="1470" ht="16.5" customHeight="1">
      <c r="H1470" s="1" t="str">
        <f>IFERROR(__xludf.DUMMYFUNCTION("""COMPUTED_VALUE"""),"Ind Swift Laboratories (GENERIC)")</f>
        <v>Ind Swift Laboratories (GENERIC)</v>
      </c>
    </row>
    <row r="1471" ht="16.5" customHeight="1">
      <c r="H1471" s="1" t="str">
        <f>IFERROR(__xludf.DUMMYFUNCTION("""COMPUTED_VALUE"""),"Ind Swift Laboratories Ltd")</f>
        <v>Ind Swift Laboratories Ltd</v>
      </c>
    </row>
    <row r="1472" ht="16.5" customHeight="1">
      <c r="H1472" s="1" t="str">
        <f>IFERROR(__xludf.DUMMYFUNCTION("""COMPUTED_VALUE"""),"Indchemi Health Specialies Pvt Ltd")</f>
        <v>Indchemi Health Specialies Pvt Ltd</v>
      </c>
    </row>
    <row r="1473" ht="16.5" customHeight="1">
      <c r="H1473" s="1" t="str">
        <f>IFERROR(__xludf.DUMMYFUNCTION("""COMPUTED_VALUE"""),"Indi Pharma")</f>
        <v>Indi Pharma</v>
      </c>
    </row>
    <row r="1474" ht="16.5" customHeight="1">
      <c r="H1474" s="1" t="str">
        <f>IFERROR(__xludf.DUMMYFUNCTION("""COMPUTED_VALUE"""),"INDIABULLS (CRITICA)")</f>
        <v>INDIABULLS (CRITICA)</v>
      </c>
    </row>
    <row r="1475" ht="16.5" customHeight="1">
      <c r="H1475" s="1" t="str">
        <f>IFERROR(__xludf.DUMMYFUNCTION("""COMPUTED_VALUE"""),"INDIABULLS (CVD)")</f>
        <v>INDIABULLS (CVD)</v>
      </c>
    </row>
    <row r="1476" ht="16.5" customHeight="1">
      <c r="H1476" s="1" t="str">
        <f>IFERROR(__xludf.DUMMYFUNCTION("""COMPUTED_VALUE"""),"INDIABULLS (DERMANEX 1)")</f>
        <v>INDIABULLS (DERMANEX 1)</v>
      </c>
    </row>
    <row r="1477" ht="16.5" customHeight="1">
      <c r="H1477" s="1" t="str">
        <f>IFERROR(__xludf.DUMMYFUNCTION("""COMPUTED_VALUE"""),"INDIABULLS (DERMANEX 2)")</f>
        <v>INDIABULLS (DERMANEX 2)</v>
      </c>
    </row>
    <row r="1478" ht="16.5" customHeight="1">
      <c r="H1478" s="1" t="str">
        <f>IFERROR(__xludf.DUMMYFUNCTION("""COMPUTED_VALUE"""),"INDIABULLS (DERMANEX 3)")</f>
        <v>INDIABULLS (DERMANEX 3)</v>
      </c>
    </row>
    <row r="1479" ht="16.5" customHeight="1">
      <c r="H1479" s="1" t="str">
        <f>IFERROR(__xludf.DUMMYFUNCTION("""COMPUTED_VALUE"""),"INDIABULLS (FEMINEX)")</f>
        <v>INDIABULLS (FEMINEX)</v>
      </c>
    </row>
    <row r="1480" ht="16.5" customHeight="1">
      <c r="H1480" s="1" t="str">
        <f>IFERROR(__xludf.DUMMYFUNCTION("""COMPUTED_VALUE"""),"INDIABULLS (INVICTA)")</f>
        <v>INDIABULLS (INVICTA)</v>
      </c>
    </row>
    <row r="1481" ht="16.5" customHeight="1">
      <c r="H1481" s="1" t="str">
        <f>IFERROR(__xludf.DUMMYFUNCTION("""COMPUTED_VALUE"""),"INDIABULLS (NEXPIRA)")</f>
        <v>INDIABULLS (NEXPIRA)</v>
      </c>
    </row>
    <row r="1482" ht="16.5" customHeight="1">
      <c r="H1482" s="1" t="str">
        <f>IFERROR(__xludf.DUMMYFUNCTION("""COMPUTED_VALUE"""),"INDIABULLS (PEDIA)")</f>
        <v>INDIABULLS (PEDIA)</v>
      </c>
    </row>
    <row r="1483" ht="16.5" customHeight="1">
      <c r="H1483" s="1" t="str">
        <f>IFERROR(__xludf.DUMMYFUNCTION("""COMPUTED_VALUE"""),"INDIABULLS (PHARMACEUTICAL)")</f>
        <v>INDIABULLS (PHARMACEUTICAL)</v>
      </c>
    </row>
    <row r="1484" ht="16.5" customHeight="1">
      <c r="H1484" s="1" t="str">
        <f>IFERROR(__xludf.DUMMYFUNCTION("""COMPUTED_VALUE"""),"INDIABULLS (PRIMA)")</f>
        <v>INDIABULLS (PRIMA)</v>
      </c>
    </row>
    <row r="1485" ht="16.5" customHeight="1">
      <c r="H1485" s="1" t="str">
        <f>IFERROR(__xludf.DUMMYFUNCTION("""COMPUTED_VALUE"""),"INDIABULLS (VESTA)")</f>
        <v>INDIABULLS (VESTA)</v>
      </c>
    </row>
    <row r="1486" ht="16.5" customHeight="1">
      <c r="H1486" s="1" t="str">
        <f>IFERROR(__xludf.DUMMYFUNCTION("""COMPUTED_VALUE"""),"INDIABULLS PHARMACEUTICAL")</f>
        <v>INDIABULLS PHARMACEUTICAL</v>
      </c>
    </row>
    <row r="1487" ht="16.5" customHeight="1">
      <c r="H1487" s="1" t="str">
        <f>IFERROR(__xludf.DUMMYFUNCTION("""COMPUTED_VALUE"""),"INDIAN CHEMICAL WORKS")</f>
        <v>INDIAN CHEMICAL WORKS</v>
      </c>
    </row>
    <row r="1488" ht="16.5" customHeight="1">
      <c r="H1488" s="1" t="str">
        <f>IFERROR(__xludf.DUMMYFUNCTION("""COMPUTED_VALUE"""),"Indian Immunologicals Ltd")</f>
        <v>Indian Immunologicals Ltd</v>
      </c>
    </row>
    <row r="1489" ht="16.5" customHeight="1">
      <c r="H1489" s="1" t="str">
        <f>IFERROR(__xludf.DUMMYFUNCTION("""COMPUTED_VALUE"""),"INDIAN TRADERS (OEP)")</f>
        <v>INDIAN TRADERS (OEP)</v>
      </c>
    </row>
    <row r="1490" ht="16.5" customHeight="1">
      <c r="H1490" s="1" t="str">
        <f>IFERROR(__xludf.DUMMYFUNCTION("""COMPUTED_VALUE"""),"Indica Laboratories Pvt Ltd")</f>
        <v>Indica Laboratories Pvt Ltd</v>
      </c>
    </row>
    <row r="1491" ht="16.5" customHeight="1">
      <c r="H1491" s="1" t="str">
        <f>IFERROR(__xludf.DUMMYFUNCTION("""COMPUTED_VALUE"""),"INDILINA PHARMACEUTICALS")</f>
        <v>INDILINA PHARMACEUTICALS</v>
      </c>
    </row>
    <row r="1492" ht="16.5" customHeight="1">
      <c r="H1492" s="1" t="str">
        <f>IFERROR(__xludf.DUMMYFUNCTION("""COMPUTED_VALUE"""),"Indkus Drugs &amp; Pharma Pvt. Ltd")</f>
        <v>Indkus Drugs &amp; Pharma Pvt. Ltd</v>
      </c>
    </row>
    <row r="1493" ht="16.5" customHeight="1">
      <c r="H1493" s="1" t="str">
        <f>IFERROR(__xludf.DUMMYFUNCTION("""COMPUTED_VALUE"""),"Indkus Drugs &amp; Pharma Pvt. Ltd.")</f>
        <v>Indkus Drugs &amp; Pharma Pvt. Ltd.</v>
      </c>
    </row>
    <row r="1494" ht="16.5" customHeight="1">
      <c r="H1494" s="1" t="str">
        <f>IFERROR(__xludf.DUMMYFUNCTION("""COMPUTED_VALUE"""),"INDOCO REMEDIES (WARREN-EXEL)")</f>
        <v>INDOCO REMEDIES (WARREN-EXEL)</v>
      </c>
    </row>
    <row r="1495" ht="16.5" customHeight="1">
      <c r="H1495" s="1" t="str">
        <f>IFERROR(__xludf.DUMMYFUNCTION("""COMPUTED_VALUE"""),"INDOCO REMEDIES (WARREN)")</f>
        <v>INDOCO REMEDIES (WARREN)</v>
      </c>
    </row>
    <row r="1496" ht="16.5" customHeight="1">
      <c r="H1496" s="1" t="str">
        <f>IFERROR(__xludf.DUMMYFUNCTION("""COMPUTED_VALUE"""),"Indoco Remedies Ltd")</f>
        <v>Indoco Remedies Ltd</v>
      </c>
    </row>
    <row r="1497" ht="16.5" customHeight="1">
      <c r="H1497" s="1" t="str">
        <f>IFERROR(__xludf.DUMMYFUNCTION("""COMPUTED_VALUE"""),"INDON HEALTHCARE LTD.")</f>
        <v>INDON HEALTHCARE LTD.</v>
      </c>
    </row>
    <row r="1498" ht="16.5" customHeight="1">
      <c r="H1498" s="1" t="str">
        <f>IFERROR(__xludf.DUMMYFUNCTION("""COMPUTED_VALUE"""),"INDORE MEDICINE HOUSE (COMMON)")</f>
        <v>INDORE MEDICINE HOUSE (COMMON)</v>
      </c>
    </row>
    <row r="1499" ht="16.5" customHeight="1">
      <c r="H1499" s="1" t="str">
        <f>IFERROR(__xludf.DUMMYFUNCTION("""COMPUTED_VALUE"""),"INDORE MEDICINE HOUSE (VETERINARY)")</f>
        <v>INDORE MEDICINE HOUSE (VETERINARY)</v>
      </c>
    </row>
    <row r="1500" ht="16.5" customHeight="1">
      <c r="H1500" s="1" t="str">
        <f>IFERROR(__xludf.DUMMYFUNCTION("""COMPUTED_VALUE"""),"INDOSS LIFE SCIENCES")</f>
        <v>INDOSS LIFE SCIENCES</v>
      </c>
    </row>
    <row r="1501" ht="16.5" customHeight="1">
      <c r="H1501" s="1" t="str">
        <f>IFERROR(__xludf.DUMMYFUNCTION("""COMPUTED_VALUE"""),"INDUS MEDITECH P LTD")</f>
        <v>INDUS MEDITECH P LTD</v>
      </c>
    </row>
    <row r="1502" ht="16.5" customHeight="1">
      <c r="H1502" s="1" t="str">
        <f>IFERROR(__xludf.DUMMYFUNCTION("""COMPUTED_VALUE"""),"INDUSKEN")</f>
        <v>INDUSKEN</v>
      </c>
    </row>
    <row r="1503" ht="16.5" customHeight="1">
      <c r="H1503" s="1" t="str">
        <f>IFERROR(__xludf.DUMMYFUNCTION("""COMPUTED_VALUE"""),"Infar (India) Ltd.")</f>
        <v>Infar (India) Ltd.</v>
      </c>
    </row>
    <row r="1504" ht="16.5" customHeight="1">
      <c r="H1504" s="1" t="str">
        <f>IFERROR(__xludf.DUMMYFUNCTION("""COMPUTED_VALUE"""),"INGA LABORATORIES")</f>
        <v>INGA LABORATORIES</v>
      </c>
    </row>
    <row r="1505" ht="16.5" customHeight="1">
      <c r="H1505" s="1" t="str">
        <f>IFERROR(__xludf.DUMMYFUNCTION("""COMPUTED_VALUE"""),"INGOLDSHIELD PHARMA")</f>
        <v>INGOLDSHIELD PHARMA</v>
      </c>
    </row>
    <row r="1506" ht="16.5" customHeight="1">
      <c r="H1506" s="1" t="str">
        <f>IFERROR(__xludf.DUMMYFUNCTION("""COMPUTED_VALUE"""),"INIZIA HEALTHCARE")</f>
        <v>INIZIA HEALTHCARE</v>
      </c>
    </row>
    <row r="1507" ht="16.5" customHeight="1">
      <c r="H1507" s="1" t="str">
        <f>IFERROR(__xludf.DUMMYFUNCTION("""COMPUTED_VALUE"""),"INIZIA HEALTHCARE (CENURA)")</f>
        <v>INIZIA HEALTHCARE (CENURA)</v>
      </c>
    </row>
    <row r="1508" ht="16.5" customHeight="1">
      <c r="H1508" s="1" t="str">
        <f>IFERROR(__xludf.DUMMYFUNCTION("""COMPUTED_VALUE"""),"INJAYS PHARMACEUTICALS P LTD")</f>
        <v>INJAYS PHARMACEUTICALS P LTD</v>
      </c>
    </row>
    <row r="1509" ht="16.5" customHeight="1">
      <c r="H1509" s="1" t="str">
        <f>IFERROR(__xludf.DUMMYFUNCTION("""COMPUTED_VALUE"""),"INJECT CARE PARENTERALS")</f>
        <v>INJECT CARE PARENTERALS</v>
      </c>
    </row>
    <row r="1510" ht="16.5" customHeight="1">
      <c r="H1510" s="1" t="str">
        <f>IFERROR(__xludf.DUMMYFUNCTION("""COMPUTED_VALUE"""),"INJECTO CAPTA PVT.LTD.")</f>
        <v>INJECTO CAPTA PVT.LTD.</v>
      </c>
    </row>
    <row r="1511" ht="16.5" customHeight="1">
      <c r="H1511" s="1" t="str">
        <f>IFERROR(__xludf.DUMMYFUNCTION("""COMPUTED_VALUE"""),"INNATE BIOTECH")</f>
        <v>INNATE BIOTECH</v>
      </c>
    </row>
    <row r="1512" ht="16.5" customHeight="1">
      <c r="H1512" s="1" t="str">
        <f>IFERROR(__xludf.DUMMYFUNCTION("""COMPUTED_VALUE"""),"INNOVA FORMULATION PVT LTD")</f>
        <v>INNOVA FORMULATION PVT LTD</v>
      </c>
    </row>
    <row r="1513" ht="16.5" customHeight="1">
      <c r="H1513" s="1" t="str">
        <f>IFERROR(__xludf.DUMMYFUNCTION("""COMPUTED_VALUE"""),"INNOVATIVE")</f>
        <v>INNOVATIVE</v>
      </c>
    </row>
    <row r="1514" ht="16.5" customHeight="1">
      <c r="H1514" s="1" t="str">
        <f>IFERROR(__xludf.DUMMYFUNCTION("""COMPUTED_VALUE"""),"Innovative Lifesciences")</f>
        <v>Innovative Lifesciences</v>
      </c>
    </row>
    <row r="1515" ht="16.5" customHeight="1">
      <c r="H1515" s="1" t="str">
        <f>IFERROR(__xludf.DUMMYFUNCTION("""COMPUTED_VALUE"""),"INNOVATIVE PHARMACEUTICALS (GENERIC)")</f>
        <v>INNOVATIVE PHARMACEUTICALS (GENERIC)</v>
      </c>
    </row>
    <row r="1516" ht="16.5" customHeight="1">
      <c r="H1516" s="1" t="str">
        <f>IFERROR(__xludf.DUMMYFUNCTION("""COMPUTED_VALUE"""),"INNOVCARE LIFESCIENCE (ALTIUS)")</f>
        <v>INNOVCARE LIFESCIENCE (ALTIUS)</v>
      </c>
    </row>
    <row r="1517" ht="16.5" customHeight="1">
      <c r="H1517" s="1" t="str">
        <f>IFERROR(__xludf.DUMMYFUNCTION("""COMPUTED_VALUE"""),"INNOVCARE LIFESCIENCES")</f>
        <v>INNOVCARE LIFESCIENCES</v>
      </c>
    </row>
    <row r="1518" ht="16.5" customHeight="1">
      <c r="H1518" s="1" t="str">
        <f>IFERROR(__xludf.DUMMYFUNCTION("""COMPUTED_VALUE"""),"INNOVEXIA LIFE SCIENCES")</f>
        <v>INNOVEXIA LIFE SCIENCES</v>
      </c>
    </row>
    <row r="1519" ht="16.5" customHeight="1">
      <c r="H1519" s="1" t="str">
        <f>IFERROR(__xludf.DUMMYFUNCTION("""COMPUTED_VALUE"""),"INNOVEXIA LIFE SCIENCES PVT LTD")</f>
        <v>INNOVEXIA LIFE SCIENCES PVT LTD</v>
      </c>
    </row>
    <row r="1520" ht="16.5" customHeight="1">
      <c r="H1520" s="1" t="str">
        <f>IFERROR(__xludf.DUMMYFUNCTION("""COMPUTED_VALUE"""),"INOWELL PHARMA (GYNEAC)")</f>
        <v>INOWELL PHARMA (GYNEAC)</v>
      </c>
    </row>
    <row r="1521" ht="16.5" customHeight="1">
      <c r="H1521" s="1" t="str">
        <f>IFERROR(__xludf.DUMMYFUNCTION("""COMPUTED_VALUE"""),"INSIGHT EYECARE")</f>
        <v>INSIGHT EYECARE</v>
      </c>
    </row>
    <row r="1522" ht="16.5" customHeight="1">
      <c r="H1522" s="1" t="str">
        <f>IFERROR(__xludf.DUMMYFUNCTION("""COMPUTED_VALUE"""),"INTAS (ADRINA)")</f>
        <v>INTAS (ADRINA)</v>
      </c>
    </row>
    <row r="1523" ht="16.5" customHeight="1">
      <c r="H1523" s="1" t="str">
        <f>IFERROR(__xludf.DUMMYFUNCTION("""COMPUTED_VALUE"""),"INTAS (ALAIRA)")</f>
        <v>INTAS (ALAIRA)</v>
      </c>
    </row>
    <row r="1524" ht="16.5" customHeight="1">
      <c r="H1524" s="1" t="str">
        <f>IFERROR(__xludf.DUMMYFUNCTION("""COMPUTED_VALUE"""),"INTAS (ALECTA)")</f>
        <v>INTAS (ALECTA)</v>
      </c>
    </row>
    <row r="1525" ht="16.5" customHeight="1">
      <c r="H1525" s="1" t="str">
        <f>IFERROR(__xludf.DUMMYFUNCTION("""COMPUTED_VALUE"""),"INTAS (ALERON)")</f>
        <v>INTAS (ALERON)</v>
      </c>
    </row>
    <row r="1526" ht="16.5" customHeight="1">
      <c r="H1526" s="1" t="str">
        <f>IFERROR(__xludf.DUMMYFUNCTION("""COMPUTED_VALUE"""),"INTAS (ALTIMA)")</f>
        <v>INTAS (ALTIMA)</v>
      </c>
    </row>
    <row r="1527" ht="16.5" customHeight="1">
      <c r="H1527" s="1" t="str">
        <f>IFERROR(__xludf.DUMMYFUNCTION("""COMPUTED_VALUE"""),"INTAS (ALTIS)")</f>
        <v>INTAS (ALTIS)</v>
      </c>
    </row>
    <row r="1528" ht="16.5" customHeight="1">
      <c r="H1528" s="1" t="str">
        <f>IFERROR(__xludf.DUMMYFUNCTION("""COMPUTED_VALUE"""),"INTAS (ANDRE)")</f>
        <v>INTAS (ANDRE)</v>
      </c>
    </row>
    <row r="1529" ht="16.5" customHeight="1">
      <c r="H1529" s="1" t="str">
        <f>IFERROR(__xludf.DUMMYFUNCTION("""COMPUTED_VALUE"""),"INTAS (AQUILA)")</f>
        <v>INTAS (AQUILA)</v>
      </c>
    </row>
    <row r="1530" ht="16.5" customHeight="1">
      <c r="H1530" s="1" t="str">
        <f>IFERROR(__xludf.DUMMYFUNCTION("""COMPUTED_VALUE"""),"INTAS (ARRON)")</f>
        <v>INTAS (ARRON)</v>
      </c>
    </row>
    <row r="1531" ht="16.5" customHeight="1">
      <c r="H1531" s="1" t="str">
        <f>IFERROR(__xludf.DUMMYFUNCTION("""COMPUTED_VALUE"""),"INTAS (ASPIRA)")</f>
        <v>INTAS (ASPIRA)</v>
      </c>
    </row>
    <row r="1532" ht="16.5" customHeight="1">
      <c r="H1532" s="1" t="str">
        <f>IFERROR(__xludf.DUMMYFUNCTION("""COMPUTED_VALUE"""),"INTAS (ASTERA)")</f>
        <v>INTAS (ASTERA)</v>
      </c>
    </row>
    <row r="1533" ht="16.5" customHeight="1">
      <c r="H1533" s="1" t="str">
        <f>IFERROR(__xludf.DUMMYFUNCTION("""COMPUTED_VALUE"""),"INTAS (AVANTA)")</f>
        <v>INTAS (AVANTA)</v>
      </c>
    </row>
    <row r="1534" ht="16.5" customHeight="1">
      <c r="H1534" s="1" t="str">
        <f>IFERROR(__xludf.DUMMYFUNCTION("""COMPUTED_VALUE"""),"INTAS (AVIOR)")</f>
        <v>INTAS (AVIOR)</v>
      </c>
    </row>
    <row r="1535" ht="16.5" customHeight="1">
      <c r="H1535" s="1" t="str">
        <f>IFERROR(__xludf.DUMMYFUNCTION("""COMPUTED_VALUE"""),"INTAS (AYOKKA)")</f>
        <v>INTAS (AYOKKA)</v>
      </c>
    </row>
    <row r="1536" ht="16.5" customHeight="1">
      <c r="H1536" s="1" t="str">
        <f>IFERROR(__xludf.DUMMYFUNCTION("""COMPUTED_VALUE"""),"INTAS (INARA)")</f>
        <v>INTAS (INARA)</v>
      </c>
    </row>
    <row r="1537" ht="16.5" customHeight="1">
      <c r="H1537" s="1" t="str">
        <f>IFERROR(__xludf.DUMMYFUNCTION("""COMPUTED_VALUE"""),"INTAS (NEPHROLOGY)")</f>
        <v>INTAS (NEPHROLOGY)</v>
      </c>
    </row>
    <row r="1538" ht="16.5" customHeight="1">
      <c r="H1538" s="1" t="str">
        <f>IFERROR(__xludf.DUMMYFUNCTION("""COMPUTED_VALUE"""),"INTAS (ONCOLOGY)")</f>
        <v>INTAS (ONCOLOGY)</v>
      </c>
    </row>
    <row r="1539" ht="16.5" customHeight="1">
      <c r="H1539" s="1" t="str">
        <f>IFERROR(__xludf.DUMMYFUNCTION("""COMPUTED_VALUE"""),"INTAS (OPTIMA)")</f>
        <v>INTAS (OPTIMA)</v>
      </c>
    </row>
    <row r="1540" ht="16.5" customHeight="1">
      <c r="H1540" s="1" t="str">
        <f>IFERROR(__xludf.DUMMYFUNCTION("""COMPUTED_VALUE"""),"INTAS (PHARMA)")</f>
        <v>INTAS (PHARMA)</v>
      </c>
    </row>
    <row r="1541" ht="16.5" customHeight="1">
      <c r="H1541" s="1" t="str">
        <f>IFERROR(__xludf.DUMMYFUNCTION("""COMPUTED_VALUE"""),"INTAS (SPECIALITIES)")</f>
        <v>INTAS (SPECIALITIES)</v>
      </c>
    </row>
    <row r="1542" ht="16.5" customHeight="1">
      <c r="H1542" s="1" t="str">
        <f>IFERROR(__xludf.DUMMYFUNCTION("""COMPUTED_VALUE"""),"INTAS (SUPRIMA)")</f>
        <v>INTAS (SUPRIMA)</v>
      </c>
    </row>
    <row r="1543" ht="16.5" customHeight="1">
      <c r="H1543" s="1" t="str">
        <f>IFERROR(__xludf.DUMMYFUNCTION("""COMPUTED_VALUE"""),"INTAS (SUPRIVA)")</f>
        <v>INTAS (SUPRIVA)</v>
      </c>
    </row>
    <row r="1544" ht="16.5" customHeight="1">
      <c r="H1544" s="1" t="str">
        <f>IFERROR(__xludf.DUMMYFUNCTION("""COMPUTED_VALUE"""),"INTAS (SURIVA)")</f>
        <v>INTAS (SURIVA)</v>
      </c>
    </row>
    <row r="1545" ht="16.5" customHeight="1">
      <c r="H1545" s="1" t="str">
        <f>IFERROR(__xludf.DUMMYFUNCTION("""COMPUTED_VALUE"""),"INTAS (SYBELLA)")</f>
        <v>INTAS (SYBELLA)</v>
      </c>
    </row>
    <row r="1546" ht="16.5" customHeight="1">
      <c r="H1546" s="1" t="str">
        <f>IFERROR(__xludf.DUMMYFUNCTION("""COMPUTED_VALUE"""),"INTAS (UROLOGY)")</f>
        <v>INTAS (UROLOGY)</v>
      </c>
    </row>
    <row r="1547" ht="16.5" customHeight="1">
      <c r="H1547" s="1" t="str">
        <f>IFERROR(__xludf.DUMMYFUNCTION("""COMPUTED_VALUE"""),"INTAS (VECTOR)")</f>
        <v>INTAS (VECTOR)</v>
      </c>
    </row>
    <row r="1548" ht="16.5" customHeight="1">
      <c r="H1548" s="1" t="str">
        <f>IFERROR(__xludf.DUMMYFUNCTION("""COMPUTED_VALUE"""),"INTAS (VIVIA)")</f>
        <v>INTAS (VIVIA)</v>
      </c>
    </row>
    <row r="1549" ht="16.5" customHeight="1">
      <c r="H1549" s="1" t="str">
        <f>IFERROR(__xludf.DUMMYFUNCTION("""COMPUTED_VALUE"""),"INTAS (XENITH)")</f>
        <v>INTAS (XENITH)</v>
      </c>
    </row>
    <row r="1550" ht="16.5" customHeight="1">
      <c r="H1550" s="1" t="str">
        <f>IFERROR(__xludf.DUMMYFUNCTION("""COMPUTED_VALUE"""),"Intas Pharmaceuticals Ltd")</f>
        <v>Intas Pharmaceuticals Ltd</v>
      </c>
    </row>
    <row r="1551" ht="16.5" customHeight="1">
      <c r="H1551" s="1" t="str">
        <f>IFERROR(__xludf.DUMMYFUNCTION("""COMPUTED_VALUE"""),"Intas Pharmaceuticals Ltd (GENERIC)")</f>
        <v>Intas Pharmaceuticals Ltd (GENERIC)</v>
      </c>
    </row>
    <row r="1552" ht="16.5" customHeight="1">
      <c r="H1552" s="1" t="str">
        <f>IFERROR(__xludf.DUMMYFUNCTION("""COMPUTED_VALUE"""),"Integra Life Sciences (P) Ltd. (Alfa Igra Inc.)")</f>
        <v>Integra Life Sciences (P) Ltd. (Alfa Igra Inc.)</v>
      </c>
    </row>
    <row r="1553" ht="16.5" customHeight="1">
      <c r="H1553" s="1" t="str">
        <f>IFERROR(__xludf.DUMMYFUNCTION("""COMPUTED_VALUE"""),"Integra Life Sciences (P) Ltd. (Alfa Igra Inc.)
")</f>
        <v>Integra Life Sciences (P) Ltd. (Alfa Igra Inc.)
</v>
      </c>
    </row>
    <row r="1554" ht="16.5" customHeight="1">
      <c r="H1554" s="1" t="str">
        <f>IFERROR(__xludf.DUMMYFUNCTION("""COMPUTED_VALUE"""),"INTEGRAL LIFE SCIENCES")</f>
        <v>INTEGRAL LIFE SCIENCES</v>
      </c>
    </row>
    <row r="1555" ht="16.5" customHeight="1">
      <c r="H1555" s="1" t="str">
        <f>IFERROR(__xludf.DUMMYFUNCTION("""COMPUTED_VALUE"""),"INTEGRAL LIFE SCIENCES (SS)")</f>
        <v>INTEGRAL LIFE SCIENCES (SS)</v>
      </c>
    </row>
    <row r="1556" ht="16.5" customHeight="1">
      <c r="H1556" s="1" t="str">
        <f>IFERROR(__xludf.DUMMYFUNCTION("""COMPUTED_VALUE"""),"INTEGRATED LABORATORIES PVT LTD")</f>
        <v>INTEGRATED LABORATORIES PVT LTD</v>
      </c>
    </row>
    <row r="1557" ht="16.5" customHeight="1">
      <c r="H1557" s="1" t="str">
        <f>IFERROR(__xludf.DUMMYFUNCTION("""COMPUTED_VALUE"""),"INTELICURE LIFESCIENCES")</f>
        <v>INTELICURE LIFESCIENCES</v>
      </c>
    </row>
    <row r="1558" ht="16.5" customHeight="1">
      <c r="H1558" s="1" t="str">
        <f>IFERROR(__xludf.DUMMYFUNCTION("""COMPUTED_VALUE"""),"Intermed Pharma Pvt Ltd")</f>
        <v>Intermed Pharma Pvt Ltd</v>
      </c>
    </row>
    <row r="1559" ht="16.5" customHeight="1">
      <c r="H1559" s="1" t="str">
        <f>IFERROR(__xludf.DUMMYFUNCTION("""COMPUTED_VALUE"""),"Intra Labs India Pvt. Ltd")</f>
        <v>Intra Labs India Pvt. Ltd</v>
      </c>
    </row>
    <row r="1560" ht="16.5" customHeight="1">
      <c r="H1560" s="1" t="str">
        <f>IFERROR(__xludf.DUMMYFUNCTION("""COMPUTED_VALUE"""),"Intra Labs India Pvt. Ltd. (Intra Life)")</f>
        <v>Intra Labs India Pvt. Ltd. (Intra Life)</v>
      </c>
    </row>
    <row r="1561" ht="16.5" customHeight="1">
      <c r="H1561" s="1" t="str">
        <f>IFERROR(__xludf.DUMMYFUNCTION("""COMPUTED_VALUE"""),"Intra Labs India Pvt. Ltd. (Inventure)")</f>
        <v>Intra Labs India Pvt. Ltd. (Inventure)</v>
      </c>
    </row>
    <row r="1562" ht="16.5" customHeight="1">
      <c r="H1562" s="1" t="str">
        <f>IFERROR(__xludf.DUMMYFUNCTION("""COMPUTED_VALUE"""),"Intra Life (Doxis Laboratories)")</f>
        <v>Intra Life (Doxis Laboratories)</v>
      </c>
    </row>
    <row r="1563" ht="16.5" customHeight="1">
      <c r="H1563" s="1" t="str">
        <f>IFERROR(__xludf.DUMMYFUNCTION("""COMPUTED_VALUE"""),"INVEN PHARMACEUTICALS PVT LTD")</f>
        <v>INVEN PHARMACEUTICALS PVT LTD</v>
      </c>
    </row>
    <row r="1564" ht="16.5" customHeight="1">
      <c r="H1564" s="1" t="str">
        <f>IFERROR(__xludf.DUMMYFUNCTION("""COMPUTED_VALUE"""),"INVENTIVE (GENERIC)")</f>
        <v>INVENTIVE (GENERIC)</v>
      </c>
    </row>
    <row r="1565" ht="16.5" customHeight="1">
      <c r="H1565" s="1" t="str">
        <f>IFERROR(__xludf.DUMMYFUNCTION("""COMPUTED_VALUE"""),"Invida India Pvt. Ltd.")</f>
        <v>Invida India Pvt. Ltd.</v>
      </c>
    </row>
    <row r="1566" ht="16.5" customHeight="1">
      <c r="H1566" s="1" t="str">
        <f>IFERROR(__xludf.DUMMYFUNCTION("""COMPUTED_VALUE"""),"INVISCUS LIFE SCIENCES")</f>
        <v>INVISCUS LIFE SCIENCES</v>
      </c>
    </row>
    <row r="1567" ht="16.5" customHeight="1">
      <c r="H1567" s="1" t="str">
        <f>IFERROR(__xludf.DUMMYFUNCTION("""COMPUTED_VALUE"""),"Invision Medi Sciences Pvt. Ltd")</f>
        <v>Invision Medi Sciences Pvt. Ltd</v>
      </c>
    </row>
    <row r="1568" ht="16.5" customHeight="1">
      <c r="H1568" s="1" t="str">
        <f>IFERROR(__xludf.DUMMYFUNCTION("""COMPUTED_VALUE"""),"Invomed Cotab Pvt. Ltd")</f>
        <v>Invomed Cotab Pvt. Ltd</v>
      </c>
    </row>
    <row r="1569" ht="16.5" customHeight="1">
      <c r="H1569" s="1" t="str">
        <f>IFERROR(__xludf.DUMMYFUNCTION("""COMPUTED_VALUE"""),"ION HEALTHCARE")</f>
        <v>ION HEALTHCARE</v>
      </c>
    </row>
    <row r="1570" ht="16.5" customHeight="1">
      <c r="H1570" s="1" t="str">
        <f>IFERROR(__xludf.DUMMYFUNCTION("""COMPUTED_VALUE"""),"IPC HEALTHCARE PVT LTD")</f>
        <v>IPC HEALTHCARE PVT LTD</v>
      </c>
    </row>
    <row r="1571" ht="16.5" customHeight="1">
      <c r="H1571" s="1" t="str">
        <f>IFERROR(__xludf.DUMMYFUNCTION("""COMPUTED_VALUE"""),"IPCA (1)")</f>
        <v>IPCA (1)</v>
      </c>
    </row>
    <row r="1572" ht="16.5" customHeight="1">
      <c r="H1572" s="1" t="str">
        <f>IFERROR(__xludf.DUMMYFUNCTION("""COMPUTED_VALUE"""),"IPCA (2)")</f>
        <v>IPCA (2)</v>
      </c>
    </row>
    <row r="1573" ht="16.5" customHeight="1">
      <c r="H1573" s="1" t="str">
        <f>IFERROR(__xludf.DUMMYFUNCTION("""COMPUTED_VALUE"""),"IPCA (3C)")</f>
        <v>IPCA (3C)</v>
      </c>
    </row>
    <row r="1574" ht="16.5" customHeight="1">
      <c r="H1574" s="1" t="str">
        <f>IFERROR(__xludf.DUMMYFUNCTION("""COMPUTED_VALUE"""),"IPCA (3D)")</f>
        <v>IPCA (3D)</v>
      </c>
    </row>
    <row r="1575" ht="16.5" customHeight="1">
      <c r="H1575" s="1" t="str">
        <f>IFERROR(__xludf.DUMMYFUNCTION("""COMPUTED_VALUE"""),"IPCA (ACTIVA)")</f>
        <v>IPCA (ACTIVA)</v>
      </c>
    </row>
    <row r="1576" ht="16.5" customHeight="1">
      <c r="H1576" s="1" t="str">
        <f>IFERROR(__xludf.DUMMYFUNCTION("""COMPUTED_VALUE"""),"IPCA (BIONOVA  ACE)")</f>
        <v>IPCA (BIONOVA  ACE)</v>
      </c>
    </row>
    <row r="1577" ht="16.5" customHeight="1">
      <c r="H1577" s="1" t="str">
        <f>IFERROR(__xludf.DUMMYFUNCTION("""COMPUTED_VALUE"""),"IPCA (BIONOVA ACE)")</f>
        <v>IPCA (BIONOVA ACE)</v>
      </c>
    </row>
    <row r="1578" ht="16.5" customHeight="1">
      <c r="H1578" s="1" t="str">
        <f>IFERROR(__xludf.DUMMYFUNCTION("""COMPUTED_VALUE"""),"IPCA (BIONOVA SPECIALITY)")</f>
        <v>IPCA (BIONOVA SPECIALITY)</v>
      </c>
    </row>
    <row r="1579" ht="16.5" customHeight="1">
      <c r="H1579" s="1" t="str">
        <f>IFERROR(__xludf.DUMMYFUNCTION("""COMPUTED_VALUE"""),"IPCA (BIONOVA)")</f>
        <v>IPCA (BIONOVA)</v>
      </c>
    </row>
    <row r="1580" ht="16.5" customHeight="1">
      <c r="H1580" s="1" t="str">
        <f>IFERROR(__xludf.DUMMYFUNCTION("""COMPUTED_VALUE"""),"IPCA (CARDIMET)")</f>
        <v>IPCA (CARDIMET)</v>
      </c>
    </row>
    <row r="1581" ht="16.5" customHeight="1">
      <c r="H1581" s="1" t="str">
        <f>IFERROR(__xludf.DUMMYFUNCTION("""COMPUTED_VALUE"""),"IPCA (CARDINOVA)")</f>
        <v>IPCA (CARDINOVA)</v>
      </c>
    </row>
    <row r="1582" ht="16.5" customHeight="1">
      <c r="H1582" s="1" t="str">
        <f>IFERROR(__xludf.DUMMYFUNCTION("""COMPUTED_VALUE"""),"IPCA (DYNAMIX)")</f>
        <v>IPCA (DYNAMIX)</v>
      </c>
    </row>
    <row r="1583" ht="16.5" customHeight="1">
      <c r="H1583" s="1" t="str">
        <f>IFERROR(__xludf.DUMMYFUNCTION("""COMPUTED_VALUE"""),"IPCA (HYQ)")</f>
        <v>IPCA (HYQ)</v>
      </c>
    </row>
    <row r="1584" ht="16.5" customHeight="1">
      <c r="H1584" s="1" t="str">
        <f>IFERROR(__xludf.DUMMYFUNCTION("""COMPUTED_VALUE"""),"IPCA (INNOVA)")</f>
        <v>IPCA (INNOVA)</v>
      </c>
    </row>
    <row r="1585" ht="16.5" customHeight="1">
      <c r="H1585" s="1" t="str">
        <f>IFERROR(__xludf.DUMMYFUNCTION("""COMPUTED_VALUE"""),"IPCA (INTIMA)")</f>
        <v>IPCA (INTIMA)</v>
      </c>
    </row>
    <row r="1586" ht="16.5" customHeight="1">
      <c r="H1586" s="1" t="str">
        <f>IFERROR(__xludf.DUMMYFUNCTION("""COMPUTED_VALUE"""),"IPCA (IPM)")</f>
        <v>IPCA (IPM)</v>
      </c>
    </row>
    <row r="1587" ht="16.5" customHeight="1">
      <c r="H1587" s="1" t="str">
        <f>IFERROR(__xludf.DUMMYFUNCTION("""COMPUTED_VALUE"""),"IPCA (OPTIMA)")</f>
        <v>IPCA (OPTIMA)</v>
      </c>
    </row>
    <row r="1588" ht="16.5" customHeight="1">
      <c r="H1588" s="1" t="str">
        <f>IFERROR(__xludf.DUMMYFUNCTION("""COMPUTED_VALUE"""),"IPCA (PHARMA NEXT)")</f>
        <v>IPCA (PHARMA NEXT)</v>
      </c>
    </row>
    <row r="1589" ht="16.5" customHeight="1">
      <c r="H1589" s="1" t="str">
        <f>IFERROR(__xludf.DUMMYFUNCTION("""COMPUTED_VALUE"""),"IPCA (PHARMA)")</f>
        <v>IPCA (PHARMA)</v>
      </c>
    </row>
    <row r="1590" ht="16.5" customHeight="1">
      <c r="H1590" s="1" t="str">
        <f>IFERROR(__xludf.DUMMYFUNCTION("""COMPUTED_VALUE"""),"IPCA (URO SPECIALITY)")</f>
        <v>IPCA (URO SPECIALITY)</v>
      </c>
    </row>
    <row r="1591" ht="16.5" customHeight="1">
      <c r="H1591" s="1" t="str">
        <f>IFERROR(__xludf.DUMMYFUNCTION("""COMPUTED_VALUE"""),"IPCA (URO)")</f>
        <v>IPCA (URO)</v>
      </c>
    </row>
    <row r="1592" ht="16.5" customHeight="1">
      <c r="H1592" s="1" t="str">
        <f>IFERROR(__xludf.DUMMYFUNCTION("""COMPUTED_VALUE"""),"Ipca Laboratories Ltd")</f>
        <v>Ipca Laboratories Ltd</v>
      </c>
    </row>
    <row r="1593" ht="16.5" customHeight="1">
      <c r="H1593" s="1" t="str">
        <f>IFERROR(__xludf.DUMMYFUNCTION("""COMPUTED_VALUE"""),"Ipsa Labs Pvt Ltd")</f>
        <v>Ipsa Labs Pvt Ltd</v>
      </c>
    </row>
    <row r="1594" ht="16.5" customHeight="1">
      <c r="H1594" s="1" t="str">
        <f>IFERROR(__xludf.DUMMYFUNCTION("""COMPUTED_VALUE"""),"IQL HEALTHCARE P LTD")</f>
        <v>IQL HEALTHCARE P LTD</v>
      </c>
    </row>
    <row r="1595" ht="16.5" customHeight="1">
      <c r="H1595" s="1" t="str">
        <f>IFERROR(__xludf.DUMMYFUNCTION("""COMPUTED_VALUE"""),"IRX PHARMACEUTICALS PVT LTD")</f>
        <v>IRX PHARMACEUTICALS PVT LTD</v>
      </c>
    </row>
    <row r="1596" ht="16.5" customHeight="1">
      <c r="H1596" s="1" t="str">
        <f>IFERROR(__xludf.DUMMYFUNCTION("""COMPUTED_VALUE"""),"ISCON")</f>
        <v>ISCON</v>
      </c>
    </row>
    <row r="1597" ht="16.5" customHeight="1">
      <c r="H1597" s="1" t="str">
        <f>IFERROR(__xludf.DUMMYFUNCTION("""COMPUTED_VALUE"""),"ISCON LIFE SCIENCES")</f>
        <v>ISCON LIFE SCIENCES</v>
      </c>
    </row>
    <row r="1598" ht="16.5" customHeight="1">
      <c r="H1598" s="1" t="str">
        <f>IFERROR(__xludf.DUMMYFUNCTION("""COMPUTED_VALUE"""),"ISHAVARNI HEALTHCARE PVT LTD")</f>
        <v>ISHAVARNI HEALTHCARE PVT LTD</v>
      </c>
    </row>
    <row r="1599" ht="16.5" customHeight="1">
      <c r="H1599" s="1" t="str">
        <f>IFERROR(__xludf.DUMMYFUNCTION("""COMPUTED_VALUE"""),"ISIS Pharmaceuticals")</f>
        <v>ISIS Pharmaceuticals</v>
      </c>
    </row>
    <row r="1600" ht="16.5" customHeight="1">
      <c r="H1600" s="1" t="str">
        <f>IFERROR(__xludf.DUMMYFUNCTION("""COMPUTED_VALUE"""),"ISKON REMEDIES, SIRMOR")</f>
        <v>ISKON REMEDIES, SIRMOR</v>
      </c>
    </row>
    <row r="1601" ht="16.5" customHeight="1">
      <c r="H1601" s="1" t="str">
        <f>IFERROR(__xludf.DUMMYFUNCTION("""COMPUTED_VALUE"""),"ITC LIMITED")</f>
        <v>ITC LIMITED</v>
      </c>
    </row>
    <row r="1602" ht="16.5" customHeight="1">
      <c r="H1602" s="1" t="str">
        <f>IFERROR(__xludf.DUMMYFUNCTION("""COMPUTED_VALUE"""),"IZAR HEALTHCARE")</f>
        <v>IZAR HEALTHCARE</v>
      </c>
    </row>
    <row r="1603" ht="16.5" customHeight="1">
      <c r="H1603" s="1" t="str">
        <f>IFERROR(__xludf.DUMMYFUNCTION("""COMPUTED_VALUE"""),"J and J Dechane Pvt Ltd")</f>
        <v>J and J Dechane Pvt Ltd</v>
      </c>
    </row>
    <row r="1604" ht="16.5" customHeight="1">
      <c r="H1604" s="1" t="str">
        <f>IFERROR(__xludf.DUMMYFUNCTION("""COMPUTED_VALUE"""),"J L Morison India Ltd")</f>
        <v>J L Morison India Ltd</v>
      </c>
    </row>
    <row r="1605" ht="16.5" customHeight="1">
      <c r="H1605" s="1" t="str">
        <f>IFERROR(__xludf.DUMMYFUNCTION("""COMPUTED_VALUE"""),"J M REMEDIES")</f>
        <v>J M REMEDIES</v>
      </c>
    </row>
    <row r="1606" ht="16.5" customHeight="1">
      <c r="H1606" s="1" t="str">
        <f>IFERROR(__xludf.DUMMYFUNCTION("""COMPUTED_VALUE"""),"J M REMEDIES SOLAN")</f>
        <v>J M REMEDIES SOLAN</v>
      </c>
    </row>
    <row r="1607" ht="16.5" customHeight="1">
      <c r="H1607" s="1" t="str">
        <f>IFERROR(__xludf.DUMMYFUNCTION("""COMPUTED_VALUE"""),"J&amp;J BABY")</f>
        <v>J&amp;J BABY</v>
      </c>
    </row>
    <row r="1608" ht="16.5" customHeight="1">
      <c r="H1608" s="1" t="str">
        <f>IFERROR(__xludf.DUMMYFUNCTION("""COMPUTED_VALUE"""),"JABS BIOTECH")</f>
        <v>JABS BIOTECH</v>
      </c>
    </row>
    <row r="1609" ht="16.5" customHeight="1">
      <c r="H1609" s="1" t="str">
        <f>IFERROR(__xludf.DUMMYFUNCTION("""COMPUTED_VALUE"""),"JAGAT PHARMA")</f>
        <v>JAGAT PHARMA</v>
      </c>
    </row>
    <row r="1610" ht="16.5" customHeight="1">
      <c r="H1610" s="1" t="str">
        <f>IFERROR(__xludf.DUMMYFUNCTION("""COMPUTED_VALUE"""),"Jagdale Lifesciences")</f>
        <v>Jagdale Lifesciences</v>
      </c>
    </row>
    <row r="1611" ht="16.5" customHeight="1">
      <c r="H1611" s="1" t="str">
        <f>IFERROR(__xludf.DUMMYFUNCTION("""COMPUTED_VALUE"""),"JAGRAVE HERBAL PRODUCTS")</f>
        <v>JAGRAVE HERBAL PRODUCTS</v>
      </c>
    </row>
    <row r="1612" ht="16.5" customHeight="1">
      <c r="H1612" s="1" t="str">
        <f>IFERROR(__xludf.DUMMYFUNCTION("""COMPUTED_VALUE"""),"Jagsonpal Pharmaceuticals Ltd")</f>
        <v>Jagsonpal Pharmaceuticals Ltd</v>
      </c>
    </row>
    <row r="1613" ht="16.5" customHeight="1">
      <c r="H1613" s="1" t="str">
        <f>IFERROR(__xludf.DUMMYFUNCTION("""COMPUTED_VALUE"""),"JAIN GROUP PHARMACEUTICALS")</f>
        <v>JAIN GROUP PHARMACEUTICALS</v>
      </c>
    </row>
    <row r="1614" ht="16.5" customHeight="1">
      <c r="H1614" s="1" t="str">
        <f>IFERROR(__xludf.DUMMYFUNCTION("""COMPUTED_VALUE"""),"JAINSON BIOTECH")</f>
        <v>JAINSON BIOTECH</v>
      </c>
    </row>
    <row r="1615" ht="16.5" customHeight="1">
      <c r="H1615" s="1" t="str">
        <f>IFERROR(__xludf.DUMMYFUNCTION("""COMPUTED_VALUE"""),"JAINSON CHEMICALS")</f>
        <v>JAINSON CHEMICALS</v>
      </c>
    </row>
    <row r="1616" ht="16.5" customHeight="1">
      <c r="H1616" s="1" t="str">
        <f>IFERROR(__xludf.DUMMYFUNCTION("""COMPUTED_VALUE"""),"JAIWIK BIOTEK")</f>
        <v>JAIWIK BIOTEK</v>
      </c>
    </row>
    <row r="1617" ht="16.5" customHeight="1">
      <c r="H1617" s="1" t="str">
        <f>IFERROR(__xludf.DUMMYFUNCTION("""COMPUTED_VALUE"""),"JAMNA PHARMACEUTICALS")</f>
        <v>JAMNA PHARMACEUTICALS</v>
      </c>
    </row>
    <row r="1618" ht="16.5" customHeight="1">
      <c r="H1618" s="1" t="str">
        <f>IFERROR(__xludf.DUMMYFUNCTION("""COMPUTED_VALUE"""),"JAMSONS LABORTORIES")</f>
        <v>JAMSONS LABORTORIES</v>
      </c>
    </row>
    <row r="1619" ht="16.5" customHeight="1">
      <c r="H1619" s="1" t="str">
        <f>IFERROR(__xludf.DUMMYFUNCTION("""COMPUTED_VALUE"""),"JAMUWAY PHARMACEUTICALS")</f>
        <v>JAMUWAY PHARMACEUTICALS</v>
      </c>
    </row>
    <row r="1620" ht="16.5" customHeight="1">
      <c r="H1620" s="1" t="str">
        <f>IFERROR(__xludf.DUMMYFUNCTION("""COMPUTED_VALUE"""),"JANKEM LIFE SCIENCE")</f>
        <v>JANKEM LIFE SCIENCE</v>
      </c>
    </row>
    <row r="1621" ht="16.5" customHeight="1">
      <c r="H1621" s="1" t="str">
        <f>IFERROR(__xludf.DUMMYFUNCTION("""COMPUTED_VALUE"""),"JANMARK PHARMA LTD")</f>
        <v>JANMARK PHARMA LTD</v>
      </c>
    </row>
    <row r="1622" ht="16.5" customHeight="1">
      <c r="H1622" s="1" t="str">
        <f>IFERROR(__xludf.DUMMYFUNCTION("""COMPUTED_VALUE"""),"JANMERCH")</f>
        <v>JANMERCH</v>
      </c>
    </row>
    <row r="1623" ht="16.5" customHeight="1">
      <c r="H1623" s="1" t="str">
        <f>IFERROR(__xludf.DUMMYFUNCTION("""COMPUTED_VALUE"""),"JANTEC PHARMA")</f>
        <v>JANTEC PHARMA</v>
      </c>
    </row>
    <row r="1624" ht="16.5" customHeight="1">
      <c r="H1624" s="1" t="str">
        <f>IFERROR(__xludf.DUMMYFUNCTION("""COMPUTED_VALUE"""),"JANUS BIOTECH P LTD")</f>
        <v>JANUS BIOTECH P LTD</v>
      </c>
    </row>
    <row r="1625" ht="16.5" customHeight="1">
      <c r="H1625" s="1" t="str">
        <f>IFERROR(__xludf.DUMMYFUNCTION("""COMPUTED_VALUE"""),"JARK PHARMA PVT LTD")</f>
        <v>JARK PHARMA PVT LTD</v>
      </c>
    </row>
    <row r="1626" ht="16.5" customHeight="1">
      <c r="H1626" s="1" t="str">
        <f>IFERROR(__xludf.DUMMYFUNCTION("""COMPUTED_VALUE"""),"JARUN PHARMACEUTICALS")</f>
        <v>JARUN PHARMACEUTICALS</v>
      </c>
    </row>
    <row r="1627" ht="16.5" customHeight="1">
      <c r="H1627" s="1" t="str">
        <f>IFERROR(__xludf.DUMMYFUNCTION("""COMPUTED_VALUE"""),"JASCO NUTRI FOODS")</f>
        <v>JASCO NUTRI FOODS</v>
      </c>
    </row>
    <row r="1628" ht="16.5" customHeight="1">
      <c r="H1628" s="1" t="str">
        <f>IFERROR(__xludf.DUMMYFUNCTION("""COMPUTED_VALUE"""),"JASVIC LABORATORIES ROORKE")</f>
        <v>JASVIC LABORATORIES ROORKE</v>
      </c>
    </row>
    <row r="1629" ht="16.5" customHeight="1">
      <c r="H1629" s="1" t="str">
        <f>IFERROR(__xludf.DUMMYFUNCTION("""COMPUTED_VALUE"""),"Jawa Pharmaceuticals (I) Pvt. Ltd")</f>
        <v>Jawa Pharmaceuticals (I) Pvt. Ltd</v>
      </c>
    </row>
    <row r="1630" ht="16.5" customHeight="1">
      <c r="H1630" s="1" t="str">
        <f>IFERROR(__xludf.DUMMYFUNCTION("""COMPUTED_VALUE"""),"JAY ELL HEALTHCARE P LTD")</f>
        <v>JAY ELL HEALTHCARE P LTD</v>
      </c>
    </row>
    <row r="1631" ht="16.5" customHeight="1">
      <c r="H1631" s="1" t="str">
        <f>IFERROR(__xludf.DUMMYFUNCTION("""COMPUTED_VALUE"""),"JAY HEALTHCARE")</f>
        <v>JAY HEALTHCARE</v>
      </c>
    </row>
    <row r="1632" ht="16.5" customHeight="1">
      <c r="H1632" s="1" t="str">
        <f>IFERROR(__xludf.DUMMYFUNCTION("""COMPUTED_VALUE"""),"JAY LIFECARE")</f>
        <v>JAY LIFECARE</v>
      </c>
    </row>
    <row r="1633" ht="16.5" customHeight="1">
      <c r="H1633" s="1" t="str">
        <f>IFERROR(__xludf.DUMMYFUNCTION("""COMPUTED_VALUE"""),"JAY SHREE PHARMACEUTICALS")</f>
        <v>JAY SHREE PHARMACEUTICALS</v>
      </c>
    </row>
    <row r="1634" ht="16.5" customHeight="1">
      <c r="H1634" s="1" t="str">
        <f>IFERROR(__xludf.DUMMYFUNCTION("""COMPUTED_VALUE"""),"JAYSHREE PHARMACEUTICALS")</f>
        <v>JAYSHREE PHARMACEUTICALS</v>
      </c>
    </row>
    <row r="1635" ht="16.5" customHeight="1">
      <c r="H1635" s="1" t="str">
        <f>IFERROR(__xludf.DUMMYFUNCTION("""COMPUTED_VALUE"""),"JB Chemicals (DENTA)")</f>
        <v>JB Chemicals (DENTA)</v>
      </c>
    </row>
    <row r="1636" ht="16.5" customHeight="1">
      <c r="H1636" s="1" t="str">
        <f>IFERROR(__xludf.DUMMYFUNCTION("""COMPUTED_VALUE"""),"JB CHEMICALS (NEPHRO-URO)")</f>
        <v>JB CHEMICALS (NEPHRO-URO)</v>
      </c>
    </row>
    <row r="1637" ht="16.5" customHeight="1">
      <c r="H1637" s="1" t="str">
        <f>IFERROR(__xludf.DUMMYFUNCTION("""COMPUTED_VALUE"""),"JB Chemicals &amp; Pharmaceuticals Ltd")</f>
        <v>JB Chemicals &amp; Pharmaceuticals Ltd</v>
      </c>
    </row>
    <row r="1638" ht="16.5" customHeight="1">
      <c r="H1638" s="1" t="str">
        <f>IFERROR(__xludf.DUMMYFUNCTION("""COMPUTED_VALUE"""),"JB REMEDIES P LTD")</f>
        <v>JB REMEDIES P LTD</v>
      </c>
    </row>
    <row r="1639" ht="16.5" customHeight="1">
      <c r="H1639" s="1" t="str">
        <f>IFERROR(__xludf.DUMMYFUNCTION("""COMPUTED_VALUE"""),"JEEVAN JYOTI")</f>
        <v>JEEVAN JYOTI</v>
      </c>
    </row>
    <row r="1640" ht="16.5" customHeight="1">
      <c r="H1640" s="1" t="str">
        <f>IFERROR(__xludf.DUMMYFUNCTION("""COMPUTED_VALUE"""),"Jenburkt Pharmaceuticals Ltd")</f>
        <v>Jenburkt Pharmaceuticals Ltd</v>
      </c>
    </row>
    <row r="1641" ht="16.5" customHeight="1">
      <c r="H1641" s="1" t="str">
        <f>IFERROR(__xludf.DUMMYFUNCTION("""COMPUTED_VALUE"""),"JENOME BIOPHAR")</f>
        <v>JENOME BIOPHAR</v>
      </c>
    </row>
    <row r="1642" ht="16.5" customHeight="1">
      <c r="H1642" s="1" t="str">
        <f>IFERROR(__xludf.DUMMYFUNCTION("""COMPUTED_VALUE"""),"JHAWAR PHARMACY")</f>
        <v>JHAWAR PHARMACY</v>
      </c>
    </row>
    <row r="1643" ht="16.5" customHeight="1">
      <c r="H1643" s="1" t="str">
        <f>IFERROR(__xludf.DUMMYFUNCTION("""COMPUTED_VALUE"""),"JINESH PHARMA (OSP)")</f>
        <v>JINESH PHARMA (OSP)</v>
      </c>
    </row>
    <row r="1644" ht="16.5" customHeight="1">
      <c r="H1644" s="1" t="str">
        <f>IFERROR(__xludf.DUMMYFUNCTION("""COMPUTED_VALUE"""),"JIVYANA HEALTH CARE P LTD")</f>
        <v>JIVYANA HEALTH CARE P LTD</v>
      </c>
    </row>
    <row r="1645" ht="16.5" customHeight="1">
      <c r="H1645" s="1" t="str">
        <f>IFERROR(__xludf.DUMMYFUNCTION("""COMPUTED_VALUE"""),"JIWADAYA NETRAPRA")</f>
        <v>JIWADAYA NETRAPRA</v>
      </c>
    </row>
    <row r="1646" ht="16.5" customHeight="1">
      <c r="H1646" s="1" t="str">
        <f>IFERROR(__xludf.DUMMYFUNCTION("""COMPUTED_VALUE"""),"JK ANSELL P LTD")</f>
        <v>JK ANSELL P LTD</v>
      </c>
    </row>
    <row r="1647" ht="16.5" customHeight="1">
      <c r="H1647" s="1" t="str">
        <f>IFERROR(__xludf.DUMMYFUNCTION("""COMPUTED_VALUE"""),"JMK HEALTH CARE PVT LTD")</f>
        <v>JMK HEALTH CARE PVT LTD</v>
      </c>
    </row>
    <row r="1648" ht="16.5" customHeight="1">
      <c r="H1648" s="1" t="str">
        <f>IFERROR(__xludf.DUMMYFUNCTION("""COMPUTED_VALUE"""),"JNSON")</f>
        <v>JNSON</v>
      </c>
    </row>
    <row r="1649" ht="16.5" customHeight="1">
      <c r="H1649" s="1" t="str">
        <f>IFERROR(__xludf.DUMMYFUNCTION("""COMPUTED_VALUE"""),"John Biotech Pvt Ltd")</f>
        <v>John Biotech Pvt Ltd</v>
      </c>
    </row>
    <row r="1650" ht="16.5" customHeight="1">
      <c r="H1650" s="1" t="str">
        <f>IFERROR(__xludf.DUMMYFUNCTION("""COMPUTED_VALUE"""),"JOHNLEE PHARMACEUTICALS PVT LTD")</f>
        <v>JOHNLEE PHARMACEUTICALS PVT LTD</v>
      </c>
    </row>
    <row r="1651" ht="16.5" customHeight="1">
      <c r="H1651" s="1" t="str">
        <f>IFERROR(__xludf.DUMMYFUNCTION("""COMPUTED_VALUE"""),"Johnson &amp; Johnson")</f>
        <v>Johnson &amp; Johnson</v>
      </c>
    </row>
    <row r="1652" ht="16.5" customHeight="1">
      <c r="H1652" s="1" t="str">
        <f>IFERROR(__xludf.DUMMYFUNCTION("""COMPUTED_VALUE"""),"JOHNSON &amp; JOHNSON (CONSUMER)")</f>
        <v>JOHNSON &amp; JOHNSON (CONSUMER)</v>
      </c>
    </row>
    <row r="1653" ht="16.5" customHeight="1">
      <c r="H1653" s="1" t="str">
        <f>IFERROR(__xludf.DUMMYFUNCTION("""COMPUTED_VALUE"""),"JOHNSON &amp; JOHNSON (DERMA)")</f>
        <v>JOHNSON &amp; JOHNSON (DERMA)</v>
      </c>
    </row>
    <row r="1654" ht="16.5" customHeight="1">
      <c r="H1654" s="1" t="str">
        <f>IFERROR(__xludf.DUMMYFUNCTION("""COMPUTED_VALUE"""),"JOHNSON &amp; JOHNSON (ETHNOR)")</f>
        <v>JOHNSON &amp; JOHNSON (ETHNOR)</v>
      </c>
    </row>
    <row r="1655" ht="16.5" customHeight="1">
      <c r="H1655" s="1" t="str">
        <f>IFERROR(__xludf.DUMMYFUNCTION("""COMPUTED_VALUE"""),"JOHNSON &amp; JOHNSON (HOSPITAL)")</f>
        <v>JOHNSON &amp; JOHNSON (HOSPITAL)</v>
      </c>
    </row>
    <row r="1656" ht="16.5" customHeight="1">
      <c r="H1656" s="1" t="str">
        <f>IFERROR(__xludf.DUMMYFUNCTION("""COMPUTED_VALUE"""),"JOHNSON &amp; JOHNSON (MASS MARKET)")</f>
        <v>JOHNSON &amp; JOHNSON (MASS MARKET)</v>
      </c>
    </row>
    <row r="1657" ht="16.5" customHeight="1">
      <c r="H1657" s="1" t="str">
        <f>IFERROR(__xludf.DUMMYFUNCTION("""COMPUTED_VALUE"""),"JOHNSON &amp; JOHNSON (METABOLIX)")</f>
        <v>JOHNSON &amp; JOHNSON (METABOLIX)</v>
      </c>
    </row>
    <row r="1658" ht="16.5" customHeight="1">
      <c r="H1658" s="1" t="str">
        <f>IFERROR(__xludf.DUMMYFUNCTION("""COMPUTED_VALUE"""),"JOLLY HEALTH CARE")</f>
        <v>JOLLY HEALTH CARE</v>
      </c>
    </row>
    <row r="1659" ht="16.5" customHeight="1">
      <c r="H1659" s="1" t="str">
        <f>IFERROR(__xludf.DUMMYFUNCTION("""COMPUTED_VALUE"""),"JOYCARE LIFE SCIENCES")</f>
        <v>JOYCARE LIFE SCIENCES</v>
      </c>
    </row>
    <row r="1660" ht="16.5" customHeight="1">
      <c r="H1660" s="1" t="str">
        <f>IFERROR(__xludf.DUMMYFUNCTION("""COMPUTED_VALUE"""),"JOYEAPCE HEALTHCARE")</f>
        <v>JOYEAPCE HEALTHCARE</v>
      </c>
    </row>
    <row r="1661" ht="16.5" customHeight="1">
      <c r="H1661" s="1" t="str">
        <f>IFERROR(__xludf.DUMMYFUNCTION("""COMPUTED_VALUE"""),"JUBILANT (SPICA)")</f>
        <v>JUBILANT (SPICA)</v>
      </c>
    </row>
    <row r="1662" ht="16.5" customHeight="1">
      <c r="H1662" s="1" t="str">
        <f>IFERROR(__xludf.DUMMYFUNCTION("""COMPUTED_VALUE"""),"JUBILANT (VEGA)")</f>
        <v>JUBILANT (VEGA)</v>
      </c>
    </row>
    <row r="1663" ht="16.5" customHeight="1">
      <c r="H1663" s="1" t="str">
        <f>IFERROR(__xludf.DUMMYFUNCTION("""COMPUTED_VALUE"""),"Jubilant Life Sciences")</f>
        <v>Jubilant Life Sciences</v>
      </c>
    </row>
    <row r="1664" ht="16.5" customHeight="1">
      <c r="H1664" s="1" t="str">
        <f>IFERROR(__xludf.DUMMYFUNCTION("""COMPUTED_VALUE"""),"Juggat Pharma")</f>
        <v>Juggat Pharma</v>
      </c>
    </row>
    <row r="1665" ht="16.5" customHeight="1">
      <c r="H1665" s="1" t="str">
        <f>IFERROR(__xludf.DUMMYFUNCTION("""COMPUTED_VALUE"""),"Jupiter Pharmaceutical Ltd")</f>
        <v>Jupiter Pharmaceutical Ltd</v>
      </c>
    </row>
    <row r="1666" ht="16.5" customHeight="1">
      <c r="H1666" s="1" t="str">
        <f>IFERROR(__xludf.DUMMYFUNCTION("""COMPUTED_VALUE"""),"JUPITER PHARMACEUTICALS (Ayurvedic)")</f>
        <v>JUPITER PHARMACEUTICALS (Ayurvedic)</v>
      </c>
    </row>
    <row r="1667" ht="16.5" customHeight="1">
      <c r="H1667" s="1" t="str">
        <f>IFERROR(__xludf.DUMMYFUNCTION("""COMPUTED_VALUE"""),"JUPIVEN PHARMA PVT LTD")</f>
        <v>JUPIVEN PHARMA PVT LTD</v>
      </c>
    </row>
    <row r="1668" ht="16.5" customHeight="1">
      <c r="H1668" s="1" t="str">
        <f>IFERROR(__xludf.DUMMYFUNCTION("""COMPUTED_VALUE"""),"JUVENOR PHARMACEUTICALS INC")</f>
        <v>JUVENOR PHARMACEUTICALS INC</v>
      </c>
    </row>
    <row r="1669" ht="16.5" customHeight="1">
      <c r="H1669" s="1" t="str">
        <f>IFERROR(__xludf.DUMMYFUNCTION("""COMPUTED_VALUE"""),"JVJ PHARMACEUTICALS P LTD")</f>
        <v>JVJ PHARMACEUTICALS P LTD</v>
      </c>
    </row>
    <row r="1670" ht="16.5" customHeight="1">
      <c r="H1670" s="1" t="str">
        <f>IFERROR(__xludf.DUMMYFUNCTION("""COMPUTED_VALUE"""),"JVS")</f>
        <v>JVS</v>
      </c>
    </row>
    <row r="1671" ht="16.5" customHeight="1">
      <c r="H1671" s="1" t="str">
        <f>IFERROR(__xludf.DUMMYFUNCTION("""COMPUTED_VALUE"""),"JYOTHI")</f>
        <v>JYOTHI</v>
      </c>
    </row>
    <row r="1672" ht="16.5" customHeight="1">
      <c r="H1672" s="1" t="str">
        <f>IFERROR(__xludf.DUMMYFUNCTION("""COMPUTED_VALUE"""),"JYOTI HERBS (INDIA) P LTD")</f>
        <v>JYOTI HERBS (INDIA) P LTD</v>
      </c>
    </row>
    <row r="1673" ht="16.5" customHeight="1">
      <c r="H1673" s="1" t="str">
        <f>IFERROR(__xludf.DUMMYFUNCTION("""COMPUTED_VALUE"""),"K BIO HEARBS")</f>
        <v>K BIO HEARBS</v>
      </c>
    </row>
    <row r="1674" ht="16.5" customHeight="1">
      <c r="H1674" s="1" t="str">
        <f>IFERROR(__xludf.DUMMYFUNCTION("""COMPUTED_VALUE"""),"KABIR LIFESCIENCES AND RESEARCH PVT LTD")</f>
        <v>KABIR LIFESCIENCES AND RESEARCH PVT LTD</v>
      </c>
    </row>
    <row r="1675" ht="16.5" customHeight="1">
      <c r="H1675" s="1" t="str">
        <f>IFERROR(__xludf.DUMMYFUNCTION("""COMPUTED_VALUE"""),"KABRA DRUGS LTD")</f>
        <v>KABRA DRUGS LTD</v>
      </c>
    </row>
    <row r="1676" ht="16.5" customHeight="1">
      <c r="H1676" s="1" t="str">
        <f>IFERROR(__xludf.DUMMYFUNCTION("""COMPUTED_VALUE"""),"KAIYNAAT &amp; SABROZ")</f>
        <v>KAIYNAAT &amp; SABROZ</v>
      </c>
    </row>
    <row r="1677" ht="16.5" customHeight="1">
      <c r="H1677" s="1" t="str">
        <f>IFERROR(__xludf.DUMMYFUNCTION("""COMPUTED_VALUE"""),"KAIZEN LABORATORIES PVT LTD")</f>
        <v>KAIZEN LABORATORIES PVT LTD</v>
      </c>
    </row>
    <row r="1678" ht="16.5" customHeight="1">
      <c r="H1678" s="1" t="str">
        <f>IFERROR(__xludf.DUMMYFUNCTION("""COMPUTED_VALUE"""),"KAMAL &amp; SONS")</f>
        <v>KAMAL &amp; SONS</v>
      </c>
    </row>
    <row r="1679" ht="16.5" customHeight="1">
      <c r="H1679" s="1" t="str">
        <f>IFERROR(__xludf.DUMMYFUNCTION("""COMPUTED_VALUE"""),"KAMBRIL HEALTHCARE PVT LTD")</f>
        <v>KAMBRIL HEALTHCARE PVT LTD</v>
      </c>
    </row>
    <row r="1680" ht="16.5" customHeight="1">
      <c r="H1680" s="1" t="str">
        <f>IFERROR(__xludf.DUMMYFUNCTION("""COMPUTED_VALUE"""),"KANAM LATEX PVT LTD")</f>
        <v>KANAM LATEX PVT LTD</v>
      </c>
    </row>
    <row r="1681" ht="16.5" customHeight="1">
      <c r="H1681" s="1" t="str">
        <f>IFERROR(__xludf.DUMMYFUNCTION("""COMPUTED_VALUE"""),"KANGAROO")</f>
        <v>KANGAROO</v>
      </c>
    </row>
    <row r="1682" ht="16.5" customHeight="1">
      <c r="H1682" s="1" t="str">
        <f>IFERROR(__xludf.DUMMYFUNCTION("""COMPUTED_VALUE"""),"KANNU IMPEX INDIA PVT LTD")</f>
        <v>KANNU IMPEX INDIA PVT LTD</v>
      </c>
    </row>
    <row r="1683" ht="16.5" customHeight="1">
      <c r="H1683" s="1" t="str">
        <f>IFERROR(__xludf.DUMMYFUNCTION("""COMPUTED_VALUE"""),"KAPIRET LIFESCIENCES")</f>
        <v>KAPIRET LIFESCIENCES</v>
      </c>
    </row>
    <row r="1684" ht="16.5" customHeight="1">
      <c r="H1684" s="1" t="str">
        <f>IFERROR(__xludf.DUMMYFUNCTION("""COMPUTED_VALUE"""),"KARAM INDUSTRIES")</f>
        <v>KARAM INDUSTRIES</v>
      </c>
    </row>
    <row r="1685" ht="16.5" customHeight="1">
      <c r="H1685" s="1" t="str">
        <f>IFERROR(__xludf.DUMMYFUNCTION("""COMPUTED_VALUE"""),"KARNANI PHARMA")</f>
        <v>KARNANI PHARMA</v>
      </c>
    </row>
    <row r="1686" ht="16.5" customHeight="1">
      <c r="H1686" s="1" t="str">
        <f>IFERROR(__xludf.DUMMYFUNCTION("""COMPUTED_VALUE"""),"Karnataka Antibiotics &amp; Pharmaceuticals Ltd")</f>
        <v>Karnataka Antibiotics &amp; Pharmaceuticals Ltd</v>
      </c>
    </row>
    <row r="1687" ht="16.5" customHeight="1">
      <c r="H1687" s="1" t="str">
        <f>IFERROR(__xludf.DUMMYFUNCTION("""COMPUTED_VALUE"""),"KAVYA HEALTHCARE")</f>
        <v>KAVYA HEALTHCARE</v>
      </c>
    </row>
    <row r="1688" ht="16.5" customHeight="1">
      <c r="H1688" s="1" t="str">
        <f>IFERROR(__xludf.DUMMYFUNCTION("""COMPUTED_VALUE"""),"KAYTEE")</f>
        <v>KAYTEE</v>
      </c>
    </row>
    <row r="1689" ht="16.5" customHeight="1">
      <c r="H1689" s="1" t="str">
        <f>IFERROR(__xludf.DUMMYFUNCTION("""COMPUTED_VALUE"""),"KD CHEM-PHARMA")</f>
        <v>KD CHEM-PHARMA</v>
      </c>
    </row>
    <row r="1690" ht="16.5" customHeight="1">
      <c r="H1690" s="1" t="str">
        <f>IFERROR(__xludf.DUMMYFUNCTION("""COMPUTED_VALUE"""),"KEDRION BIOPHARMA")</f>
        <v>KEDRION BIOPHARMA</v>
      </c>
    </row>
    <row r="1691" ht="16.5" customHeight="1">
      <c r="H1691" s="1" t="str">
        <f>IFERROR(__xludf.DUMMYFUNCTION("""COMPUTED_VALUE"""),"Kee Pharma")</f>
        <v>Kee Pharma</v>
      </c>
    </row>
    <row r="1692" ht="16.5" customHeight="1">
      <c r="H1692" s="1" t="str">
        <f>IFERROR(__xludf.DUMMYFUNCTION("""COMPUTED_VALUE"""),"KENN PHARMACEUTICALS PVT LTD
")</f>
        <v>KENN PHARMACEUTICALS PVT LTD
</v>
      </c>
    </row>
    <row r="1693" ht="16.5" customHeight="1">
      <c r="H1693" s="1" t="str">
        <f>IFERROR(__xludf.DUMMYFUNCTION("""COMPUTED_VALUE"""),"KENT PHARMACEUTICALS")</f>
        <v>KENT PHARMACEUTICALS</v>
      </c>
    </row>
    <row r="1694" ht="16.5" customHeight="1">
      <c r="H1694" s="1" t="str">
        <f>IFERROR(__xludf.DUMMYFUNCTION("""COMPUTED_VALUE"""),"KENTOSSA PHARMACEUTICAL")</f>
        <v>KENTOSSA PHARMACEUTICAL</v>
      </c>
    </row>
    <row r="1695" ht="16.5" customHeight="1">
      <c r="H1695" s="1" t="str">
        <f>IFERROR(__xludf.DUMMYFUNCTION("""COMPUTED_VALUE"""),"KENTRECK LABORATORIES")</f>
        <v>KENTRECK LABORATORIES</v>
      </c>
    </row>
    <row r="1696" ht="16.5" customHeight="1">
      <c r="H1696" s="1" t="str">
        <f>IFERROR(__xludf.DUMMYFUNCTION("""COMPUTED_VALUE"""),"KEPLER (DERMA)")</f>
        <v>KEPLER (DERMA)</v>
      </c>
    </row>
    <row r="1697" ht="16.5" customHeight="1">
      <c r="H1697" s="1" t="str">
        <f>IFERROR(__xludf.DUMMYFUNCTION("""COMPUTED_VALUE"""),"KEPLER (SKIN INFINITY)")</f>
        <v>KEPLER (SKIN INFINITY)</v>
      </c>
    </row>
    <row r="1698" ht="16.5" customHeight="1">
      <c r="H1698" s="1" t="str">
        <f>IFERROR(__xludf.DUMMYFUNCTION("""COMPUTED_VALUE"""),"KEPLER HEALTHCARE")</f>
        <v>KEPLER HEALTHCARE</v>
      </c>
    </row>
    <row r="1699" ht="16.5" customHeight="1">
      <c r="H1699" s="1" t="str">
        <f>IFERROR(__xludf.DUMMYFUNCTION("""COMPUTED_VALUE"""),"KERMOUNT")</f>
        <v>KERMOUNT</v>
      </c>
    </row>
    <row r="1700" ht="16.5" customHeight="1">
      <c r="H1700" s="1" t="str">
        <f>IFERROR(__xludf.DUMMYFUNCTION("""COMPUTED_VALUE"""),"KEVENTIS HEALTHCARE (KEVENTIS)")</f>
        <v>KEVENTIS HEALTHCARE (KEVENTIS)</v>
      </c>
    </row>
    <row r="1701" ht="16.5" customHeight="1">
      <c r="H1701" s="1" t="str">
        <f>IFERROR(__xludf.DUMMYFUNCTION("""COMPUTED_VALUE"""),"KEYA CORPORATION")</f>
        <v>KEYA CORPORATION</v>
      </c>
    </row>
    <row r="1702" ht="16.5" customHeight="1">
      <c r="H1702" s="1" t="str">
        <f>IFERROR(__xludf.DUMMYFUNCTION("""COMPUTED_VALUE"""),"KEYA PHARMAWIN")</f>
        <v>KEYA PHARMAWIN</v>
      </c>
    </row>
    <row r="1703" ht="16.5" customHeight="1">
      <c r="H1703" s="1" t="str">
        <f>IFERROR(__xludf.DUMMYFUNCTION("""COMPUTED_VALUE"""),"KG PHARMA")</f>
        <v>KG PHARMA</v>
      </c>
    </row>
    <row r="1704" ht="16.5" customHeight="1">
      <c r="H1704" s="1" t="str">
        <f>IFERROR(__xludf.DUMMYFUNCTION("""COMPUTED_VALUE"""),"KHANDELWAL LABORATORIES (GENERIC)")</f>
        <v>KHANDELWAL LABORATORIES (GENERIC)</v>
      </c>
    </row>
    <row r="1705" ht="16.5" customHeight="1">
      <c r="H1705" s="1" t="str">
        <f>IFERROR(__xludf.DUMMYFUNCTION("""COMPUTED_VALUE"""),"Khandelwal Laboratories Pvt Ltd")</f>
        <v>Khandelwal Laboratories Pvt Ltd</v>
      </c>
    </row>
    <row r="1706" ht="16.5" customHeight="1">
      <c r="H1706" s="1" t="str">
        <f>IFERROR(__xludf.DUMMYFUNCTION("""COMPUTED_VALUE"""),"KHONA CHEMICAL WORKS")</f>
        <v>KHONA CHEMICAL WORKS</v>
      </c>
    </row>
    <row r="1707" ht="16.5" customHeight="1">
      <c r="H1707" s="1" t="str">
        <f>IFERROR(__xludf.DUMMYFUNCTION("""COMPUTED_VALUE"""),"Kinedex Healthcare Pvt Ltd")</f>
        <v>Kinedex Healthcare Pvt Ltd</v>
      </c>
    </row>
    <row r="1708" ht="16.5" customHeight="1">
      <c r="H1708" s="1" t="str">
        <f>IFERROR(__xludf.DUMMYFUNCTION("""COMPUTED_VALUE"""),"KINESIS BIOCARE")</f>
        <v>KINESIS BIOCARE</v>
      </c>
    </row>
    <row r="1709" ht="16.5" customHeight="1">
      <c r="H1709" s="1" t="str">
        <f>IFERROR(__xludf.DUMMYFUNCTION("""COMPUTED_VALUE"""),"KINJAL BIOTECH PVT LTD")</f>
        <v>KINJAL BIOTECH PVT LTD</v>
      </c>
    </row>
    <row r="1710" ht="16.5" customHeight="1">
      <c r="H1710" s="1" t="str">
        <f>IFERROR(__xludf.DUMMYFUNCTION("""COMPUTED_VALUE"""),"KIRI LABORATORIES")</f>
        <v>KIRI LABORATORIES</v>
      </c>
    </row>
    <row r="1711" ht="16.5" customHeight="1">
      <c r="H1711" s="1" t="str">
        <f>IFERROR(__xludf.DUMMYFUNCTION("""COMPUTED_VALUE"""),"Kivi Labs (DERMA)")</f>
        <v>Kivi Labs (DERMA)</v>
      </c>
    </row>
    <row r="1712" ht="16.5" customHeight="1">
      <c r="H1712" s="1" t="str">
        <f>IFERROR(__xludf.DUMMYFUNCTION("""COMPUTED_VALUE"""),"Kivi Labs (ENDURA)")</f>
        <v>Kivi Labs (ENDURA)</v>
      </c>
    </row>
    <row r="1713" ht="16.5" customHeight="1">
      <c r="H1713" s="1" t="str">
        <f>IFERROR(__xludf.DUMMYFUNCTION("""COMPUTED_VALUE"""),"Kivi Labs (MAIN)")</f>
        <v>Kivi Labs (MAIN)</v>
      </c>
    </row>
    <row r="1714" ht="16.5" customHeight="1">
      <c r="H1714" s="1" t="str">
        <f>IFERROR(__xludf.DUMMYFUNCTION("""COMPUTED_VALUE"""),"Kivi Labs Ltd")</f>
        <v>Kivi Labs Ltd</v>
      </c>
    </row>
    <row r="1715" ht="16.5" customHeight="1">
      <c r="H1715" s="1" t="str">
        <f>IFERROR(__xludf.DUMMYFUNCTION("""COMPUTED_VALUE"""),"KIVILIFE HEALTHCARE (CNS)")</f>
        <v>KIVILIFE HEALTHCARE (CNS)</v>
      </c>
    </row>
    <row r="1716" ht="16.5" customHeight="1">
      <c r="H1716" s="1" t="str">
        <f>IFERROR(__xludf.DUMMYFUNCTION("""COMPUTED_VALUE"""),"KLAR SEHEN")</f>
        <v>KLAR SEHEN</v>
      </c>
    </row>
    <row r="1717" ht="16.5" customHeight="1">
      <c r="H1717" s="1" t="str">
        <f>IFERROR(__xludf.DUMMYFUNCTION("""COMPUTED_VALUE"""),"KLM (PEDI)")</f>
        <v>KLM (PEDI)</v>
      </c>
    </row>
    <row r="1718" ht="16.5" customHeight="1">
      <c r="H1718" s="1" t="str">
        <f>IFERROR(__xludf.DUMMYFUNCTION("""COMPUTED_VALUE"""),"KLM Laboratories (COSMO)")</f>
        <v>KLM Laboratories (COSMO)</v>
      </c>
    </row>
    <row r="1719" ht="16.5" customHeight="1">
      <c r="H1719" s="1" t="str">
        <f>IFERROR(__xludf.DUMMYFUNCTION("""COMPUTED_VALUE"""),"KLM Laboratories (DERMA)")</f>
        <v>KLM Laboratories (DERMA)</v>
      </c>
    </row>
    <row r="1720" ht="16.5" customHeight="1">
      <c r="H1720" s="1" t="str">
        <f>IFERROR(__xludf.DUMMYFUNCTION("""COMPUTED_VALUE"""),"KLM LABORATORIES (EYE CARE)")</f>
        <v>KLM LABORATORIES (EYE CARE)</v>
      </c>
    </row>
    <row r="1721" ht="16.5" customHeight="1">
      <c r="H1721" s="1" t="str">
        <f>IFERROR(__xludf.DUMMYFUNCTION("""COMPUTED_VALUE"""),"KLM LABORATORIES (ORTHO)")</f>
        <v>KLM LABORATORIES (ORTHO)</v>
      </c>
    </row>
    <row r="1722" ht="16.5" customHeight="1">
      <c r="H1722" s="1" t="str">
        <f>IFERROR(__xludf.DUMMYFUNCTION("""COMPUTED_VALUE"""),"KLM Laboratories Pvt Ltd")</f>
        <v>KLM Laboratories Pvt Ltd</v>
      </c>
    </row>
    <row r="1723" ht="16.5" customHeight="1">
      <c r="H1723" s="1" t="str">
        <f>IFERROR(__xludf.DUMMYFUNCTION("""COMPUTED_VALUE"""),"KMS Health Center Pvt Ltd")</f>
        <v>KMS Health Center Pvt Ltd</v>
      </c>
    </row>
    <row r="1724" ht="16.5" customHeight="1">
      <c r="H1724" s="1" t="str">
        <f>IFERROR(__xludf.DUMMYFUNCTION("""COMPUTED_VALUE"""),"KN BIOTECH")</f>
        <v>KN BIOTECH</v>
      </c>
    </row>
    <row r="1725" ht="16.5" customHeight="1">
      <c r="H1725" s="1" t="str">
        <f>IFERROR(__xludf.DUMMYFUNCTION("""COMPUTED_VALUE"""),"Knoll Pharmaceuticals Ltd")</f>
        <v>Knoll Pharmaceuticals Ltd</v>
      </c>
    </row>
    <row r="1726" ht="16.5" customHeight="1">
      <c r="H1726" s="1" t="str">
        <f>IFERROR(__xludf.DUMMYFUNCTION("""COMPUTED_VALUE"""),"Knoll Pharmaceuticals Ltd (GENERIC)")</f>
        <v>Knoll Pharmaceuticals Ltd (GENERIC)</v>
      </c>
    </row>
    <row r="1727" ht="16.5" customHeight="1">
      <c r="H1727" s="1" t="str">
        <f>IFERROR(__xludf.DUMMYFUNCTION("""COMPUTED_VALUE"""),"KNOVIQ LIFESCIENCES")</f>
        <v>KNOVIQ LIFESCIENCES</v>
      </c>
    </row>
    <row r="1728" ht="16.5" customHeight="1">
      <c r="H1728" s="1" t="str">
        <f>IFERROR(__xludf.DUMMYFUNCTION("""COMPUTED_VALUE"""),"KONTEST CHEMICALS")</f>
        <v>KONTEST CHEMICALS</v>
      </c>
    </row>
    <row r="1729" ht="16.5" customHeight="1">
      <c r="H1729" s="1" t="str">
        <f>IFERROR(__xludf.DUMMYFUNCTION("""COMPUTED_VALUE"""),"KONVERGE HEALTHCARE")</f>
        <v>KONVERGE HEALTHCARE</v>
      </c>
    </row>
    <row r="1730" ht="16.5" customHeight="1">
      <c r="H1730" s="1" t="str">
        <f>IFERROR(__xludf.DUMMYFUNCTION("""COMPUTED_VALUE"""),"KOPRAN")</f>
        <v>KOPRAN</v>
      </c>
    </row>
    <row r="1731" ht="16.5" customHeight="1">
      <c r="H1731" s="1" t="str">
        <f>IFERROR(__xludf.DUMMYFUNCTION("""COMPUTED_VALUE"""),"KORNEPH")</f>
        <v>KORNEPH</v>
      </c>
    </row>
    <row r="1732" ht="16.5" customHeight="1">
      <c r="H1732" s="1" t="str">
        <f>IFERROR(__xludf.DUMMYFUNCTION("""COMPUTED_VALUE"""),"Koye Pharmaceuticals (CAIR)")</f>
        <v>Koye Pharmaceuticals (CAIR)</v>
      </c>
    </row>
    <row r="1733" ht="16.5" customHeight="1">
      <c r="H1733" s="1" t="str">
        <f>IFERROR(__xludf.DUMMYFUNCTION("""COMPUTED_VALUE"""),"Koye Pharmaceuticals (CARDIO)")</f>
        <v>Koye Pharmaceuticals (CARDIO)</v>
      </c>
    </row>
    <row r="1734" ht="16.5" customHeight="1">
      <c r="H1734" s="1" t="str">
        <f>IFERROR(__xludf.DUMMYFUNCTION("""COMPUTED_VALUE"""),"Koye Pharmaceuticals (GYNO)")</f>
        <v>Koye Pharmaceuticals (GYNO)</v>
      </c>
    </row>
    <row r="1735" ht="16.5" customHeight="1">
      <c r="H1735" s="1" t="str">
        <f>IFERROR(__xludf.DUMMYFUNCTION("""COMPUTED_VALUE"""),"Koye Pharmaceuticals (MAIN)")</f>
        <v>Koye Pharmaceuticals (MAIN)</v>
      </c>
    </row>
    <row r="1736" ht="16.5" customHeight="1">
      <c r="H1736" s="1" t="str">
        <f>IFERROR(__xludf.DUMMYFUNCTION("""COMPUTED_VALUE"""),"Koye Pharmaceuticals (ORIGYN)")</f>
        <v>Koye Pharmaceuticals (ORIGYN)</v>
      </c>
    </row>
    <row r="1737" ht="16.5" customHeight="1">
      <c r="H1737" s="1" t="str">
        <f>IFERROR(__xludf.DUMMYFUNCTION("""COMPUTED_VALUE"""),"koye Pharmaceuticals (OTC)")</f>
        <v>koye Pharmaceuticals (OTC)</v>
      </c>
    </row>
    <row r="1738" ht="16.5" customHeight="1">
      <c r="H1738" s="1" t="str">
        <f>IFERROR(__xludf.DUMMYFUNCTION("""COMPUTED_VALUE"""),"Koye Pharmaceuticals (OTH)")</f>
        <v>Koye Pharmaceuticals (OTH)</v>
      </c>
    </row>
    <row r="1739" ht="16.5" customHeight="1">
      <c r="H1739" s="1" t="str">
        <f>IFERROR(__xludf.DUMMYFUNCTION("""COMPUTED_VALUE"""),"Koye Pharmaceuticals Pvt ltd")</f>
        <v>Koye Pharmaceuticals Pvt ltd</v>
      </c>
    </row>
    <row r="1740" ht="16.5" customHeight="1">
      <c r="H1740" s="1" t="str">
        <f>IFERROR(__xludf.DUMMYFUNCTION("""COMPUTED_VALUE"""),"KR ENTERPRISES")</f>
        <v>KR ENTERPRISES</v>
      </c>
    </row>
    <row r="1741" ht="16.5" customHeight="1">
      <c r="H1741" s="1" t="str">
        <f>IFERROR(__xludf.DUMMYFUNCTION("""COMPUTED_VALUE"""),"KR INDO GERMAN")</f>
        <v>KR INDO GERMAN</v>
      </c>
    </row>
    <row r="1742" ht="16.5" customHeight="1">
      <c r="H1742" s="1" t="str">
        <f>IFERROR(__xludf.DUMMYFUNCTION("""COMPUTED_VALUE"""),"KRAFT INDIA FOOD LTD")</f>
        <v>KRAFT INDIA FOOD LTD</v>
      </c>
    </row>
    <row r="1743" ht="16.5" customHeight="1">
      <c r="H1743" s="1" t="str">
        <f>IFERROR(__xludf.DUMMYFUNCTION("""COMPUTED_VALUE"""),"KREIOS PHARMA")</f>
        <v>KREIOS PHARMA</v>
      </c>
    </row>
    <row r="1744" ht="16.5" customHeight="1">
      <c r="H1744" s="1" t="str">
        <f>IFERROR(__xludf.DUMMYFUNCTION("""COMPUTED_VALUE"""),"KRISHLAR PHARMACEUTICALS")</f>
        <v>KRISHLAR PHARMACEUTICALS</v>
      </c>
    </row>
    <row r="1745" ht="16.5" customHeight="1">
      <c r="H1745" s="1" t="str">
        <f>IFERROR(__xludf.DUMMYFUNCTION("""COMPUTED_VALUE"""),"KRISHNA MANFACTURING COMPANY")</f>
        <v>KRISHNA MANFACTURING COMPANY</v>
      </c>
    </row>
    <row r="1746" ht="16.5" customHeight="1">
      <c r="H1746" s="1" t="str">
        <f>IFERROR(__xludf.DUMMYFUNCTION("""COMPUTED_VALUE"""),"KSHIPRA HEALTH SOLUTIONS")</f>
        <v>KSHIPRA HEALTH SOLUTIONS</v>
      </c>
    </row>
    <row r="1747" ht="16.5" customHeight="1">
      <c r="H1747" s="1" t="str">
        <f>IFERROR(__xludf.DUMMYFUNCTION("""COMPUTED_VALUE"""),"KUDOS")</f>
        <v>KUDOS</v>
      </c>
    </row>
    <row r="1748" ht="16.5" customHeight="1">
      <c r="H1748" s="1" t="str">
        <f>IFERROR(__xludf.DUMMYFUNCTION("""COMPUTED_VALUE"""),"KUNNATH PHARMACEUTICALS")</f>
        <v>KUNNATH PHARMACEUTICALS</v>
      </c>
    </row>
    <row r="1749" ht="16.5" customHeight="1">
      <c r="H1749" s="1" t="str">
        <f>IFERROR(__xludf.DUMMYFUNCTION("""COMPUTED_VALUE"""),"KUSUM HEALTHCARE PVT LTD")</f>
        <v>KUSUM HEALTHCARE PVT LTD</v>
      </c>
    </row>
    <row r="1750" ht="16.5" customHeight="1">
      <c r="H1750" s="1" t="str">
        <f>IFERROR(__xludf.DUMMYFUNCTION("""COMPUTED_VALUE"""),"KWALITY PHARMACEUTICALS LTD")</f>
        <v>KWALITY PHARMACEUTICALS LTD</v>
      </c>
    </row>
    <row r="1751" ht="16.5" customHeight="1">
      <c r="H1751" s="1" t="str">
        <f>IFERROR(__xludf.DUMMYFUNCTION("""COMPUTED_VALUE"""),"KWIK HEALTHCARE")</f>
        <v>KWIK HEALTHCARE</v>
      </c>
    </row>
    <row r="1752" ht="16.5" customHeight="1">
      <c r="H1752" s="1" t="str">
        <f>IFERROR(__xludf.DUMMYFUNCTION("""COMPUTED_VALUE"""),"L AND V PHARMA")</f>
        <v>L AND V PHARMA</v>
      </c>
    </row>
    <row r="1753" ht="16.5" customHeight="1">
      <c r="H1753" s="1" t="str">
        <f>IFERROR(__xludf.DUMMYFUNCTION("""COMPUTED_VALUE"""),"L V LIFE SCIENCE SOLAN")</f>
        <v>L V LIFE SCIENCE SOLAN</v>
      </c>
    </row>
    <row r="1754" ht="16.5" customHeight="1">
      <c r="H1754" s="1" t="str">
        <f>IFERROR(__xludf.DUMMYFUNCTION("""COMPUTED_VALUE"""),"L'AMAR HEALTHCARE")</f>
        <v>L'AMAR HEALTHCARE</v>
      </c>
    </row>
    <row r="1755" ht="16.5" customHeight="1">
      <c r="H1755" s="1" t="str">
        <f>IFERROR(__xludf.DUMMYFUNCTION("""COMPUTED_VALUE"""),"L&amp;T PHARMA")</f>
        <v>L&amp;T PHARMA</v>
      </c>
    </row>
    <row r="1756" ht="16.5" customHeight="1">
      <c r="H1756" s="1" t="str">
        <f>IFERROR(__xludf.DUMMYFUNCTION("""COMPUTED_VALUE"""),"LA MANTE HEALTHCARE")</f>
        <v>LA MANTE HEALTHCARE</v>
      </c>
    </row>
    <row r="1757" ht="16.5" customHeight="1">
      <c r="H1757" s="1" t="str">
        <f>IFERROR(__xludf.DUMMYFUNCTION("""COMPUTED_VALUE"""),"LA MED INDIA")</f>
        <v>LA MED INDIA</v>
      </c>
    </row>
    <row r="1758" ht="16.5" customHeight="1">
      <c r="H1758" s="1" t="str">
        <f>IFERROR(__xludf.DUMMYFUNCTION("""COMPUTED_VALUE"""),"LA PENSER LIFE SCIENCES")</f>
        <v>LA PENSER LIFE SCIENCES</v>
      </c>
    </row>
    <row r="1759" ht="16.5" customHeight="1">
      <c r="H1759" s="1" t="str">
        <f>IFERROR(__xludf.DUMMYFUNCTION("""COMPUTED_VALUE"""),"LA PIEL BIOTECH P LTD")</f>
        <v>LA PIEL BIOTECH P LTD</v>
      </c>
    </row>
    <row r="1760" ht="16.5" customHeight="1">
      <c r="H1760" s="1" t="str">
        <f>IFERROR(__xludf.DUMMYFUNCTION("""COMPUTED_VALUE"""),"LA PRISTINE BIOCEUTICALS P LTD")</f>
        <v>LA PRISTINE BIOCEUTICALS P LTD</v>
      </c>
    </row>
    <row r="1761" ht="16.5" customHeight="1">
      <c r="H1761" s="1" t="str">
        <f>IFERROR(__xludf.DUMMYFUNCTION("""COMPUTED_VALUE"""),"LA RENON (CARDIO METABOLIC)")</f>
        <v>LA RENON (CARDIO METABOLIC)</v>
      </c>
    </row>
    <row r="1762" ht="16.5" customHeight="1">
      <c r="H1762" s="1" t="str">
        <f>IFERROR(__xludf.DUMMYFUNCTION("""COMPUTED_VALUE"""),"LA RENON (CNS-1)")</f>
        <v>LA RENON (CNS-1)</v>
      </c>
    </row>
    <row r="1763" ht="16.5" customHeight="1">
      <c r="H1763" s="1" t="str">
        <f>IFERROR(__xludf.DUMMYFUNCTION("""COMPUTED_VALUE"""),"LA RENON (CNS-2)")</f>
        <v>LA RENON (CNS-2)</v>
      </c>
    </row>
    <row r="1764" ht="16.5" customHeight="1">
      <c r="H1764" s="1" t="str">
        <f>IFERROR(__xludf.DUMMYFUNCTION("""COMPUTED_VALUE"""),"LA RENON (CRITICAL CARE)")</f>
        <v>LA RENON (CRITICAL CARE)</v>
      </c>
    </row>
    <row r="1765" ht="16.5" customHeight="1">
      <c r="H1765" s="1" t="str">
        <f>IFERROR(__xludf.DUMMYFUNCTION("""COMPUTED_VALUE"""),"LA RENON (GYNAECOLOGY)")</f>
        <v>LA RENON (GYNAECOLOGY)</v>
      </c>
    </row>
    <row r="1766" ht="16.5" customHeight="1">
      <c r="H1766" s="1" t="str">
        <f>IFERROR(__xludf.DUMMYFUNCTION("""COMPUTED_VALUE"""),"LA RENON (KIRRUS)")</f>
        <v>LA RENON (KIRRUS)</v>
      </c>
    </row>
    <row r="1767" ht="16.5" customHeight="1">
      <c r="H1767" s="1" t="str">
        <f>IFERROR(__xludf.DUMMYFUNCTION("""COMPUTED_VALUE"""),"LA RENON (LAUREATE)")</f>
        <v>LA RENON (LAUREATE)</v>
      </c>
    </row>
    <row r="1768" ht="16.5" customHeight="1">
      <c r="H1768" s="1" t="str">
        <f>IFERROR(__xludf.DUMMYFUNCTION("""COMPUTED_VALUE"""),"LA RENON (LAUREUS)")</f>
        <v>LA RENON (LAUREUS)</v>
      </c>
    </row>
    <row r="1769" ht="16.5" customHeight="1">
      <c r="H1769" s="1" t="str">
        <f>IFERROR(__xludf.DUMMYFUNCTION("""COMPUTED_VALUE"""),"LA RENON (LAVIATOR)")</f>
        <v>LA RENON (LAVIATOR)</v>
      </c>
    </row>
    <row r="1770" ht="16.5" customHeight="1">
      <c r="H1770" s="1" t="str">
        <f>IFERROR(__xludf.DUMMYFUNCTION("""COMPUTED_VALUE"""),"LA RENON (NEPHRO)")</f>
        <v>LA RENON (NEPHRO)</v>
      </c>
    </row>
    <row r="1771" ht="16.5" customHeight="1">
      <c r="H1771" s="1" t="str">
        <f>IFERROR(__xludf.DUMMYFUNCTION("""COMPUTED_VALUE"""),"LA RENON (ULTRA)")</f>
        <v>LA RENON (ULTRA)</v>
      </c>
    </row>
    <row r="1772" ht="16.5" customHeight="1">
      <c r="H1772" s="1" t="str">
        <f>IFERROR(__xludf.DUMMYFUNCTION("""COMPUTED_VALUE"""),"LA RENON (UROLOGY)")</f>
        <v>LA RENON (UROLOGY)</v>
      </c>
    </row>
    <row r="1773" ht="16.5" customHeight="1">
      <c r="H1773" s="1" t="str">
        <f>IFERROR(__xludf.DUMMYFUNCTION("""COMPUTED_VALUE"""),"La Renon Healthcare Pvt Ltd")</f>
        <v>La Renon Healthcare Pvt Ltd</v>
      </c>
    </row>
    <row r="1774" ht="16.5" customHeight="1">
      <c r="H1774" s="1" t="str">
        <f>IFERROR(__xludf.DUMMYFUNCTION("""COMPUTED_VALUE"""),"LA VELLA HEALTHCARE")</f>
        <v>LA VELLA HEALTHCARE</v>
      </c>
    </row>
    <row r="1775" ht="16.5" customHeight="1">
      <c r="H1775" s="1" t="str">
        <f>IFERROR(__xludf.DUMMYFUNCTION("""COMPUTED_VALUE"""),"LA-MED")</f>
        <v>LA-MED</v>
      </c>
    </row>
    <row r="1776" ht="16.5" customHeight="1">
      <c r="H1776" s="1" t="str">
        <f>IFERROR(__xludf.DUMMYFUNCTION("""COMPUTED_VALUE"""),"Laborate (GENERIC)")</f>
        <v>Laborate (GENERIC)</v>
      </c>
    </row>
    <row r="1777" ht="16.5" customHeight="1">
      <c r="H1777" s="1" t="str">
        <f>IFERROR(__xludf.DUMMYFUNCTION("""COMPUTED_VALUE"""),"LABORATE PHARMA")</f>
        <v>LABORATE PHARMA</v>
      </c>
    </row>
    <row r="1778" ht="16.5" customHeight="1">
      <c r="H1778" s="1" t="str">
        <f>IFERROR(__xludf.DUMMYFUNCTION("""COMPUTED_VALUE"""),"LABORATE PHARMACEUTICALS INDIA LTD")</f>
        <v>LABORATE PHARMACEUTICALS INDIA LTD</v>
      </c>
    </row>
    <row r="1779" ht="16.5" customHeight="1">
      <c r="H1779" s="1" t="str">
        <f>IFERROR(__xludf.DUMMYFUNCTION("""COMPUTED_VALUE"""),"LACELLE")</f>
        <v>LACELLE</v>
      </c>
    </row>
    <row r="1780" ht="16.5" customHeight="1">
      <c r="H1780" s="1" t="str">
        <f>IFERROR(__xludf.DUMMYFUNCTION("""COMPUTED_VALUE"""),"LAKSHYA")</f>
        <v>LAKSHYA</v>
      </c>
    </row>
    <row r="1781" ht="16.5" customHeight="1">
      <c r="H1781" s="1" t="str">
        <f>IFERROR(__xludf.DUMMYFUNCTION("""COMPUTED_VALUE"""),"LALIT PHARMACY")</f>
        <v>LALIT PHARMACY</v>
      </c>
    </row>
    <row r="1782" ht="16.5" customHeight="1">
      <c r="H1782" s="1" t="str">
        <f>IFERROR(__xludf.DUMMYFUNCTION("""COMPUTED_VALUE"""),"LAPIEL BIOTECH PVT LTD")</f>
        <v>LAPIEL BIOTECH PVT LTD</v>
      </c>
    </row>
    <row r="1783" ht="16.5" customHeight="1">
      <c r="H1783" s="1" t="str">
        <f>IFERROR(__xludf.DUMMYFUNCTION("""COMPUTED_VALUE"""),"LARK LABORATORIES LTD")</f>
        <v>LARK LABORATORIES LTD</v>
      </c>
    </row>
    <row r="1784" ht="16.5" customHeight="1">
      <c r="H1784" s="1" t="str">
        <f>IFERROR(__xludf.DUMMYFUNCTION("""COMPUTED_VALUE"""),"LAUREL LIFE SCIENCE")</f>
        <v>LAUREL LIFE SCIENCE</v>
      </c>
    </row>
    <row r="1785" ht="16.5" customHeight="1">
      <c r="H1785" s="1" t="str">
        <f>IFERROR(__xludf.DUMMYFUNCTION("""COMPUTED_VALUE"""),"LAVANYA BIOTECH")</f>
        <v>LAVANYA BIOTECH</v>
      </c>
    </row>
    <row r="1786" ht="16.5" customHeight="1">
      <c r="H1786" s="1" t="str">
        <f>IFERROR(__xludf.DUMMYFUNCTION("""COMPUTED_VALUE"""),"Laxian Incorporation")</f>
        <v>Laxian Incorporation</v>
      </c>
    </row>
    <row r="1787" ht="16.5" customHeight="1">
      <c r="H1787" s="1" t="str">
        <f>IFERROR(__xludf.DUMMYFUNCTION("""COMPUTED_VALUE"""),"LAXIAN PHARMACEUTICALS")</f>
        <v>LAXIAN PHARMACEUTICALS</v>
      </c>
    </row>
    <row r="1788" ht="16.5" customHeight="1">
      <c r="H1788" s="1" t="str">
        <f>IFERROR(__xludf.DUMMYFUNCTION("""COMPUTED_VALUE"""),"LAXMI DISTIBUTORS")</f>
        <v>LAXMI DISTIBUTORS</v>
      </c>
    </row>
    <row r="1789" ht="16.5" customHeight="1">
      <c r="H1789" s="1" t="str">
        <f>IFERROR(__xludf.DUMMYFUNCTION("""COMPUTED_VALUE"""),"LAXMI DRUG HOUSE (OTHER GENERAL PRODUCTS)")</f>
        <v>LAXMI DRUG HOUSE (OTHER GENERAL PRODUCTS)</v>
      </c>
    </row>
    <row r="1790" ht="16.5" customHeight="1">
      <c r="H1790" s="1" t="str">
        <f>IFERROR(__xludf.DUMMYFUNCTION("""COMPUTED_VALUE"""),"LAXO MEDICARE PVT LTD")</f>
        <v>LAXO MEDICARE PVT LTD</v>
      </c>
    </row>
    <row r="1791" ht="16.5" customHeight="1">
      <c r="H1791" s="1" t="str">
        <f>IFERROR(__xludf.DUMMYFUNCTION("""COMPUTED_VALUE"""),"LDD BIOSCIENCE PVT LTD")</f>
        <v>LDD BIOSCIENCE PVT LTD</v>
      </c>
    </row>
    <row r="1792" ht="16.5" customHeight="1">
      <c r="H1792" s="1" t="str">
        <f>IFERROR(__xludf.DUMMYFUNCTION("""COMPUTED_VALUE"""),"LE-VANZA PHARMA PVT LTD")</f>
        <v>LE-VANZA PHARMA PVT LTD</v>
      </c>
    </row>
    <row r="1793" ht="16.5" customHeight="1">
      <c r="H1793" s="1" t="str">
        <f>IFERROR(__xludf.DUMMYFUNCTION("""COMPUTED_VALUE"""),"LEAD CARE INTERNATIONAL")</f>
        <v>LEAD CARE INTERNATIONAL</v>
      </c>
    </row>
    <row r="1794" ht="16.5" customHeight="1">
      <c r="H1794" s="1" t="str">
        <f>IFERROR(__xludf.DUMMYFUNCTION("""COMPUTED_VALUE"""),"LEADERS HEALTHCARE LTD")</f>
        <v>LEADERS HEALTHCARE LTD</v>
      </c>
    </row>
    <row r="1795" ht="16.5" customHeight="1">
      <c r="H1795" s="1" t="str">
        <f>IFERROR(__xludf.DUMMYFUNCTION("""COMPUTED_VALUE"""),"LEBEN LABORATORIES PVT LTD")</f>
        <v>LEBEN LABORATORIES PVT LTD</v>
      </c>
    </row>
    <row r="1796" ht="16.5" customHeight="1">
      <c r="H1796" s="1" t="str">
        <f>IFERROR(__xludf.DUMMYFUNCTION("""COMPUTED_VALUE"""),"LEDERLE PHARMA")</f>
        <v>LEDERLE PHARMA</v>
      </c>
    </row>
    <row r="1797" ht="16.5" customHeight="1">
      <c r="H1797" s="1" t="str">
        <f>IFERROR(__xludf.DUMMYFUNCTION("""COMPUTED_VALUE"""),"LEE BENZ LIFESCIENCES")</f>
        <v>LEE BENZ LIFESCIENCES</v>
      </c>
    </row>
    <row r="1798" ht="16.5" customHeight="1">
      <c r="H1798" s="1" t="str">
        <f>IFERROR(__xludf.DUMMYFUNCTION("""COMPUTED_VALUE"""),"LEEFORD (COSMIC)")</f>
        <v>LEEFORD (COSMIC)</v>
      </c>
    </row>
    <row r="1799" ht="16.5" customHeight="1">
      <c r="H1799" s="1" t="str">
        <f>IFERROR(__xludf.DUMMYFUNCTION("""COMPUTED_VALUE"""),"LEEFORD (GENERIC)")</f>
        <v>LEEFORD (GENERIC)</v>
      </c>
    </row>
    <row r="1800" ht="16.5" customHeight="1">
      <c r="H1800" s="1" t="str">
        <f>IFERROR(__xludf.DUMMYFUNCTION("""COMPUTED_VALUE"""),"LEEFORD (HEALTHCARE)")</f>
        <v>LEEFORD (HEALTHCARE)</v>
      </c>
    </row>
    <row r="1801" ht="16.5" customHeight="1">
      <c r="H1801" s="1" t="str">
        <f>IFERROR(__xludf.DUMMYFUNCTION("""COMPUTED_VALUE"""),"LEEFORD (WELLNESS)")</f>
        <v>LEEFORD (WELLNESS)</v>
      </c>
    </row>
    <row r="1802" ht="16.5" customHeight="1">
      <c r="H1802" s="1" t="str">
        <f>IFERROR(__xludf.DUMMYFUNCTION("""COMPUTED_VALUE"""),"LEESUN PHARMACEUTICALS")</f>
        <v>LEESUN PHARMACEUTICALS</v>
      </c>
    </row>
    <row r="1803" ht="16.5" customHeight="1">
      <c r="H1803" s="1" t="str">
        <f>IFERROR(__xludf.DUMMYFUNCTION("""COMPUTED_VALUE"""),"LENVANIB 10MG")</f>
        <v>LENVANIB 10MG</v>
      </c>
    </row>
    <row r="1804" ht="16.5" customHeight="1">
      <c r="H1804" s="1" t="str">
        <f>IFERROR(__xludf.DUMMYFUNCTION("""COMPUTED_VALUE"""),"LENVANIB 4MG")</f>
        <v>LENVANIB 4MG</v>
      </c>
    </row>
    <row r="1805" ht="16.5" customHeight="1">
      <c r="H1805" s="1" t="str">
        <f>IFERROR(__xludf.DUMMYFUNCTION("""COMPUTED_VALUE"""),"LEO CHEMICALS")</f>
        <v>LEO CHEMICALS</v>
      </c>
    </row>
    <row r="1806" ht="16.5" customHeight="1">
      <c r="H1806" s="1" t="str">
        <f>IFERROR(__xludf.DUMMYFUNCTION("""COMPUTED_VALUE"""),"LEO FORMULATION P LTD")</f>
        <v>LEO FORMULATION P LTD</v>
      </c>
    </row>
    <row r="1807" ht="16.5" customHeight="1">
      <c r="H1807" s="1" t="str">
        <f>IFERROR(__xludf.DUMMYFUNCTION("""COMPUTED_VALUE"""),"LEXA LABS")</f>
        <v>LEXA LABS</v>
      </c>
    </row>
    <row r="1808" ht="16.5" customHeight="1">
      <c r="H1808" s="1" t="str">
        <f>IFERROR(__xludf.DUMMYFUNCTION("""COMPUTED_VALUE"""),"LEZAA BIOTECH")</f>
        <v>LEZAA BIOTECH</v>
      </c>
    </row>
    <row r="1809" ht="16.5" customHeight="1">
      <c r="H1809" s="1" t="str">
        <f>IFERROR(__xludf.DUMMYFUNCTION("""COMPUTED_VALUE"""),"LEZAPIN MD")</f>
        <v>LEZAPIN MD</v>
      </c>
    </row>
    <row r="1810" ht="16.5" customHeight="1">
      <c r="H1810" s="1" t="str">
        <f>IFERROR(__xludf.DUMMYFUNCTION("""COMPUTED_VALUE"""),"LG Lifesciences")</f>
        <v>LG Lifesciences</v>
      </c>
    </row>
    <row r="1811" ht="16.5" customHeight="1">
      <c r="H1811" s="1" t="str">
        <f>IFERROR(__xludf.DUMMYFUNCTION("""COMPUTED_VALUE"""),"LIFE LINE BIOTECH LTD")</f>
        <v>LIFE LINE BIOTECH LTD</v>
      </c>
    </row>
    <row r="1812" ht="16.5" customHeight="1">
      <c r="H1812" s="1" t="str">
        <f>IFERROR(__xludf.DUMMYFUNCTION("""COMPUTED_VALUE"""),"LIFE MEDICARE &amp; BIOTECH PVT.LT")</f>
        <v>LIFE MEDICARE &amp; BIOTECH PVT.LT</v>
      </c>
    </row>
    <row r="1813" ht="16.5" customHeight="1">
      <c r="H1813" s="1" t="str">
        <f>IFERROR(__xludf.DUMMYFUNCTION("""COMPUTED_VALUE"""),"LIFE O LINE TECHNOLOGIST")</f>
        <v>LIFE O LINE TECHNOLOGIST</v>
      </c>
    </row>
    <row r="1814" ht="16.5" customHeight="1">
      <c r="H1814" s="1" t="str">
        <f>IFERROR(__xludf.DUMMYFUNCTION("""COMPUTED_VALUE"""),"LIFE PHARMACEUTICALS PVT LTD")</f>
        <v>LIFE PHARMACEUTICALS PVT LTD</v>
      </c>
    </row>
    <row r="1815" ht="16.5" customHeight="1">
      <c r="H1815" s="1" t="str">
        <f>IFERROR(__xludf.DUMMYFUNCTION("""COMPUTED_VALUE"""),"LIFE VISION HEALTHCARE")</f>
        <v>LIFE VISION HEALTHCARE</v>
      </c>
    </row>
    <row r="1816" ht="16.5" customHeight="1">
      <c r="H1816" s="1" t="str">
        <f>IFERROR(__xludf.DUMMYFUNCTION("""COMPUTED_VALUE"""),"LIFECARE NEURO PRODUCTS LTD")</f>
        <v>LIFECARE NEURO PRODUCTS LTD</v>
      </c>
    </row>
    <row r="1817" ht="16.5" customHeight="1">
      <c r="H1817" s="1" t="str">
        <f>IFERROR(__xludf.DUMMYFUNCTION("""COMPUTED_VALUE"""),"LIFEGATE REMEDIES")</f>
        <v>LIFEGATE REMEDIES</v>
      </c>
    </row>
    <row r="1818" ht="16.5" customHeight="1">
      <c r="H1818" s="1" t="str">
        <f>IFERROR(__xludf.DUMMYFUNCTION("""COMPUTED_VALUE"""),"LIFEKYOR PHARMA")</f>
        <v>LIFEKYOR PHARMA</v>
      </c>
    </row>
    <row r="1819" ht="16.5" customHeight="1">
      <c r="H1819" s="1" t="str">
        <f>IFERROR(__xludf.DUMMYFUNCTION("""COMPUTED_VALUE"""),"LIFESOL MEDICAL LIMITED")</f>
        <v>LIFESOL MEDICAL LIMITED</v>
      </c>
    </row>
    <row r="1820" ht="16.5" customHeight="1">
      <c r="H1820" s="1" t="str">
        <f>IFERROR(__xludf.DUMMYFUNCTION("""COMPUTED_VALUE"""),"LIFEZ")</f>
        <v>LIFEZ</v>
      </c>
    </row>
    <row r="1821" ht="16.5" customHeight="1">
      <c r="H1821" s="1" t="str">
        <f>IFERROR(__xludf.DUMMYFUNCTION("""COMPUTED_VALUE"""),"LIFT LIFE BIOTECH")</f>
        <v>LIFT LIFE BIOTECH</v>
      </c>
    </row>
    <row r="1822" ht="16.5" customHeight="1">
      <c r="H1822" s="1" t="str">
        <f>IFERROR(__xludf.DUMMYFUNCTION("""COMPUTED_VALUE"""),"LIKAMEDA PHARMACEUTICALS PVT LTD")</f>
        <v>LIKAMEDA PHARMACEUTICALS PVT LTD</v>
      </c>
    </row>
    <row r="1823" ht="16.5" customHeight="1">
      <c r="H1823" s="1" t="str">
        <f>IFERROR(__xludf.DUMMYFUNCTION("""COMPUTED_VALUE"""),"LILANIA MEDICORP (INDIA) P LTD")</f>
        <v>LILANIA MEDICORP (INDIA) P LTD</v>
      </c>
    </row>
    <row r="1824" ht="16.5" customHeight="1">
      <c r="H1824" s="1" t="str">
        <f>IFERROR(__xludf.DUMMYFUNCTION("""COMPUTED_VALUE"""),"LIMBIC LIFE SCIENCES P LTD")</f>
        <v>LIMBIC LIFE SCIENCES P LTD</v>
      </c>
    </row>
    <row r="1825" ht="16.5" customHeight="1">
      <c r="H1825" s="1" t="str">
        <f>IFERROR(__xludf.DUMMYFUNCTION("""COMPUTED_VALUE"""),"LINCOLN (LORDS)")</f>
        <v>LINCOLN (LORDS)</v>
      </c>
    </row>
    <row r="1826" ht="16.5" customHeight="1">
      <c r="H1826" s="1" t="str">
        <f>IFERROR(__xludf.DUMMYFUNCTION("""COMPUTED_VALUE"""),"LINCOLN (TERESA)")</f>
        <v>LINCOLN (TERESA)</v>
      </c>
    </row>
    <row r="1827" ht="16.5" customHeight="1">
      <c r="H1827" s="1" t="str">
        <f>IFERROR(__xludf.DUMMYFUNCTION("""COMPUTED_VALUE"""),"Lincoln Pharmaceuticals Ltd")</f>
        <v>Lincoln Pharmaceuticals Ltd</v>
      </c>
    </row>
    <row r="1828" ht="16.5" customHeight="1">
      <c r="H1828" s="1" t="str">
        <f>IFERROR(__xludf.DUMMYFUNCTION("""COMPUTED_VALUE"""),"LINGDAO HEALTHCARE")</f>
        <v>LINGDAO HEALTHCARE</v>
      </c>
    </row>
    <row r="1829" ht="16.5" customHeight="1">
      <c r="H1829" s="1" t="str">
        <f>IFERROR(__xludf.DUMMYFUNCTION("""COMPUTED_VALUE"""),"LINK PHARMA")</f>
        <v>LINK PHARMA</v>
      </c>
    </row>
    <row r="1830" ht="16.5" customHeight="1">
      <c r="H1830" s="1" t="str">
        <f>IFERROR(__xludf.DUMMYFUNCTION("""COMPUTED_VALUE"""),"LINUX (INFINA)")</f>
        <v>LINUX (INFINA)</v>
      </c>
    </row>
    <row r="1831" ht="16.5" customHeight="1">
      <c r="H1831" s="1" t="str">
        <f>IFERROR(__xludf.DUMMYFUNCTION("""COMPUTED_VALUE"""),"Linux Laboratories")</f>
        <v>Linux Laboratories</v>
      </c>
    </row>
    <row r="1832" ht="16.5" customHeight="1">
      <c r="H1832" s="1" t="str">
        <f>IFERROR(__xludf.DUMMYFUNCTION("""COMPUTED_VALUE"""),"LION BRAND")</f>
        <v>LION BRAND</v>
      </c>
    </row>
    <row r="1833" ht="16.5" customHeight="1">
      <c r="H1833" s="1" t="str">
        <f>IFERROR(__xludf.DUMMYFUNCTION("""COMPUTED_VALUE"""),"LIP PINK")</f>
        <v>LIP PINK</v>
      </c>
    </row>
    <row r="1834" ht="16.5" customHeight="1">
      <c r="H1834" s="1" t="str">
        <f>IFERROR(__xludf.DUMMYFUNCTION("""COMPUTED_VALUE"""),"ListApp Technologies")</f>
        <v>ListApp Technologies</v>
      </c>
    </row>
    <row r="1835" ht="16.5" customHeight="1">
      <c r="H1835" s="1" t="str">
        <f>IFERROR(__xludf.DUMMYFUNCTION("""COMPUTED_VALUE"""),"LITAKA PHARMACEUTICALS LTD")</f>
        <v>LITAKA PHARMACEUTICALS LTD</v>
      </c>
    </row>
    <row r="1836" ht="16.5" customHeight="1">
      <c r="H1836" s="1" t="str">
        <f>IFERROR(__xludf.DUMMYFUNCTION("""COMPUTED_VALUE"""),"LITTLE ANGEL")</f>
        <v>LITTLE ANGEL</v>
      </c>
    </row>
    <row r="1837" ht="16.5" customHeight="1">
      <c r="H1837" s="1" t="str">
        <f>IFERROR(__xludf.DUMMYFUNCTION("""COMPUTED_VALUE"""),"Little Greave Pharmaceuticals Pvt. Ltd.")</f>
        <v>Little Greave Pharmaceuticals Pvt. Ltd.</v>
      </c>
    </row>
    <row r="1838" ht="16.5" customHeight="1">
      <c r="H1838" s="1" t="str">
        <f>IFERROR(__xludf.DUMMYFUNCTION("""COMPUTED_VALUE"""),"Liva Healthcare Ltd")</f>
        <v>Liva Healthcare Ltd</v>
      </c>
    </row>
    <row r="1839" ht="16.5" customHeight="1">
      <c r="H1839" s="1" t="str">
        <f>IFERROR(__xludf.DUMMYFUNCTION("""COMPUTED_VALUE"""),"LIVEON HEALTHCARE")</f>
        <v>LIVEON HEALTHCARE</v>
      </c>
    </row>
    <row r="1840" ht="16.5" customHeight="1">
      <c r="H1840" s="1" t="str">
        <f>IFERROR(__xludf.DUMMYFUNCTION("""COMPUTED_VALUE"""),"LIWEL HEALTHCARE")</f>
        <v>LIWEL HEALTHCARE</v>
      </c>
    </row>
    <row r="1841" ht="16.5" customHeight="1">
      <c r="H1841" s="1" t="str">
        <f>IFERROR(__xludf.DUMMYFUNCTION("""COMPUTED_VALUE"""),"LOK BETA PHARMACEUTICAL")</f>
        <v>LOK BETA PHARMACEUTICAL</v>
      </c>
    </row>
    <row r="1842" ht="16.5" customHeight="1">
      <c r="H1842" s="1" t="str">
        <f>IFERROR(__xludf.DUMMYFUNCTION("""COMPUTED_VALUE"""),"LORDS")</f>
        <v>LORDS</v>
      </c>
    </row>
    <row r="1843" ht="16.5" customHeight="1">
      <c r="H1843" s="1" t="str">
        <f>IFERROR(__xludf.DUMMYFUNCTION("""COMPUTED_VALUE"""),"LOTUS NUTRATECH")</f>
        <v>LOTUS NUTRATECH</v>
      </c>
    </row>
    <row r="1844" ht="16.5" customHeight="1">
      <c r="H1844" s="1" t="str">
        <f>IFERROR(__xludf.DUMMYFUNCTION("""COMPUTED_VALUE"""),"LOUIES LIFE SCIENCES")</f>
        <v>LOUIES LIFE SCIENCES</v>
      </c>
    </row>
    <row r="1845" ht="16.5" customHeight="1">
      <c r="H1845" s="1" t="str">
        <f>IFERROR(__xludf.DUMMYFUNCTION("""COMPUTED_VALUE"""),"LT&amp;T PHARMA PVT LTD")</f>
        <v>LT&amp;T PHARMA PVT LTD</v>
      </c>
    </row>
    <row r="1846" ht="16.5" customHeight="1">
      <c r="H1846" s="1" t="str">
        <f>IFERROR(__xludf.DUMMYFUNCTION("""COMPUTED_VALUE"""),"LUCIFER AND HESPER (INDIA) PVT LTD")</f>
        <v>LUCIFER AND HESPER (INDIA) PVT LTD</v>
      </c>
    </row>
    <row r="1847" ht="16.5" customHeight="1">
      <c r="H1847" s="1" t="str">
        <f>IFERROR(__xludf.DUMMYFUNCTION("""COMPUTED_VALUE"""),"LUCKYS PHARMA")</f>
        <v>LUCKYS PHARMA</v>
      </c>
    </row>
    <row r="1848" ht="16.5" customHeight="1">
      <c r="H1848" s="1" t="str">
        <f>IFERROR(__xludf.DUMMYFUNCTION("""COMPUTED_VALUE"""),"LUCO HEALTHCARE")</f>
        <v>LUCO HEALTHCARE</v>
      </c>
    </row>
    <row r="1849" ht="16.5" customHeight="1">
      <c r="H1849" s="1" t="str">
        <f>IFERROR(__xludf.DUMMYFUNCTION("""COMPUTED_VALUE"""),"LUNARIA LIFE SCIENCE")</f>
        <v>LUNARIA LIFE SCIENCE</v>
      </c>
    </row>
    <row r="1850" ht="16.5" customHeight="1">
      <c r="H1850" s="1" t="str">
        <f>IFERROR(__xludf.DUMMYFUNCTION("""COMPUTED_VALUE"""),"Lundbeck India Pvt Ltd")</f>
        <v>Lundbeck India Pvt Ltd</v>
      </c>
    </row>
    <row r="1851" ht="16.5" customHeight="1">
      <c r="H1851" s="1" t="str">
        <f>IFERROR(__xludf.DUMMYFUNCTION("""COMPUTED_VALUE"""),"LUPIN (ASCENDER)")</f>
        <v>LUPIN (ASCENDER)</v>
      </c>
    </row>
    <row r="1852" ht="16.5" customHeight="1">
      <c r="H1852" s="1" t="str">
        <f>IFERROR(__xludf.DUMMYFUNCTION("""COMPUTED_VALUE"""),"LUPIN (ASPIRA)")</f>
        <v>LUPIN (ASPIRA)</v>
      </c>
    </row>
    <row r="1853" ht="16.5" customHeight="1">
      <c r="H1853" s="1" t="str">
        <f>IFERROR(__xludf.DUMMYFUNCTION("""COMPUTED_VALUE"""),"LUPIN (BLUE EYES)")</f>
        <v>LUPIN (BLUE EYES)</v>
      </c>
    </row>
    <row r="1854" ht="16.5" customHeight="1">
      <c r="H1854" s="1" t="str">
        <f>IFERROR(__xludf.DUMMYFUNCTION("""COMPUTED_VALUE"""),"LUPIN (DERMA)")</f>
        <v>LUPIN (DERMA)</v>
      </c>
    </row>
    <row r="1855" ht="16.5" customHeight="1">
      <c r="H1855" s="1" t="str">
        <f>IFERROR(__xludf.DUMMYFUNCTION("""COMPUTED_VALUE"""),"LUPIN (DIABETES CARE)")</f>
        <v>LUPIN (DIABETES CARE)</v>
      </c>
    </row>
    <row r="1856" ht="16.5" customHeight="1">
      <c r="H1856" s="1" t="str">
        <f>IFERROR(__xludf.DUMMYFUNCTION("""COMPUTED_VALUE"""),"LUPIN (ENDEAVOUR)")</f>
        <v>LUPIN (ENDEAVOUR)</v>
      </c>
    </row>
    <row r="1857" ht="16.5" customHeight="1">
      <c r="H1857" s="1" t="str">
        <f>IFERROR(__xludf.DUMMYFUNCTION("""COMPUTED_VALUE"""),"LUPIN (FEMINA)")</f>
        <v>LUPIN (FEMINA)</v>
      </c>
    </row>
    <row r="1858" ht="16.5" customHeight="1">
      <c r="H1858" s="1" t="str">
        <f>IFERROR(__xludf.DUMMYFUNCTION("""COMPUTED_VALUE"""),"LUPIN (FORMICA)")</f>
        <v>LUPIN (FORMICA)</v>
      </c>
    </row>
    <row r="1859" ht="16.5" customHeight="1">
      <c r="H1859" s="1" t="str">
        <f>IFERROR(__xludf.DUMMYFUNCTION("""COMPUTED_VALUE"""),"LUPIN (GENERIC)")</f>
        <v>LUPIN (GENERIC)</v>
      </c>
    </row>
    <row r="1860" ht="16.5" customHeight="1">
      <c r="H1860" s="1" t="str">
        <f>IFERROR(__xludf.DUMMYFUNCTION("""COMPUTED_VALUE"""),"LUPIN (IKONIC)")</f>
        <v>LUPIN (IKONIC)</v>
      </c>
    </row>
    <row r="1861" ht="16.5" customHeight="1">
      <c r="H1861" s="1" t="str">
        <f>IFERROR(__xludf.DUMMYFUNCTION("""COMPUTED_VALUE"""),"LUPIN (LIFE)")</f>
        <v>LUPIN (LIFE)</v>
      </c>
    </row>
    <row r="1862" ht="16.5" customHeight="1">
      <c r="H1862" s="1" t="str">
        <f>IFERROR(__xludf.DUMMYFUNCTION("""COMPUTED_VALUE"""),"LUPIN (MAXTER)")</f>
        <v>LUPIN (MAXTER)</v>
      </c>
    </row>
    <row r="1863" ht="16.5" customHeight="1">
      <c r="H1863" s="1" t="str">
        <f>IFERROR(__xludf.DUMMYFUNCTION("""COMPUTED_VALUE"""),"LUPIN (METABOLICS)")</f>
        <v>LUPIN (METABOLICS)</v>
      </c>
    </row>
    <row r="1864" ht="16.5" customHeight="1">
      <c r="H1864" s="1" t="str">
        <f>IFERROR(__xludf.DUMMYFUNCTION("""COMPUTED_VALUE"""),"LUPIN (MIND VISION)")</f>
        <v>LUPIN (MIND VISION)</v>
      </c>
    </row>
    <row r="1865" ht="16.5" customHeight="1">
      <c r="H1865" s="1" t="str">
        <f>IFERROR(__xludf.DUMMYFUNCTION("""COMPUTED_VALUE"""),"LUPIN (NEPHRO)")</f>
        <v>LUPIN (NEPHRO)</v>
      </c>
    </row>
    <row r="1866" ht="16.5" customHeight="1">
      <c r="H1866" s="1" t="str">
        <f>IFERROR(__xludf.DUMMYFUNCTION("""COMPUTED_VALUE"""),"LUPIN (PHOENIX)")</f>
        <v>LUPIN (PHOENIX)</v>
      </c>
    </row>
    <row r="1867" ht="16.5" customHeight="1">
      <c r="H1867" s="1" t="str">
        <f>IFERROR(__xludf.DUMMYFUNCTION("""COMPUTED_VALUE"""),"LUPIN (PINACALLE)")</f>
        <v>LUPIN (PINACALLE)</v>
      </c>
    </row>
    <row r="1868" ht="16.5" customHeight="1">
      <c r="H1868" s="1" t="str">
        <f>IFERROR(__xludf.DUMMYFUNCTION("""COMPUTED_VALUE"""),"LUPIN (PINNACLE CVN)")</f>
        <v>LUPIN (PINNACLE CVN)</v>
      </c>
    </row>
    <row r="1869" ht="16.5" customHeight="1">
      <c r="H1869" s="1" t="str">
        <f>IFERROR(__xludf.DUMMYFUNCTION("""COMPUTED_VALUE"""),"LUPIN (PRIMUSO)")</f>
        <v>LUPIN (PRIMUSO)</v>
      </c>
    </row>
    <row r="1870" ht="16.5" customHeight="1">
      <c r="H1870" s="1" t="str">
        <f>IFERROR(__xludf.DUMMYFUNCTION("""COMPUTED_VALUE"""),"LUPIN (RESPIRA SPIRITUS)")</f>
        <v>LUPIN (RESPIRA SPIRITUS)</v>
      </c>
    </row>
    <row r="1871" ht="16.5" customHeight="1">
      <c r="H1871" s="1" t="str">
        <f>IFERROR(__xludf.DUMMYFUNCTION("""COMPUTED_VALUE"""),"LUPIN (RESPIRA-SPECIALITY)")</f>
        <v>LUPIN (RESPIRA-SPECIALITY)</v>
      </c>
    </row>
    <row r="1872" ht="16.5" customHeight="1">
      <c r="H1872" s="1" t="str">
        <f>IFERROR(__xludf.DUMMYFUNCTION("""COMPUTED_VALUE"""),"LUPIN (RESPIRA)")</f>
        <v>LUPIN (RESPIRA)</v>
      </c>
    </row>
    <row r="1873" ht="16.5" customHeight="1">
      <c r="H1873" s="1" t="str">
        <f>IFERROR(__xludf.DUMMYFUNCTION("""COMPUTED_VALUE"""),"LUPIN (STELLAR)")</f>
        <v>LUPIN (STELLAR)</v>
      </c>
    </row>
    <row r="1874" ht="16.5" customHeight="1">
      <c r="H1874" s="1" t="str">
        <f>IFERROR(__xludf.DUMMYFUNCTION("""COMPUTED_VALUE"""),"LUPIN (SYNOX)")</f>
        <v>LUPIN (SYNOX)</v>
      </c>
    </row>
    <row r="1875" ht="16.5" customHeight="1">
      <c r="H1875" s="1" t="str">
        <f>IFERROR(__xludf.DUMMYFUNCTION("""COMPUTED_VALUE"""),"LUPIN (TB)")</f>
        <v>LUPIN (TB)</v>
      </c>
    </row>
    <row r="1876" ht="16.5" customHeight="1">
      <c r="H1876" s="1" t="str">
        <f>IFERROR(__xludf.DUMMYFUNCTION("""COMPUTED_VALUE"""),"Lupin Ltd")</f>
        <v>Lupin Ltd</v>
      </c>
    </row>
    <row r="1877" ht="16.5" customHeight="1">
      <c r="H1877" s="1" t="str">
        <f>IFERROR(__xludf.DUMMYFUNCTION("""COMPUTED_VALUE"""),"LUSAN PHARMACEUTICALS")</f>
        <v>LUSAN PHARMACEUTICALS</v>
      </c>
    </row>
    <row r="1878" ht="16.5" customHeight="1">
      <c r="H1878" s="1" t="str">
        <f>IFERROR(__xludf.DUMMYFUNCTION("""COMPUTED_VALUE"""),"LUVIA LIFESCIENCES")</f>
        <v>LUVIA LIFESCIENCES</v>
      </c>
    </row>
    <row r="1879" ht="16.5" customHeight="1">
      <c r="H1879" s="1" t="str">
        <f>IFERROR(__xludf.DUMMYFUNCTION("""COMPUTED_VALUE"""),"LXIR MEDILABS PVT LTD")</f>
        <v>LXIR MEDILABS PVT LTD</v>
      </c>
    </row>
    <row r="1880" ht="16.5" customHeight="1">
      <c r="H1880" s="1" t="str">
        <f>IFERROR(__xludf.DUMMYFUNCTION("""COMPUTED_VALUE"""),"LYCON HEALTHCARE PVT LTD")</f>
        <v>LYCON HEALTHCARE PVT LTD</v>
      </c>
    </row>
    <row r="1881" ht="16.5" customHeight="1">
      <c r="H1881" s="1" t="str">
        <f>IFERROR(__xludf.DUMMYFUNCTION("""COMPUTED_VALUE"""),"LYF HEALTHCARE")</f>
        <v>LYF HEALTHCARE</v>
      </c>
    </row>
    <row r="1882" ht="16.5" customHeight="1">
      <c r="H1882" s="1" t="str">
        <f>IFERROR(__xludf.DUMMYFUNCTION("""COMPUTED_VALUE"""),"LYKA LABS LTD")</f>
        <v>LYKA LABS LTD</v>
      </c>
    </row>
    <row r="1883" ht="16.5" customHeight="1">
      <c r="H1883" s="1" t="str">
        <f>IFERROR(__xludf.DUMMYFUNCTION("""COMPUTED_VALUE"""),"LYRA LABORATORIES PVT LTD")</f>
        <v>LYRA LABORATORIES PVT LTD</v>
      </c>
    </row>
    <row r="1884" ht="16.5" customHeight="1">
      <c r="H1884" s="1" t="str">
        <f>IFERROR(__xludf.DUMMYFUNCTION("""COMPUTED_VALUE"""),"LYSTEN GLOBAL PHARMACEUTICAL")</f>
        <v>LYSTEN GLOBAL PHARMACEUTICAL</v>
      </c>
    </row>
    <row r="1885" ht="16.5" customHeight="1">
      <c r="H1885" s="1" t="str">
        <f>IFERROR(__xludf.DUMMYFUNCTION("""COMPUTED_VALUE"""),"M &amp; M PHARMA")</f>
        <v>M &amp; M PHARMA</v>
      </c>
    </row>
    <row r="1886" ht="16.5" customHeight="1">
      <c r="H1886" s="1" t="str">
        <f>IFERROR(__xludf.DUMMYFUNCTION("""COMPUTED_VALUE"""),"M H JAVERIAN N SONS")</f>
        <v>M H JAVERIAN N SONS</v>
      </c>
    </row>
    <row r="1887" ht="16.5" customHeight="1">
      <c r="H1887" s="1" t="str">
        <f>IFERROR(__xludf.DUMMYFUNCTION("""COMPUTED_VALUE"""),"MAA CHAMUNDA HEALTHCARE")</f>
        <v>MAA CHAMUNDA HEALTHCARE</v>
      </c>
    </row>
    <row r="1888" ht="16.5" customHeight="1">
      <c r="H1888" s="1" t="str">
        <f>IFERROR(__xludf.DUMMYFUNCTION("""COMPUTED_VALUE"""),"MAAN PHARMACEUTICAL LTD")</f>
        <v>MAAN PHARMACEUTICAL LTD</v>
      </c>
    </row>
    <row r="1889" ht="16.5" customHeight="1">
      <c r="H1889" s="1" t="str">
        <f>IFERROR(__xludf.DUMMYFUNCTION("""COMPUTED_VALUE"""),"MACELODS (CV)")</f>
        <v>MACELODS (CV)</v>
      </c>
    </row>
    <row r="1890" ht="16.5" customHeight="1">
      <c r="H1890" s="1" t="str">
        <f>IFERROR(__xludf.DUMMYFUNCTION("""COMPUTED_VALUE"""),"MACFORD PHARMACEUTICALS")</f>
        <v>MACFORD PHARMACEUTICALS</v>
      </c>
    </row>
    <row r="1891" ht="16.5" customHeight="1">
      <c r="H1891" s="1" t="str">
        <f>IFERROR(__xludf.DUMMYFUNCTION("""COMPUTED_VALUE"""),"MACIN'S PHARMA")</f>
        <v>MACIN'S PHARMA</v>
      </c>
    </row>
    <row r="1892" ht="16.5" customHeight="1">
      <c r="H1892" s="1" t="str">
        <f>IFERROR(__xludf.DUMMYFUNCTION("""COMPUTED_VALUE"""),"MACLEODS (ACCUPHAR)")</f>
        <v>MACLEODS (ACCUPHAR)</v>
      </c>
    </row>
    <row r="1893" ht="16.5" customHeight="1">
      <c r="H1893" s="1" t="str">
        <f>IFERROR(__xludf.DUMMYFUNCTION("""COMPUTED_VALUE"""),"MACLEODS (AEROMAC)")</f>
        <v>MACLEODS (AEROMAC)</v>
      </c>
    </row>
    <row r="1894" ht="16.5" customHeight="1">
      <c r="H1894" s="1" t="str">
        <f>IFERROR(__xludf.DUMMYFUNCTION("""COMPUTED_VALUE"""),"MACLEODS (GEN CARE)")</f>
        <v>MACLEODS (GEN CARE)</v>
      </c>
    </row>
    <row r="1895" ht="16.5" customHeight="1">
      <c r="H1895" s="1" t="str">
        <f>IFERROR(__xludf.DUMMYFUNCTION("""COMPUTED_VALUE"""),"MACLEODS (MACPHAR)")</f>
        <v>MACLEODS (MACPHAR)</v>
      </c>
    </row>
    <row r="1896" ht="16.5" customHeight="1">
      <c r="H1896" s="1" t="str">
        <f>IFERROR(__xludf.DUMMYFUNCTION("""COMPUTED_VALUE"""),"MACLEODS (OSTEVA)")</f>
        <v>MACLEODS (OSTEVA)</v>
      </c>
    </row>
    <row r="1897" ht="16.5" customHeight="1">
      <c r="H1897" s="1" t="str">
        <f>IFERROR(__xludf.DUMMYFUNCTION("""COMPUTED_VALUE"""),"MACLEODS (OXALIS)")</f>
        <v>MACLEODS (OXALIS)</v>
      </c>
    </row>
    <row r="1898" ht="16.5" customHeight="1">
      <c r="H1898" s="1" t="str">
        <f>IFERROR(__xludf.DUMMYFUNCTION("""COMPUTED_VALUE"""),"MACLEODS (PROCARE-AHT)")</f>
        <v>MACLEODS (PROCARE-AHT)</v>
      </c>
    </row>
    <row r="1899" ht="16.5" customHeight="1">
      <c r="H1899" s="1" t="str">
        <f>IFERROR(__xludf.DUMMYFUNCTION("""COMPUTED_VALUE"""),"MACLEODS (PROCARE-AHT2)")</f>
        <v>MACLEODS (PROCARE-AHT2)</v>
      </c>
    </row>
    <row r="1900" ht="16.5" customHeight="1">
      <c r="H1900" s="1" t="str">
        <f>IFERROR(__xludf.DUMMYFUNCTION("""COMPUTED_VALUE"""),"MACLEODS (PROCARE-CV)")</f>
        <v>MACLEODS (PROCARE-CV)</v>
      </c>
    </row>
    <row r="1901" ht="16.5" customHeight="1">
      <c r="H1901" s="1" t="str">
        <f>IFERROR(__xludf.DUMMYFUNCTION("""COMPUTED_VALUE"""),"MACLEODS (TB CARE)")</f>
        <v>MACLEODS (TB CARE)</v>
      </c>
    </row>
    <row r="1902" ht="16.5" customHeight="1">
      <c r="H1902" s="1" t="str">
        <f>IFERROR(__xludf.DUMMYFUNCTION("""COMPUTED_VALUE"""),"MACLEODS PHARMA (MAIN)")</f>
        <v>MACLEODS PHARMA (MAIN)</v>
      </c>
    </row>
    <row r="1903" ht="16.5" customHeight="1">
      <c r="H1903" s="1" t="str">
        <f>IFERROR(__xludf.DUMMYFUNCTION("""COMPUTED_VALUE"""),"Macleods Pharmaceuticals Pvt Ltd")</f>
        <v>Macleods Pharmaceuticals Pvt Ltd</v>
      </c>
    </row>
    <row r="1904" ht="16.5" customHeight="1">
      <c r="H1904" s="1" t="str">
        <f>IFERROR(__xludf.DUMMYFUNCTION("""COMPUTED_VALUE"""),"MACLIFE BIOTECH P LTD")</f>
        <v>MACLIFE BIOTECH P LTD</v>
      </c>
    </row>
    <row r="1905" ht="16.5" customHeight="1">
      <c r="H1905" s="1" t="str">
        <f>IFERROR(__xludf.DUMMYFUNCTION("""COMPUTED_VALUE"""),"MACLOEDS (PROCARE-HD)")</f>
        <v>MACLOEDS (PROCARE-HD)</v>
      </c>
    </row>
    <row r="1906" ht="16.5" customHeight="1">
      <c r="H1906" s="1" t="str">
        <f>IFERROR(__xludf.DUMMYFUNCTION("""COMPUTED_VALUE"""),"MACLOWIN LIFE SCIENCE")</f>
        <v>MACLOWIN LIFE SCIENCE</v>
      </c>
    </row>
    <row r="1907" ht="16.5" customHeight="1">
      <c r="H1907" s="1" t="str">
        <f>IFERROR(__xludf.DUMMYFUNCTION("""COMPUTED_VALUE"""),"MACPHAR REMEDIES")</f>
        <v>MACPHAR REMEDIES</v>
      </c>
    </row>
    <row r="1908" ht="16.5" customHeight="1">
      <c r="H1908" s="1" t="str">
        <f>IFERROR(__xludf.DUMMYFUNCTION("""COMPUTED_VALUE"""),"MACTEC LIFE SCIENCES")</f>
        <v>MACTEC LIFE SCIENCES</v>
      </c>
    </row>
    <row r="1909" ht="16.5" customHeight="1">
      <c r="H1909" s="1" t="str">
        <f>IFERROR(__xludf.DUMMYFUNCTION("""COMPUTED_VALUE"""),"MACWELL PHARMACEUTICALS")</f>
        <v>MACWELL PHARMACEUTICALS</v>
      </c>
    </row>
    <row r="1910" ht="16.5" customHeight="1">
      <c r="H1910" s="1" t="str">
        <f>IFERROR(__xludf.DUMMYFUNCTION("""COMPUTED_VALUE"""),"MACWIN PHARMACEUTICALS PVT LTD")</f>
        <v>MACWIN PHARMACEUTICALS PVT LTD</v>
      </c>
    </row>
    <row r="1911" ht="16.5" customHeight="1">
      <c r="H1911" s="1" t="str">
        <f>IFERROR(__xludf.DUMMYFUNCTION("""COMPUTED_VALUE"""),"MADBRIS LIFESCIENCES PVT LTD")</f>
        <v>MADBRIS LIFESCIENCES PVT LTD</v>
      </c>
    </row>
    <row r="1912" ht="16.5" customHeight="1">
      <c r="H1912" s="1" t="str">
        <f>IFERROR(__xludf.DUMMYFUNCTION("""COMPUTED_VALUE"""),"MADHU TRADERS")</f>
        <v>MADHU TRADERS</v>
      </c>
    </row>
    <row r="1913" ht="16.5" customHeight="1">
      <c r="H1913" s="1" t="str">
        <f>IFERROR(__xludf.DUMMYFUNCTION("""COMPUTED_VALUE"""),"MAESTROS MEDILINE SYSTEMS LIMITED")</f>
        <v>MAESTROS MEDILINE SYSTEMS LIMITED</v>
      </c>
    </row>
    <row r="1914" ht="16.5" customHeight="1">
      <c r="H1914" s="1" t="str">
        <f>IFERROR(__xludf.DUMMYFUNCTION("""COMPUTED_VALUE"""),"MAGMA ALLIANZ")</f>
        <v>MAGMA ALLIANZ</v>
      </c>
    </row>
    <row r="1915" ht="16.5" customHeight="1">
      <c r="H1915" s="1" t="str">
        <f>IFERROR(__xludf.DUMMYFUNCTION("""COMPUTED_VALUE"""),"Maharishi Ayurveda Products Pvt Ltd")</f>
        <v>Maharishi Ayurveda Products Pvt Ltd</v>
      </c>
    </row>
    <row r="1916" ht="16.5" customHeight="1">
      <c r="H1916" s="1" t="str">
        <f>IFERROR(__xludf.DUMMYFUNCTION("""COMPUTED_VALUE"""),"MAHARSHI BADRI PHARMACEUTICALS")</f>
        <v>MAHARSHI BADRI PHARMACEUTICALS</v>
      </c>
    </row>
    <row r="1917" ht="16.5" customHeight="1">
      <c r="H1917" s="1" t="str">
        <f>IFERROR(__xludf.DUMMYFUNCTION("""COMPUTED_VALUE"""),"MAHESHWARI FARMACEUTICAL LTD")</f>
        <v>MAHESHWARI FARMACEUTICAL LTD</v>
      </c>
    </row>
    <row r="1918" ht="16.5" customHeight="1">
      <c r="H1918" s="1" t="str">
        <f>IFERROR(__xludf.DUMMYFUNCTION("""COMPUTED_VALUE"""),"MAKERS LABORATORIES LTD")</f>
        <v>MAKERS LABORATORIES LTD</v>
      </c>
    </row>
    <row r="1919" ht="16.5" customHeight="1">
      <c r="H1919" s="1" t="str">
        <f>IFERROR(__xludf.DUMMYFUNCTION("""COMPUTED_VALUE"""),"MAKEWELL PHARMACEUTICAL")</f>
        <v>MAKEWELL PHARMACEUTICAL</v>
      </c>
    </row>
    <row r="1920" ht="16.5" customHeight="1">
      <c r="H1920" s="1" t="str">
        <f>IFERROR(__xludf.DUMMYFUNCTION("""COMPUTED_VALUE"""),"MAKIN LABORATORIES PVT LTD")</f>
        <v>MAKIN LABORATORIES PVT LTD</v>
      </c>
    </row>
    <row r="1921" ht="16.5" customHeight="1">
      <c r="H1921" s="1" t="str">
        <f>IFERROR(__xludf.DUMMYFUNCTION("""COMPUTED_VALUE"""),"MAKSUN BIOTECH P LTD")</f>
        <v>MAKSUN BIOTECH P LTD</v>
      </c>
    </row>
    <row r="1922" ht="16.5" customHeight="1">
      <c r="H1922" s="1" t="str">
        <f>IFERROR(__xludf.DUMMYFUNCTION("""COMPUTED_VALUE"""),"MAMTA PHARMACEUTICALS PVT LTD")</f>
        <v>MAMTA PHARMACEUTICALS PVT LTD</v>
      </c>
    </row>
    <row r="1923" ht="16.5" customHeight="1">
      <c r="H1923" s="1" t="str">
        <f>IFERROR(__xludf.DUMMYFUNCTION("""COMPUTED_VALUE"""),"MAN SERVE PHARMA")</f>
        <v>MAN SERVE PHARMA</v>
      </c>
    </row>
    <row r="1924" ht="16.5" customHeight="1">
      <c r="H1924" s="1" t="str">
        <f>IFERROR(__xludf.DUMMYFUNCTION("""COMPUTED_VALUE"""),"MANCARE LABS PVT LTD")</f>
        <v>MANCARE LABS PVT LTD</v>
      </c>
    </row>
    <row r="1925" ht="16.5" customHeight="1">
      <c r="H1925" s="1" t="str">
        <f>IFERROR(__xludf.DUMMYFUNCTION("""COMPUTED_VALUE"""),"MANEESH HEALTH CARE")</f>
        <v>MANEESH HEALTH CARE</v>
      </c>
    </row>
    <row r="1926" ht="16.5" customHeight="1">
      <c r="H1926" s="1" t="str">
        <f>IFERROR(__xludf.DUMMYFUNCTION("""COMPUTED_VALUE"""),"Maneesh Pharmaceuticals")</f>
        <v>Maneesh Pharmaceuticals</v>
      </c>
    </row>
    <row r="1927" ht="16.5" customHeight="1">
      <c r="H1927" s="1" t="str">
        <f>IFERROR(__xludf.DUMMYFUNCTION("""COMPUTED_VALUE"""),"MANKIND (3D)")</f>
        <v>MANKIND (3D)</v>
      </c>
    </row>
    <row r="1928" ht="16.5" customHeight="1">
      <c r="H1928" s="1" t="str">
        <f>IFERROR(__xludf.DUMMYFUNCTION("""COMPUTED_VALUE"""),"MANKIND (ASPIRA)")</f>
        <v>MANKIND (ASPIRA)</v>
      </c>
    </row>
    <row r="1929" ht="16.5" customHeight="1">
      <c r="H1929" s="1" t="str">
        <f>IFERROR(__xludf.DUMMYFUNCTION("""COMPUTED_VALUE"""),"MANKIND (CEREBRIS)")</f>
        <v>MANKIND (CEREBRIS)</v>
      </c>
    </row>
    <row r="1930" ht="16.5" customHeight="1">
      <c r="H1930" s="1" t="str">
        <f>IFERROR(__xludf.DUMMYFUNCTION("""COMPUTED_VALUE"""),"MANKIND (CURIS)")</f>
        <v>MANKIND (CURIS)</v>
      </c>
    </row>
    <row r="1931" ht="16.5" customHeight="1">
      <c r="H1931" s="1" t="str">
        <f>IFERROR(__xludf.DUMMYFUNCTION("""COMPUTED_VALUE"""),"MANKIND (DISCOVERY)")</f>
        <v>MANKIND (DISCOVERY)</v>
      </c>
    </row>
    <row r="1932" ht="16.5" customHeight="1">
      <c r="H1932" s="1" t="str">
        <f>IFERROR(__xludf.DUMMYFUNCTION("""COMPUTED_VALUE"""),"MANKIND (FUTURE)")</f>
        <v>MANKIND (FUTURE)</v>
      </c>
    </row>
    <row r="1933" ht="16.5" customHeight="1">
      <c r="H1933" s="1" t="str">
        <f>IFERROR(__xludf.DUMMYFUNCTION("""COMPUTED_VALUE"""),"MANKIND (GENERIC-AMAZING)")</f>
        <v>MANKIND (GENERIC-AMAZING)</v>
      </c>
    </row>
    <row r="1934" ht="16.5" customHeight="1">
      <c r="H1934" s="1" t="str">
        <f>IFERROR(__xludf.DUMMYFUNCTION("""COMPUTED_VALUE"""),"MANKIND (GENERIC)")</f>
        <v>MANKIND (GENERIC)</v>
      </c>
    </row>
    <row r="1935" ht="16.5" customHeight="1">
      <c r="H1935" s="1" t="str">
        <f>IFERROR(__xludf.DUMMYFUNCTION("""COMPUTED_VALUE"""),"MANKIND (GRAVITAS)")</f>
        <v>MANKIND (GRAVITAS)</v>
      </c>
    </row>
    <row r="1936" ht="16.5" customHeight="1">
      <c r="H1936" s="1" t="str">
        <f>IFERROR(__xludf.DUMMYFUNCTION("""COMPUTED_VALUE"""),"MANKIND (LIFESTAR-1)")</f>
        <v>MANKIND (LIFESTAR-1)</v>
      </c>
    </row>
    <row r="1937" ht="16.5" customHeight="1">
      <c r="H1937" s="1" t="str">
        <f>IFERROR(__xludf.DUMMYFUNCTION("""COMPUTED_VALUE"""),"MANKIND (LIFESTAR-2)")</f>
        <v>MANKIND (LIFESTAR-2)</v>
      </c>
    </row>
    <row r="1938" ht="16.5" customHeight="1">
      <c r="H1938" s="1" t="str">
        <f>IFERROR(__xludf.DUMMYFUNCTION("""COMPUTED_VALUE"""),"MANKIND (MAGNET)")</f>
        <v>MANKIND (MAGNET)</v>
      </c>
    </row>
    <row r="1939" ht="16.5" customHeight="1">
      <c r="H1939" s="1" t="str">
        <f>IFERROR(__xludf.DUMMYFUNCTION("""COMPUTED_VALUE"""),"MANKIND (MAIN)")</f>
        <v>MANKIND (MAIN)</v>
      </c>
    </row>
    <row r="1940" ht="16.5" customHeight="1">
      <c r="H1940" s="1" t="str">
        <f>IFERROR(__xludf.DUMMYFUNCTION("""COMPUTED_VALUE"""),"MANKIND (NOBELIS)")</f>
        <v>MANKIND (NOBELIS)</v>
      </c>
    </row>
    <row r="1941" ht="16.5" customHeight="1">
      <c r="H1941" s="1" t="str">
        <f>IFERROR(__xludf.DUMMYFUNCTION("""COMPUTED_VALUE"""),"MANKIND (OCULARIS)")</f>
        <v>MANKIND (OCULARIS)</v>
      </c>
    </row>
    <row r="1942" ht="16.5" customHeight="1">
      <c r="H1942" s="1" t="str">
        <f>IFERROR(__xludf.DUMMYFUNCTION("""COMPUTED_VALUE"""),"MANKIND (PRIME)")</f>
        <v>MANKIND (PRIME)</v>
      </c>
    </row>
    <row r="1943" ht="16.5" customHeight="1">
      <c r="H1943" s="1" t="str">
        <f>IFERROR(__xludf.DUMMYFUNCTION("""COMPUTED_VALUE"""),"MANKIND (PROCARE)")</f>
        <v>MANKIND (PROCARE)</v>
      </c>
    </row>
    <row r="1944" ht="16.5" customHeight="1">
      <c r="H1944" s="1" t="str">
        <f>IFERROR(__xludf.DUMMYFUNCTION("""COMPUTED_VALUE"""),"MANKIND (SPECIAL)")</f>
        <v>MANKIND (SPECIAL)</v>
      </c>
    </row>
    <row r="1945" ht="16.5" customHeight="1">
      <c r="H1945" s="1" t="str">
        <f>IFERROR(__xludf.DUMMYFUNCTION("""COMPUTED_VALUE"""),"MANKIND (ZESTEVA)")</f>
        <v>MANKIND (ZESTEVA)</v>
      </c>
    </row>
    <row r="1946" ht="16.5" customHeight="1">
      <c r="H1946" s="1" t="str">
        <f>IFERROR(__xludf.DUMMYFUNCTION("""COMPUTED_VALUE"""),"Mankind Pharma Ltd")</f>
        <v>Mankind Pharma Ltd</v>
      </c>
    </row>
    <row r="1947" ht="16.5" customHeight="1">
      <c r="H1947" s="1" t="str">
        <f>IFERROR(__xludf.DUMMYFUNCTION("""COMPUTED_VALUE"""),"MANTIS REMEDIES")</f>
        <v>MANTIS REMEDIES</v>
      </c>
    </row>
    <row r="1948" ht="16.5" customHeight="1">
      <c r="H1948" s="1" t="str">
        <f>IFERROR(__xludf.DUMMYFUNCTION("""COMPUTED_VALUE"""),"MANTRA PHARMACEUTICALS")</f>
        <v>MANTRA PHARMACEUTICALS</v>
      </c>
    </row>
    <row r="1949" ht="16.5" customHeight="1">
      <c r="H1949" s="1" t="str">
        <f>IFERROR(__xludf.DUMMYFUNCTION("""COMPUTED_VALUE"""),"MANTRAX HEALTHCARE")</f>
        <v>MANTRAX HEALTHCARE</v>
      </c>
    </row>
    <row r="1950" ht="16.5" customHeight="1">
      <c r="H1950" s="1" t="str">
        <f>IFERROR(__xludf.DUMMYFUNCTION("""COMPUTED_VALUE"""),"MAPLE DRUGS")</f>
        <v>MAPLE DRUGS</v>
      </c>
    </row>
    <row r="1951" ht="16.5" customHeight="1">
      <c r="H1951" s="1" t="str">
        <f>IFERROR(__xludf.DUMMYFUNCTION("""COMPUTED_VALUE"""),"MAPLE DRUGS &amp; PHARMACEUTICALS")</f>
        <v>MAPLE DRUGS &amp; PHARMACEUTICALS</v>
      </c>
    </row>
    <row r="1952" ht="16.5" customHeight="1">
      <c r="H1952" s="1" t="str">
        <f>IFERROR(__xludf.DUMMYFUNCTION("""COMPUTED_VALUE"""),"Mapra Laboratories Pvt Ltd")</f>
        <v>Mapra Laboratories Pvt Ltd</v>
      </c>
    </row>
    <row r="1953" ht="16.5" customHeight="1">
      <c r="H1953" s="1" t="str">
        <f>IFERROR(__xludf.DUMMYFUNCTION("""COMPUTED_VALUE"""),"MAPRO")</f>
        <v>MAPRO</v>
      </c>
    </row>
    <row r="1954" ht="16.5" customHeight="1">
      <c r="H1954" s="1" t="str">
        <f>IFERROR(__xludf.DUMMYFUNCTION("""COMPUTED_VALUE"""),"MAPRO LIFESCIENCE")</f>
        <v>MAPRO LIFESCIENCE</v>
      </c>
    </row>
    <row r="1955" ht="16.5" customHeight="1">
      <c r="H1955" s="1" t="str">
        <f>IFERROR(__xludf.DUMMYFUNCTION("""COMPUTED_VALUE"""),"MAPSCURC SUSPENSION")</f>
        <v>MAPSCURC SUSPENSION</v>
      </c>
    </row>
    <row r="1956" ht="16.5" customHeight="1">
      <c r="H1956" s="1" t="str">
        <f>IFERROR(__xludf.DUMMYFUNCTION("""COMPUTED_VALUE"""),"MAPSCURC TAB")</f>
        <v>MAPSCURC TAB</v>
      </c>
    </row>
    <row r="1957" ht="16.5" customHeight="1">
      <c r="H1957" s="1" t="str">
        <f>IFERROR(__xludf.DUMMYFUNCTION("""COMPUTED_VALUE"""),"MAPSCURE GEL")</f>
        <v>MAPSCURE GEL</v>
      </c>
    </row>
    <row r="1958" ht="16.5" customHeight="1">
      <c r="H1958" s="1" t="str">
        <f>IFERROR(__xludf.DUMMYFUNCTION("""COMPUTED_VALUE"""),"MAPSCURE TAB")</f>
        <v>MAPSCURE TAB</v>
      </c>
    </row>
    <row r="1959" ht="16.5" customHeight="1">
      <c r="H1959" s="1" t="str">
        <f>IFERROR(__xludf.DUMMYFUNCTION("""COMPUTED_VALUE"""),"MAPSGEM 1000")</f>
        <v>MAPSGEM 1000</v>
      </c>
    </row>
    <row r="1960" ht="16.5" customHeight="1">
      <c r="H1960" s="1" t="str">
        <f>IFERROR(__xludf.DUMMYFUNCTION("""COMPUTED_VALUE"""),"MAPSONIB 200MG")</f>
        <v>MAPSONIB 200MG</v>
      </c>
    </row>
    <row r="1961" ht="16.5" customHeight="1">
      <c r="H1961" s="1" t="str">
        <f>IFERROR(__xludf.DUMMYFUNCTION("""COMPUTED_VALUE"""),"MAPSTABINE 500MG")</f>
        <v>MAPSTABINE 500MG</v>
      </c>
    </row>
    <row r="1962" ht="16.5" customHeight="1">
      <c r="H1962" s="1" t="str">
        <f>IFERROR(__xludf.DUMMYFUNCTION("""COMPUTED_VALUE"""),"MAPSTHIONE 250MG")</f>
        <v>MAPSTHIONE 250MG</v>
      </c>
    </row>
    <row r="1963" ht="16.5" customHeight="1">
      <c r="H1963" s="1" t="str">
        <f>IFERROR(__xludf.DUMMYFUNCTION("""COMPUTED_VALUE"""),"Marc Laboratories Pvt Ltd")</f>
        <v>Marc Laboratories Pvt Ltd</v>
      </c>
    </row>
    <row r="1964" ht="16.5" customHeight="1">
      <c r="H1964" s="1" t="str">
        <f>IFERROR(__xludf.DUMMYFUNCTION("""COMPUTED_VALUE"""),"Marck Biosciences Ltd")</f>
        <v>Marck Biosciences Ltd</v>
      </c>
    </row>
    <row r="1965" ht="16.5" customHeight="1">
      <c r="H1965" s="1" t="str">
        <f>IFERROR(__xludf.DUMMYFUNCTION("""COMPUTED_VALUE"""),"MARDIA PHARMACEUTICALS")</f>
        <v>MARDIA PHARMACEUTICALS</v>
      </c>
    </row>
    <row r="1966" ht="16.5" customHeight="1">
      <c r="H1966" s="1" t="str">
        <f>IFERROR(__xludf.DUMMYFUNCTION("""COMPUTED_VALUE"""),"Mark India")</f>
        <v>Mark India</v>
      </c>
    </row>
    <row r="1967" ht="16.5" customHeight="1">
      <c r="H1967" s="1" t="str">
        <f>IFERROR(__xludf.DUMMYFUNCTION("""COMPUTED_VALUE"""),"MARKSANS PHARMA LTD (CNS CEREBELLA)")</f>
        <v>MARKSANS PHARMA LTD (CNS CEREBELLA)</v>
      </c>
    </row>
    <row r="1968" ht="16.5" customHeight="1">
      <c r="H1968" s="1" t="str">
        <f>IFERROR(__xludf.DUMMYFUNCTION("""COMPUTED_VALUE"""),"MARS COMMERCE (VALERIE)")</f>
        <v>MARS COMMERCE (VALERIE)</v>
      </c>
    </row>
    <row r="1969" ht="16.5" customHeight="1">
      <c r="H1969" s="1" t="str">
        <f>IFERROR(__xludf.DUMMYFUNCTION("""COMPUTED_VALUE"""),"MARTIN &amp; BROWN BIOSCIENCES")</f>
        <v>MARTIN &amp; BROWN BIOSCIENCES</v>
      </c>
    </row>
    <row r="1970" ht="16.5" customHeight="1">
      <c r="H1970" s="1" t="str">
        <f>IFERROR(__xludf.DUMMYFUNCTION("""COMPUTED_VALUE"""),"Martin &amp; Harris Pvt Ltd")</f>
        <v>Martin &amp; Harris Pvt Ltd</v>
      </c>
    </row>
    <row r="1971" ht="16.5" customHeight="1">
      <c r="H1971" s="1" t="str">
        <f>IFERROR(__xludf.DUMMYFUNCTION("""COMPUTED_VALUE"""),"MARVEK BIOSCIENCES")</f>
        <v>MARVEK BIOSCIENCES</v>
      </c>
    </row>
    <row r="1972" ht="16.5" customHeight="1">
      <c r="H1972" s="1" t="str">
        <f>IFERROR(__xludf.DUMMYFUNCTION("""COMPUTED_VALUE"""),"MARVEL BIOSCIENCES")</f>
        <v>MARVEL BIOSCIENCES</v>
      </c>
    </row>
    <row r="1973" ht="16.5" customHeight="1">
      <c r="H1973" s="1" t="str">
        <f>IFERROR(__xludf.DUMMYFUNCTION("""COMPUTED_VALUE"""),"MARX PHARMA")</f>
        <v>MARX PHARMA</v>
      </c>
    </row>
    <row r="1974" ht="16.5" customHeight="1">
      <c r="H1974" s="1" t="str">
        <f>IFERROR(__xludf.DUMMYFUNCTION("""COMPUTED_VALUE"""),"MARX REMEDIES")</f>
        <v>MARX REMEDIES</v>
      </c>
    </row>
    <row r="1975" ht="16.5" customHeight="1">
      <c r="H1975" s="1" t="str">
        <f>IFERROR(__xludf.DUMMYFUNCTION("""COMPUTED_VALUE"""),"MAS HEALTHCARE P LTD")</f>
        <v>MAS HEALTHCARE P LTD</v>
      </c>
    </row>
    <row r="1976" ht="16.5" customHeight="1">
      <c r="H1976" s="1" t="str">
        <f>IFERROR(__xludf.DUMMYFUNCTION("""COMPUTED_VALUE"""),"MAS PHARMACHEM SOLAN")</f>
        <v>MAS PHARMACHEM SOLAN</v>
      </c>
    </row>
    <row r="1977" ht="16.5" customHeight="1">
      <c r="H1977" s="1" t="str">
        <f>IFERROR(__xludf.DUMMYFUNCTION("""COMPUTED_VALUE"""),"MASCOT BIOTECH")</f>
        <v>MASCOT BIOTECH</v>
      </c>
    </row>
    <row r="1978" ht="16.5" customHeight="1">
      <c r="H1978" s="1" t="str">
        <f>IFERROR(__xludf.DUMMYFUNCTION("""COMPUTED_VALUE"""),"MASCOT HEALTH SERIES PVT LTD")</f>
        <v>MASCOT HEALTH SERIES PVT LTD</v>
      </c>
    </row>
    <row r="1979" ht="16.5" customHeight="1">
      <c r="H1979" s="1" t="str">
        <f>IFERROR(__xludf.DUMMYFUNCTION("""COMPUTED_VALUE"""),"MASCOT LIFESCIENCE P LTD")</f>
        <v>MASCOT LIFESCIENCE P LTD</v>
      </c>
    </row>
    <row r="1980" ht="16.5" customHeight="1">
      <c r="H1980" s="1" t="str">
        <f>IFERROR(__xludf.DUMMYFUNCTION("""COMPUTED_VALUE"""),"MATIAS HEALTHCARE")</f>
        <v>MATIAS HEALTHCARE</v>
      </c>
    </row>
    <row r="1981" ht="16.5" customHeight="1">
      <c r="H1981" s="1" t="str">
        <f>IFERROR(__xludf.DUMMYFUNCTION("""COMPUTED_VALUE"""),"MATRIA MEDICA")</f>
        <v>MATRIA MEDICA</v>
      </c>
    </row>
    <row r="1982" ht="16.5" customHeight="1">
      <c r="H1982" s="1" t="str">
        <f>IFERROR(__xludf.DUMMYFUNCTION("""COMPUTED_VALUE"""),"MATTEO (CVD)")</f>
        <v>MATTEO (CVD)</v>
      </c>
    </row>
    <row r="1983" ht="16.5" customHeight="1">
      <c r="H1983" s="1" t="str">
        <f>IFERROR(__xludf.DUMMYFUNCTION("""COMPUTED_VALUE"""),"MATTEO HEALTHCARE PVT LTD")</f>
        <v>MATTEO HEALTHCARE PVT LTD</v>
      </c>
    </row>
    <row r="1984" ht="16.5" customHeight="1">
      <c r="H1984" s="1" t="str">
        <f>IFERROR(__xludf.DUMMYFUNCTION("""COMPUTED_VALUE"""),"MAX CHEMICALS (INDIA)")</f>
        <v>MAX CHEMICALS (INDIA)</v>
      </c>
    </row>
    <row r="1985" ht="16.5" customHeight="1">
      <c r="H1985" s="1" t="str">
        <f>IFERROR(__xludf.DUMMYFUNCTION("""COMPUTED_VALUE"""),"MAX PHARMA")</f>
        <v>MAX PHARMA</v>
      </c>
    </row>
    <row r="1986" ht="16.5" customHeight="1">
      <c r="H1986" s="1" t="str">
        <f>IFERROR(__xludf.DUMMYFUNCTION("""COMPUTED_VALUE"""),"MAXCARE PHARMACEUTICAL PVT LTD")</f>
        <v>MAXCARE PHARMACEUTICAL PVT LTD</v>
      </c>
    </row>
    <row r="1987" ht="16.5" customHeight="1">
      <c r="H1987" s="1" t="str">
        <f>IFERROR(__xludf.DUMMYFUNCTION("""COMPUTED_VALUE"""),"MAXFORD HEALTHCARE")</f>
        <v>MAXFORD HEALTHCARE</v>
      </c>
    </row>
    <row r="1988" ht="16.5" customHeight="1">
      <c r="H1988" s="1" t="str">
        <f>IFERROR(__xludf.DUMMYFUNCTION("""COMPUTED_VALUE"""),"MAXFORD LABS PVT LTD")</f>
        <v>MAXFORD LABS PVT LTD</v>
      </c>
    </row>
    <row r="1989" ht="16.5" customHeight="1">
      <c r="H1989" s="1" t="str">
        <f>IFERROR(__xludf.DUMMYFUNCTION("""COMPUTED_VALUE"""),"MAXIMAA PROYURVEDA")</f>
        <v>MAXIMAA PROYURVEDA</v>
      </c>
    </row>
    <row r="1990" ht="16.5" customHeight="1">
      <c r="H1990" s="1" t="str">
        <f>IFERROR(__xludf.DUMMYFUNCTION("""COMPUTED_VALUE"""),"MAXIMUM LABS")</f>
        <v>MAXIMUM LABS</v>
      </c>
    </row>
    <row r="1991" ht="16.5" customHeight="1">
      <c r="H1991" s="1" t="str">
        <f>IFERROR(__xludf.DUMMYFUNCTION("""COMPUTED_VALUE"""),"MAXNOVA HEALTHCARE")</f>
        <v>MAXNOVA HEALTHCARE</v>
      </c>
    </row>
    <row r="1992" ht="16.5" customHeight="1">
      <c r="H1992" s="1" t="str">
        <f>IFERROR(__xludf.DUMMYFUNCTION("""COMPUTED_VALUE"""),"MAXQURE LABS")</f>
        <v>MAXQURE LABS</v>
      </c>
    </row>
    <row r="1993" ht="16.5" customHeight="1">
      <c r="H1993" s="1" t="str">
        <f>IFERROR(__xludf.DUMMYFUNCTION("""COMPUTED_VALUE"""),"MAXUS PHARMA")</f>
        <v>MAXUS PHARMA</v>
      </c>
    </row>
    <row r="1994" ht="16.5" customHeight="1">
      <c r="H1994" s="1" t="str">
        <f>IFERROR(__xludf.DUMMYFUNCTION("""COMPUTED_VALUE"""),"MAXX FARMACIA")</f>
        <v>MAXX FARMACIA</v>
      </c>
    </row>
    <row r="1995" ht="16.5" customHeight="1">
      <c r="H1995" s="1" t="str">
        <f>IFERROR(__xludf.DUMMYFUNCTION("""COMPUTED_VALUE"""),"MAXZEN BIOTECH")</f>
        <v>MAXZEN BIOTECH</v>
      </c>
    </row>
    <row r="1996" ht="16.5" customHeight="1">
      <c r="H1996" s="1" t="str">
        <f>IFERROR(__xludf.DUMMYFUNCTION("""COMPUTED_VALUE"""),"MAXZIMAA PHARMACEUTICALS")</f>
        <v>MAXZIMAA PHARMACEUTICALS</v>
      </c>
    </row>
    <row r="1997" ht="16.5" customHeight="1">
      <c r="H1997" s="1" t="str">
        <f>IFERROR(__xludf.DUMMYFUNCTION("""COMPUTED_VALUE"""),"MAY &amp; BAKER")</f>
        <v>MAY &amp; BAKER</v>
      </c>
    </row>
    <row r="1998" ht="16.5" customHeight="1">
      <c r="H1998" s="1" t="str">
        <f>IFERROR(__xludf.DUMMYFUNCTION("""COMPUTED_VALUE"""),"Mayflower India (MARIGOLD)")</f>
        <v>Mayflower India (MARIGOLD)</v>
      </c>
    </row>
    <row r="1999" ht="16.5" customHeight="1">
      <c r="H1999" s="1" t="str">
        <f>IFERROR(__xludf.DUMMYFUNCTION("""COMPUTED_VALUE"""),"MAYGRISS HEALTHCARE PVT LTD")</f>
        <v>MAYGRISS HEALTHCARE PVT LTD</v>
      </c>
    </row>
    <row r="2000" ht="16.5" customHeight="1">
      <c r="H2000" s="1" t="str">
        <f>IFERROR(__xludf.DUMMYFUNCTION("""COMPUTED_VALUE"""),"Mcastro Pharma")</f>
        <v>Mcastro Pharma</v>
      </c>
    </row>
    <row r="2001" ht="16.5" customHeight="1">
      <c r="H2001" s="1" t="str">
        <f>IFERROR(__xludf.DUMMYFUNCTION("""COMPUTED_VALUE"""),"MCFORDS PHARMACEUTICALS PVT LTD")</f>
        <v>MCFORDS PHARMACEUTICALS PVT LTD</v>
      </c>
    </row>
    <row r="2002" ht="16.5" customHeight="1">
      <c r="H2002" s="1" t="str">
        <f>IFERROR(__xludf.DUMMYFUNCTION("""COMPUTED_VALUE"""),"McW Healthcare")</f>
        <v>McW Healthcare</v>
      </c>
    </row>
    <row r="2003" ht="16.5" customHeight="1">
      <c r="H2003" s="1" t="str">
        <f>IFERROR(__xludf.DUMMYFUNCTION("""COMPUTED_VALUE"""),"MCWEL HEALTHCARE P LTD")</f>
        <v>MCWEL HEALTHCARE P LTD</v>
      </c>
    </row>
    <row r="2004" ht="16.5" customHeight="1">
      <c r="H2004" s="1" t="str">
        <f>IFERROR(__xludf.DUMMYFUNCTION("""COMPUTED_VALUE"""),"MDC PHARMACEUTICALS PVT LTD")</f>
        <v>MDC PHARMACEUTICALS PVT LTD</v>
      </c>
    </row>
    <row r="2005" ht="16.5" customHeight="1">
      <c r="H2005" s="1" t="str">
        <f>IFERROR(__xludf.DUMMYFUNCTION("""COMPUTED_VALUE"""),"MEAD JOHNSON &amp; COMPANY")</f>
        <v>MEAD JOHNSON &amp; COMPANY</v>
      </c>
    </row>
    <row r="2006" ht="16.5" customHeight="1">
      <c r="H2006" s="1" t="str">
        <f>IFERROR(__xludf.DUMMYFUNCTION("""COMPUTED_VALUE"""),"MECARTUS HEALTH CARE P LTD")</f>
        <v>MECARTUS HEALTH CARE P LTD</v>
      </c>
    </row>
    <row r="2007" ht="16.5" customHeight="1">
      <c r="H2007" s="1" t="str">
        <f>IFERROR(__xludf.DUMMYFUNCTION("""COMPUTED_VALUE"""),"MECOSON LABS")</f>
        <v>MECOSON LABS</v>
      </c>
    </row>
    <row r="2008" ht="16.5" customHeight="1">
      <c r="H2008" s="1" t="str">
        <f>IFERROR(__xludf.DUMMYFUNCTION("""COMPUTED_VALUE"""),"MED MANOR (GLORIA)")</f>
        <v>MED MANOR (GLORIA)</v>
      </c>
    </row>
    <row r="2009" ht="16.5" customHeight="1">
      <c r="H2009" s="1" t="str">
        <f>IFERROR(__xludf.DUMMYFUNCTION("""COMPUTED_VALUE"""),"MED MANOR (PEDIA)")</f>
        <v>MED MANOR (PEDIA)</v>
      </c>
    </row>
    <row r="2010" ht="16.5" customHeight="1">
      <c r="H2010" s="1" t="str">
        <f>IFERROR(__xludf.DUMMYFUNCTION("""COMPUTED_VALUE"""),"Med Manor Organics Pvt Ltd")</f>
        <v>Med Manor Organics Pvt Ltd</v>
      </c>
    </row>
    <row r="2011" ht="16.5" customHeight="1">
      <c r="H2011" s="1" t="str">
        <f>IFERROR(__xludf.DUMMYFUNCTION("""COMPUTED_VALUE"""),"MEDCONIC HEALTHCARE")</f>
        <v>MEDCONIC HEALTHCARE</v>
      </c>
    </row>
    <row r="2012" ht="16.5" customHeight="1">
      <c r="H2012" s="1" t="str">
        <f>IFERROR(__xludf.DUMMYFUNCTION("""COMPUTED_VALUE"""),"MEDCURE ORGANIC")</f>
        <v>MEDCURE ORGANIC</v>
      </c>
    </row>
    <row r="2013" ht="16.5" customHeight="1">
      <c r="H2013" s="1" t="str">
        <f>IFERROR(__xludf.DUMMYFUNCTION("""COMPUTED_VALUE"""),"MEDFE")</f>
        <v>MEDFE</v>
      </c>
    </row>
    <row r="2014" ht="16.5" customHeight="1">
      <c r="H2014" s="1" t="str">
        <f>IFERROR(__xludf.DUMMYFUNCTION("""COMPUTED_VALUE"""),"MEDFOR BIOSCIENCES PVT LTD")</f>
        <v>MEDFOR BIOSCIENCES PVT LTD</v>
      </c>
    </row>
    <row r="2015" ht="16.5" customHeight="1">
      <c r="H2015" s="1" t="str">
        <f>IFERROR(__xludf.DUMMYFUNCTION("""COMPUTED_VALUE"""),"MEDI JOHN BIOTECH")</f>
        <v>MEDI JOHN BIOTECH</v>
      </c>
    </row>
    <row r="2016" ht="16.5" customHeight="1">
      <c r="H2016" s="1" t="str">
        <f>IFERROR(__xludf.DUMMYFUNCTION("""COMPUTED_VALUE"""),"MEDI SURGE IMPEX")</f>
        <v>MEDI SURGE IMPEX</v>
      </c>
    </row>
    <row r="2017" ht="16.5" customHeight="1">
      <c r="H2017" s="1" t="str">
        <f>IFERROR(__xludf.DUMMYFUNCTION("""COMPUTED_VALUE"""),"MEDIART LIFESCIENCES")</f>
        <v>MEDIART LIFESCIENCES</v>
      </c>
    </row>
    <row r="2018" ht="16.5" customHeight="1">
      <c r="H2018" s="1" t="str">
        <f>IFERROR(__xludf.DUMMYFUNCTION("""COMPUTED_VALUE"""),"MEDIC")</f>
        <v>MEDIC</v>
      </c>
    </row>
    <row r="2019" ht="16.5" customHeight="1">
      <c r="H2019" s="1" t="str">
        <f>IFERROR(__xludf.DUMMYFUNCTION("""COMPUTED_VALUE"""),"MEDIC REMEDIES")</f>
        <v>MEDIC REMEDIES</v>
      </c>
    </row>
    <row r="2020" ht="16.5" customHeight="1">
      <c r="H2020" s="1" t="str">
        <f>IFERROR(__xludf.DUMMYFUNCTION("""COMPUTED_VALUE"""),"MEDICA HEALTHCARE")</f>
        <v>MEDICA HEALTHCARE</v>
      </c>
    </row>
    <row r="2021" ht="16.5" customHeight="1">
      <c r="H2021" s="1" t="str">
        <f>IFERROR(__xludf.DUMMYFUNCTION("""COMPUTED_VALUE"""),"MEDICAL INTERVENTIONS PVT LTD")</f>
        <v>MEDICAL INTERVENTIONS PVT LTD</v>
      </c>
    </row>
    <row r="2022" ht="16.5" customHeight="1">
      <c r="H2022" s="1" t="str">
        <f>IFERROR(__xludf.DUMMYFUNCTION("""COMPUTED_VALUE"""),"MEDICEVO HEALTHCARE")</f>
        <v>MEDICEVO HEALTHCARE</v>
      </c>
    </row>
    <row r="2023" ht="16.5" customHeight="1">
      <c r="H2023" s="1" t="str">
        <f>IFERROR(__xludf.DUMMYFUNCTION("""COMPUTED_VALUE"""),"MEDICHI BIO CARE")</f>
        <v>MEDICHI BIO CARE</v>
      </c>
    </row>
    <row r="2024" ht="16.5" customHeight="1">
      <c r="H2024" s="1" t="str">
        <f>IFERROR(__xludf.DUMMYFUNCTION("""COMPUTED_VALUE"""),"MEDICIS LIFE SCIENCES")</f>
        <v>MEDICIS LIFE SCIENCES</v>
      </c>
    </row>
    <row r="2025" ht="16.5" customHeight="1">
      <c r="H2025" s="1" t="str">
        <f>IFERROR(__xludf.DUMMYFUNCTION("""COMPUTED_VALUE"""),"MEDICO HEALTHCARE")</f>
        <v>MEDICO HEALTHCARE</v>
      </c>
    </row>
    <row r="2026" ht="16.5" customHeight="1">
      <c r="H2026" s="1" t="str">
        <f>IFERROR(__xludf.DUMMYFUNCTION("""COMPUTED_VALUE"""),"MEDICRUX HEALTHCARE")</f>
        <v>MEDICRUX HEALTHCARE</v>
      </c>
    </row>
    <row r="2027" ht="16.5" customHeight="1">
      <c r="H2027" s="1" t="str">
        <f>IFERROR(__xludf.DUMMYFUNCTION("""COMPUTED_VALUE"""),"MEDICULE HEALTHCARE")</f>
        <v>MEDICULE HEALTHCARE</v>
      </c>
    </row>
    <row r="2028" ht="16.5" customHeight="1">
      <c r="H2028" s="1" t="str">
        <f>IFERROR(__xludf.DUMMYFUNCTION("""COMPUTED_VALUE"""),"MEDICUS HEALTH")</f>
        <v>MEDICUS HEALTH</v>
      </c>
    </row>
    <row r="2029" ht="16.5" customHeight="1">
      <c r="H2029" s="1" t="str">
        <f>IFERROR(__xludf.DUMMYFUNCTION("""COMPUTED_VALUE"""),"MEDICUS LABS")</f>
        <v>MEDICUS LABS</v>
      </c>
    </row>
    <row r="2030" ht="16.5" customHeight="1">
      <c r="H2030" s="1" t="str">
        <f>IFERROR(__xludf.DUMMYFUNCTION("""COMPUTED_VALUE"""),"MEDIEX HEALTHCARE")</f>
        <v>MEDIEX HEALTHCARE</v>
      </c>
    </row>
    <row r="2031" ht="16.5" customHeight="1">
      <c r="H2031" s="1" t="str">
        <f>IFERROR(__xludf.DUMMYFUNCTION("""COMPUTED_VALUE"""),"MEDIFAITH BIOTECH")</f>
        <v>MEDIFAITH BIOTECH</v>
      </c>
    </row>
    <row r="2032" ht="16.5" customHeight="1">
      <c r="H2032" s="1" t="str">
        <f>IFERROR(__xludf.DUMMYFUNCTION("""COMPUTED_VALUE"""),"MEDIFILL")</f>
        <v>MEDIFILL</v>
      </c>
    </row>
    <row r="2033" ht="16.5" customHeight="1">
      <c r="H2033" s="1" t="str">
        <f>IFERROR(__xludf.DUMMYFUNCTION("""COMPUTED_VALUE"""),"MEDIFIT")</f>
        <v>MEDIFIT</v>
      </c>
    </row>
    <row r="2034" ht="16.5" customHeight="1">
      <c r="H2034" s="1" t="str">
        <f>IFERROR(__xludf.DUMMYFUNCTION("""COMPUTED_VALUE"""),"MEDIFLOW")</f>
        <v>MEDIFLOW</v>
      </c>
    </row>
    <row r="2035" ht="16.5" customHeight="1">
      <c r="H2035" s="1" t="str">
        <f>IFERROR(__xludf.DUMMYFUNCTION("""COMPUTED_VALUE"""),"MEDIGRIP (PRECISION COATINGS PVT LTD)")</f>
        <v>MEDIGRIP (PRECISION COATINGS PVT LTD)</v>
      </c>
    </row>
    <row r="2036" ht="16.5" customHeight="1">
      <c r="H2036" s="1" t="str">
        <f>IFERROR(__xludf.DUMMYFUNCTION("""COMPUTED_VALUE"""),"MEDIGROWTH PHARMACEUTICALS PVT LTD")</f>
        <v>MEDIGROWTH PHARMACEUTICALS PVT LTD</v>
      </c>
    </row>
    <row r="2037" ht="16.5" customHeight="1">
      <c r="H2037" s="1" t="str">
        <f>IFERROR(__xludf.DUMMYFUNCTION("""COMPUTED_VALUE"""),"MEDIGUARD MARKETING")</f>
        <v>MEDIGUARD MARKETING</v>
      </c>
    </row>
    <row r="2038" ht="16.5" customHeight="1">
      <c r="H2038" s="1" t="str">
        <f>IFERROR(__xludf.DUMMYFUNCTION("""COMPUTED_VALUE"""),"MEDILANCE HEALTHCARE")</f>
        <v>MEDILANCE HEALTHCARE</v>
      </c>
    </row>
    <row r="2039" ht="16.5" customHeight="1">
      <c r="H2039" s="1" t="str">
        <f>IFERROR(__xludf.DUMMYFUNCTION("""COMPUTED_VALUE"""),"MEDIMARK BIOTECH")</f>
        <v>MEDIMARK BIOTECH</v>
      </c>
    </row>
    <row r="2040" ht="16.5" customHeight="1">
      <c r="H2040" s="1" t="str">
        <f>IFERROR(__xludf.DUMMYFUNCTION("""COMPUTED_VALUE"""),"MEDINN BELLE HERBAL CARE PVT LTD")</f>
        <v>MEDINN BELLE HERBAL CARE PVT LTD</v>
      </c>
    </row>
    <row r="2041" ht="16.5" customHeight="1">
      <c r="H2041" s="1" t="str">
        <f>IFERROR(__xludf.DUMMYFUNCTION("""COMPUTED_VALUE"""),"MEDINOVA")</f>
        <v>MEDINOVA</v>
      </c>
    </row>
    <row r="2042" ht="16.5" customHeight="1">
      <c r="H2042" s="1" t="str">
        <f>IFERROR(__xludf.DUMMYFUNCTION("""COMPUTED_VALUE"""),"Medispan Ltd")</f>
        <v>Medispan Ltd</v>
      </c>
    </row>
    <row r="2043" ht="16.5" customHeight="1">
      <c r="H2043" s="1" t="str">
        <f>IFERROR(__xludf.DUMMYFUNCTION("""COMPUTED_VALUE"""),"MEDITECH DEVICES")</f>
        <v>MEDITECH DEVICES</v>
      </c>
    </row>
    <row r="2044" ht="16.5" customHeight="1">
      <c r="H2044" s="1" t="str">
        <f>IFERROR(__xludf.DUMMYFUNCTION("""COMPUTED_VALUE"""),"MEDITEK INDIA")</f>
        <v>MEDITEK INDIA</v>
      </c>
    </row>
    <row r="2045" ht="16.5" customHeight="1">
      <c r="H2045" s="1" t="str">
        <f>IFERROR(__xludf.DUMMYFUNCTION("""COMPUTED_VALUE"""),"MEDITEX PHARMA PVT LTD")</f>
        <v>MEDITEX PHARMA PVT LTD</v>
      </c>
    </row>
    <row r="2046" ht="16.5" customHeight="1">
      <c r="H2046" s="1" t="str">
        <f>IFERROR(__xludf.DUMMYFUNCTION("""COMPUTED_VALUE"""),"MEDIVAXIA PHARMA")</f>
        <v>MEDIVAXIA PHARMA</v>
      </c>
    </row>
    <row r="2047" ht="16.5" customHeight="1">
      <c r="H2047" s="1" t="str">
        <f>IFERROR(__xludf.DUMMYFUNCTION("""COMPUTED_VALUE"""),"MEDIVISON PHARM")</f>
        <v>MEDIVISON PHARM</v>
      </c>
    </row>
    <row r="2048" ht="16.5" customHeight="1">
      <c r="H2048" s="1" t="str">
        <f>IFERROR(__xludf.DUMMYFUNCTION("""COMPUTED_VALUE"""),"MEDIVISTA LIFE SCIENCES P LTD")</f>
        <v>MEDIVISTA LIFE SCIENCES P LTD</v>
      </c>
    </row>
    <row r="2049" ht="16.5" customHeight="1">
      <c r="H2049" s="1" t="str">
        <f>IFERROR(__xludf.DUMMYFUNCTION("""COMPUTED_VALUE"""),"MEDLEY (GLYCEKARE)")</f>
        <v>MEDLEY (GLYCEKARE)</v>
      </c>
    </row>
    <row r="2050" ht="16.5" customHeight="1">
      <c r="H2050" s="1" t="str">
        <f>IFERROR(__xludf.DUMMYFUNCTION("""COMPUTED_VALUE"""),"MEDLEY (NUTRAKARE)")</f>
        <v>MEDLEY (NUTRAKARE)</v>
      </c>
    </row>
    <row r="2051" ht="16.5" customHeight="1">
      <c r="H2051" s="1" t="str">
        <f>IFERROR(__xludf.DUMMYFUNCTION("""COMPUTED_VALUE"""),"MEDLEY (OSTEOCARE)")</f>
        <v>MEDLEY (OSTEOCARE)</v>
      </c>
    </row>
    <row r="2052" ht="16.5" customHeight="1">
      <c r="H2052" s="1" t="str">
        <f>IFERROR(__xludf.DUMMYFUNCTION("""COMPUTED_VALUE"""),"MEDLEY (SUPRAKARE)")</f>
        <v>MEDLEY (SUPRAKARE)</v>
      </c>
    </row>
    <row r="2053" ht="16.5" customHeight="1">
      <c r="H2053" s="1" t="str">
        <f>IFERROR(__xludf.DUMMYFUNCTION("""COMPUTED_VALUE"""),"MEDLEY (VAZOKARE)")</f>
        <v>MEDLEY (VAZOKARE)</v>
      </c>
    </row>
    <row r="2054" ht="16.5" customHeight="1">
      <c r="H2054" s="1" t="str">
        <f>IFERROR(__xludf.DUMMYFUNCTION("""COMPUTED_VALUE"""),"MEDLEY (ZENKARE)")</f>
        <v>MEDLEY (ZENKARE)</v>
      </c>
    </row>
    <row r="2055" ht="16.5" customHeight="1">
      <c r="H2055" s="1" t="str">
        <f>IFERROR(__xludf.DUMMYFUNCTION("""COMPUTED_VALUE"""),"Medley Pharmaceuticals")</f>
        <v>Medley Pharmaceuticals</v>
      </c>
    </row>
    <row r="2056" ht="16.5" customHeight="1">
      <c r="H2056" s="1" t="str">
        <f>IFERROR(__xludf.DUMMYFUNCTION("""COMPUTED_VALUE"""),"Medley Pharmaceuticals (GENERIC)")</f>
        <v>Medley Pharmaceuticals (GENERIC)</v>
      </c>
    </row>
    <row r="2057" ht="16.5" customHeight="1">
      <c r="H2057" s="1" t="str">
        <f>IFERROR(__xludf.DUMMYFUNCTION("""COMPUTED_VALUE"""),"Medo Pharma")</f>
        <v>Medo Pharma</v>
      </c>
    </row>
    <row r="2058" ht="16.5" customHeight="1">
      <c r="H2058" s="1" t="str">
        <f>IFERROR(__xludf.DUMMYFUNCTION("""COMPUTED_VALUE"""),"MEDO PHARMA (CARDICARE)")</f>
        <v>MEDO PHARMA (CARDICARE)</v>
      </c>
    </row>
    <row r="2059" ht="16.5" customHeight="1">
      <c r="H2059" s="1" t="str">
        <f>IFERROR(__xludf.DUMMYFUNCTION("""COMPUTED_VALUE"""),"MEDOK LIFESCIENCES PVT LTD")</f>
        <v>MEDOK LIFESCIENCES PVT LTD</v>
      </c>
    </row>
    <row r="2060" ht="16.5" customHeight="1">
      <c r="H2060" s="1" t="str">
        <f>IFERROR(__xludf.DUMMYFUNCTION("""COMPUTED_VALUE"""),"MEDOPHARM (JUBILANT)")</f>
        <v>MEDOPHARM (JUBILANT)</v>
      </c>
    </row>
    <row r="2061" ht="16.5" customHeight="1">
      <c r="H2061" s="1" t="str">
        <f>IFERROR(__xludf.DUMMYFUNCTION("""COMPUTED_VALUE"""),"MEDOZ PHARMA")</f>
        <v>MEDOZ PHARMA</v>
      </c>
    </row>
    <row r="2062" ht="16.5" customHeight="1">
      <c r="H2062" s="1" t="str">
        <f>IFERROR(__xludf.DUMMYFUNCTION("""COMPUTED_VALUE"""),"MEDPURE LIFE SCIENCE")</f>
        <v>MEDPURE LIFE SCIENCE</v>
      </c>
    </row>
    <row r="2063" ht="16.5" customHeight="1">
      <c r="H2063" s="1" t="str">
        <f>IFERROR(__xludf.DUMMYFUNCTION("""COMPUTED_VALUE"""),"Medreich Lifecare Ltd (SAIMIRA)")</f>
        <v>Medreich Lifecare Ltd (SAIMIRA)</v>
      </c>
    </row>
    <row r="2064" ht="16.5" customHeight="1">
      <c r="H2064" s="1" t="str">
        <f>IFERROR(__xludf.DUMMYFUNCTION("""COMPUTED_VALUE"""),"Medsol India Overseas Pvt Ltd")</f>
        <v>Medsol India Overseas Pvt Ltd</v>
      </c>
    </row>
    <row r="2065" ht="16.5" customHeight="1">
      <c r="H2065" s="1" t="str">
        <f>IFERROR(__xludf.DUMMYFUNCTION("""COMPUTED_VALUE"""),"MEDTRONIC")</f>
        <v>MEDTRONIC</v>
      </c>
    </row>
    <row r="2066" ht="16.5" customHeight="1">
      <c r="H2066" s="1" t="str">
        <f>IFERROR(__xludf.DUMMYFUNCTION("""COMPUTED_VALUE"""),"MEDWIN IMPEX PVT LTD")</f>
        <v>MEDWIN IMPEX PVT LTD</v>
      </c>
    </row>
    <row r="2067" ht="16.5" customHeight="1">
      <c r="H2067" s="1" t="str">
        <f>IFERROR(__xludf.DUMMYFUNCTION("""COMPUTED_VALUE"""),"MEDWIN PHARMA")</f>
        <v>MEDWIN PHARMA</v>
      </c>
    </row>
    <row r="2068" ht="16.5" customHeight="1">
      <c r="H2068" s="1" t="str">
        <f>IFERROR(__xludf.DUMMYFUNCTION("""COMPUTED_VALUE"""),"MEETHI PHARMACEUTICALS")</f>
        <v>MEETHI PHARMACEUTICALS</v>
      </c>
    </row>
    <row r="2069" ht="16.5" customHeight="1">
      <c r="H2069" s="1" t="str">
        <f>IFERROR(__xludf.DUMMYFUNCTION("""COMPUTED_VALUE"""),"Mefro Pharmaceuticals (P) Ltd")</f>
        <v>Mefro Pharmaceuticals (P) Ltd</v>
      </c>
    </row>
    <row r="2070" ht="16.5" customHeight="1">
      <c r="H2070" s="1" t="str">
        <f>IFERROR(__xludf.DUMMYFUNCTION("""COMPUTED_VALUE"""),"Megacorp Healthcare Pvt Ltd")</f>
        <v>Megacorp Healthcare Pvt Ltd</v>
      </c>
    </row>
    <row r="2071" ht="16.5" customHeight="1">
      <c r="H2071" s="1" t="str">
        <f>IFERROR(__xludf.DUMMYFUNCTION("""COMPUTED_VALUE"""),"MEGHDOOT GRAM UDYOG")</f>
        <v>MEGHDOOT GRAM UDYOG</v>
      </c>
    </row>
    <row r="2072" ht="16.5" customHeight="1">
      <c r="H2072" s="1" t="str">
        <f>IFERROR(__xludf.DUMMYFUNCTION("""COMPUTED_VALUE"""),"MEGHMANI ORGANICS LTD")</f>
        <v>MEGHMANI ORGANICS LTD</v>
      </c>
    </row>
    <row r="2073" ht="16.5" customHeight="1">
      <c r="H2073" s="1" t="str">
        <f>IFERROR(__xludf.DUMMYFUNCTION("""COMPUTED_VALUE"""),"MEGMA HEALTHCARE")</f>
        <v>MEGMA HEALTHCARE</v>
      </c>
    </row>
    <row r="2074" ht="16.5" customHeight="1">
      <c r="H2074" s="1" t="str">
        <f>IFERROR(__xludf.DUMMYFUNCTION("""COMPUTED_VALUE"""),"MEHAR LABORATORIE")</f>
        <v>MEHAR LABORATORIE</v>
      </c>
    </row>
    <row r="2075" ht="16.5" customHeight="1">
      <c r="H2075" s="1" t="str">
        <f>IFERROR(__xludf.DUMMYFUNCTION("""COMPUTED_VALUE"""),"MEHAR LABORATORIES")</f>
        <v>MEHAR LABORATORIES</v>
      </c>
    </row>
    <row r="2076" ht="16.5" customHeight="1">
      <c r="H2076" s="1" t="str">
        <f>IFERROR(__xludf.DUMMYFUNCTION("""COMPUTED_VALUE"""),"MEHTA PHARMACEUTICALS PVT LTD")</f>
        <v>MEHTA PHARMACEUTICALS PVT LTD</v>
      </c>
    </row>
    <row r="2077" ht="16.5" customHeight="1">
      <c r="H2077" s="1" t="str">
        <f>IFERROR(__xludf.DUMMYFUNCTION("""COMPUTED_VALUE"""),"Menarini India Pvt Ltd")</f>
        <v>Menarini India Pvt Ltd</v>
      </c>
    </row>
    <row r="2078" ht="16.5" customHeight="1">
      <c r="H2078" s="1" t="str">
        <f>IFERROR(__xludf.DUMMYFUNCTION("""COMPUTED_VALUE"""),"MENDCURE LIFE SCIENCES PVT LTD")</f>
        <v>MENDCURE LIFE SCIENCES PVT LTD</v>
      </c>
    </row>
    <row r="2079" ht="16.5" customHeight="1">
      <c r="H2079" s="1" t="str">
        <f>IFERROR(__xludf.DUMMYFUNCTION("""COMPUTED_VALUE"""),"MERCK (P&amp;G)")</f>
        <v>MERCK (P&amp;G)</v>
      </c>
    </row>
    <row r="2080" ht="16.5" customHeight="1">
      <c r="H2080" s="1" t="str">
        <f>IFERROR(__xludf.DUMMYFUNCTION("""COMPUTED_VALUE"""),"Merck Ltd")</f>
        <v>Merck Ltd</v>
      </c>
    </row>
    <row r="2081" ht="16.5" customHeight="1">
      <c r="H2081" s="1" t="str">
        <f>IFERROR(__xludf.DUMMYFUNCTION("""COMPUTED_VALUE"""),"Merck Ltd (CHC)")</f>
        <v>Merck Ltd (CHC)</v>
      </c>
    </row>
    <row r="2082" ht="16.5" customHeight="1">
      <c r="H2082" s="1" t="str">
        <f>IFERROR(__xludf.DUMMYFUNCTION("""COMPUTED_VALUE"""),"Merck Ltd (CMC)")</f>
        <v>Merck Ltd (CMC)</v>
      </c>
    </row>
    <row r="2083" ht="16.5" customHeight="1">
      <c r="H2083" s="1" t="str">
        <f>IFERROR(__xludf.DUMMYFUNCTION("""COMPUTED_VALUE"""),"Merck Ltd (GENERAL MEDCINE)")</f>
        <v>Merck Ltd (GENERAL MEDCINE)</v>
      </c>
    </row>
    <row r="2084" ht="16.5" customHeight="1">
      <c r="H2084" s="1" t="str">
        <f>IFERROR(__xludf.DUMMYFUNCTION("""COMPUTED_VALUE"""),"Merck Ltd (OTX)")</f>
        <v>Merck Ltd (OTX)</v>
      </c>
    </row>
    <row r="2085" ht="16.5" customHeight="1">
      <c r="H2085" s="1" t="str">
        <f>IFERROR(__xludf.DUMMYFUNCTION("""COMPUTED_VALUE"""),"Merck Ltd (WHC)")</f>
        <v>Merck Ltd (WHC)</v>
      </c>
    </row>
    <row r="2086" ht="16.5" customHeight="1">
      <c r="H2086" s="1" t="str">
        <f>IFERROR(__xludf.DUMMYFUNCTION("""COMPUTED_VALUE"""),"MERCK SPECIALITIES PVT LTD")</f>
        <v>MERCK SPECIALITIES PVT LTD</v>
      </c>
    </row>
    <row r="2087" ht="16.5" customHeight="1">
      <c r="H2087" s="1" t="str">
        <f>IFERROR(__xludf.DUMMYFUNCTION("""COMPUTED_VALUE"""),"Mercury Healthcare Pvt Ltd")</f>
        <v>Mercury Healthcare Pvt Ltd</v>
      </c>
    </row>
    <row r="2088" ht="16.5" customHeight="1">
      <c r="H2088" s="1" t="str">
        <f>IFERROR(__xludf.DUMMYFUNCTION("""COMPUTED_VALUE"""),"MERCURY LABORATORIES")</f>
        <v>MERCURY LABORATORIES</v>
      </c>
    </row>
    <row r="2089" ht="16.5" customHeight="1">
      <c r="H2089" s="1" t="str">
        <f>IFERROR(__xludf.DUMMYFUNCTION("""COMPUTED_VALUE"""),"MERIDIAN ENTERPRISES")</f>
        <v>MERIDIAN ENTERPRISES</v>
      </c>
    </row>
    <row r="2090" ht="16.5" customHeight="1">
      <c r="H2090" s="1" t="str">
        <f>IFERROR(__xludf.DUMMYFUNCTION("""COMPUTED_VALUE"""),"Meridian Medicare Ltd")</f>
        <v>Meridian Medicare Ltd</v>
      </c>
    </row>
    <row r="2091" ht="16.5" customHeight="1">
      <c r="H2091" s="1" t="str">
        <f>IFERROR(__xludf.DUMMYFUNCTION("""COMPUTED_VALUE"""),"MERIL LIFE")</f>
        <v>MERIL LIFE</v>
      </c>
    </row>
    <row r="2092" ht="16.5" customHeight="1">
      <c r="H2092" s="1" t="str">
        <f>IFERROR(__xludf.DUMMYFUNCTION("""COMPUTED_VALUE"""),"Merion Care")</f>
        <v>Merion Care</v>
      </c>
    </row>
    <row r="2093" ht="16.5" customHeight="1">
      <c r="H2093" s="1" t="str">
        <f>IFERROR(__xludf.DUMMYFUNCTION("""COMPUTED_VALUE"""),"MERLIN PHARMA PVT LTD")</f>
        <v>MERLIN PHARMA PVT LTD</v>
      </c>
    </row>
    <row r="2094" ht="16.5" customHeight="1">
      <c r="H2094" s="1" t="str">
        <f>IFERROR(__xludf.DUMMYFUNCTION("""COMPUTED_VALUE"""),"MERRUT HOMOEO PHARMACY")</f>
        <v>MERRUT HOMOEO PHARMACY</v>
      </c>
    </row>
    <row r="2095" ht="16.5" customHeight="1">
      <c r="H2095" s="1" t="str">
        <f>IFERROR(__xludf.DUMMYFUNCTION("""COMPUTED_VALUE"""),"Meryl Pharma")</f>
        <v>Meryl Pharma</v>
      </c>
    </row>
    <row r="2096" ht="16.5" customHeight="1">
      <c r="H2096" s="1" t="str">
        <f>IFERROR(__xludf.DUMMYFUNCTION("""COMPUTED_VALUE"""),"MESOVA PHARMACEUTICAL")</f>
        <v>MESOVA PHARMACEUTICAL</v>
      </c>
    </row>
    <row r="2097" ht="16.5" customHeight="1">
      <c r="H2097" s="1" t="str">
        <f>IFERROR(__xludf.DUMMYFUNCTION("""COMPUTED_VALUE"""),"METTA LIFE SCIENCES")</f>
        <v>METTA LIFE SCIENCES</v>
      </c>
    </row>
    <row r="2098" ht="16.5" customHeight="1">
      <c r="H2098" s="1" t="str">
        <f>IFERROR(__xludf.DUMMYFUNCTION("""COMPUTED_VALUE"""),"MEWAR AYURVEDIC WORKS")</f>
        <v>MEWAR AYURVEDIC WORKS</v>
      </c>
    </row>
    <row r="2099" ht="16.5" customHeight="1">
      <c r="H2099" s="1" t="str">
        <f>IFERROR(__xludf.DUMMYFUNCTION("""COMPUTED_VALUE"""),"MEWELL BIOTECH")</f>
        <v>MEWELL BIOTECH</v>
      </c>
    </row>
    <row r="2100" ht="16.5" customHeight="1">
      <c r="H2100" s="1" t="str">
        <f>IFERROR(__xludf.DUMMYFUNCTION("""COMPUTED_VALUE"""),"MEXX VISION PHARMA")</f>
        <v>MEXX VISION PHARMA</v>
      </c>
    </row>
    <row r="2101" ht="16.5" customHeight="1">
      <c r="H2101" s="1" t="str">
        <f>IFERROR(__xludf.DUMMYFUNCTION("""COMPUTED_VALUE"""),"MEYER ORGANICS (CELLAGE)")</f>
        <v>MEYER ORGANICS (CELLAGE)</v>
      </c>
    </row>
    <row r="2102" ht="16.5" customHeight="1">
      <c r="H2102" s="1" t="str">
        <f>IFERROR(__xludf.DUMMYFUNCTION("""COMPUTED_VALUE"""),"MEYER ORGANICS (EXCEL)")</f>
        <v>MEYER ORGANICS (EXCEL)</v>
      </c>
    </row>
    <row r="2103" ht="16.5" customHeight="1">
      <c r="H2103" s="1" t="str">
        <f>IFERROR(__xludf.DUMMYFUNCTION("""COMPUTED_VALUE"""),"MEYER ORGANICS (SALES)")</f>
        <v>MEYER ORGANICS (SALES)</v>
      </c>
    </row>
    <row r="2104" ht="16.5" customHeight="1">
      <c r="H2104" s="1" t="str">
        <f>IFERROR(__xludf.DUMMYFUNCTION("""COMPUTED_VALUE"""),"Meyer Organics Pvt Ltd")</f>
        <v>Meyer Organics Pvt Ltd</v>
      </c>
    </row>
    <row r="2105" ht="16.5" customHeight="1">
      <c r="H2105" s="1" t="str">
        <f>IFERROR(__xludf.DUMMYFUNCTION("""COMPUTED_VALUE"""),"MIBSONS PHARMACEUTICAL")</f>
        <v>MIBSONS PHARMACEUTICAL</v>
      </c>
    </row>
    <row r="2106" ht="16.5" customHeight="1">
      <c r="H2106" s="1" t="str">
        <f>IFERROR(__xludf.DUMMYFUNCTION("""COMPUTED_VALUE"""),"MICO")</f>
        <v>MICO</v>
      </c>
    </row>
    <row r="2107" ht="16.5" customHeight="1">
      <c r="H2107" s="1" t="str">
        <f>IFERROR(__xludf.DUMMYFUNCTION("""COMPUTED_VALUE"""),"MICRO (CARDICARE)")</f>
        <v>MICRO (CARDICARE)</v>
      </c>
    </row>
    <row r="2108" ht="16.5" customHeight="1">
      <c r="H2108" s="1" t="str">
        <f>IFERROR(__xludf.DUMMYFUNCTION("""COMPUTED_VALUE"""),"MICRO (CARSYON II)")</f>
        <v>MICRO (CARSYON II)</v>
      </c>
    </row>
    <row r="2109" ht="16.5" customHeight="1">
      <c r="H2109" s="1" t="str">
        <f>IFERROR(__xludf.DUMMYFUNCTION("""COMPUTED_VALUE"""),"MICRO (CARSYON III)")</f>
        <v>MICRO (CARSYON III)</v>
      </c>
    </row>
    <row r="2110" ht="16.5" customHeight="1">
      <c r="H2110" s="1" t="str">
        <f>IFERROR(__xludf.DUMMYFUNCTION("""COMPUTED_VALUE"""),"MICRO (CARSYON)")</f>
        <v>MICRO (CARSYON)</v>
      </c>
    </row>
    <row r="2111" ht="16.5" customHeight="1">
      <c r="H2111" s="1" t="str">
        <f>IFERROR(__xludf.DUMMYFUNCTION("""COMPUTED_VALUE"""),"MICRO (DERMA)")</f>
        <v>MICRO (DERMA)</v>
      </c>
    </row>
    <row r="2112" ht="16.5" customHeight="1">
      <c r="H2112" s="1" t="str">
        <f>IFERROR(__xludf.DUMMYFUNCTION("""COMPUTED_VALUE"""),"MICRO (DTF)")</f>
        <v>MICRO (DTF)</v>
      </c>
    </row>
    <row r="2113" ht="16.5" customHeight="1">
      <c r="H2113" s="1" t="str">
        <f>IFERROR(__xludf.DUMMYFUNCTION("""COMPUTED_VALUE"""),"MICRO (GRATIA)")</f>
        <v>MICRO (GRATIA)</v>
      </c>
    </row>
    <row r="2114" ht="16.5" customHeight="1">
      <c r="H2114" s="1" t="str">
        <f>IFERROR(__xludf.DUMMYFUNCTION("""COMPUTED_VALUE"""),"MICRO (GTF II)")</f>
        <v>MICRO (GTF II)</v>
      </c>
    </row>
    <row r="2115" ht="16.5" customHeight="1">
      <c r="H2115" s="1" t="str">
        <f>IFERROR(__xludf.DUMMYFUNCTION("""COMPUTED_VALUE"""),"MICRO (LUMIRA)")</f>
        <v>MICRO (LUMIRA)</v>
      </c>
    </row>
    <row r="2116" ht="16.5" customHeight="1">
      <c r="H2116" s="1" t="str">
        <f>IFERROR(__xludf.DUMMYFUNCTION("""COMPUTED_VALUE"""),"MICRO (MAIN)")</f>
        <v>MICRO (MAIN)</v>
      </c>
    </row>
    <row r="2117" ht="16.5" customHeight="1">
      <c r="H2117" s="1" t="str">
        <f>IFERROR(__xludf.DUMMYFUNCTION("""COMPUTED_VALUE"""),"MICRO (NUTRICA)")</f>
        <v>MICRO (NUTRICA)</v>
      </c>
    </row>
    <row r="2118" ht="16.5" customHeight="1">
      <c r="H2118" s="1" t="str">
        <f>IFERROR(__xludf.DUMMYFUNCTION("""COMPUTED_VALUE"""),"MICRO (OTF)")</f>
        <v>MICRO (OTF)</v>
      </c>
    </row>
    <row r="2119" ht="16.5" customHeight="1">
      <c r="H2119" s="1" t="str">
        <f>IFERROR(__xludf.DUMMYFUNCTION("""COMPUTED_VALUE"""),"MICRO (VISION 1)")</f>
        <v>MICRO (VISION 1)</v>
      </c>
    </row>
    <row r="2120" ht="16.5" customHeight="1">
      <c r="H2120" s="1" t="str">
        <f>IFERROR(__xludf.DUMMYFUNCTION("""COMPUTED_VALUE"""),"MICRO (VISION 2)")</f>
        <v>MICRO (VISION 2)</v>
      </c>
    </row>
    <row r="2121" ht="16.5" customHeight="1">
      <c r="H2121" s="1" t="str">
        <f>IFERROR(__xludf.DUMMYFUNCTION("""COMPUTED_VALUE"""),"MICRO (VIVAA)")</f>
        <v>MICRO (VIVAA)</v>
      </c>
    </row>
    <row r="2122" ht="16.5" customHeight="1">
      <c r="H2122" s="1" t="str">
        <f>IFERROR(__xludf.DUMMYFUNCTION("""COMPUTED_VALUE"""),"MICRO CARSYON CARDIAC")</f>
        <v>MICRO CARSYON CARDIAC</v>
      </c>
    </row>
    <row r="2123" ht="16.5" customHeight="1">
      <c r="H2123" s="1" t="str">
        <f>IFERROR(__xludf.DUMMYFUNCTION("""COMPUTED_VALUE"""),"MICRO HELTHCARE LTD.")</f>
        <v>MICRO HELTHCARE LTD.</v>
      </c>
    </row>
    <row r="2124" ht="16.5" customHeight="1">
      <c r="H2124" s="1" t="str">
        <f>IFERROR(__xludf.DUMMYFUNCTION("""COMPUTED_VALUE"""),"Micro Labs (BROWN &amp; BURK)")</f>
        <v>Micro Labs (BROWN &amp; BURK)</v>
      </c>
    </row>
    <row r="2125" ht="16.5" customHeight="1">
      <c r="H2125" s="1" t="str">
        <f>IFERROR(__xludf.DUMMYFUNCTION("""COMPUTED_VALUE"""),"Micro Labs Ltd")</f>
        <v>Micro Labs Ltd</v>
      </c>
    </row>
    <row r="2126" ht="16.5" customHeight="1">
      <c r="H2126" s="1" t="str">
        <f>IFERROR(__xludf.DUMMYFUNCTION("""COMPUTED_VALUE"""),"Micro Labs Ltd (NOVA)")</f>
        <v>Micro Labs Ltd (NOVA)</v>
      </c>
    </row>
    <row r="2127" ht="16.5" customHeight="1">
      <c r="H2127" s="1" t="str">
        <f>IFERROR(__xludf.DUMMYFUNCTION("""COMPUTED_VALUE"""),"Micro Labs Ltd (SPECIALITY)")</f>
        <v>Micro Labs Ltd (SPECIALITY)</v>
      </c>
    </row>
    <row r="2128" ht="16.5" customHeight="1">
      <c r="H2128" s="1" t="str">
        <f>IFERROR(__xludf.DUMMYFUNCTION("""COMPUTED_VALUE"""),"MICRO VISION (SKIN)")</f>
        <v>MICRO VISION (SKIN)</v>
      </c>
    </row>
    <row r="2129" ht="16.5" customHeight="1">
      <c r="H2129" s="1" t="str">
        <f>IFERROR(__xludf.DUMMYFUNCTION("""COMPUTED_VALUE"""),"MICROGEN HYGIENE PVT LTD")</f>
        <v>MICROGEN HYGIENE PVT LTD</v>
      </c>
    </row>
    <row r="2130" ht="16.5" customHeight="1">
      <c r="H2130" s="1" t="str">
        <f>IFERROR(__xludf.DUMMYFUNCTION("""COMPUTED_VALUE"""),"MICROPARK LOGISTICS PVT LTD (WELLNESS)")</f>
        <v>MICROPARK LOGISTICS PVT LTD (WELLNESS)</v>
      </c>
    </row>
    <row r="2131" ht="16.5" customHeight="1">
      <c r="H2131" s="1" t="str">
        <f>IFERROR(__xludf.DUMMYFUNCTION("""COMPUTED_VALUE"""),"MICROPOLIS LIFESCIENCES PVT LTD")</f>
        <v>MICROPOLIS LIFESCIENCES PVT LTD</v>
      </c>
    </row>
    <row r="2132" ht="16.5" customHeight="1">
      <c r="H2132" s="1" t="str">
        <f>IFERROR(__xludf.DUMMYFUNCTION("""COMPUTED_VALUE"""),"MICROPOLIS LIFESCIENCES PVT LTD (WIN FERTILITY)")</f>
        <v>MICROPOLIS LIFESCIENCES PVT LTD (WIN FERTILITY)</v>
      </c>
    </row>
    <row r="2133" ht="16.5" customHeight="1">
      <c r="H2133" s="1" t="str">
        <f>IFERROR(__xludf.DUMMYFUNCTION("""COMPUTED_VALUE"""),"MICROWIN LABORATORIES LTD")</f>
        <v>MICROWIN LABORATORIES LTD</v>
      </c>
    </row>
    <row r="2134" ht="16.5" customHeight="1">
      <c r="H2134" s="1" t="str">
        <f>IFERROR(__xludf.DUMMYFUNCTION("""COMPUTED_VALUE"""),"Midas Healthcare Ltd")</f>
        <v>Midas Healthcare Ltd</v>
      </c>
    </row>
    <row r="2135" ht="16.5" customHeight="1">
      <c r="H2135" s="1" t="str">
        <f>IFERROR(__xludf.DUMMYFUNCTION("""COMPUTED_VALUE"""),"MidasCare Pharmaceuticals Pvt Ltd")</f>
        <v>MidasCare Pharmaceuticals Pvt Ltd</v>
      </c>
    </row>
    <row r="2136" ht="16.5" customHeight="1">
      <c r="H2136" s="1" t="str">
        <f>IFERROR(__xludf.DUMMYFUNCTION("""COMPUTED_VALUE"""),"MILESTONE LIFESCIENCES")</f>
        <v>MILESTONE LIFESCIENCES</v>
      </c>
    </row>
    <row r="2137" ht="16.5" customHeight="1">
      <c r="H2137" s="1" t="str">
        <f>IFERROR(__xludf.DUMMYFUNCTION("""COMPUTED_VALUE"""),"Millennium Herbal Care")</f>
        <v>Millennium Herbal Care</v>
      </c>
    </row>
    <row r="2138" ht="16.5" customHeight="1">
      <c r="H2138" s="1" t="str">
        <f>IFERROR(__xludf.DUMMYFUNCTION("""COMPUTED_VALUE"""),"MIRACALUS")</f>
        <v>MIRACALUS</v>
      </c>
    </row>
    <row r="2139" ht="16.5" customHeight="1">
      <c r="H2139" s="1" t="str">
        <f>IFERROR(__xludf.DUMMYFUNCTION("""COMPUTED_VALUE"""),"MIRACALUS PHARMA PVT LTD")</f>
        <v>MIRACALUS PHARMA PVT LTD</v>
      </c>
    </row>
    <row r="2140" ht="16.5" customHeight="1">
      <c r="H2140" s="1" t="str">
        <f>IFERROR(__xludf.DUMMYFUNCTION("""COMPUTED_VALUE"""),"MIRCO ( SYNAPSE)")</f>
        <v>MIRCO ( SYNAPSE)</v>
      </c>
    </row>
    <row r="2141" ht="16.5" customHeight="1">
      <c r="H2141" s="1" t="str">
        <f>IFERROR(__xludf.DUMMYFUNCTION("""COMPUTED_VALUE"""),"MIRCO (CNS)")</f>
        <v>MIRCO (CNS)</v>
      </c>
    </row>
    <row r="2142" ht="16.5" customHeight="1">
      <c r="H2142" s="1" t="str">
        <f>IFERROR(__xludf.DUMMYFUNCTION("""COMPUTED_VALUE"""),"MIRCO (SYNAPSE)")</f>
        <v>MIRCO (SYNAPSE)</v>
      </c>
    </row>
    <row r="2143" ht="16.5" customHeight="1">
      <c r="H2143" s="1" t="str">
        <f>IFERROR(__xludf.DUMMYFUNCTION("""COMPUTED_VALUE"""),"MIRIX LABORATORIES")</f>
        <v>MIRIX LABORATORIES</v>
      </c>
    </row>
    <row r="2144" ht="16.5" customHeight="1">
      <c r="H2144" s="1" t="str">
        <f>IFERROR(__xludf.DUMMYFUNCTION("""COMPUTED_VALUE"""),"MISHA AYURVEDA")</f>
        <v>MISHA AYURVEDA</v>
      </c>
    </row>
    <row r="2145" ht="16.5" customHeight="1">
      <c r="H2145" s="1" t="str">
        <f>IFERROR(__xludf.DUMMYFUNCTION("""COMPUTED_VALUE"""),"MISSION RESEARCH LAB")</f>
        <v>MISSION RESEARCH LAB</v>
      </c>
    </row>
    <row r="2146" ht="16.5" customHeight="1">
      <c r="H2146" s="1" t="str">
        <f>IFERROR(__xludf.DUMMYFUNCTION("""COMPUTED_VALUE"""),"MMC HEALTHCARE")</f>
        <v>MMC HEALTHCARE</v>
      </c>
    </row>
    <row r="2147" ht="16.5" customHeight="1">
      <c r="H2147" s="1" t="str">
        <f>IFERROR(__xludf.DUMMYFUNCTION("""COMPUTED_VALUE"""),"MMG HEALTH CARE")</f>
        <v>MMG HEALTH CARE</v>
      </c>
    </row>
    <row r="2148" ht="16.5" customHeight="1">
      <c r="H2148" s="1" t="str">
        <f>IFERROR(__xludf.DUMMYFUNCTION("""COMPUTED_VALUE"""),"MODI MUNDI PHARMA (GROVIVA)")</f>
        <v>MODI MUNDI PHARMA (GROVIVA)</v>
      </c>
    </row>
    <row r="2149" ht="16.5" customHeight="1">
      <c r="H2149" s="1" t="str">
        <f>IFERROR(__xludf.DUMMYFUNCTION("""COMPUTED_VALUE"""),"MODI MUNDI PHARMA (MAXVIDA)")</f>
        <v>MODI MUNDI PHARMA (MAXVIDA)</v>
      </c>
    </row>
    <row r="2150" ht="16.5" customHeight="1">
      <c r="H2150" s="1" t="str">
        <f>IFERROR(__xludf.DUMMYFUNCTION("""COMPUTED_VALUE"""),"Modi Mundi Pharma Pvt Ltd")</f>
        <v>Modi Mundi Pharma Pvt Ltd</v>
      </c>
    </row>
    <row r="2151" ht="16.5" customHeight="1">
      <c r="H2151" s="1" t="str">
        <f>IFERROR(__xludf.DUMMYFUNCTION("""COMPUTED_VALUE"""),"MOHAMMEDIA PRODUCTS")</f>
        <v>MOHAMMEDIA PRODUCTS</v>
      </c>
    </row>
    <row r="2152" ht="16.5" customHeight="1">
      <c r="H2152" s="1" t="str">
        <f>IFERROR(__xludf.DUMMYFUNCTION("""COMPUTED_VALUE"""),"Molekule India Pvt Ltd")</f>
        <v>Molekule India Pvt Ltd</v>
      </c>
    </row>
    <row r="2153" ht="16.5" customHeight="1">
      <c r="H2153" s="1" t="str">
        <f>IFERROR(__xludf.DUMMYFUNCTION("""COMPUTED_VALUE"""),"MONJI VISHRAM &amp; COMPANY")</f>
        <v>MONJI VISHRAM &amp; COMPANY</v>
      </c>
    </row>
    <row r="2154" ht="16.5" customHeight="1">
      <c r="H2154" s="1" t="str">
        <f>IFERROR(__xludf.DUMMYFUNCTION("""COMPUTED_VALUE"""),"MONOPHARMA P LTD")</f>
        <v>MONOPHARMA P LTD</v>
      </c>
    </row>
    <row r="2155" ht="16.5" customHeight="1">
      <c r="H2155" s="1" t="str">
        <f>IFERROR(__xludf.DUMMYFUNCTION("""COMPUTED_VALUE"""),"MONTA REMEDIES")</f>
        <v>MONTA REMEDIES</v>
      </c>
    </row>
    <row r="2156" ht="16.5" customHeight="1">
      <c r="H2156" s="1" t="str">
        <f>IFERROR(__xludf.DUMMYFUNCTION("""COMPUTED_VALUE"""),"MONTANA REMEDIES")</f>
        <v>MONTANA REMEDIES</v>
      </c>
    </row>
    <row r="2157" ht="16.5" customHeight="1">
      <c r="H2157" s="1" t="str">
        <f>IFERROR(__xludf.DUMMYFUNCTION("""COMPUTED_VALUE"""),"MOREPEN LABORATORIES (GENERIC)")</f>
        <v>MOREPEN LABORATORIES (GENERIC)</v>
      </c>
    </row>
    <row r="2158" ht="16.5" customHeight="1">
      <c r="H2158" s="1" t="str">
        <f>IFERROR(__xludf.DUMMYFUNCTION("""COMPUTED_VALUE"""),"Morepen Laboratories Ltd")</f>
        <v>Morepen Laboratories Ltd</v>
      </c>
    </row>
    <row r="2159" ht="16.5" customHeight="1">
      <c r="H2159" s="1" t="str">
        <f>IFERROR(__xludf.DUMMYFUNCTION("""COMPUTED_VALUE"""),"MORPHUS PHARMACEUTICALS P LTD")</f>
        <v>MORPHUS PHARMACEUTICALS P LTD</v>
      </c>
    </row>
    <row r="2160" ht="16.5" customHeight="1">
      <c r="H2160" s="1" t="str">
        <f>IFERROR(__xludf.DUMMYFUNCTION("""COMPUTED_VALUE"""),"MORVIN")</f>
        <v>MORVIN</v>
      </c>
    </row>
    <row r="2161" ht="16.5" customHeight="1">
      <c r="H2161" s="1" t="str">
        <f>IFERROR(__xludf.DUMMYFUNCTION("""COMPUTED_VALUE"""),"MORWIN BIOPHARMA")</f>
        <v>MORWIN BIOPHARMA</v>
      </c>
    </row>
    <row r="2162" ht="16.5" customHeight="1">
      <c r="H2162" s="1" t="str">
        <f>IFERROR(__xludf.DUMMYFUNCTION("""COMPUTED_VALUE"""),"Mova Pharmaceutical Pvt Ltd")</f>
        <v>Mova Pharmaceutical Pvt Ltd</v>
      </c>
    </row>
    <row r="2163" ht="16.5" customHeight="1">
      <c r="H2163" s="1" t="str">
        <f>IFERROR(__xludf.DUMMYFUNCTION("""COMPUTED_VALUE"""),"MOVEO PHARMA")</f>
        <v>MOVEO PHARMA</v>
      </c>
    </row>
    <row r="2164" ht="16.5" customHeight="1">
      <c r="H2164" s="1" t="str">
        <f>IFERROR(__xludf.DUMMYFUNCTION("""COMPUTED_VALUE"""),"MOXY LABORATORIES PVT LTD")</f>
        <v>MOXY LABORATORIES PVT LTD</v>
      </c>
    </row>
    <row r="2165" ht="16.5" customHeight="1">
      <c r="H2165" s="1" t="str">
        <f>IFERROR(__xludf.DUMMYFUNCTION("""COMPUTED_VALUE"""),"MP PHARMA")</f>
        <v>MP PHARMA</v>
      </c>
    </row>
    <row r="2166" ht="16.5" customHeight="1">
      <c r="H2166" s="1" t="str">
        <f>IFERROR(__xludf.DUMMYFUNCTION("""COMPUTED_VALUE"""),"MRG LABORATORIES")</f>
        <v>MRG LABORATORIES</v>
      </c>
    </row>
    <row r="2167" ht="16.5" customHeight="1">
      <c r="H2167" s="1" t="str">
        <f>IFERROR(__xludf.DUMMYFUNCTION("""COMPUTED_VALUE"""),"MRG PHARMACEUTICALS")</f>
        <v>MRG PHARMACEUTICALS</v>
      </c>
    </row>
    <row r="2168" ht="16.5" customHeight="1">
      <c r="H2168" s="1" t="str">
        <f>IFERROR(__xludf.DUMMYFUNCTION("""COMPUTED_VALUE"""),"MRHM PHARMACEUTICALS PVT LTD")</f>
        <v>MRHM PHARMACEUTICALS PVT LTD</v>
      </c>
    </row>
    <row r="2169" ht="16.5" customHeight="1">
      <c r="H2169" s="1" t="str">
        <f>IFERROR(__xludf.DUMMYFUNCTION("""COMPUTED_VALUE"""),"MSD (FULFORD)")</f>
        <v>MSD (FULFORD)</v>
      </c>
    </row>
    <row r="2170" ht="16.5" customHeight="1">
      <c r="H2170" s="1" t="str">
        <f>IFERROR(__xludf.DUMMYFUNCTION("""COMPUTED_VALUE"""),"MSD (META)")</f>
        <v>MSD (META)</v>
      </c>
    </row>
    <row r="2171" ht="16.5" customHeight="1">
      <c r="H2171" s="1" t="str">
        <f>IFERROR(__xludf.DUMMYFUNCTION("""COMPUTED_VALUE"""),"MSD (ORGANON)")</f>
        <v>MSD (ORGANON)</v>
      </c>
    </row>
    <row r="2172" ht="16.5" customHeight="1">
      <c r="H2172" s="1" t="str">
        <f>IFERROR(__xludf.DUMMYFUNCTION("""COMPUTED_VALUE"""),"MSD Pharmaceuticals")</f>
        <v>MSD Pharmaceuticals</v>
      </c>
    </row>
    <row r="2173" ht="16.5" customHeight="1">
      <c r="H2173" s="1" t="str">
        <f>IFERROR(__xludf.DUMMYFUNCTION("""COMPUTED_VALUE"""),"MSN (CARDIAC)")</f>
        <v>MSN (CARDIAC)</v>
      </c>
    </row>
    <row r="2174" ht="16.5" customHeight="1">
      <c r="H2174" s="1" t="str">
        <f>IFERROR(__xludf.DUMMYFUNCTION("""COMPUTED_VALUE"""),"MSN (CNS)")</f>
        <v>MSN (CNS)</v>
      </c>
    </row>
    <row r="2175" ht="16.5" customHeight="1">
      <c r="H2175" s="1" t="str">
        <f>IFERROR(__xludf.DUMMYFUNCTION("""COMPUTED_VALUE"""),"MSN (CV 1)")</f>
        <v>MSN (CV 1)</v>
      </c>
    </row>
    <row r="2176" ht="16.5" customHeight="1">
      <c r="H2176" s="1" t="str">
        <f>IFERROR(__xludf.DUMMYFUNCTION("""COMPUTED_VALUE"""),"MSN (CV 2)")</f>
        <v>MSN (CV 2)</v>
      </c>
    </row>
    <row r="2177" ht="16.5" customHeight="1">
      <c r="H2177" s="1" t="str">
        <f>IFERROR(__xludf.DUMMYFUNCTION("""COMPUTED_VALUE"""),"MSN (NEPHRO)")</f>
        <v>MSN (NEPHRO)</v>
      </c>
    </row>
    <row r="2178" ht="16.5" customHeight="1">
      <c r="H2178" s="1" t="str">
        <f>IFERROR(__xludf.DUMMYFUNCTION("""COMPUTED_VALUE"""),"MSN (URO)")</f>
        <v>MSN (URO)</v>
      </c>
    </row>
    <row r="2179" ht="16.5" customHeight="1">
      <c r="H2179" s="1" t="str">
        <f>IFERROR(__xludf.DUMMYFUNCTION("""COMPUTED_VALUE"""),"MSN Laboratories")</f>
        <v>MSN Laboratories</v>
      </c>
    </row>
    <row r="2180" ht="16.5" customHeight="1">
      <c r="H2180" s="1" t="str">
        <f>IFERROR(__xludf.DUMMYFUNCTION("""COMPUTED_VALUE"""),"MU AMRELIA")</f>
        <v>MU AMRELIA</v>
      </c>
    </row>
    <row r="2181" ht="16.5" customHeight="1">
      <c r="H2181" s="1" t="str">
        <f>IFERROR(__xludf.DUMMYFUNCTION("""COMPUTED_VALUE"""),"MUCOS PHARMA(INDIA)PVT LTD")</f>
        <v>MUCOS PHARMA(INDIA)PVT LTD</v>
      </c>
    </row>
    <row r="2182" ht="16.5" customHeight="1">
      <c r="H2182" s="1" t="str">
        <f>IFERROR(__xludf.DUMMYFUNCTION("""COMPUTED_VALUE"""),"MULLER &amp; PHIPPS LTD")</f>
        <v>MULLER &amp; PHIPPS LTD</v>
      </c>
    </row>
    <row r="2183" ht="16.5" customHeight="1">
      <c r="H2183" s="1" t="str">
        <f>IFERROR(__xludf.DUMMYFUNCTION("""COMPUTED_VALUE"""),"MULTANI PHARMACEUTICALS")</f>
        <v>MULTANI PHARMACEUTICALS</v>
      </c>
    </row>
    <row r="2184" ht="16.5" customHeight="1">
      <c r="H2184" s="1" t="str">
        <f>IFERROR(__xludf.DUMMYFUNCTION("""COMPUTED_VALUE"""),"MULTI FOCAL")</f>
        <v>MULTI FOCAL</v>
      </c>
    </row>
    <row r="2185" ht="16.5" customHeight="1">
      <c r="H2185" s="1" t="str">
        <f>IFERROR(__xludf.DUMMYFUNCTION("""COMPUTED_VALUE"""),"MUNIMJI &amp;SONS")</f>
        <v>MUNIMJI &amp;SONS</v>
      </c>
    </row>
    <row r="2186" ht="16.5" customHeight="1">
      <c r="H2186" s="1" t="str">
        <f>IFERROR(__xludf.DUMMYFUNCTION("""COMPUTED_VALUE"""),"MUSHROOM WORLD AYURVED&amp; FOOD")</f>
        <v>MUSHROOM WORLD AYURVED&amp; FOOD</v>
      </c>
    </row>
    <row r="2187" ht="16.5" customHeight="1">
      <c r="H2187" s="1" t="str">
        <f>IFERROR(__xludf.DUMMYFUNCTION("""COMPUTED_VALUE"""),"MV ENTERPRISES")</f>
        <v>MV ENTERPRISES</v>
      </c>
    </row>
    <row r="2188" ht="16.5" customHeight="1">
      <c r="H2188" s="1" t="str">
        <f>IFERROR(__xludf.DUMMYFUNCTION("""COMPUTED_VALUE"""),"MVM BIOSCIENCE")</f>
        <v>MVM BIOSCIENCE</v>
      </c>
    </row>
    <row r="2189" ht="16.5" customHeight="1">
      <c r="H2189" s="1" t="str">
        <f>IFERROR(__xludf.DUMMYFUNCTION("""COMPUTED_VALUE"""),"MYCORION PHARMACEUTICAL")</f>
        <v>MYCORION PHARMACEUTICAL</v>
      </c>
    </row>
    <row r="2190" ht="16.5" customHeight="1">
      <c r="H2190" s="1" t="str">
        <f>IFERROR(__xludf.DUMMYFUNCTION("""COMPUTED_VALUE"""),"MYLAN PHARMA")</f>
        <v>MYLAN PHARMA</v>
      </c>
    </row>
    <row r="2191" ht="16.5" customHeight="1">
      <c r="H2191" s="1" t="str">
        <f>IFERROR(__xludf.DUMMYFUNCTION("""COMPUTED_VALUE"""),"NAGARJUN PHARMA")</f>
        <v>NAGARJUN PHARMA</v>
      </c>
    </row>
    <row r="2192" ht="16.5" customHeight="1">
      <c r="H2192" s="1" t="str">
        <f>IFERROR(__xludf.DUMMYFUNCTION("""COMPUTED_VALUE"""),"NAGARJUNA HERBAL CONCENTRATES")</f>
        <v>NAGARJUNA HERBAL CONCENTRATES</v>
      </c>
    </row>
    <row r="2193" ht="16.5" customHeight="1">
      <c r="H2193" s="1" t="str">
        <f>IFERROR(__xludf.DUMMYFUNCTION("""COMPUTED_VALUE"""),"NAMAN INDIA")</f>
        <v>NAMAN INDIA</v>
      </c>
    </row>
    <row r="2194" ht="16.5" customHeight="1">
      <c r="H2194" s="1" t="str">
        <f>IFERROR(__xludf.DUMMYFUNCTION("""COMPUTED_VALUE"""),"NAMCARE BIOTECH LLP")</f>
        <v>NAMCARE BIOTECH LLP</v>
      </c>
    </row>
    <row r="2195" ht="16.5" customHeight="1">
      <c r="H2195" s="1" t="str">
        <f>IFERROR(__xludf.DUMMYFUNCTION("""COMPUTED_VALUE"""),"NANDADEVI FOOTCARE LTD.")</f>
        <v>NANDADEVI FOOTCARE LTD.</v>
      </c>
    </row>
    <row r="2196" ht="16.5" customHeight="1">
      <c r="H2196" s="1" t="str">
        <f>IFERROR(__xludf.DUMMYFUNCTION("""COMPUTED_VALUE"""),"NANDEVI FOOT CARE LTD.")</f>
        <v>NANDEVI FOOT CARE LTD.</v>
      </c>
    </row>
    <row r="2197" ht="16.5" customHeight="1">
      <c r="H2197" s="1" t="str">
        <f>IFERROR(__xludf.DUMMYFUNCTION("""COMPUTED_VALUE"""),"NANO PHARMACEUTICALS")</f>
        <v>NANO PHARMACEUTICALS</v>
      </c>
    </row>
    <row r="2198" ht="16.5" customHeight="1">
      <c r="H2198" s="1" t="str">
        <f>IFERROR(__xludf.DUMMYFUNCTION("""COMPUTED_VALUE"""),"NANZ MED SCIENCE PHARMA PV")</f>
        <v>NANZ MED SCIENCE PHARMA PV</v>
      </c>
    </row>
    <row r="2199" ht="16.5" customHeight="1">
      <c r="H2199" s="1" t="str">
        <f>IFERROR(__xludf.DUMMYFUNCTION("""COMPUTED_VALUE"""),"NAR NARAYAN AYURVEDIC PHARMACY")</f>
        <v>NAR NARAYAN AYURVEDIC PHARMACY</v>
      </c>
    </row>
    <row r="2200" ht="16.5" customHeight="1">
      <c r="H2200" s="1" t="str">
        <f>IFERROR(__xludf.DUMMYFUNCTION("""COMPUTED_VALUE"""),"NAREENA LIFESCIENCES PVT LTD")</f>
        <v>NAREENA LIFESCIENCES PVT LTD</v>
      </c>
    </row>
    <row r="2201" ht="16.5" customHeight="1">
      <c r="H2201" s="1" t="str">
        <f>IFERROR(__xludf.DUMMYFUNCTION("""COMPUTED_VALUE"""),"NASEBERRY LABORATORIES")</f>
        <v>NASEBERRY LABORATORIES</v>
      </c>
    </row>
    <row r="2202" ht="16.5" customHeight="1">
      <c r="H2202" s="1" t="str">
        <f>IFERROR(__xludf.DUMMYFUNCTION("""COMPUTED_VALUE"""),"Natco Pharma Ltd")</f>
        <v>Natco Pharma Ltd</v>
      </c>
    </row>
    <row r="2203" ht="16.5" customHeight="1">
      <c r="H2203" s="1" t="str">
        <f>IFERROR(__xludf.DUMMYFUNCTION("""COMPUTED_VALUE"""),"Natco Pharma Ltd (CND DIVISION)")</f>
        <v>Natco Pharma Ltd (CND DIVISION)</v>
      </c>
    </row>
    <row r="2204" ht="16.5" customHeight="1">
      <c r="H2204" s="1" t="str">
        <f>IFERROR(__xludf.DUMMYFUNCTION("""COMPUTED_VALUE"""),"Natco Pharma Ltd (ONCO DIVISION)")</f>
        <v>Natco Pharma Ltd (ONCO DIVISION)</v>
      </c>
    </row>
    <row r="2205" ht="16.5" customHeight="1">
      <c r="H2205" s="1" t="str">
        <f>IFERROR(__xludf.DUMMYFUNCTION("""COMPUTED_VALUE"""),"Natco Pharma Ltd (SPL DIVISION)")</f>
        <v>Natco Pharma Ltd (SPL DIVISION)</v>
      </c>
    </row>
    <row r="2206" ht="16.5" customHeight="1">
      <c r="H2206" s="1" t="str">
        <f>IFERROR(__xludf.DUMMYFUNCTION("""COMPUTED_VALUE"""),"NATIONAL CHEMICAL &amp; PHARMACEUTICAL WORKS")</f>
        <v>NATIONAL CHEMICAL &amp; PHARMACEUTICAL WORKS</v>
      </c>
    </row>
    <row r="2207" ht="16.5" customHeight="1">
      <c r="H2207" s="1" t="str">
        <f>IFERROR(__xludf.DUMMYFUNCTION("""COMPUTED_VALUE"""),"NATIVE NATURAL HERBAL PRODUCT PVT LTD")</f>
        <v>NATIVE NATURAL HERBAL PRODUCT PVT LTD</v>
      </c>
    </row>
    <row r="2208" ht="16.5" customHeight="1">
      <c r="H2208" s="1" t="str">
        <f>IFERROR(__xludf.DUMMYFUNCTION("""COMPUTED_VALUE"""),"NATURAL LOOK")</f>
        <v>NATURAL LOOK</v>
      </c>
    </row>
    <row r="2209" ht="16.5" customHeight="1">
      <c r="H2209" s="1" t="str">
        <f>IFERROR(__xludf.DUMMYFUNCTION("""COMPUTED_VALUE"""),"NATURAL REMEDIS PVT LTD")</f>
        <v>NATURAL REMEDIS PVT LTD</v>
      </c>
    </row>
    <row r="2210" ht="16.5" customHeight="1">
      <c r="H2210" s="1" t="str">
        <f>IFERROR(__xludf.DUMMYFUNCTION("""COMPUTED_VALUE"""),"NAVIL LABORATORIES PVT LTD")</f>
        <v>NAVIL LABORATORIES PVT LTD</v>
      </c>
    </row>
    <row r="2211" ht="16.5" customHeight="1">
      <c r="H2211" s="1" t="str">
        <f>IFERROR(__xludf.DUMMYFUNCTION("""COMPUTED_VALUE"""),"NAVIL LABS (LIVAN)")</f>
        <v>NAVIL LABS (LIVAN)</v>
      </c>
    </row>
    <row r="2212" ht="16.5" customHeight="1">
      <c r="H2212" s="1" t="str">
        <f>IFERROR(__xludf.DUMMYFUNCTION("""COMPUTED_VALUE"""),"NAVKAR")</f>
        <v>NAVKAR</v>
      </c>
    </row>
    <row r="2213" ht="16.5" customHeight="1">
      <c r="H2213" s="1" t="str">
        <f>IFERROR(__xludf.DUMMYFUNCTION("""COMPUTED_VALUE"""),"NAXPAR HEALTH CONCEPTS PVT LTD")</f>
        <v>NAXPAR HEALTH CONCEPTS PVT LTD</v>
      </c>
    </row>
    <row r="2214" ht="16.5" customHeight="1">
      <c r="H2214" s="1" t="str">
        <f>IFERROR(__xludf.DUMMYFUNCTION("""COMPUTED_VALUE"""),"NECTAR BIOPHARMA PVT LTD")</f>
        <v>NECTAR BIOPHARMA PVT LTD</v>
      </c>
    </row>
    <row r="2215" ht="16.5" customHeight="1">
      <c r="H2215" s="1" t="str">
        <f>IFERROR(__xludf.DUMMYFUNCTION("""COMPUTED_VALUE"""),"Nectar Lifesciences Ltd.")</f>
        <v>Nectar Lifesciences Ltd.</v>
      </c>
    </row>
    <row r="2216" ht="16.5" customHeight="1">
      <c r="H2216" s="1" t="str">
        <f>IFERROR(__xludf.DUMMYFUNCTION("""COMPUTED_VALUE"""),"NECTAR MEDIPHARMA")</f>
        <v>NECTAR MEDIPHARMA</v>
      </c>
    </row>
    <row r="2217" ht="16.5" customHeight="1">
      <c r="H2217" s="1" t="str">
        <f>IFERROR(__xludf.DUMMYFUNCTION("""COMPUTED_VALUE"""),"NEISS LABS")</f>
        <v>NEISS LABS</v>
      </c>
    </row>
    <row r="2218" ht="16.5" customHeight="1">
      <c r="H2218" s="1" t="str">
        <f>IFERROR(__xludf.DUMMYFUNCTION("""COMPUTED_VALUE"""),"NEM LABORATORIES")</f>
        <v>NEM LABORATORIES</v>
      </c>
    </row>
    <row r="2219" ht="16.5" customHeight="1">
      <c r="H2219" s="1" t="str">
        <f>IFERROR(__xludf.DUMMYFUNCTION("""COMPUTED_VALUE"""),"NEMMY PHARMA")</f>
        <v>NEMMY PHARMA</v>
      </c>
    </row>
    <row r="2220" ht="16.5" customHeight="1">
      <c r="H2220" s="1" t="str">
        <f>IFERROR(__xludf.DUMMYFUNCTION("""COMPUTED_VALUE"""),"NEMUS PHARMACEUTICALS PVT LTD")</f>
        <v>NEMUS PHARMACEUTICALS PVT LTD</v>
      </c>
    </row>
    <row r="2221" ht="16.5" customHeight="1">
      <c r="H2221" s="1" t="str">
        <f>IFERROR(__xludf.DUMMYFUNCTION("""COMPUTED_VALUE"""),"Neo Vedic Drug Pharma")</f>
        <v>Neo Vedic Drug Pharma</v>
      </c>
    </row>
    <row r="2222" ht="16.5" customHeight="1">
      <c r="H2222" s="1" t="str">
        <f>IFERROR(__xludf.DUMMYFUNCTION("""COMPUTED_VALUE"""),"NEOCARDIAB CARE")</f>
        <v>NEOCARDIAB CARE</v>
      </c>
    </row>
    <row r="2223" ht="16.5" customHeight="1">
      <c r="H2223" s="1" t="str">
        <f>IFERROR(__xludf.DUMMYFUNCTION("""COMPUTED_VALUE"""),"NEOLINA PHARMACEUTICALS")</f>
        <v>NEOLINA PHARMACEUTICALS</v>
      </c>
    </row>
    <row r="2224" ht="16.5" customHeight="1">
      <c r="H2224" s="1" t="str">
        <f>IFERROR(__xludf.DUMMYFUNCTION("""COMPUTED_VALUE"""),"NEOMATRIS PHARMA")</f>
        <v>NEOMATRIS PHARMA</v>
      </c>
    </row>
    <row r="2225" ht="16.5" customHeight="1">
      <c r="H2225" s="1" t="str">
        <f>IFERROR(__xludf.DUMMYFUNCTION("""COMPUTED_VALUE"""),"Neon Laboratories Ltd")</f>
        <v>Neon Laboratories Ltd</v>
      </c>
    </row>
    <row r="2226" ht="16.5" customHeight="1">
      <c r="H2226" s="1" t="str">
        <f>IFERROR(__xludf.DUMMYFUNCTION("""COMPUTED_VALUE"""),"Neon Laboratories Ltd (ANESTHESIA)")</f>
        <v>Neon Laboratories Ltd (ANESTHESIA)</v>
      </c>
    </row>
    <row r="2227" ht="16.5" customHeight="1">
      <c r="H2227" s="1" t="str">
        <f>IFERROR(__xludf.DUMMYFUNCTION("""COMPUTED_VALUE"""),"Neon Laboratories Ltd (CANCER)")</f>
        <v>Neon Laboratories Ltd (CANCER)</v>
      </c>
    </row>
    <row r="2228" ht="16.5" customHeight="1">
      <c r="H2228" s="1" t="str">
        <f>IFERROR(__xludf.DUMMYFUNCTION("""COMPUTED_VALUE"""),"Neon Laboratories Ltd (CRITICAL CARE)")</f>
        <v>Neon Laboratories Ltd (CRITICAL CARE)</v>
      </c>
    </row>
    <row r="2229" ht="16.5" customHeight="1">
      <c r="H2229" s="1" t="str">
        <f>IFERROR(__xludf.DUMMYFUNCTION("""COMPUTED_VALUE"""),"Neon Laboratories Ltd (GYNAECOLOGY)")</f>
        <v>Neon Laboratories Ltd (GYNAECOLOGY)</v>
      </c>
    </row>
    <row r="2230" ht="16.5" customHeight="1">
      <c r="H2230" s="1" t="str">
        <f>IFERROR(__xludf.DUMMYFUNCTION("""COMPUTED_VALUE"""),"Neon Laboratories Ltd (STELLAR)")</f>
        <v>Neon Laboratories Ltd (STELLAR)</v>
      </c>
    </row>
    <row r="2231" ht="16.5" customHeight="1">
      <c r="H2231" s="1" t="str">
        <f>IFERROR(__xludf.DUMMYFUNCTION("""COMPUTED_VALUE"""),"NEOVAP BIOPHARMACEUTICALS")</f>
        <v>NEOVAP BIOPHARMACEUTICALS</v>
      </c>
    </row>
    <row r="2232" ht="16.5" customHeight="1">
      <c r="H2232" s="1" t="str">
        <f>IFERROR(__xludf.DUMMYFUNCTION("""COMPUTED_VALUE"""),"NEPHUROCARE PHARMA (NEPHRO)")</f>
        <v>NEPHUROCARE PHARMA (NEPHRO)</v>
      </c>
    </row>
    <row r="2233" ht="16.5" customHeight="1">
      <c r="H2233" s="1" t="str">
        <f>IFERROR(__xludf.DUMMYFUNCTION("""COMPUTED_VALUE"""),"NEPTUNE LIFE SCIENCE P LTD")</f>
        <v>NEPTUNE LIFE SCIENCE P LTD</v>
      </c>
    </row>
    <row r="2234" ht="16.5" customHeight="1">
      <c r="H2234" s="1" t="str">
        <f>IFERROR(__xludf.DUMMYFUNCTION("""COMPUTED_VALUE"""),"NERV-ERA LIFESCIENCES")</f>
        <v>NERV-ERA LIFESCIENCES</v>
      </c>
    </row>
    <row r="2235" ht="16.5" customHeight="1">
      <c r="H2235" s="1" t="str">
        <f>IFERROR(__xludf.DUMMYFUNCTION("""COMPUTED_VALUE"""),"NESTLE INDIA LIMITED")</f>
        <v>NESTLE INDIA LIMITED</v>
      </c>
    </row>
    <row r="2236" ht="16.5" customHeight="1">
      <c r="H2236" s="1" t="str">
        <f>IFERROR(__xludf.DUMMYFUNCTION("""COMPUTED_VALUE"""),"NETSURF")</f>
        <v>NETSURF</v>
      </c>
    </row>
    <row r="2237" ht="16.5" customHeight="1">
      <c r="H2237" s="1" t="str">
        <f>IFERROR(__xludf.DUMMYFUNCTION("""COMPUTED_VALUE"""),"NEUCLOX")</f>
        <v>NEUCLOX</v>
      </c>
    </row>
    <row r="2238" ht="16.5" customHeight="1">
      <c r="H2238" s="1" t="str">
        <f>IFERROR(__xludf.DUMMYFUNCTION("""COMPUTED_VALUE"""),"NEUCURE LIFESCIENCES P. LTD.")</f>
        <v>NEUCURE LIFESCIENCES P. LTD.</v>
      </c>
    </row>
    <row r="2239" ht="16.5" customHeight="1">
      <c r="H2239" s="1" t="str">
        <f>IFERROR(__xludf.DUMMYFUNCTION("""COMPUTED_VALUE"""),"NEURACLE LIFESCIENCES")</f>
        <v>NEURACLE LIFESCIENCES</v>
      </c>
    </row>
    <row r="2240" ht="16.5" customHeight="1">
      <c r="H2240" s="1" t="str">
        <f>IFERROR(__xludf.DUMMYFUNCTION("""COMPUTED_VALUE"""),"NEUTECHEALTHCARE PVT")</f>
        <v>NEUTECHEALTHCARE PVT</v>
      </c>
    </row>
    <row r="2241" ht="16.5" customHeight="1">
      <c r="H2241" s="1" t="str">
        <f>IFERROR(__xludf.DUMMYFUNCTION("""COMPUTED_VALUE"""),"NEW CONCEPT BIOTECH")</f>
        <v>NEW CONCEPT BIOTECH</v>
      </c>
    </row>
    <row r="2242" ht="16.5" customHeight="1">
      <c r="H2242" s="1" t="str">
        <f>IFERROR(__xludf.DUMMYFUNCTION("""COMPUTED_VALUE"""),"NEW GENERATION LIFE SCIENCES")</f>
        <v>NEW GENERATION LIFE SCIENCES</v>
      </c>
    </row>
    <row r="2243" ht="16.5" customHeight="1">
      <c r="H2243" s="1" t="str">
        <f>IFERROR(__xludf.DUMMYFUNCTION("""COMPUTED_VALUE"""),"NEW LIFE")</f>
        <v>NEW LIFE</v>
      </c>
    </row>
    <row r="2244" ht="16.5" customHeight="1">
      <c r="H2244" s="1" t="str">
        <f>IFERROR(__xludf.DUMMYFUNCTION("""COMPUTED_VALUE"""),"NEW MEDICON PHARMA LAB PVT.LTD")</f>
        <v>NEW MEDICON PHARMA LAB PVT.LTD</v>
      </c>
    </row>
    <row r="2245" ht="16.5" customHeight="1">
      <c r="H2245" s="1" t="str">
        <f>IFERROR(__xludf.DUMMYFUNCTION("""COMPUTED_VALUE"""),"NEW WORLD PHARMA P LTD")</f>
        <v>NEW WORLD PHARMA P LTD</v>
      </c>
    </row>
    <row r="2246" ht="16.5" customHeight="1">
      <c r="H2246" s="1" t="str">
        <f>IFERROR(__xludf.DUMMYFUNCTION("""COMPUTED_VALUE"""),"NEWTRAMAX HEALTHCARE, SIRMOR")</f>
        <v>NEWTRAMAX HEALTHCARE, SIRMOR</v>
      </c>
    </row>
    <row r="2247" ht="16.5" customHeight="1">
      <c r="H2247" s="1" t="str">
        <f>IFERROR(__xludf.DUMMYFUNCTION("""COMPUTED_VALUE"""),"NEWWORLD PHARMACEUTICALS P LTD")</f>
        <v>NEWWORLD PHARMACEUTICALS P LTD</v>
      </c>
    </row>
    <row r="2248" ht="16.5" customHeight="1">
      <c r="H2248" s="1" t="str">
        <f>IFERROR(__xludf.DUMMYFUNCTION("""COMPUTED_VALUE"""),"NEXA HEALTHCARE PVT LTD")</f>
        <v>NEXA HEALTHCARE PVT LTD</v>
      </c>
    </row>
    <row r="2249" ht="16.5" customHeight="1">
      <c r="H2249" s="1" t="str">
        <f>IFERROR(__xludf.DUMMYFUNCTION("""COMPUTED_VALUE"""),"NEXGEN LIFESCIENCES")</f>
        <v>NEXGEN LIFESCIENCES</v>
      </c>
    </row>
    <row r="2250" ht="16.5" customHeight="1">
      <c r="H2250" s="1" t="str">
        <f>IFERROR(__xludf.DUMMYFUNCTION("""COMPUTED_VALUE"""),"NEXGEN PHARMA")</f>
        <v>NEXGEN PHARMA</v>
      </c>
    </row>
    <row r="2251" ht="16.5" customHeight="1">
      <c r="H2251" s="1" t="str">
        <f>IFERROR(__xludf.DUMMYFUNCTION("""COMPUTED_VALUE"""),"NEXINA CD CARE PVT LTD")</f>
        <v>NEXINA CD CARE PVT LTD</v>
      </c>
    </row>
    <row r="2252" ht="16.5" customHeight="1">
      <c r="H2252" s="1" t="str">
        <f>IFERROR(__xludf.DUMMYFUNCTION("""COMPUTED_VALUE"""),"NEXINA LIFE SCIENCES")</f>
        <v>NEXINA LIFE SCIENCES</v>
      </c>
    </row>
    <row r="2253" ht="16.5" customHeight="1">
      <c r="H2253" s="1" t="str">
        <f>IFERROR(__xludf.DUMMYFUNCTION("""COMPUTED_VALUE"""),"NEXKEM PHARMA")</f>
        <v>NEXKEM PHARMA</v>
      </c>
    </row>
    <row r="2254" ht="16.5" customHeight="1">
      <c r="H2254" s="1" t="str">
        <f>IFERROR(__xludf.DUMMYFUNCTION("""COMPUTED_VALUE"""),"NEXTGEN HEALTHCARE")</f>
        <v>NEXTGEN HEALTHCARE</v>
      </c>
    </row>
    <row r="2255" ht="16.5" customHeight="1">
      <c r="H2255" s="1" t="str">
        <f>IFERROR(__xludf.DUMMYFUNCTION("""COMPUTED_VALUE"""),"NEXTGEN PHARMACEUTICAL AND FORMULATIONS PVT LTD")</f>
        <v>NEXTGEN PHARMACEUTICAL AND FORMULATIONS PVT LTD</v>
      </c>
    </row>
    <row r="2256" ht="16.5" customHeight="1">
      <c r="H2256" s="1" t="str">
        <f>IFERROR(__xludf.DUMMYFUNCTION("""COMPUTED_VALUE"""),"NEXUS PHARMACEUTICALS")</f>
        <v>NEXUS PHARMACEUTICALS</v>
      </c>
    </row>
    <row r="2257" ht="16.5" customHeight="1">
      <c r="H2257" s="1" t="str">
        <f>IFERROR(__xludf.DUMMYFUNCTION("""COMPUTED_VALUE"""),"NEXWIN PHARMA")</f>
        <v>NEXWIN PHARMA</v>
      </c>
    </row>
    <row r="2258" ht="16.5" customHeight="1">
      <c r="H2258" s="1" t="str">
        <f>IFERROR(__xludf.DUMMYFUNCTION("""COMPUTED_VALUE"""),"NICHOLAS PIRAMAL INDIA LTD")</f>
        <v>NICHOLAS PIRAMAL INDIA LTD</v>
      </c>
    </row>
    <row r="2259" ht="16.5" customHeight="1">
      <c r="H2259" s="1" t="str">
        <f>IFERROR(__xludf.DUMMYFUNCTION("""COMPUTED_VALUE"""),"NICIA")</f>
        <v>NICIA</v>
      </c>
    </row>
    <row r="2260" ht="16.5" customHeight="1">
      <c r="H2260" s="1" t="str">
        <f>IFERROR(__xludf.DUMMYFUNCTION("""COMPUTED_VALUE"""),"NICKS CORPORATION")</f>
        <v>NICKS CORPORATION</v>
      </c>
    </row>
    <row r="2261" ht="16.5" customHeight="1">
      <c r="H2261" s="1" t="str">
        <f>IFERROR(__xludf.DUMMYFUNCTION("""COMPUTED_VALUE"""),"NIKIR")</f>
        <v>NIKIR</v>
      </c>
    </row>
    <row r="2262" ht="16.5" customHeight="1">
      <c r="H2262" s="1" t="str">
        <f>IFERROR(__xludf.DUMMYFUNCTION("""COMPUTED_VALUE"""),"NILRISE PHARMACEUTICALS")</f>
        <v>NILRISE PHARMACEUTICALS</v>
      </c>
    </row>
    <row r="2263" ht="16.5" customHeight="1">
      <c r="H2263" s="1" t="str">
        <f>IFERROR(__xludf.DUMMYFUNCTION("""COMPUTED_VALUE"""),"NINELABS INDIA P LTD")</f>
        <v>NINELABS INDIA P LTD</v>
      </c>
    </row>
    <row r="2264" ht="16.5" customHeight="1">
      <c r="H2264" s="1" t="str">
        <f>IFERROR(__xludf.DUMMYFUNCTION("""COMPUTED_VALUE"""),"NIPM SURGICALS")</f>
        <v>NIPM SURGICALS</v>
      </c>
    </row>
    <row r="2265" ht="16.5" customHeight="1">
      <c r="H2265" s="1" t="str">
        <f>IFERROR(__xludf.DUMMYFUNCTION("""COMPUTED_VALUE"""),"NIPPON SEIYAKU")</f>
        <v>NIPPON SEIYAKU</v>
      </c>
    </row>
    <row r="2266" ht="16.5" customHeight="1">
      <c r="H2266" s="1" t="str">
        <f>IFERROR(__xludf.DUMMYFUNCTION("""COMPUTED_VALUE"""),"NIPRO")</f>
        <v>NIPRO</v>
      </c>
    </row>
    <row r="2267" ht="16.5" customHeight="1">
      <c r="H2267" s="1" t="str">
        <f>IFERROR(__xludf.DUMMYFUNCTION("""COMPUTED_VALUE"""),"NIRAMANCE HEALTH CARE")</f>
        <v>NIRAMANCE HEALTH CARE</v>
      </c>
    </row>
    <row r="2268" ht="16.5" customHeight="1">
      <c r="H2268" s="1" t="str">
        <f>IFERROR(__xludf.DUMMYFUNCTION("""COMPUTED_VALUE"""),"NIRAV HEALTHCARE")</f>
        <v>NIRAV HEALTHCARE</v>
      </c>
    </row>
    <row r="2269" ht="16.5" customHeight="1">
      <c r="H2269" s="1" t="str">
        <f>IFERROR(__xludf.DUMMYFUNCTION("""COMPUTED_VALUE"""),"NIRIX DERMA")</f>
        <v>NIRIX DERMA</v>
      </c>
    </row>
    <row r="2270" ht="16.5" customHeight="1">
      <c r="H2270" s="1" t="str">
        <f>IFERROR(__xludf.DUMMYFUNCTION("""COMPUTED_VALUE"""),"NIRLIFE")</f>
        <v>NIRLIFE</v>
      </c>
    </row>
    <row r="2271" ht="16.5" customHeight="1">
      <c r="H2271" s="1" t="str">
        <f>IFERROR(__xludf.DUMMYFUNCTION("""COMPUTED_VALUE"""),"NIRMA LTD")</f>
        <v>NIRMA LTD</v>
      </c>
    </row>
    <row r="2272" ht="16.5" customHeight="1">
      <c r="H2272" s="1" t="str">
        <f>IFERROR(__xludf.DUMMYFUNCTION("""COMPUTED_VALUE"""),"NIROG PHARMA")</f>
        <v>NIROG PHARMA</v>
      </c>
    </row>
    <row r="2273" ht="16.5" customHeight="1">
      <c r="H2273" s="1" t="str">
        <f>IFERROR(__xludf.DUMMYFUNCTION("""COMPUTED_VALUE"""),"NIROWELL HEALTHCARE PVT LTD")</f>
        <v>NIROWELL HEALTHCARE PVT LTD</v>
      </c>
    </row>
    <row r="2274" ht="16.5" customHeight="1">
      <c r="H2274" s="1" t="str">
        <f>IFERROR(__xludf.DUMMYFUNCTION("""COMPUTED_VALUE"""),"NISHI MEDICOSE (OTHER PRODUCTS)")</f>
        <v>NISHI MEDICOSE (OTHER PRODUCTS)</v>
      </c>
    </row>
    <row r="2275" ht="16.5" customHeight="1">
      <c r="H2275" s="1" t="str">
        <f>IFERROR(__xludf.DUMMYFUNCTION("""COMPUTED_VALUE"""),"NISHIRA PHARMA")</f>
        <v>NISHIRA PHARMA</v>
      </c>
    </row>
    <row r="2276" ht="16.5" customHeight="1">
      <c r="H2276" s="1" t="str">
        <f>IFERROR(__xludf.DUMMYFUNCTION("""COMPUTED_VALUE"""),"NITHYASHA HEALTHCARE PVT LTD")</f>
        <v>NITHYASHA HEALTHCARE PVT LTD</v>
      </c>
    </row>
    <row r="2277" ht="16.5" customHeight="1">
      <c r="H2277" s="1" t="str">
        <f>IFERROR(__xludf.DUMMYFUNCTION("""COMPUTED_VALUE"""),"Nitin Lifesciences Ltd")</f>
        <v>Nitin Lifesciences Ltd</v>
      </c>
    </row>
    <row r="2278" ht="16.5" customHeight="1">
      <c r="H2278" s="1" t="str">
        <f>IFERROR(__xludf.DUMMYFUNCTION("""COMPUTED_VALUE"""),"NITRO ORGANICES")</f>
        <v>NITRO ORGANICES</v>
      </c>
    </row>
    <row r="2279" ht="16.5" customHeight="1">
      <c r="H2279" s="1" t="str">
        <f>IFERROR(__xludf.DUMMYFUNCTION("""COMPUTED_VALUE"""),"NIYAMBA PHARMA")</f>
        <v>NIYAMBA PHARMA</v>
      </c>
    </row>
    <row r="2280" ht="16.5" customHeight="1">
      <c r="H2280" s="1" t="str">
        <f>IFERROR(__xludf.DUMMYFUNCTION("""COMPUTED_VALUE"""),"NOBLE DRUGS PVT.LTD.")</f>
        <v>NOBLE DRUGS PVT.LTD.</v>
      </c>
    </row>
    <row r="2281" ht="16.5" customHeight="1">
      <c r="H2281" s="1" t="str">
        <f>IFERROR(__xludf.DUMMYFUNCTION("""COMPUTED_VALUE"""),"NOEL PHARMA INDIA PVT LTD")</f>
        <v>NOEL PHARMA INDIA PVT LTD</v>
      </c>
    </row>
    <row r="2282" ht="16.5" customHeight="1">
      <c r="H2282" s="1" t="str">
        <f>IFERROR(__xludf.DUMMYFUNCTION("""COMPUTED_VALUE"""),"NONI BIOTECH P LTD")</f>
        <v>NONI BIOTECH P LTD</v>
      </c>
    </row>
    <row r="2283" ht="16.5" customHeight="1">
      <c r="H2283" s="1" t="str">
        <f>IFERROR(__xludf.DUMMYFUNCTION("""COMPUTED_VALUE"""),"NORRIS MEDICINES LTD.")</f>
        <v>NORRIS MEDICINES LTD.</v>
      </c>
    </row>
    <row r="2284" ht="16.5" customHeight="1">
      <c r="H2284" s="1" t="str">
        <f>IFERROR(__xludf.DUMMYFUNCTION("""COMPUTED_VALUE"""),"NORTIC HEALTHCARE")</f>
        <v>NORTIC HEALTHCARE</v>
      </c>
    </row>
    <row r="2285" ht="16.5" customHeight="1">
      <c r="H2285" s="1" t="str">
        <f>IFERROR(__xludf.DUMMYFUNCTION("""COMPUTED_VALUE"""),"NOSTRUM REMEDIES")</f>
        <v>NOSTRUM REMEDIES</v>
      </c>
    </row>
    <row r="2286" ht="16.5" customHeight="1">
      <c r="H2286" s="1" t="str">
        <f>IFERROR(__xludf.DUMMYFUNCTION("""COMPUTED_VALUE"""),"NOT TO BE ADDED")</f>
        <v>NOT TO BE ADDED</v>
      </c>
    </row>
    <row r="2287" ht="16.5" customHeight="1">
      <c r="H2287" s="1" t="str">
        <f>IFERROR(__xludf.DUMMYFUNCTION("""COMPUTED_VALUE"""),"NOURIER LAB")</f>
        <v>NOURIER LAB</v>
      </c>
    </row>
    <row r="2288" ht="16.5" customHeight="1">
      <c r="H2288" s="1" t="str">
        <f>IFERROR(__xludf.DUMMYFUNCTION("""COMPUTED_VALUE"""),"Nouveau Medicament Pvt Ltd")</f>
        <v>Nouveau Medicament Pvt Ltd</v>
      </c>
    </row>
    <row r="2289" ht="16.5" customHeight="1">
      <c r="H2289" s="1" t="str">
        <f>IFERROR(__xludf.DUMMYFUNCTION("""COMPUTED_VALUE"""),"NOVACHEM LAB")</f>
        <v>NOVACHEM LAB</v>
      </c>
    </row>
    <row r="2290" ht="16.5" customHeight="1">
      <c r="H2290" s="1" t="str">
        <f>IFERROR(__xludf.DUMMYFUNCTION("""COMPUTED_VALUE"""),"NOVACURE HEALTHCARE")</f>
        <v>NOVACURE HEALTHCARE</v>
      </c>
    </row>
    <row r="2291" ht="16.5" customHeight="1">
      <c r="H2291" s="1" t="str">
        <f>IFERROR(__xludf.DUMMYFUNCTION("""COMPUTED_VALUE"""),"NOVARTIS (BETA)")</f>
        <v>NOVARTIS (BETA)</v>
      </c>
    </row>
    <row r="2292" ht="16.5" customHeight="1">
      <c r="H2292" s="1" t="str">
        <f>IFERROR(__xludf.DUMMYFUNCTION("""COMPUTED_VALUE"""),"NOVARTIS (CARDIC)")</f>
        <v>NOVARTIS (CARDIC)</v>
      </c>
    </row>
    <row r="2293" ht="16.5" customHeight="1">
      <c r="H2293" s="1" t="str">
        <f>IFERROR(__xludf.DUMMYFUNCTION("""COMPUTED_VALUE"""),"NOVARTIS (CVM)")</f>
        <v>NOVARTIS (CVM)</v>
      </c>
    </row>
    <row r="2294" ht="16.5" customHeight="1">
      <c r="H2294" s="1" t="str">
        <f>IFERROR(__xludf.DUMMYFUNCTION("""COMPUTED_VALUE"""),"NOVARTIS (EMBU)")</f>
        <v>NOVARTIS (EMBU)</v>
      </c>
    </row>
    <row r="2295" ht="16.5" customHeight="1">
      <c r="H2295" s="1" t="str">
        <f>IFERROR(__xludf.DUMMYFUNCTION("""COMPUTED_VALUE"""),"NOVARTIS (GY)")</f>
        <v>NOVARTIS (GY)</v>
      </c>
    </row>
    <row r="2296" ht="16.5" customHeight="1">
      <c r="H2296" s="1" t="str">
        <f>IFERROR(__xludf.DUMMYFUNCTION("""COMPUTED_VALUE"""),"NOVARTIS (NEURO PSYCHIATRY)")</f>
        <v>NOVARTIS (NEURO PSYCHIATRY)</v>
      </c>
    </row>
    <row r="2297" ht="16.5" customHeight="1">
      <c r="H2297" s="1" t="str">
        <f>IFERROR(__xludf.DUMMYFUNCTION("""COMPUTED_VALUE"""),"NOVARTIS (PRASAAR)")</f>
        <v>NOVARTIS (PRASAAR)</v>
      </c>
    </row>
    <row r="2298" ht="16.5" customHeight="1">
      <c r="H2298" s="1" t="str">
        <f>IFERROR(__xludf.DUMMYFUNCTION("""COMPUTED_VALUE"""),"NOVARTIS (SANDOZ)")</f>
        <v>NOVARTIS (SANDOZ)</v>
      </c>
    </row>
    <row r="2299" ht="16.5" customHeight="1">
      <c r="H2299" s="1" t="str">
        <f>IFERROR(__xludf.DUMMYFUNCTION("""COMPUTED_VALUE"""),"NOVARTIS (TEAM)")</f>
        <v>NOVARTIS (TEAM)</v>
      </c>
    </row>
    <row r="2300" ht="16.5" customHeight="1">
      <c r="H2300" s="1" t="str">
        <f>IFERROR(__xludf.DUMMYFUNCTION("""COMPUTED_VALUE"""),"NOVARTIS (VACCINE)")</f>
        <v>NOVARTIS (VACCINE)</v>
      </c>
    </row>
    <row r="2301" ht="16.5" customHeight="1">
      <c r="H2301" s="1" t="str">
        <f>IFERROR(__xludf.DUMMYFUNCTION("""COMPUTED_VALUE"""),"Novartis India Ltd")</f>
        <v>Novartis India Ltd</v>
      </c>
    </row>
    <row r="2302" ht="16.5" customHeight="1">
      <c r="H2302" s="1" t="str">
        <f>IFERROR(__xludf.DUMMYFUNCTION("""COMPUTED_VALUE"""),"NOVASCOTT (GENERIC)")</f>
        <v>NOVASCOTT (GENERIC)</v>
      </c>
    </row>
    <row r="2303" ht="16.5" customHeight="1">
      <c r="H2303" s="1" t="str">
        <f>IFERROR(__xludf.DUMMYFUNCTION("""COMPUTED_VALUE"""),"NOVASURE HEALTHCARE")</f>
        <v>NOVASURE HEALTHCARE</v>
      </c>
    </row>
    <row r="2304" ht="16.5" customHeight="1">
      <c r="H2304" s="1" t="str">
        <f>IFERROR(__xludf.DUMMYFUNCTION("""COMPUTED_VALUE"""),"NOVAZING PHARMA")</f>
        <v>NOVAZING PHARMA</v>
      </c>
    </row>
    <row r="2305" ht="16.5" customHeight="1">
      <c r="H2305" s="1" t="str">
        <f>IFERROR(__xludf.DUMMYFUNCTION("""COMPUTED_VALUE"""),"NOVELTY HEALTHSHINE")</f>
        <v>NOVELTY HEALTHSHINE</v>
      </c>
    </row>
    <row r="2306" ht="16.5" customHeight="1">
      <c r="H2306" s="1" t="str">
        <f>IFERROR(__xludf.DUMMYFUNCTION("""COMPUTED_VALUE"""),"NOVIQUE LIFE SCIENCES PVT")</f>
        <v>NOVIQUE LIFE SCIENCES PVT</v>
      </c>
    </row>
    <row r="2307" ht="16.5" customHeight="1">
      <c r="H2307" s="1" t="str">
        <f>IFERROR(__xludf.DUMMYFUNCTION("""COMPUTED_VALUE"""),"NOVITA HEALTHCARE PVT LTD")</f>
        <v>NOVITA HEALTHCARE PVT LTD</v>
      </c>
    </row>
    <row r="2308" ht="16.5" customHeight="1">
      <c r="H2308" s="1" t="str">
        <f>IFERROR(__xludf.DUMMYFUNCTION("""COMPUTED_VALUE"""),"NOVITAS HEALTHCARE")</f>
        <v>NOVITAS HEALTHCARE</v>
      </c>
    </row>
    <row r="2309" ht="16.5" customHeight="1">
      <c r="H2309" s="1" t="str">
        <f>IFERROR(__xludf.DUMMYFUNCTION("""COMPUTED_VALUE"""),"NOVO INDUS PHARMACEUTICALS")</f>
        <v>NOVO INDUS PHARMACEUTICALS</v>
      </c>
    </row>
    <row r="2310" ht="16.5" customHeight="1">
      <c r="H2310" s="1" t="str">
        <f>IFERROR(__xludf.DUMMYFUNCTION("""COMPUTED_VALUE"""),"NOVO MEDI SCIENCES PVT LTD")</f>
        <v>NOVO MEDI SCIENCES PVT LTD</v>
      </c>
    </row>
    <row r="2311" ht="16.5" customHeight="1">
      <c r="H2311" s="1" t="str">
        <f>IFERROR(__xludf.DUMMYFUNCTION("""COMPUTED_VALUE"""),"Novo Nordisk India Pvt Ltd")</f>
        <v>Novo Nordisk India Pvt Ltd</v>
      </c>
    </row>
    <row r="2312" ht="16.5" customHeight="1">
      <c r="H2312" s="1" t="str">
        <f>IFERROR(__xludf.DUMMYFUNCTION("""COMPUTED_VALUE"""),"NOVOGEN CAPTAB")</f>
        <v>NOVOGEN CAPTAB</v>
      </c>
    </row>
    <row r="2313" ht="16.5" customHeight="1">
      <c r="H2313" s="1" t="str">
        <f>IFERROR(__xludf.DUMMYFUNCTION("""COMPUTED_VALUE"""),"NOVOSAVIOR")</f>
        <v>NOVOSAVIOR</v>
      </c>
    </row>
    <row r="2314" ht="16.5" customHeight="1">
      <c r="H2314" s="1" t="str">
        <f>IFERROR(__xludf.DUMMYFUNCTION("""COMPUTED_VALUE"""),"NOVUS BIOLOGICALS LLC")</f>
        <v>NOVUS BIOLOGICALS LLC</v>
      </c>
    </row>
    <row r="2315" ht="16.5" customHeight="1">
      <c r="H2315" s="1" t="str">
        <f>IFERROR(__xludf.DUMMYFUNCTION("""COMPUTED_VALUE"""),"NRI VISION CARE INDIA LTD")</f>
        <v>NRI VISION CARE INDIA LTD</v>
      </c>
    </row>
    <row r="2316" ht="16.5" customHeight="1">
      <c r="H2316" s="1" t="str">
        <f>IFERROR(__xludf.DUMMYFUNCTION("""COMPUTED_VALUE"""),"NUCLEO REMEDIES")</f>
        <v>NUCLEO REMEDIES</v>
      </c>
    </row>
    <row r="2317" ht="16.5" customHeight="1">
      <c r="H2317" s="1" t="str">
        <f>IFERROR(__xludf.DUMMYFUNCTION("""COMPUTED_VALUE"""),"NUKIND HEALTHCARE PVT LTD")</f>
        <v>NUKIND HEALTHCARE PVT LTD</v>
      </c>
    </row>
    <row r="2318" ht="16.5" customHeight="1">
      <c r="H2318" s="1" t="str">
        <f>IFERROR(__xludf.DUMMYFUNCTION("""COMPUTED_VALUE"""),"NuLife Pharmaceuticals")</f>
        <v>NuLife Pharmaceuticals</v>
      </c>
    </row>
    <row r="2319" ht="16.5" customHeight="1">
      <c r="H2319" s="1" t="str">
        <f>IFERROR(__xludf.DUMMYFUNCTION("""COMPUTED_VALUE"""),"NUMAC HEALTHCARE PVT LTD")</f>
        <v>NUMAC HEALTHCARE PVT LTD</v>
      </c>
    </row>
    <row r="2320" ht="16.5" customHeight="1">
      <c r="H2320" s="1" t="str">
        <f>IFERROR(__xludf.DUMMYFUNCTION("""COMPUTED_VALUE"""),"NUTRA WELLNESS")</f>
        <v>NUTRA WELLNESS</v>
      </c>
    </row>
    <row r="2321" ht="16.5" customHeight="1">
      <c r="H2321" s="1" t="str">
        <f>IFERROR(__xludf.DUMMYFUNCTION("""COMPUTED_VALUE"""),"NUTRACARE NUTRITION")</f>
        <v>NUTRACARE NUTRITION</v>
      </c>
    </row>
    <row r="2322" ht="16.5" customHeight="1">
      <c r="H2322" s="1" t="str">
        <f>IFERROR(__xludf.DUMMYFUNCTION("""COMPUTED_VALUE"""),"NUTRACOS LIFESCIENECES PVT LTD")</f>
        <v>NUTRACOS LIFESCIENECES PVT LTD</v>
      </c>
    </row>
    <row r="2323" ht="16.5" customHeight="1">
      <c r="H2323" s="1" t="str">
        <f>IFERROR(__xludf.DUMMYFUNCTION("""COMPUTED_VALUE"""),"NUTRAMEDICA INC.")</f>
        <v>NUTRAMEDICA INC.</v>
      </c>
    </row>
    <row r="2324" ht="16.5" customHeight="1">
      <c r="H2324" s="1" t="str">
        <f>IFERROR(__xludf.DUMMYFUNCTION("""COMPUTED_VALUE"""),"Nutricia International Pvt Ltd")</f>
        <v>Nutricia International Pvt Ltd</v>
      </c>
    </row>
    <row r="2325" ht="16.5" customHeight="1">
      <c r="H2325" s="1" t="str">
        <f>IFERROR(__xludf.DUMMYFUNCTION("""COMPUTED_VALUE"""),"NUTRINO HEALTH CARE")</f>
        <v>NUTRINO HEALTH CARE</v>
      </c>
    </row>
    <row r="2326" ht="16.5" customHeight="1">
      <c r="H2326" s="1" t="str">
        <f>IFERROR(__xludf.DUMMYFUNCTION("""COMPUTED_VALUE"""),"NUTRISROT")</f>
        <v>NUTRISROT</v>
      </c>
    </row>
    <row r="2327" ht="16.5" customHeight="1">
      <c r="H2327" s="1" t="str">
        <f>IFERROR(__xludf.DUMMYFUNCTION("""COMPUTED_VALUE"""),"NV Lifecare Pvt. Ltd.")</f>
        <v>NV Lifecare Pvt. Ltd.</v>
      </c>
    </row>
    <row r="2328" ht="16.5" customHeight="1">
      <c r="H2328" s="1" t="str">
        <f>IFERROR(__xludf.DUMMYFUNCTION("""COMPUTED_VALUE"""),"NYSUS BIOTECH PVT LTD")</f>
        <v>NYSUS BIOTECH PVT LTD</v>
      </c>
    </row>
    <row r="2329" ht="16.5" customHeight="1">
      <c r="H2329" s="1" t="str">
        <f>IFERROR(__xludf.DUMMYFUNCTION("""COMPUTED_VALUE"""),"OAKNET HEALTHCARE PVT LTD")</f>
        <v>OAKNET HEALTHCARE PVT LTD</v>
      </c>
    </row>
    <row r="2330" ht="16.5" customHeight="1">
      <c r="H2330" s="1" t="str">
        <f>IFERROR(__xludf.DUMMYFUNCTION("""COMPUTED_VALUE"""),"OAKNET HEALTHCARE PVT LTD (COSMECARE)")</f>
        <v>OAKNET HEALTHCARE PVT LTD (COSMECARE)</v>
      </c>
    </row>
    <row r="2331" ht="16.5" customHeight="1">
      <c r="H2331" s="1" t="str">
        <f>IFERROR(__xludf.DUMMYFUNCTION("""COMPUTED_VALUE"""),"OAKNET HEALTHCARE PVT LTD (SKINCARE)")</f>
        <v>OAKNET HEALTHCARE PVT LTD (SKINCARE)</v>
      </c>
    </row>
    <row r="2332" ht="16.5" customHeight="1">
      <c r="H2332" s="1" t="str">
        <f>IFERROR(__xludf.DUMMYFUNCTION("""COMPUTED_VALUE"""),"OAKNET LIFESCIENCES PVT LTD")</f>
        <v>OAKNET LIFESCIENCES PVT LTD</v>
      </c>
    </row>
    <row r="2333" ht="16.5" customHeight="1">
      <c r="H2333" s="1" t="str">
        <f>IFERROR(__xludf.DUMMYFUNCTION("""COMPUTED_VALUE"""),"OASIS BIOTECH PVT LTD")</f>
        <v>OASIS BIOTECH PVT LTD</v>
      </c>
    </row>
    <row r="2334" ht="16.5" customHeight="1">
      <c r="H2334" s="1" t="str">
        <f>IFERROR(__xludf.DUMMYFUNCTION("""COMPUTED_VALUE"""),"OATH HEALTHCARE")</f>
        <v>OATH HEALTHCARE</v>
      </c>
    </row>
    <row r="2335" ht="16.5" customHeight="1">
      <c r="H2335" s="1" t="str">
        <f>IFERROR(__xludf.DUMMYFUNCTION("""COMPUTED_VALUE"""),"OBERLIN HEALTHCARE")</f>
        <v>OBERLIN HEALTHCARE</v>
      </c>
    </row>
    <row r="2336" ht="16.5" customHeight="1">
      <c r="H2336" s="1" t="str">
        <f>IFERROR(__xludf.DUMMYFUNCTION("""COMPUTED_VALUE"""),"OCEAN CARE")</f>
        <v>OCEAN CARE</v>
      </c>
    </row>
    <row r="2337" ht="16.5" customHeight="1">
      <c r="H2337" s="1" t="str">
        <f>IFERROR(__xludf.DUMMYFUNCTION("""COMPUTED_VALUE"""),"OCEAN FORMULATIONS")</f>
        <v>OCEAN FORMULATIONS</v>
      </c>
    </row>
    <row r="2338" ht="16.5" customHeight="1">
      <c r="H2338" s="1" t="str">
        <f>IFERROR(__xludf.DUMMYFUNCTION("""COMPUTED_VALUE"""),"OCEAN HERBAL &amp; LIFECARE")</f>
        <v>OCEAN HERBAL &amp; LIFECARE</v>
      </c>
    </row>
    <row r="2339" ht="16.5" customHeight="1">
      <c r="H2339" s="1" t="str">
        <f>IFERROR(__xludf.DUMMYFUNCTION("""COMPUTED_VALUE"""),"OCEAN OPHTHALMICS")</f>
        <v>OCEAN OPHTHALMICS</v>
      </c>
    </row>
    <row r="2340" ht="16.5" customHeight="1">
      <c r="H2340" s="1" t="str">
        <f>IFERROR(__xludf.DUMMYFUNCTION("""COMPUTED_VALUE"""),"OCHOA LABORATORIES")</f>
        <v>OCHOA LABORATORIES</v>
      </c>
    </row>
    <row r="2341" ht="16.5" customHeight="1">
      <c r="H2341" s="1" t="str">
        <f>IFERROR(__xludf.DUMMYFUNCTION("""COMPUTED_VALUE"""),"OCTALIFE PHARMA")</f>
        <v>OCTALIFE PHARMA</v>
      </c>
    </row>
    <row r="2342" ht="16.5" customHeight="1">
      <c r="H2342" s="1" t="str">
        <f>IFERROR(__xludf.DUMMYFUNCTION("""COMPUTED_VALUE"""),"OCUSIGHT PHARMA")</f>
        <v>OCUSIGHT PHARMA</v>
      </c>
    </row>
    <row r="2343" ht="16.5" customHeight="1">
      <c r="H2343" s="1" t="str">
        <f>IFERROR(__xludf.DUMMYFUNCTION("""COMPUTED_VALUE"""),"OJAL LIFESCIENCES P LTD")</f>
        <v>OJAL LIFESCIENCES P LTD</v>
      </c>
    </row>
    <row r="2344" ht="16.5" customHeight="1">
      <c r="H2344" s="1" t="str">
        <f>IFERROR(__xludf.DUMMYFUNCTION("""COMPUTED_VALUE"""),"OJAL PHARMACEUTICAL PVT LTD")</f>
        <v>OJAL PHARMACEUTICAL PVT LTD</v>
      </c>
    </row>
    <row r="2345" ht="16.5" customHeight="1">
      <c r="H2345" s="1" t="str">
        <f>IFERROR(__xludf.DUMMYFUNCTION("""COMPUTED_VALUE"""),"OJAL PHARMACEUTICALS")</f>
        <v>OJAL PHARMACEUTICALS</v>
      </c>
    </row>
    <row r="2346" ht="16.5" customHeight="1">
      <c r="H2346" s="1" t="str">
        <f>IFERROR(__xludf.DUMMYFUNCTION("""COMPUTED_VALUE"""),"OJAS HUMAN SCIENCES INDIA PVT LTD")</f>
        <v>OJAS HUMAN SCIENCES INDIA PVT LTD</v>
      </c>
    </row>
    <row r="2347" ht="16.5" customHeight="1">
      <c r="H2347" s="1" t="str">
        <f>IFERROR(__xludf.DUMMYFUNCTION("""COMPUTED_VALUE"""),"OLAMIC HEALTH CARE")</f>
        <v>OLAMIC HEALTH CARE</v>
      </c>
    </row>
    <row r="2348" ht="16.5" customHeight="1">
      <c r="H2348" s="1" t="str">
        <f>IFERROR(__xludf.DUMMYFUNCTION("""COMPUTED_VALUE"""),"OLAMIC HEALTHCARE")</f>
        <v>OLAMIC HEALTHCARE</v>
      </c>
    </row>
    <row r="2349" ht="16.5" customHeight="1">
      <c r="H2349" s="1" t="str">
        <f>IFERROR(__xludf.DUMMYFUNCTION("""COMPUTED_VALUE"""),"OLCARE LABORATORIES")</f>
        <v>OLCARE LABORATORIES</v>
      </c>
    </row>
    <row r="2350" ht="16.5" customHeight="1">
      <c r="H2350" s="1" t="str">
        <f>IFERROR(__xludf.DUMMYFUNCTION("""COMPUTED_VALUE"""),"OLCARE LABORATORIES PVT LTD")</f>
        <v>OLCARE LABORATORIES PVT LTD</v>
      </c>
    </row>
    <row r="2351" ht="16.5" customHeight="1">
      <c r="H2351" s="1" t="str">
        <f>IFERROR(__xludf.DUMMYFUNCTION("""COMPUTED_VALUE"""),"OLWEN LIFESCIENCES PVT LTD")</f>
        <v>OLWEN LIFESCIENCES PVT LTD</v>
      </c>
    </row>
    <row r="2352" ht="16.5" customHeight="1">
      <c r="H2352" s="1" t="str">
        <f>IFERROR(__xludf.DUMMYFUNCTION("""COMPUTED_VALUE"""),"OLYMPUS CONTROL")</f>
        <v>OLYMPUS CONTROL</v>
      </c>
    </row>
    <row r="2353" ht="16.5" customHeight="1">
      <c r="H2353" s="1" t="str">
        <f>IFERROR(__xludf.DUMMYFUNCTION("""COMPUTED_VALUE"""),"OM S INTERNATIONAL P LTD")</f>
        <v>OM S INTERNATIONAL P LTD</v>
      </c>
    </row>
    <row r="2354" ht="16.5" customHeight="1">
      <c r="H2354" s="1" t="str">
        <f>IFERROR(__xludf.DUMMYFUNCTION("""COMPUTED_VALUE"""),"OMCURE BIOTECH")</f>
        <v>OMCURE BIOTECH</v>
      </c>
    </row>
    <row r="2355" ht="16.5" customHeight="1">
      <c r="H2355" s="1" t="str">
        <f>IFERROR(__xludf.DUMMYFUNCTION("""COMPUTED_VALUE"""),"ON&amp;ON")</f>
        <v>ON&amp;ON</v>
      </c>
    </row>
    <row r="2356" ht="16.5" customHeight="1">
      <c r="H2356" s="1" t="str">
        <f>IFERROR(__xludf.DUMMYFUNCTION("""COMPUTED_VALUE"""),"ONCARE LIFE SCIENSES")</f>
        <v>ONCARE LIFE SCIENSES</v>
      </c>
    </row>
    <row r="2357" ht="16.5" customHeight="1">
      <c r="H2357" s="1" t="str">
        <f>IFERROR(__xludf.DUMMYFUNCTION("""COMPUTED_VALUE"""),"ONCOBIOTEK DRUG PVT.LTD")</f>
        <v>ONCOBIOTEK DRUG PVT.LTD</v>
      </c>
    </row>
    <row r="2358" ht="16.5" customHeight="1">
      <c r="H2358" s="1" t="str">
        <f>IFERROR(__xludf.DUMMYFUNCTION("""COMPUTED_VALUE"""),"ONESTEP HEALTHCARE")</f>
        <v>ONESTEP HEALTHCARE</v>
      </c>
    </row>
    <row r="2359" ht="16.5" customHeight="1">
      <c r="H2359" s="1" t="str">
        <f>IFERROR(__xludf.DUMMYFUNCTION("""COMPUTED_VALUE"""),"ONEX")</f>
        <v>ONEX</v>
      </c>
    </row>
    <row r="2360" ht="16.5" customHeight="1">
      <c r="H2360" s="1" t="str">
        <f>IFERROR(__xludf.DUMMYFUNCTION("""COMPUTED_VALUE"""),"ONEX (GINPAX)")</f>
        <v>ONEX (GINPAX)</v>
      </c>
    </row>
    <row r="2361" ht="16.5" customHeight="1">
      <c r="H2361" s="1" t="str">
        <f>IFERROR(__xludf.DUMMYFUNCTION("""COMPUTED_VALUE"""),"ONIDA HEALTHCARE")</f>
        <v>ONIDA HEALTHCARE</v>
      </c>
    </row>
    <row r="2362" ht="16.5" customHeight="1">
      <c r="H2362" s="1" t="str">
        <f>IFERROR(__xludf.DUMMYFUNCTION("""COMPUTED_VALUE"""),"OPCIN PHARMA")</f>
        <v>OPCIN PHARMA</v>
      </c>
    </row>
    <row r="2363" ht="16.5" customHeight="1">
      <c r="H2363" s="1" t="str">
        <f>IFERROR(__xludf.DUMMYFUNCTION("""COMPUTED_VALUE"""),"OPCIN PHARMA PVT LTD")</f>
        <v>OPCIN PHARMA PVT LTD</v>
      </c>
    </row>
    <row r="2364" ht="16.5" customHeight="1">
      <c r="H2364" s="1" t="str">
        <f>IFERROR(__xludf.DUMMYFUNCTION("""COMPUTED_VALUE"""),"OPSISCARE LIFESCIENCES PVT LTD")</f>
        <v>OPSISCARE LIFESCIENCES PVT LTD</v>
      </c>
    </row>
    <row r="2365" ht="16.5" customHeight="1">
      <c r="H2365" s="1" t="str">
        <f>IFERROR(__xludf.DUMMYFUNCTION("""COMPUTED_VALUE"""),"OPTHAL REMEDIES PVT LTD")</f>
        <v>OPTHAL REMEDIES PVT LTD</v>
      </c>
    </row>
    <row r="2366" ht="16.5" customHeight="1">
      <c r="H2366" s="1" t="str">
        <f>IFERROR(__xludf.DUMMYFUNCTION("""COMPUTED_VALUE"""),"OPTHO REMEDIES (LIFE SCIENCES)")</f>
        <v>OPTHO REMEDIES (LIFE SCIENCES)</v>
      </c>
    </row>
    <row r="2367" ht="16.5" customHeight="1">
      <c r="H2367" s="1" t="str">
        <f>IFERROR(__xludf.DUMMYFUNCTION("""COMPUTED_VALUE"""),"Optho Remedies Pvt Ltd")</f>
        <v>Optho Remedies Pvt Ltd</v>
      </c>
    </row>
    <row r="2368" ht="16.5" customHeight="1">
      <c r="H2368" s="1" t="str">
        <f>IFERROR(__xludf.DUMMYFUNCTION("""COMPUTED_VALUE"""),"OPTIDERMA SKINCARE")</f>
        <v>OPTIDERMA SKINCARE</v>
      </c>
    </row>
    <row r="2369" ht="16.5" customHeight="1">
      <c r="H2369" s="1" t="str">
        <f>IFERROR(__xludf.DUMMYFUNCTION("""COMPUTED_VALUE"""),"OPTIGMA HEALTHCARE P LTD")</f>
        <v>OPTIGMA HEALTHCARE P LTD</v>
      </c>
    </row>
    <row r="2370" ht="16.5" customHeight="1">
      <c r="H2370" s="1" t="str">
        <f>IFERROR(__xludf.DUMMYFUNCTION("""COMPUTED_VALUE"""),"OPTIM HEALTH")</f>
        <v>OPTIM HEALTH</v>
      </c>
    </row>
    <row r="2371" ht="16.5" customHeight="1">
      <c r="H2371" s="1" t="str">
        <f>IFERROR(__xludf.DUMMYFUNCTION("""COMPUTED_VALUE"""),"OPTIMA HEALTHCARE")</f>
        <v>OPTIMA HEALTHCARE</v>
      </c>
    </row>
    <row r="2372" ht="16.5" customHeight="1">
      <c r="H2372" s="1" t="str">
        <f>IFERROR(__xludf.DUMMYFUNCTION("""COMPUTED_VALUE"""),"OPTIMA LENS")</f>
        <v>OPTIMA LENS</v>
      </c>
    </row>
    <row r="2373" ht="16.5" customHeight="1">
      <c r="H2373" s="1" t="str">
        <f>IFERROR(__xludf.DUMMYFUNCTION("""COMPUTED_VALUE"""),"OPTIMUS HEALTH CARE")</f>
        <v>OPTIMUS HEALTH CARE</v>
      </c>
    </row>
    <row r="2374" ht="16.5" customHeight="1">
      <c r="H2374" s="1" t="str">
        <f>IFERROR(__xludf.DUMMYFUNCTION("""COMPUTED_VALUE"""),"ORAGYN CURIS P LTD")</f>
        <v>ORAGYN CURIS P LTD</v>
      </c>
    </row>
    <row r="2375" ht="16.5" customHeight="1">
      <c r="H2375" s="1" t="str">
        <f>IFERROR(__xludf.DUMMYFUNCTION("""COMPUTED_VALUE"""),"ORAMA LIFESCIENCES")</f>
        <v>ORAMA LIFESCIENCES</v>
      </c>
    </row>
    <row r="2376" ht="16.5" customHeight="1">
      <c r="H2376" s="1" t="str">
        <f>IFERROR(__xludf.DUMMYFUNCTION("""COMPUTED_VALUE"""),"ORANGE BIOTECH PVT LTD")</f>
        <v>ORANGE BIOTECH PVT LTD</v>
      </c>
    </row>
    <row r="2377" ht="16.5" customHeight="1">
      <c r="H2377" s="1" t="str">
        <f>IFERROR(__xludf.DUMMYFUNCTION("""COMPUTED_VALUE"""),"ORANGE RESEARCH LABS")</f>
        <v>ORANGE RESEARCH LABS</v>
      </c>
    </row>
    <row r="2378" ht="16.5" customHeight="1">
      <c r="H2378" s="1" t="str">
        <f>IFERROR(__xludf.DUMMYFUNCTION("""COMPUTED_VALUE"""),"Orchid Chemicals &amp; Pharmaceuticals Ltd")</f>
        <v>Orchid Chemicals &amp; Pharmaceuticals Ltd</v>
      </c>
    </row>
    <row r="2379" ht="16.5" customHeight="1">
      <c r="H2379" s="1" t="str">
        <f>IFERROR(__xludf.DUMMYFUNCTION("""COMPUTED_VALUE"""),"ORCO LIFESCIENCES")</f>
        <v>ORCO LIFESCIENCES</v>
      </c>
    </row>
    <row r="2380" ht="16.5" customHeight="1">
      <c r="H2380" s="1" t="str">
        <f>IFERROR(__xludf.DUMMYFUNCTION("""COMPUTED_VALUE"""),"Ordain Health Care Global Pvt Ltd")</f>
        <v>Ordain Health Care Global Pvt Ltd</v>
      </c>
    </row>
    <row r="2381" ht="16.5" customHeight="1">
      <c r="H2381" s="1" t="str">
        <f>IFERROR(__xludf.DUMMYFUNCTION("""COMPUTED_VALUE"""),"ORDAIN HEALTHCARE (ESPERZ)")</f>
        <v>ORDAIN HEALTHCARE (ESPERZ)</v>
      </c>
    </row>
    <row r="2382" ht="16.5" customHeight="1">
      <c r="H2382" s="1" t="str">
        <f>IFERROR(__xludf.DUMMYFUNCTION("""COMPUTED_VALUE"""),"ORDAIN HEALTHCARE (ESPRITZ)")</f>
        <v>ORDAIN HEALTHCARE (ESPRITZ)</v>
      </c>
    </row>
    <row r="2383" ht="16.5" customHeight="1">
      <c r="H2383" s="1" t="str">
        <f>IFERROR(__xludf.DUMMYFUNCTION("""COMPUTED_VALUE"""),"ORDAIN HEALTHCARE (INTENZ)")</f>
        <v>ORDAIN HEALTHCARE (INTENZ)</v>
      </c>
    </row>
    <row r="2384" ht="16.5" customHeight="1">
      <c r="H2384" s="1" t="str">
        <f>IFERROR(__xludf.DUMMYFUNCTION("""COMPUTED_VALUE"""),"ORDAIN HEALTHCARE (NUREX)")</f>
        <v>ORDAIN HEALTHCARE (NUREX)</v>
      </c>
    </row>
    <row r="2385" ht="16.5" customHeight="1">
      <c r="H2385" s="1" t="str">
        <f>IFERROR(__xludf.DUMMYFUNCTION("""COMPUTED_VALUE"""),"ORDAIN HEALTHCARE (OPTHAL)")</f>
        <v>ORDAIN HEALTHCARE (OPTHAL)</v>
      </c>
    </row>
    <row r="2386" ht="16.5" customHeight="1">
      <c r="H2386" s="1" t="str">
        <f>IFERROR(__xludf.DUMMYFUNCTION("""COMPUTED_VALUE"""),"ORDAIN HEALTHCARE (PERZISTA)")</f>
        <v>ORDAIN HEALTHCARE (PERZISTA)</v>
      </c>
    </row>
    <row r="2387" ht="16.5" customHeight="1">
      <c r="H2387" s="1" t="str">
        <f>IFERROR(__xludf.DUMMYFUNCTION("""COMPUTED_VALUE"""),"OREVA DERMACARE")</f>
        <v>OREVA DERMACARE</v>
      </c>
    </row>
    <row r="2388" ht="16.5" customHeight="1">
      <c r="H2388" s="1" t="str">
        <f>IFERROR(__xludf.DUMMYFUNCTION("""COMPUTED_VALUE"""),"ORGANIC INDIA")</f>
        <v>ORGANIC INDIA</v>
      </c>
    </row>
    <row r="2389" ht="16.5" customHeight="1">
      <c r="H2389" s="1" t="str">
        <f>IFERROR(__xludf.DUMMYFUNCTION("""COMPUTED_VALUE"""),"ORGANIC LABS PVT LTD")</f>
        <v>ORGANIC LABS PVT LTD</v>
      </c>
    </row>
    <row r="2390" ht="16.5" customHeight="1">
      <c r="H2390" s="1" t="str">
        <f>IFERROR(__xludf.DUMMYFUNCTION("""COMPUTED_VALUE"""),"Organon (India) Ltd")</f>
        <v>Organon (India) Ltd</v>
      </c>
    </row>
    <row r="2391" ht="16.5" customHeight="1">
      <c r="H2391" s="1" t="str">
        <f>IFERROR(__xludf.DUMMYFUNCTION("""COMPUTED_VALUE"""),"ORGYN LABS")</f>
        <v>ORGYN LABS</v>
      </c>
    </row>
    <row r="2392" ht="16.5" customHeight="1">
      <c r="H2392" s="1" t="str">
        <f>IFERROR(__xludf.DUMMYFUNCTION("""COMPUTED_VALUE"""),"ORIEL HEALTHCARE PVT LTD")</f>
        <v>ORIEL HEALTHCARE PVT LTD</v>
      </c>
    </row>
    <row r="2393" ht="16.5" customHeight="1">
      <c r="H2393" s="1" t="str">
        <f>IFERROR(__xludf.DUMMYFUNCTION("""COMPUTED_VALUE"""),"ORIENTAL CHEMICALS WORKS")</f>
        <v>ORIENTAL CHEMICALS WORKS</v>
      </c>
    </row>
    <row r="2394" ht="16.5" customHeight="1">
      <c r="H2394" s="1" t="str">
        <f>IFERROR(__xludf.DUMMYFUNCTION("""COMPUTED_VALUE"""),"ORION PHARMA")</f>
        <v>ORION PHARMA</v>
      </c>
    </row>
    <row r="2395" ht="16.5" customHeight="1">
      <c r="H2395" s="1" t="str">
        <f>IFERROR(__xludf.DUMMYFUNCTION("""COMPUTED_VALUE"""),"ORISON PHARMA INTERNATIONAL")</f>
        <v>ORISON PHARMA INTERNATIONAL</v>
      </c>
    </row>
    <row r="2396" ht="16.5" customHeight="1">
      <c r="H2396" s="1" t="str">
        <f>IFERROR(__xludf.DUMMYFUNCTION("""COMPUTED_VALUE"""),"ORIVA NUTRITION")</f>
        <v>ORIVA NUTRITION</v>
      </c>
    </row>
    <row r="2397" ht="16.5" customHeight="1">
      <c r="H2397" s="1" t="str">
        <f>IFERROR(__xludf.DUMMYFUNCTION("""COMPUTED_VALUE"""),"ORLLYFORD HEALTHCARE")</f>
        <v>ORLLYFORD HEALTHCARE</v>
      </c>
    </row>
    <row r="2398" ht="16.5" customHeight="1">
      <c r="H2398" s="1" t="str">
        <f>IFERROR(__xludf.DUMMYFUNCTION("""COMPUTED_VALUE"""),"Oscar Remedies")</f>
        <v>Oscar Remedies</v>
      </c>
    </row>
    <row r="2399" ht="16.5" customHeight="1">
      <c r="H2399" s="1" t="str">
        <f>IFERROR(__xludf.DUMMYFUNCTION("""COMPUTED_VALUE"""),"Oscar Remedies (EVANS Pharma)")</f>
        <v>Oscar Remedies (EVANS Pharma)</v>
      </c>
    </row>
    <row r="2400" ht="16.5" customHeight="1">
      <c r="H2400" s="1" t="str">
        <f>IFERROR(__xludf.DUMMYFUNCTION("""COMPUTED_VALUE"""),"Oscar Remedies (Indoss Life Sciences)")</f>
        <v>Oscar Remedies (Indoss Life Sciences)</v>
      </c>
    </row>
    <row r="2401" ht="16.5" customHeight="1">
      <c r="H2401" s="1" t="str">
        <f>IFERROR(__xludf.DUMMYFUNCTION("""COMPUTED_VALUE"""),"Oscar Remedies (MAK Pharmaceuticals)")</f>
        <v>Oscar Remedies (MAK Pharmaceuticals)</v>
      </c>
    </row>
    <row r="2402" ht="16.5" customHeight="1">
      <c r="H2402" s="1" t="str">
        <f>IFERROR(__xludf.DUMMYFUNCTION("""COMPUTED_VALUE"""),"Oscar Remedies (Next Way India)")</f>
        <v>Oscar Remedies (Next Way India)</v>
      </c>
    </row>
    <row r="2403" ht="16.5" customHeight="1">
      <c r="H2403" s="1" t="str">
        <f>IFERROR(__xludf.DUMMYFUNCTION("""COMPUTED_VALUE"""),"Oscar Remedies Pvt Ltd")</f>
        <v>Oscar Remedies Pvt Ltd</v>
      </c>
    </row>
    <row r="2404" ht="16.5" customHeight="1">
      <c r="H2404" s="1" t="str">
        <f>IFERROR(__xludf.DUMMYFUNCTION("""COMPUTED_VALUE"""),"OSMED FORMULATIONS")</f>
        <v>OSMED FORMULATIONS</v>
      </c>
    </row>
    <row r="2405" ht="16.5" customHeight="1">
      <c r="H2405" s="1" t="str">
        <f>IFERROR(__xludf.DUMMYFUNCTION("""COMPUTED_VALUE"""),"OSPICARE LIFE SCIENCES PVT LTD")</f>
        <v>OSPICARE LIFE SCIENCES PVT LTD</v>
      </c>
    </row>
    <row r="2406" ht="16.5" customHeight="1">
      <c r="H2406" s="1" t="str">
        <f>IFERROR(__xludf.DUMMYFUNCTION("""COMPUTED_VALUE"""),"OSQUE PHARMA PVT LTD")</f>
        <v>OSQUE PHARMA PVT LTD</v>
      </c>
    </row>
    <row r="2407" ht="16.5" customHeight="1">
      <c r="H2407" s="1" t="str">
        <f>IFERROR(__xludf.DUMMYFUNCTION("""COMPUTED_VALUE"""),"OTHANTIC (DERMA)")</f>
        <v>OTHANTIC (DERMA)</v>
      </c>
    </row>
    <row r="2408" ht="16.5" customHeight="1">
      <c r="H2408" s="1" t="str">
        <f>IFERROR(__xludf.DUMMYFUNCTION("""COMPUTED_VALUE"""),"OTHANTIC (KIYOMI)")</f>
        <v>OTHANTIC (KIYOMI)</v>
      </c>
    </row>
    <row r="2409" ht="16.5" customHeight="1">
      <c r="H2409" s="1" t="str">
        <f>IFERROR(__xludf.DUMMYFUNCTION("""COMPUTED_VALUE"""),"OTSUKA")</f>
        <v>OTSUKA</v>
      </c>
    </row>
    <row r="2410" ht="16.5" customHeight="1">
      <c r="H2410" s="1" t="str">
        <f>IFERROR(__xludf.DUMMYFUNCTION("""COMPUTED_VALUE"""),"OVAL ORGANICS")</f>
        <v>OVAL ORGANICS</v>
      </c>
    </row>
    <row r="2411" ht="16.5" customHeight="1">
      <c r="H2411" s="1" t="str">
        <f>IFERROR(__xludf.DUMMYFUNCTION("""COMPUTED_VALUE"""),"Overseas Healthcare Pvt Ltd")</f>
        <v>Overseas Healthcare Pvt Ltd</v>
      </c>
    </row>
    <row r="2412" ht="16.5" customHeight="1">
      <c r="H2412" s="1" t="str">
        <f>IFERROR(__xludf.DUMMYFUNCTION("""COMPUTED_VALUE"""),"OVERSES HEALTHCARE")</f>
        <v>OVERSES HEALTHCARE</v>
      </c>
    </row>
    <row r="2413" ht="16.5" customHeight="1">
      <c r="H2413" s="1" t="str">
        <f>IFERROR(__xludf.DUMMYFUNCTION("""COMPUTED_VALUE"""),"OXFORD PHARMA")</f>
        <v>OXFORD PHARMA</v>
      </c>
    </row>
    <row r="2414" ht="16.5" customHeight="1">
      <c r="H2414" s="1" t="str">
        <f>IFERROR(__xludf.DUMMYFUNCTION("""COMPUTED_VALUE"""),"OZONE (NUCLEUS)")</f>
        <v>OZONE (NUCLEUS)</v>
      </c>
    </row>
    <row r="2415" ht="16.5" customHeight="1">
      <c r="H2415" s="1" t="str">
        <f>IFERROR(__xludf.DUMMYFUNCTION("""COMPUTED_VALUE"""),"OZONE (PROTON)")</f>
        <v>OZONE (PROTON)</v>
      </c>
    </row>
    <row r="2416" ht="16.5" customHeight="1">
      <c r="H2416" s="1" t="str">
        <f>IFERROR(__xludf.DUMMYFUNCTION("""COMPUTED_VALUE"""),"OZONE AYURVEDICS")</f>
        <v>OZONE AYURVEDICS</v>
      </c>
    </row>
    <row r="2417" ht="16.5" customHeight="1">
      <c r="H2417" s="1" t="str">
        <f>IFERROR(__xludf.DUMMYFUNCTION("""COMPUTED_VALUE"""),"OZONE PHARMA CYCONAL")</f>
        <v>OZONE PHARMA CYCONAL</v>
      </c>
    </row>
    <row r="2418" ht="16.5" customHeight="1">
      <c r="H2418" s="1" t="str">
        <f>IFERROR(__xludf.DUMMYFUNCTION("""COMPUTED_VALUE"""),"Ozone Pharmaceuticals Ltd")</f>
        <v>Ozone Pharmaceuticals Ltd</v>
      </c>
    </row>
    <row r="2419" ht="16.5" customHeight="1">
      <c r="H2419" s="1" t="str">
        <f>IFERROR(__xludf.DUMMYFUNCTION("""COMPUTED_VALUE"""),"P M RATHOD COMPANY")</f>
        <v>P M RATHOD COMPANY</v>
      </c>
    </row>
    <row r="2420" ht="16.5" customHeight="1">
      <c r="H2420" s="1" t="str">
        <f>IFERROR(__xludf.DUMMYFUNCTION("""COMPUTED_VALUE"""),"P&amp;B PHARMA")</f>
        <v>P&amp;B PHARMA</v>
      </c>
    </row>
    <row r="2421" ht="16.5" customHeight="1">
      <c r="H2421" s="1" t="str">
        <f>IFERROR(__xludf.DUMMYFUNCTION("""COMPUTED_VALUE"""),"P&amp;G PHARMA")</f>
        <v>P&amp;G PHARMA</v>
      </c>
    </row>
    <row r="2422" ht="16.5" customHeight="1">
      <c r="H2422" s="1" t="str">
        <f>IFERROR(__xludf.DUMMYFUNCTION("""COMPUTED_VALUE"""),"PACE PHARMACEUTICALS")</f>
        <v>PACE PHARMACEUTICALS</v>
      </c>
    </row>
    <row r="2423" ht="16.5" customHeight="1">
      <c r="H2423" s="1" t="str">
        <f>IFERROR(__xludf.DUMMYFUNCTION("""COMPUTED_VALUE"""),"PACIFIC MED.&amp; BIO.")</f>
        <v>PACIFIC MED.&amp; BIO.</v>
      </c>
    </row>
    <row r="2424" ht="16.5" customHeight="1">
      <c r="H2424" s="1" t="str">
        <f>IFERROR(__xludf.DUMMYFUNCTION("""COMPUTED_VALUE"""),"PACITORA BIOTECH")</f>
        <v>PACITORA BIOTECH</v>
      </c>
    </row>
    <row r="2425" ht="16.5" customHeight="1">
      <c r="H2425" s="1" t="str">
        <f>IFERROR(__xludf.DUMMYFUNCTION("""COMPUTED_VALUE"""),"PACKSULES PHARMA PVT LTD")</f>
        <v>PACKSULES PHARMA PVT LTD</v>
      </c>
    </row>
    <row r="2426" ht="16.5" customHeight="1">
      <c r="H2426" s="1" t="str">
        <f>IFERROR(__xludf.DUMMYFUNCTION("""COMPUTED_VALUE"""),"PACT INDIA")</f>
        <v>PACT INDIA</v>
      </c>
    </row>
    <row r="2427" ht="16.5" customHeight="1">
      <c r="H2427" s="1" t="str">
        <f>IFERROR(__xludf.DUMMYFUNCTION("""COMPUTED_VALUE"""),"PAEON PHARMACEUTICALS PVT LTD")</f>
        <v>PAEON PHARMACEUTICALS PVT LTD</v>
      </c>
    </row>
    <row r="2428" ht="16.5" customHeight="1">
      <c r="H2428" s="1" t="str">
        <f>IFERROR(__xludf.DUMMYFUNCTION("""COMPUTED_VALUE"""),"Paksons Pharmaceuticals P Ltd")</f>
        <v>Paksons Pharmaceuticals P Ltd</v>
      </c>
    </row>
    <row r="2429" ht="16.5" customHeight="1">
      <c r="H2429" s="1" t="str">
        <f>IFERROR(__xludf.DUMMYFUNCTION("""COMPUTED_VALUE"""),"PALSON DRUG")</f>
        <v>PALSON DRUG</v>
      </c>
    </row>
    <row r="2430" ht="16.5" customHeight="1">
      <c r="H2430" s="1" t="str">
        <f>IFERROR(__xludf.DUMMYFUNCTION("""COMPUTED_VALUE"""),"Palsons Derma")</f>
        <v>Palsons Derma</v>
      </c>
    </row>
    <row r="2431" ht="16.5" customHeight="1">
      <c r="H2431" s="1" t="str">
        <f>IFERROR(__xludf.DUMMYFUNCTION("""COMPUTED_VALUE"""),"PANACEA (DIACAR ALPHA)")</f>
        <v>PANACEA (DIACAR ALPHA)</v>
      </c>
    </row>
    <row r="2432" ht="16.5" customHeight="1">
      <c r="H2432" s="1" t="str">
        <f>IFERROR(__xludf.DUMMYFUNCTION("""COMPUTED_VALUE"""),"PANACEA BIOTEC")</f>
        <v>PANACEA BIOTEC</v>
      </c>
    </row>
    <row r="2433" ht="16.5" customHeight="1">
      <c r="H2433" s="1" t="str">
        <f>IFERROR(__xludf.DUMMYFUNCTION("""COMPUTED_VALUE"""),"PANACEA BIOTEC (GROW CARE)")</f>
        <v>PANACEA BIOTEC (GROW CARE)</v>
      </c>
    </row>
    <row r="2434" ht="16.5" customHeight="1">
      <c r="H2434" s="1" t="str">
        <f>IFERROR(__xludf.DUMMYFUNCTION("""COMPUTED_VALUE"""),"PANACEA BIOTEC (PRO CARE)")</f>
        <v>PANACEA BIOTEC (PRO CARE)</v>
      </c>
    </row>
    <row r="2435" ht="16.5" customHeight="1">
      <c r="H2435" s="1" t="str">
        <f>IFERROR(__xludf.DUMMYFUNCTION("""COMPUTED_VALUE"""),"Panacea Biotec Ltd")</f>
        <v>Panacea Biotec Ltd</v>
      </c>
    </row>
    <row r="2436" ht="16.5" customHeight="1">
      <c r="H2436" s="1" t="str">
        <f>IFERROR(__xludf.DUMMYFUNCTION("""COMPUTED_VALUE"""),"PANCHEM LIFE CARE PVT LTD")</f>
        <v>PANCHEM LIFE CARE PVT LTD</v>
      </c>
    </row>
    <row r="2437" ht="16.5" customHeight="1">
      <c r="H2437" s="1" t="str">
        <f>IFERROR(__xludf.DUMMYFUNCTION("""COMPUTED_VALUE"""),"PANJON LIMITED")</f>
        <v>PANJON LIMITED</v>
      </c>
    </row>
    <row r="2438" ht="16.5" customHeight="1">
      <c r="H2438" s="1" t="str">
        <f>IFERROR(__xludf.DUMMYFUNCTION("""COMPUTED_VALUE"""),"PANJON PHARMA")</f>
        <v>PANJON PHARMA</v>
      </c>
    </row>
    <row r="2439" ht="16.5" customHeight="1">
      <c r="H2439" s="1" t="str">
        <f>IFERROR(__xludf.DUMMYFUNCTION("""COMPUTED_VALUE"""),"PANZER PHARMACEUTICALS")</f>
        <v>PANZER PHARMACEUTICALS</v>
      </c>
    </row>
    <row r="2440" ht="16.5" customHeight="1">
      <c r="H2440" s="1" t="str">
        <f>IFERROR(__xludf.DUMMYFUNCTION("""COMPUTED_VALUE"""),"PARABOLIC DRUGS LTD")</f>
        <v>PARABOLIC DRUGS LTD</v>
      </c>
    </row>
    <row r="2441" ht="16.5" customHeight="1">
      <c r="H2441" s="1" t="str">
        <f>IFERROR(__xludf.DUMMYFUNCTION("""COMPUTED_VALUE"""),"Paras Pharmaceuticals Ltd")</f>
        <v>Paras Pharmaceuticals Ltd</v>
      </c>
    </row>
    <row r="2442" ht="16.5" customHeight="1">
      <c r="H2442" s="1" t="str">
        <f>IFERROR(__xludf.DUMMYFUNCTION("""COMPUTED_VALUE"""),"PARASOL LAB")</f>
        <v>PARASOL LAB</v>
      </c>
    </row>
    <row r="2443" ht="16.5" customHeight="1">
      <c r="H2443" s="1" t="str">
        <f>IFERROR(__xludf.DUMMYFUNCTION("""COMPUTED_VALUE"""),"Parenteral Drugs (PDPL)")</f>
        <v>Parenteral Drugs (PDPL)</v>
      </c>
    </row>
    <row r="2444" ht="16.5" customHeight="1">
      <c r="H2444" s="1" t="str">
        <f>IFERROR(__xludf.DUMMYFUNCTION("""COMPUTED_VALUE"""),"PARENTERAL DRUGS INDIA LTD")</f>
        <v>PARENTERAL DRUGS INDIA LTD</v>
      </c>
    </row>
    <row r="2445" ht="16.5" customHeight="1">
      <c r="H2445" s="1" t="str">
        <f>IFERROR(__xludf.DUMMYFUNCTION("""COMPUTED_VALUE"""),"PARK PHARMA")</f>
        <v>PARK PHARMA</v>
      </c>
    </row>
    <row r="2446" ht="16.5" customHeight="1">
      <c r="H2446" s="1" t="str">
        <f>IFERROR(__xludf.DUMMYFUNCTION("""COMPUTED_VALUE"""),"PARK PHARMACITUCALS SOLAN")</f>
        <v>PARK PHARMACITUCALS SOLAN</v>
      </c>
    </row>
    <row r="2447" ht="16.5" customHeight="1">
      <c r="H2447" s="1" t="str">
        <f>IFERROR(__xludf.DUMMYFUNCTION("""COMPUTED_VALUE"""),"PARRY PHARMA PVT LTD")</f>
        <v>PARRY PHARMA PVT LTD</v>
      </c>
    </row>
    <row r="2448" ht="16.5" customHeight="1">
      <c r="H2448" s="1" t="str">
        <f>IFERROR(__xludf.DUMMYFUNCTION("""COMPUTED_VALUE"""),"PARSH PHARMA NEMANVASA")</f>
        <v>PARSH PHARMA NEMANVASA</v>
      </c>
    </row>
    <row r="2449" ht="16.5" customHeight="1">
      <c r="H2449" s="1" t="str">
        <f>IFERROR(__xludf.DUMMYFUNCTION("""COMPUTED_VALUE"""),"PARSHWA LIFE SCIENCES")</f>
        <v>PARSHWA LIFE SCIENCES</v>
      </c>
    </row>
    <row r="2450" ht="16.5" customHeight="1">
      <c r="H2450" s="1" t="str">
        <f>IFERROR(__xludf.DUMMYFUNCTION("""COMPUTED_VALUE"""),"PARTH")</f>
        <v>PARTH</v>
      </c>
    </row>
    <row r="2451" ht="16.5" customHeight="1">
      <c r="H2451" s="1" t="str">
        <f>IFERROR(__xludf.DUMMYFUNCTION("""COMPUTED_VALUE"""),"PARTH REMEDIES")</f>
        <v>PARTH REMEDIES</v>
      </c>
    </row>
    <row r="2452" ht="16.5" customHeight="1">
      <c r="H2452" s="1" t="str">
        <f>IFERROR(__xludf.DUMMYFUNCTION("""COMPUTED_VALUE"""),"PARUL")</f>
        <v>PARUL</v>
      </c>
    </row>
    <row r="2453" ht="16.5" customHeight="1">
      <c r="H2453" s="1" t="str">
        <f>IFERROR(__xludf.DUMMYFUNCTION("""COMPUTED_VALUE"""),"PATANJALI AYURVED LTD")</f>
        <v>PATANJALI AYURVED LTD</v>
      </c>
    </row>
    <row r="2454" ht="16.5" customHeight="1">
      <c r="H2454" s="1" t="str">
        <f>IFERROR(__xludf.DUMMYFUNCTION("""COMPUTED_VALUE"""),"PATLI DABUR HEALTHCARE")</f>
        <v>PATLI DABUR HEALTHCARE</v>
      </c>
    </row>
    <row r="2455" ht="16.5" customHeight="1">
      <c r="H2455" s="1" t="str">
        <f>IFERROR(__xludf.DUMMYFUNCTION("""COMPUTED_VALUE"""),"PATSON LABORATORIES")</f>
        <v>PATSON LABORATORIES</v>
      </c>
    </row>
    <row r="2456" ht="16.5" customHeight="1">
      <c r="H2456" s="1" t="str">
        <f>IFERROR(__xludf.DUMMYFUNCTION("""COMPUTED_VALUE"""),"PCI")</f>
        <v>PCI</v>
      </c>
    </row>
    <row r="2457" ht="16.5" customHeight="1">
      <c r="H2457" s="1" t="str">
        <f>IFERROR(__xludf.DUMMYFUNCTION("""COMPUTED_VALUE"""),"PEDIACARE BIOTECH")</f>
        <v>PEDIACARE BIOTECH</v>
      </c>
    </row>
    <row r="2458" ht="16.5" customHeight="1">
      <c r="H2458" s="1" t="str">
        <f>IFERROR(__xludf.DUMMYFUNCTION("""COMPUTED_VALUE"""),"PEDIGREE")</f>
        <v>PEDIGREE</v>
      </c>
    </row>
    <row r="2459" ht="16.5" customHeight="1">
      <c r="H2459" s="1" t="str">
        <f>IFERROR(__xludf.DUMMYFUNCTION("""COMPUTED_VALUE"""),"PEELIFE PHARMACEUTICAL PVT LTD")</f>
        <v>PEELIFE PHARMACEUTICAL PVT LTD</v>
      </c>
    </row>
    <row r="2460" ht="16.5" customHeight="1">
      <c r="H2460" s="1" t="str">
        <f>IFERROR(__xludf.DUMMYFUNCTION("""COMPUTED_VALUE"""),"PEHAL LIFE SCIENCE P LTD")</f>
        <v>PEHAL LIFE SCIENCE P LTD</v>
      </c>
    </row>
    <row r="2461" ht="16.5" customHeight="1">
      <c r="H2461" s="1" t="str">
        <f>IFERROR(__xludf.DUMMYFUNCTION("""COMPUTED_VALUE"""),"PENTA PHARMA")</f>
        <v>PENTA PHARMA</v>
      </c>
    </row>
    <row r="2462" ht="16.5" customHeight="1">
      <c r="H2462" s="1" t="str">
        <f>IFERROR(__xludf.DUMMYFUNCTION("""COMPUTED_VALUE"""),"PERCEPT PHARMA LTD")</f>
        <v>PERCEPT PHARMA LTD</v>
      </c>
    </row>
    <row r="2463" ht="16.5" customHeight="1">
      <c r="H2463" s="1" t="str">
        <f>IFERROR(__xludf.DUMMYFUNCTION("""COMPUTED_VALUE"""),"Percos India Pvt Ltd")</f>
        <v>Percos India Pvt Ltd</v>
      </c>
    </row>
    <row r="2464" ht="16.5" customHeight="1">
      <c r="H2464" s="1" t="str">
        <f>IFERROR(__xludf.DUMMYFUNCTION("""COMPUTED_VALUE"""),"PERILLA LIFE SCIENCE PVT LTD")</f>
        <v>PERILLA LIFE SCIENCE PVT LTD</v>
      </c>
    </row>
    <row r="2465" ht="16.5" customHeight="1">
      <c r="H2465" s="1" t="str">
        <f>IFERROR(__xludf.DUMMYFUNCTION("""COMPUTED_VALUE"""),"PFIZER (ALTIUS)")</f>
        <v>PFIZER (ALTIUS)</v>
      </c>
    </row>
    <row r="2466" ht="16.5" customHeight="1">
      <c r="H2466" s="1" t="str">
        <f>IFERROR(__xludf.DUMMYFUNCTION("""COMPUTED_VALUE"""),"PFIZER (CNS)")</f>
        <v>PFIZER (CNS)</v>
      </c>
    </row>
    <row r="2467" ht="16.5" customHeight="1">
      <c r="H2467" s="1" t="str">
        <f>IFERROR(__xludf.DUMMYFUNCTION("""COMPUTED_VALUE"""),"PFIZER (CRITICAL)")</f>
        <v>PFIZER (CRITICAL)</v>
      </c>
    </row>
    <row r="2468" ht="16.5" customHeight="1">
      <c r="H2468" s="1" t="str">
        <f>IFERROR(__xludf.DUMMYFUNCTION("""COMPUTED_VALUE"""),"PFIZER (FUTURA)")</f>
        <v>PFIZER (FUTURA)</v>
      </c>
    </row>
    <row r="2469" ht="16.5" customHeight="1">
      <c r="H2469" s="1" t="str">
        <f>IFERROR(__xludf.DUMMYFUNCTION("""COMPUTED_VALUE"""),"PFIZER (INTIMA)")</f>
        <v>PFIZER (INTIMA)</v>
      </c>
    </row>
    <row r="2470" ht="16.5" customHeight="1">
      <c r="H2470" s="1" t="str">
        <f>IFERROR(__xludf.DUMMYFUNCTION("""COMPUTED_VALUE"""),"PFIZER (MAGNUM)")</f>
        <v>PFIZER (MAGNUM)</v>
      </c>
    </row>
    <row r="2471" ht="16.5" customHeight="1">
      <c r="H2471" s="1" t="str">
        <f>IFERROR(__xludf.DUMMYFUNCTION("""COMPUTED_VALUE"""),"PFIZER (OTC)")</f>
        <v>PFIZER (OTC)</v>
      </c>
    </row>
    <row r="2472" ht="16.5" customHeight="1">
      <c r="H2472" s="1" t="str">
        <f>IFERROR(__xludf.DUMMYFUNCTION("""COMPUTED_VALUE"""),"PFIZER (PAIN TEAM)")</f>
        <v>PFIZER (PAIN TEAM)</v>
      </c>
    </row>
    <row r="2473" ht="16.5" customHeight="1">
      <c r="H2473" s="1" t="str">
        <f>IFERROR(__xludf.DUMMYFUNCTION("""COMPUTED_VALUE"""),"PFIZER (RESPIRATORY TEAM)")</f>
        <v>PFIZER (RESPIRATORY TEAM)</v>
      </c>
    </row>
    <row r="2474" ht="16.5" customHeight="1">
      <c r="H2474" s="1" t="str">
        <f>IFERROR(__xludf.DUMMYFUNCTION("""COMPUTED_VALUE"""),"PFIZER (ULTIMA)")</f>
        <v>PFIZER (ULTIMA)</v>
      </c>
    </row>
    <row r="2475" ht="16.5" customHeight="1">
      <c r="H2475" s="1" t="str">
        <f>IFERROR(__xludf.DUMMYFUNCTION("""COMPUTED_VALUE"""),"Pfizer Ltd")</f>
        <v>Pfizer Ltd</v>
      </c>
    </row>
    <row r="2476" ht="16.5" customHeight="1">
      <c r="H2476" s="1" t="str">
        <f>IFERROR(__xludf.DUMMYFUNCTION("""COMPUTED_VALUE"""),"Pfizer Ltd (CRITICAL)")</f>
        <v>Pfizer Ltd (CRITICAL)</v>
      </c>
    </row>
    <row r="2477" ht="16.5" customHeight="1">
      <c r="H2477" s="1" t="str">
        <f>IFERROR(__xludf.DUMMYFUNCTION("""COMPUTED_VALUE"""),"Pfizer Ltd&amp; UPJOHN PVT.LTD.")</f>
        <v>Pfizer Ltd&amp; UPJOHN PVT.LTD.</v>
      </c>
    </row>
    <row r="2478" ht="16.5" customHeight="1">
      <c r="H2478" s="1" t="str">
        <f>IFERROR(__xludf.DUMMYFUNCTION("""COMPUTED_VALUE"""),"PHARMA ASIA DRUG")</f>
        <v>PHARMA ASIA DRUG</v>
      </c>
    </row>
    <row r="2479" ht="16.5" customHeight="1">
      <c r="H2479" s="1" t="str">
        <f>IFERROR(__xludf.DUMMYFUNCTION("""COMPUTED_VALUE"""),"PHARMA CORP INC (GENERIC)")</f>
        <v>PHARMA CORP INC (GENERIC)</v>
      </c>
    </row>
    <row r="2480" ht="16.5" customHeight="1">
      <c r="H2480" s="1" t="str">
        <f>IFERROR(__xludf.DUMMYFUNCTION("""COMPUTED_VALUE"""),"Pharma Fabrikon")</f>
        <v>Pharma Fabrikon</v>
      </c>
    </row>
    <row r="2481" ht="16.5" customHeight="1">
      <c r="H2481" s="1" t="str">
        <f>IFERROR(__xludf.DUMMYFUNCTION("""COMPUTED_VALUE"""),"Pharma Link Pvt Ltd")</f>
        <v>Pharma Link Pvt Ltd</v>
      </c>
    </row>
    <row r="2482" ht="16.5" customHeight="1">
      <c r="H2482" s="1" t="str">
        <f>IFERROR(__xludf.DUMMYFUNCTION("""COMPUTED_VALUE"""),"PHARMA NOVA")</f>
        <v>PHARMA NOVA</v>
      </c>
    </row>
    <row r="2483" ht="16.5" customHeight="1">
      <c r="H2483" s="1" t="str">
        <f>IFERROR(__xludf.DUMMYFUNCTION("""COMPUTED_VALUE"""),"PHARMA PLANET INDIA")</f>
        <v>PHARMA PLANET INDIA</v>
      </c>
    </row>
    <row r="2484" ht="16.5" customHeight="1">
      <c r="H2484" s="1" t="str">
        <f>IFERROR(__xludf.DUMMYFUNCTION("""COMPUTED_VALUE"""),"PHARMA SYNTH FORMULATIONS LTD")</f>
        <v>PHARMA SYNTH FORMULATIONS LTD</v>
      </c>
    </row>
    <row r="2485" ht="16.5" customHeight="1">
      <c r="H2485" s="1" t="str">
        <f>IFERROR(__xludf.DUMMYFUNCTION("""COMPUTED_VALUE"""),"Pharma-Tech India")</f>
        <v>Pharma-Tech India</v>
      </c>
    </row>
    <row r="2486" ht="16.5" customHeight="1">
      <c r="H2486" s="1" t="str">
        <f>IFERROR(__xludf.DUMMYFUNCTION("""COMPUTED_VALUE"""),"PHARMACHEM PVT LTD")</f>
        <v>PHARMACHEM PVT LTD</v>
      </c>
    </row>
    <row r="2487" ht="16.5" customHeight="1">
      <c r="H2487" s="1" t="str">
        <f>IFERROR(__xludf.DUMMYFUNCTION("""COMPUTED_VALUE"""),"PHARMACORPO INDIA")</f>
        <v>PHARMACORPO INDIA</v>
      </c>
    </row>
    <row r="2488" ht="16.5" customHeight="1">
      <c r="H2488" s="1" t="str">
        <f>IFERROR(__xludf.DUMMYFUNCTION("""COMPUTED_VALUE"""),"PHARMAKON LIFESCIENCES")</f>
        <v>PHARMAKON LIFESCIENCES</v>
      </c>
    </row>
    <row r="2489" ht="16.5" customHeight="1">
      <c r="H2489" s="1" t="str">
        <f>IFERROR(__xludf.DUMMYFUNCTION("""COMPUTED_VALUE"""),"PHARMALINK")</f>
        <v>PHARMALINK</v>
      </c>
    </row>
    <row r="2490" ht="16.5" customHeight="1">
      <c r="H2490" s="1" t="str">
        <f>IFERROR(__xludf.DUMMYFUNCTION("""COMPUTED_VALUE"""),"PHARMAMAN MEDITECH PVT LTD")</f>
        <v>PHARMAMAN MEDITECH PVT LTD</v>
      </c>
    </row>
    <row r="2491" ht="16.5" customHeight="1">
      <c r="H2491" s="1" t="str">
        <f>IFERROR(__xludf.DUMMYFUNCTION("""COMPUTED_VALUE"""),"PHARMANOVA (OSTEOID)")</f>
        <v>PHARMANOVA (OSTEOID)</v>
      </c>
    </row>
    <row r="2492" ht="16.5" customHeight="1">
      <c r="H2492" s="1" t="str">
        <f>IFERROR(__xludf.DUMMYFUNCTION("""COMPUTED_VALUE"""),"Pharmanova India")</f>
        <v>Pharmanova India</v>
      </c>
    </row>
    <row r="2493" ht="16.5" customHeight="1">
      <c r="H2493" s="1" t="str">
        <f>IFERROR(__xludf.DUMMYFUNCTION("""COMPUTED_VALUE"""),"PHARMANOVA INDIA DRUGS PVT LTD")</f>
        <v>PHARMANOVA INDIA DRUGS PVT LTD</v>
      </c>
    </row>
    <row r="2494" ht="16.5" customHeight="1">
      <c r="H2494" s="1" t="str">
        <f>IFERROR(__xludf.DUMMYFUNCTION("""COMPUTED_VALUE"""),"PHARMANOVA SPECIALITIES")</f>
        <v>PHARMANOVA SPECIALITIES</v>
      </c>
    </row>
    <row r="2495" ht="16.5" customHeight="1">
      <c r="H2495" s="1" t="str">
        <f>IFERROR(__xludf.DUMMYFUNCTION("""COMPUTED_VALUE"""),"PHARMASIA")</f>
        <v>PHARMASIA</v>
      </c>
    </row>
    <row r="2496" ht="16.5" customHeight="1">
      <c r="H2496" s="1" t="str">
        <f>IFERROR(__xludf.DUMMYFUNCTION("""COMPUTED_VALUE"""),"PHARMASUN")</f>
        <v>PHARMASUN</v>
      </c>
    </row>
    <row r="2497" ht="16.5" customHeight="1">
      <c r="H2497" s="1" t="str">
        <f>IFERROR(__xludf.DUMMYFUNCTION("""COMPUTED_VALUE"""),"Pharmatak Opthalmics Pvt Ltd")</f>
        <v>Pharmatak Opthalmics Pvt Ltd</v>
      </c>
    </row>
    <row r="2498" ht="16.5" customHeight="1">
      <c r="H2498" s="1" t="str">
        <f>IFERROR(__xludf.DUMMYFUNCTION("""COMPUTED_VALUE"""),"Pharmatak Opthalmics Pvt Ltd OPTHALMICS")</f>
        <v>Pharmatak Opthalmics Pvt Ltd OPTHALMICS</v>
      </c>
    </row>
    <row r="2499" ht="16.5" customHeight="1">
      <c r="H2499" s="1" t="str">
        <f>IFERROR(__xludf.DUMMYFUNCTION("""COMPUTED_VALUE"""),"PHARMAX INDIA PVT LTD")</f>
        <v>PHARMAX INDIA PVT LTD</v>
      </c>
    </row>
    <row r="2500" ht="16.5" customHeight="1">
      <c r="H2500" s="1" t="str">
        <f>IFERROR(__xludf.DUMMYFUNCTION("""COMPUTED_VALUE"""),"Pharmed Ltd")</f>
        <v>Pharmed Ltd</v>
      </c>
    </row>
    <row r="2501" ht="16.5" customHeight="1">
      <c r="H2501" s="1" t="str">
        <f>IFERROR(__xludf.DUMMYFUNCTION("""COMPUTED_VALUE"""),"PHARMTAK")</f>
        <v>PHARMTAK</v>
      </c>
    </row>
    <row r="2502" ht="16.5" customHeight="1">
      <c r="H2502" s="1" t="str">
        <f>IFERROR(__xludf.DUMMYFUNCTION("""COMPUTED_VALUE"""),"PICWELL PHARMACEUTICALS P LTD")</f>
        <v>PICWELL PHARMACEUTICALS P LTD</v>
      </c>
    </row>
    <row r="2503" ht="16.5" customHeight="1">
      <c r="H2503" s="1" t="str">
        <f>IFERROR(__xludf.DUMMYFUNCTION("""COMPUTED_VALUE"""),"PIFER PHARMACEUTICALS")</f>
        <v>PIFER PHARMACEUTICALS</v>
      </c>
    </row>
    <row r="2504" ht="16.5" customHeight="1">
      <c r="H2504" s="1" t="str">
        <f>IFERROR(__xludf.DUMMYFUNCTION("""COMPUTED_VALUE"""),"PILCO PHARMA PVT LTD")</f>
        <v>PILCO PHARMA PVT LTD</v>
      </c>
    </row>
    <row r="2505" ht="16.5" customHeight="1">
      <c r="H2505" s="1" t="str">
        <f>IFERROR(__xludf.DUMMYFUNCTION("""COMPUTED_VALUE"""),"PINEHEARTS HEALTHCARE")</f>
        <v>PINEHEARTS HEALTHCARE</v>
      </c>
    </row>
    <row r="2506" ht="16.5" customHeight="1">
      <c r="H2506" s="1" t="str">
        <f>IFERROR(__xludf.DUMMYFUNCTION("""COMPUTED_VALUE"""),"PINK HEALTH (BRD GROUP)")</f>
        <v>PINK HEALTH (BRD GROUP)</v>
      </c>
    </row>
    <row r="2507" ht="16.5" customHeight="1">
      <c r="H2507" s="1" t="str">
        <f>IFERROR(__xludf.DUMMYFUNCTION("""COMPUTED_VALUE"""),"PINK Health (Deleted)")</f>
        <v>PINK Health (Deleted)</v>
      </c>
    </row>
    <row r="2508" ht="16.5" customHeight="1">
      <c r="H2508" s="1" t="str">
        <f>IFERROR(__xludf.DUMMYFUNCTION("""COMPUTED_VALUE"""),"PIOMA CHEMICALS")</f>
        <v>PIOMA CHEMICALS</v>
      </c>
    </row>
    <row r="2509" ht="16.5" customHeight="1">
      <c r="H2509" s="1" t="str">
        <f>IFERROR(__xludf.DUMMYFUNCTION("""COMPUTED_VALUE"""),"PIRAMAL (ACUTE CARE)")</f>
        <v>PIRAMAL (ACUTE CARE)</v>
      </c>
    </row>
    <row r="2510" ht="16.5" customHeight="1">
      <c r="H2510" s="1" t="str">
        <f>IFERROR(__xludf.DUMMYFUNCTION("""COMPUTED_VALUE"""),"PIRAMAL (CARDIAC)")</f>
        <v>PIRAMAL (CARDIAC)</v>
      </c>
    </row>
    <row r="2511" ht="16.5" customHeight="1">
      <c r="H2511" s="1" t="str">
        <f>IFERROR(__xludf.DUMMYFUNCTION("""COMPUTED_VALUE"""),"PIRAMAL (CARDIO DIABETES)")</f>
        <v>PIRAMAL (CARDIO DIABETES)</v>
      </c>
    </row>
    <row r="2512" ht="16.5" customHeight="1">
      <c r="H2512" s="1" t="str">
        <f>IFERROR(__xludf.DUMMYFUNCTION("""COMPUTED_VALUE"""),"PIRAMAL (CNS TASK)")</f>
        <v>PIRAMAL (CNS TASK)</v>
      </c>
    </row>
    <row r="2513" ht="16.5" customHeight="1">
      <c r="H2513" s="1" t="str">
        <f>IFERROR(__xludf.DUMMYFUNCTION("""COMPUTED_VALUE"""),"PIRAMAL (CONSUMER)")</f>
        <v>PIRAMAL (CONSUMER)</v>
      </c>
    </row>
    <row r="2514" ht="16.5" customHeight="1">
      <c r="H2514" s="1" t="str">
        <f>IFERROR(__xludf.DUMMYFUNCTION("""COMPUTED_VALUE"""),"PIRAMAL (CRITICAL CARDIOLOGY)")</f>
        <v>PIRAMAL (CRITICAL CARDIOLOGY)</v>
      </c>
    </row>
    <row r="2515" ht="16.5" customHeight="1">
      <c r="H2515" s="1" t="str">
        <f>IFERROR(__xludf.DUMMYFUNCTION("""COMPUTED_VALUE"""),"PIRAMAL (CTF)")</f>
        <v>PIRAMAL (CTF)</v>
      </c>
    </row>
    <row r="2516" ht="16.5" customHeight="1">
      <c r="H2516" s="1" t="str">
        <f>IFERROR(__xludf.DUMMYFUNCTION("""COMPUTED_VALUE"""),"PIRAMAL (DERMA COSMETICS)")</f>
        <v>PIRAMAL (DERMA COSMETICS)</v>
      </c>
    </row>
    <row r="2517" ht="16.5" customHeight="1">
      <c r="H2517" s="1" t="str">
        <f>IFERROR(__xludf.DUMMYFUNCTION("""COMPUTED_VALUE"""),"PIRAMAL (DERMA)")</f>
        <v>PIRAMAL (DERMA)</v>
      </c>
    </row>
    <row r="2518" ht="16.5" customHeight="1">
      <c r="H2518" s="1" t="str">
        <f>IFERROR(__xludf.DUMMYFUNCTION("""COMPUTED_VALUE"""),"PIRAMAL (DIABETES)")</f>
        <v>PIRAMAL (DIABETES)</v>
      </c>
    </row>
    <row r="2519" ht="16.5" customHeight="1">
      <c r="H2519" s="1" t="str">
        <f>IFERROR(__xludf.DUMMYFUNCTION("""COMPUTED_VALUE"""),"PIRAMAL (DIABITIES TASK FORCE)")</f>
        <v>PIRAMAL (DIABITIES TASK FORCE)</v>
      </c>
    </row>
    <row r="2520" ht="16.5" customHeight="1">
      <c r="H2520" s="1" t="str">
        <f>IFERROR(__xludf.DUMMYFUNCTION("""COMPUTED_VALUE"""),"PIRAMAL (ENDURA)")</f>
        <v>PIRAMAL (ENDURA)</v>
      </c>
    </row>
    <row r="2521" ht="16.5" customHeight="1">
      <c r="H2521" s="1" t="str">
        <f>IFERROR(__xludf.DUMMYFUNCTION("""COMPUTED_VALUE"""),"PIRAMAL (ENTERPRISES)")</f>
        <v>PIRAMAL (ENTERPRISES)</v>
      </c>
    </row>
    <row r="2522" ht="16.5" customHeight="1">
      <c r="H2522" s="1" t="str">
        <f>IFERROR(__xludf.DUMMYFUNCTION("""COMPUTED_VALUE"""),"PIRAMAL (GENERAL MEDICINE)")</f>
        <v>PIRAMAL (GENERAL MEDICINE)</v>
      </c>
    </row>
    <row r="2523" ht="16.5" customHeight="1">
      <c r="H2523" s="1" t="str">
        <f>IFERROR(__xludf.DUMMYFUNCTION("""COMPUTED_VALUE"""),"PIRAMAL (GENNEXT)")</f>
        <v>PIRAMAL (GENNEXT)</v>
      </c>
    </row>
    <row r="2524" ht="16.5" customHeight="1">
      <c r="H2524" s="1" t="str">
        <f>IFERROR(__xludf.DUMMYFUNCTION("""COMPUTED_VALUE"""),"PIRAMAL (MULTI SPECIALITY)")</f>
        <v>PIRAMAL (MULTI SPECIALITY)</v>
      </c>
    </row>
    <row r="2525" ht="16.5" customHeight="1">
      <c r="H2525" s="1" t="str">
        <f>IFERROR(__xludf.DUMMYFUNCTION("""COMPUTED_VALUE"""),"PIRAMAL (MULTY THERAPY)")</f>
        <v>PIRAMAL (MULTY THERAPY)</v>
      </c>
    </row>
    <row r="2526" ht="16.5" customHeight="1">
      <c r="H2526" s="1" t="str">
        <f>IFERROR(__xludf.DUMMYFUNCTION("""COMPUTED_VALUE"""),"PIRAMAL (NEURO PSYCHIATRY)")</f>
        <v>PIRAMAL (NEURO PSYCHIATRY)</v>
      </c>
    </row>
    <row r="2527" ht="16.5" customHeight="1">
      <c r="H2527" s="1" t="str">
        <f>IFERROR(__xludf.DUMMYFUNCTION("""COMPUTED_VALUE"""),"PIRAMAL (NPD)")</f>
        <v>PIRAMAL (NPD)</v>
      </c>
    </row>
    <row r="2528" ht="16.5" customHeight="1">
      <c r="H2528" s="1" t="str">
        <f>IFERROR(__xludf.DUMMYFUNCTION("""COMPUTED_VALUE"""),"PIRAMAL (ORTHO TASK FORCE)")</f>
        <v>PIRAMAL (ORTHO TASK FORCE)</v>
      </c>
    </row>
    <row r="2529" ht="16.5" customHeight="1">
      <c r="H2529" s="1" t="str">
        <f>IFERROR(__xludf.DUMMYFUNCTION("""COMPUTED_VALUE"""),"PIRAMAL (ORTHO)")</f>
        <v>PIRAMAL (ORTHO)</v>
      </c>
    </row>
    <row r="2530" ht="16.5" customHeight="1">
      <c r="H2530" s="1" t="str">
        <f>IFERROR(__xludf.DUMMYFUNCTION("""COMPUTED_VALUE"""),"PIRAMAL (PAIN MANAGEMENT)")</f>
        <v>PIRAMAL (PAIN MANAGEMENT)</v>
      </c>
    </row>
    <row r="2531" ht="16.5" customHeight="1">
      <c r="H2531" s="1" t="str">
        <f>IFERROR(__xludf.DUMMYFUNCTION("""COMPUTED_VALUE"""),"PIRAMAL (PLATINA)")</f>
        <v>PIRAMAL (PLATINA)</v>
      </c>
    </row>
    <row r="2532" ht="16.5" customHeight="1">
      <c r="H2532" s="1" t="str">
        <f>IFERROR(__xludf.DUMMYFUNCTION("""COMPUTED_VALUE"""),"PIRAMAL (RESPICARE)")</f>
        <v>PIRAMAL (RESPICARE)</v>
      </c>
    </row>
    <row r="2533" ht="16.5" customHeight="1">
      <c r="H2533" s="1" t="str">
        <f>IFERROR(__xludf.DUMMYFUNCTION("""COMPUTED_VALUE"""),"PIRAMAL (RESTORA)")</f>
        <v>PIRAMAL (RESTORA)</v>
      </c>
    </row>
    <row r="2534" ht="16.5" customHeight="1">
      <c r="H2534" s="1" t="str">
        <f>IFERROR(__xludf.DUMMYFUNCTION("""COMPUTED_VALUE"""),"PIRAMAL (S C GLEDEPA)")</f>
        <v>PIRAMAL (S C GLEDEPA)</v>
      </c>
    </row>
    <row r="2535" ht="16.5" customHeight="1">
      <c r="H2535" s="1" t="str">
        <f>IFERROR(__xludf.DUMMYFUNCTION("""COMPUTED_VALUE"""),"PIRAMAL (S C METALIFE)")</f>
        <v>PIRAMAL (S C METALIFE)</v>
      </c>
    </row>
    <row r="2536" ht="16.5" customHeight="1">
      <c r="H2536" s="1" t="str">
        <f>IFERROR(__xludf.DUMMYFUNCTION("""COMPUTED_VALUE"""),"PIRAMAL (SOLVAY)")</f>
        <v>PIRAMAL (SOLVAY)</v>
      </c>
    </row>
    <row r="2537" ht="16.5" customHeight="1">
      <c r="H2537" s="1" t="str">
        <f>IFERROR(__xludf.DUMMYFUNCTION("""COMPUTED_VALUE"""),"PIRAMAL (TM PENTIDS)")</f>
        <v>PIRAMAL (TM PENTIDS)</v>
      </c>
    </row>
    <row r="2538" ht="16.5" customHeight="1">
      <c r="H2538" s="1" t="str">
        <f>IFERROR(__xludf.DUMMYFUNCTION("""COMPUTED_VALUE"""),"Piramal Healthcare Limited")</f>
        <v>Piramal Healthcare Limited</v>
      </c>
    </row>
    <row r="2539" ht="16.5" customHeight="1">
      <c r="H2539" s="1" t="str">
        <f>IFERROR(__xludf.DUMMYFUNCTION("""COMPUTED_VALUE"""),"PIRAMAL SPCLTS")</f>
        <v>PIRAMAL SPCLTS</v>
      </c>
    </row>
    <row r="2540" ht="16.5" customHeight="1">
      <c r="H2540" s="1" t="str">
        <f>IFERROR(__xludf.DUMMYFUNCTION("""COMPUTED_VALUE"""),"PITAMBARI PRODUCTS")</f>
        <v>PITAMBARI PRODUCTS</v>
      </c>
    </row>
    <row r="2541" ht="16.5" customHeight="1">
      <c r="H2541" s="1" t="str">
        <f>IFERROR(__xludf.DUMMYFUNCTION("""COMPUTED_VALUE"""),"Planet Ayurveda")</f>
        <v>Planet Ayurveda</v>
      </c>
    </row>
    <row r="2542" ht="16.5" customHeight="1">
      <c r="H2542" s="1" t="str">
        <f>IFERROR(__xludf.DUMMYFUNCTION("""COMPUTED_VALUE"""),"PLANET HERBS LIFESCIENCES")</f>
        <v>PLANET HERBS LIFESCIENCES</v>
      </c>
    </row>
    <row r="2543" ht="16.5" customHeight="1">
      <c r="H2543" s="1" t="str">
        <f>IFERROR(__xludf.DUMMYFUNCTION("""COMPUTED_VALUE"""),"PLASMA HEALTH CARE")</f>
        <v>PLASMA HEALTH CARE</v>
      </c>
    </row>
    <row r="2544" ht="16.5" customHeight="1">
      <c r="H2544" s="1" t="str">
        <f>IFERROR(__xludf.DUMMYFUNCTION("""COMPUTED_VALUE"""),"PLASMAGEN BIOSCIENCES PVT LTD")</f>
        <v>PLASMAGEN BIOSCIENCES PVT LTD</v>
      </c>
    </row>
    <row r="2545" ht="16.5" customHeight="1">
      <c r="H2545" s="1" t="str">
        <f>IFERROR(__xludf.DUMMYFUNCTION("""COMPUTED_VALUE"""),"PLASMID HEALTH CARE")</f>
        <v>PLASMID HEALTH CARE</v>
      </c>
    </row>
    <row r="2546" ht="16.5" customHeight="1">
      <c r="H2546" s="1" t="str">
        <f>IFERROR(__xludf.DUMMYFUNCTION("""COMPUTED_VALUE"""),"PLASMOGEN BIOSCIENCES")</f>
        <v>PLASMOGEN BIOSCIENCES</v>
      </c>
    </row>
    <row r="2547" ht="16.5" customHeight="1">
      <c r="H2547" s="1" t="str">
        <f>IFERROR(__xludf.DUMMYFUNCTION("""COMPUTED_VALUE"""),"PLEASANT PHARMACEUTICAL PVT LTD")</f>
        <v>PLEASANT PHARMACEUTICAL PVT LTD</v>
      </c>
    </row>
    <row r="2548" ht="16.5" customHeight="1">
      <c r="H2548" s="1" t="str">
        <f>IFERROR(__xludf.DUMMYFUNCTION("""COMPUTED_VALUE"""),"PLENTEOUS PHARMACEUTICALS LTD")</f>
        <v>PLENTEOUS PHARMACEUTICALS LTD</v>
      </c>
    </row>
    <row r="2549" ht="16.5" customHeight="1">
      <c r="H2549" s="1" t="str">
        <f>IFERROR(__xludf.DUMMYFUNCTION("""COMPUTED_VALUE"""),"PLETHICO (VOLANT)")</f>
        <v>PLETHICO (VOLANT)</v>
      </c>
    </row>
    <row r="2550" ht="16.5" customHeight="1">
      <c r="H2550" s="1" t="str">
        <f>IFERROR(__xludf.DUMMYFUNCTION("""COMPUTED_VALUE"""),"POCKET HEALTHCARE PVT LTD")</f>
        <v>POCKET HEALTHCARE PVT LTD</v>
      </c>
    </row>
    <row r="2551" ht="16.5" customHeight="1">
      <c r="H2551" s="1" t="str">
        <f>IFERROR(__xludf.DUMMYFUNCTION("""COMPUTED_VALUE"""),"POCKET PHARMACY")</f>
        <v>POCKET PHARMACY</v>
      </c>
    </row>
    <row r="2552" ht="16.5" customHeight="1">
      <c r="H2552" s="1" t="str">
        <f>IFERROR(__xludf.DUMMYFUNCTION("""COMPUTED_VALUE"""),"POLARSTAR LTD.")</f>
        <v>POLARSTAR LTD.</v>
      </c>
    </row>
    <row r="2553" ht="16.5" customHeight="1">
      <c r="H2553" s="1" t="str">
        <f>IFERROR(__xludf.DUMMYFUNCTION("""COMPUTED_VALUE"""),"POLY MEDICURE PVT LTD")</f>
        <v>POLY MEDICURE PVT LTD</v>
      </c>
    </row>
    <row r="2554" ht="16.5" customHeight="1">
      <c r="H2554" s="1" t="str">
        <f>IFERROR(__xludf.DUMMYFUNCTION("""COMPUTED_VALUE"""),"POLYBOND INDIA PVT LTD")</f>
        <v>POLYBOND INDIA PVT LTD</v>
      </c>
    </row>
    <row r="2555" ht="16.5" customHeight="1">
      <c r="H2555" s="1" t="str">
        <f>IFERROR(__xludf.DUMMYFUNCTION("""COMPUTED_VALUE"""),"PONOOGUN HEALTHCARE PVT LTD")</f>
        <v>PONOOGUN HEALTHCARE PVT LTD</v>
      </c>
    </row>
    <row r="2556" ht="16.5" customHeight="1">
      <c r="H2556" s="1" t="str">
        <f>IFERROR(__xludf.DUMMYFUNCTION("""COMPUTED_VALUE"""),"POPULATION HEALTH SERVICE INDIA")</f>
        <v>POPULATION HEALTH SERVICE INDIA</v>
      </c>
    </row>
    <row r="2557" ht="16.5" customHeight="1">
      <c r="H2557" s="1" t="str">
        <f>IFERROR(__xludf.DUMMYFUNCTION("""COMPUTED_VALUE"""),"POSITIF PHARMA")</f>
        <v>POSITIF PHARMA</v>
      </c>
    </row>
    <row r="2558" ht="16.5" customHeight="1">
      <c r="H2558" s="1" t="str">
        <f>IFERROR(__xludf.DUMMYFUNCTION("""COMPUTED_VALUE"""),"PPL HEALTH CARE")</f>
        <v>PPL HEALTH CARE</v>
      </c>
    </row>
    <row r="2559" ht="16.5" customHeight="1">
      <c r="H2559" s="1" t="str">
        <f>IFERROR(__xludf.DUMMYFUNCTION("""COMPUTED_VALUE"""),"PRAANACHARYA")</f>
        <v>PRAANACHARYA</v>
      </c>
    </row>
    <row r="2560" ht="16.5" customHeight="1">
      <c r="H2560" s="1" t="str">
        <f>IFERROR(__xludf.DUMMYFUNCTION("""COMPUTED_VALUE"""),"PRAD PHARMA PRODUCT UJJAIN")</f>
        <v>PRAD PHARMA PRODUCT UJJAIN</v>
      </c>
    </row>
    <row r="2561" ht="16.5" customHeight="1">
      <c r="H2561" s="1" t="str">
        <f>IFERROR(__xludf.DUMMYFUNCTION("""COMPUTED_VALUE"""),"PRAISE PHARMA")</f>
        <v>PRAISE PHARMA</v>
      </c>
    </row>
    <row r="2562" ht="16.5" customHeight="1">
      <c r="H2562" s="1" t="str">
        <f>IFERROR(__xludf.DUMMYFUNCTION("""COMPUTED_VALUE"""),"PRANO FLEX (INDIA) PVT LTD")</f>
        <v>PRANO FLEX (INDIA) PVT LTD</v>
      </c>
    </row>
    <row r="2563" ht="16.5" customHeight="1">
      <c r="H2563" s="1" t="str">
        <f>IFERROR(__xludf.DUMMYFUNCTION("""COMPUTED_VALUE"""),"PRATHANA PHARMA")</f>
        <v>PRATHANA PHARMA</v>
      </c>
    </row>
    <row r="2564" ht="16.5" customHeight="1">
      <c r="H2564" s="1" t="str">
        <f>IFERROR(__xludf.DUMMYFUNCTION("""COMPUTED_VALUE"""),"PRAVEK KALP HERBAL")</f>
        <v>PRAVEK KALP HERBAL</v>
      </c>
    </row>
    <row r="2565" ht="16.5" customHeight="1">
      <c r="H2565" s="1" t="str">
        <f>IFERROR(__xludf.DUMMYFUNCTION("""COMPUTED_VALUE"""),"PRAYAS PHARMACEUTICALS")</f>
        <v>PRAYAS PHARMACEUTICALS</v>
      </c>
    </row>
    <row r="2566" ht="16.5" customHeight="1">
      <c r="H2566" s="1" t="str">
        <f>IFERROR(__xludf.DUMMYFUNCTION("""COMPUTED_VALUE"""),"Precia Pharma")</f>
        <v>Precia Pharma</v>
      </c>
    </row>
    <row r="2567" ht="16.5" customHeight="1">
      <c r="H2567" s="1" t="str">
        <f>IFERROR(__xludf.DUMMYFUNCTION("""COMPUTED_VALUE"""),"PRECIOUS LIFE SCIENCE")</f>
        <v>PRECIOUS LIFE SCIENCE</v>
      </c>
    </row>
    <row r="2568" ht="16.5" customHeight="1">
      <c r="H2568" s="1" t="str">
        <f>IFERROR(__xludf.DUMMYFUNCTION("""COMPUTED_VALUE"""),"PRECIOUS PHARMA")</f>
        <v>PRECIOUS PHARMA</v>
      </c>
    </row>
    <row r="2569" ht="16.5" customHeight="1">
      <c r="H2569" s="1" t="str">
        <f>IFERROR(__xludf.DUMMYFUNCTION("""COMPUTED_VALUE"""),"PRECISE HEALTHCARE PVT LTD")</f>
        <v>PRECISE HEALTHCARE PVT LTD</v>
      </c>
    </row>
    <row r="2570" ht="16.5" customHeight="1">
      <c r="H2570" s="1" t="str">
        <f>IFERROR(__xludf.DUMMYFUNCTION("""COMPUTED_VALUE"""),"PRECTOR LIFESCIENCES")</f>
        <v>PRECTOR LIFESCIENCES</v>
      </c>
    </row>
    <row r="2571" ht="16.5" customHeight="1">
      <c r="H2571" s="1" t="str">
        <f>IFERROR(__xludf.DUMMYFUNCTION("""COMPUTED_VALUE"""),"PREKEM PHARMACEUTICALS")</f>
        <v>PREKEM PHARMACEUTICALS</v>
      </c>
    </row>
    <row r="2572" ht="16.5" customHeight="1">
      <c r="H2572" s="1" t="str">
        <f>IFERROR(__xludf.DUMMYFUNCTION("""COMPUTED_VALUE"""),"Prem Pharmaceuticals Ltd")</f>
        <v>Prem Pharmaceuticals Ltd</v>
      </c>
    </row>
    <row r="2573" ht="16.5" customHeight="1">
      <c r="H2573" s="1" t="str">
        <f>IFERROR(__xludf.DUMMYFUNCTION("""COMPUTED_VALUE"""),"Premier Nutraceuticals Pvt Ltd")</f>
        <v>Premier Nutraceuticals Pvt Ltd</v>
      </c>
    </row>
    <row r="2574" ht="16.5" customHeight="1">
      <c r="H2574" s="1" t="str">
        <f>IFERROR(__xludf.DUMMYFUNCTION("""COMPUTED_VALUE"""),"PREMIUM SERUMS AND VACCINES PVT LTD")</f>
        <v>PREMIUM SERUMS AND VACCINES PVT LTD</v>
      </c>
    </row>
    <row r="2575" ht="16.5" customHeight="1">
      <c r="H2575" s="1" t="str">
        <f>IFERROR(__xludf.DUMMYFUNCTION("""COMPUTED_VALUE"""),"PRESCRIPTION MEDICINES PVT LTD")</f>
        <v>PRESCRIPTION MEDICINES PVT LTD</v>
      </c>
    </row>
    <row r="2576" ht="16.5" customHeight="1">
      <c r="H2576" s="1" t="str">
        <f>IFERROR(__xludf.DUMMYFUNCTION("""COMPUTED_VALUE"""),"PRESINUS PHARMACEUTICAL")</f>
        <v>PRESINUS PHARMACEUTICAL</v>
      </c>
    </row>
    <row r="2577" ht="16.5" customHeight="1">
      <c r="H2577" s="1" t="str">
        <f>IFERROR(__xludf.DUMMYFUNCTION("""COMPUTED_VALUE"""),"PRETIUM PHARMACEUTICALS")</f>
        <v>PRETIUM PHARMACEUTICALS</v>
      </c>
    </row>
    <row r="2578" ht="16.5" customHeight="1">
      <c r="H2578" s="1" t="str">
        <f>IFERROR(__xludf.DUMMYFUNCTION("""COMPUTED_VALUE"""),"PRICON SYRINGES AND NEEDLES")</f>
        <v>PRICON SYRINGES AND NEEDLES</v>
      </c>
    </row>
    <row r="2579" ht="16.5" customHeight="1">
      <c r="H2579" s="1" t="str">
        <f>IFERROR(__xludf.DUMMYFUNCTION("""COMPUTED_VALUE"""),"PRIDE HEALTHCARE LLP")</f>
        <v>PRIDE HEALTHCARE LLP</v>
      </c>
    </row>
    <row r="2580" ht="16.5" customHeight="1">
      <c r="H2580" s="1" t="str">
        <f>IFERROR(__xludf.DUMMYFUNCTION("""COMPUTED_VALUE"""),"PRIME LIFE SCIENCES")</f>
        <v>PRIME LIFE SCIENCES</v>
      </c>
    </row>
    <row r="2581" ht="16.5" customHeight="1">
      <c r="H2581" s="1" t="str">
        <f>IFERROR(__xludf.DUMMYFUNCTION("""COMPUTED_VALUE"""),"PRIMUS PHARMACEUTICALS")</f>
        <v>PRIMUS PHARMACEUTICALS</v>
      </c>
    </row>
    <row r="2582" ht="16.5" customHeight="1">
      <c r="H2582" s="1" t="str">
        <f>IFERROR(__xludf.DUMMYFUNCTION("""COMPUTED_VALUE"""),"PRINCE CARE PHARMA PVT LTD")</f>
        <v>PRINCE CARE PHARMA PVT LTD</v>
      </c>
    </row>
    <row r="2583" ht="16.5" customHeight="1">
      <c r="H2583" s="1" t="str">
        <f>IFERROR(__xludf.DUMMYFUNCTION("""COMPUTED_VALUE"""),"PRISM (DERMA)")</f>
        <v>PRISM (DERMA)</v>
      </c>
    </row>
    <row r="2584" ht="16.5" customHeight="1">
      <c r="H2584" s="1" t="str">
        <f>IFERROR(__xludf.DUMMYFUNCTION("""COMPUTED_VALUE"""),"PRISM LIFE SCIENCES")</f>
        <v>PRISM LIFE SCIENCES</v>
      </c>
    </row>
    <row r="2585" ht="16.5" customHeight="1">
      <c r="H2585" s="1" t="str">
        <f>IFERROR(__xludf.DUMMYFUNCTION("""COMPUTED_VALUE"""),"PRO LABORATORIES PVT LTD")</f>
        <v>PRO LABORATORIES PVT LTD</v>
      </c>
    </row>
    <row r="2586" ht="16.5" customHeight="1">
      <c r="H2586" s="1" t="str">
        <f>IFERROR(__xludf.DUMMYFUNCTION("""COMPUTED_VALUE"""),"PROCTER &amp; GAMBLE")</f>
        <v>PROCTER &amp; GAMBLE</v>
      </c>
    </row>
    <row r="2587" ht="16.5" customHeight="1">
      <c r="H2587" s="1" t="str">
        <f>IFERROR(__xludf.DUMMYFUNCTION("""COMPUTED_VALUE"""),"PROCTOR ORGANICS PVT LTD")</f>
        <v>PROCTOR ORGANICS PVT LTD</v>
      </c>
    </row>
    <row r="2588" ht="16.5" customHeight="1">
      <c r="H2588" s="1" t="str">
        <f>IFERROR(__xludf.DUMMYFUNCTION("""COMPUTED_VALUE"""),"Product Name")</f>
        <v>Product Name</v>
      </c>
    </row>
    <row r="2589" ht="16.5" customHeight="1">
      <c r="H2589" s="1" t="str">
        <f>IFERROR(__xludf.DUMMYFUNCTION("""COMPUTED_VALUE"""),"PROFAM HEALTHCARE")</f>
        <v>PROFAM HEALTHCARE</v>
      </c>
    </row>
    <row r="2590" ht="16.5" customHeight="1">
      <c r="H2590" s="1" t="str">
        <f>IFERROR(__xludf.DUMMYFUNCTION("""COMPUTED_VALUE"""),"PROFIC ORGANIC LIMITED")</f>
        <v>PROFIC ORGANIC LIMITED</v>
      </c>
    </row>
    <row r="2591" ht="16.5" customHeight="1">
      <c r="H2591" s="1" t="str">
        <f>IFERROR(__xludf.DUMMYFUNCTION("""COMPUTED_VALUE"""),"PROGRESSIVE LIFE CARE")</f>
        <v>PROGRESSIVE LIFE CARE</v>
      </c>
    </row>
    <row r="2592" ht="16.5" customHeight="1">
      <c r="H2592" s="1" t="str">
        <f>IFERROR(__xludf.DUMMYFUNCTION("""COMPUTED_VALUE"""),"PROHEALTH VITAMIN")</f>
        <v>PROHEALTH VITAMIN</v>
      </c>
    </row>
    <row r="2593" ht="16.5" customHeight="1">
      <c r="H2593" s="1" t="str">
        <f>IFERROR(__xludf.DUMMYFUNCTION("""COMPUTED_VALUE"""),"PROLIDAC HEALTHCARE")</f>
        <v>PROLIDAC HEALTHCARE</v>
      </c>
    </row>
    <row r="2594" ht="16.5" customHeight="1">
      <c r="H2594" s="1" t="str">
        <f>IFERROR(__xludf.DUMMYFUNCTION("""COMPUTED_VALUE"""),"PRONTOCURE PHARMA P LTD")</f>
        <v>PRONTOCURE PHARMA P LTD</v>
      </c>
    </row>
    <row r="2595" ht="16.5" customHeight="1">
      <c r="H2595" s="1" t="str">
        <f>IFERROR(__xludf.DUMMYFUNCTION("""COMPUTED_VALUE"""),"PROSAIC PHARMACEUTICALS (MEDICINE)")</f>
        <v>PROSAIC PHARMACEUTICALS (MEDICINE)</v>
      </c>
    </row>
    <row r="2596" ht="16.5" customHeight="1">
      <c r="H2596" s="1" t="str">
        <f>IFERROR(__xludf.DUMMYFUNCTION("""COMPUTED_VALUE"""),"PROSPER")</f>
        <v>PROSPER</v>
      </c>
    </row>
    <row r="2597" ht="16.5" customHeight="1">
      <c r="H2597" s="1" t="str">
        <f>IFERROR(__xludf.DUMMYFUNCTION("""COMPUTED_VALUE"""),"PROVIS")</f>
        <v>PROVIS</v>
      </c>
    </row>
    <row r="2598" ht="16.5" customHeight="1">
      <c r="H2598" s="1" t="str">
        <f>IFERROR(__xludf.DUMMYFUNCTION("""COMPUTED_VALUE"""),"PSI INDIA PVT LTD")</f>
        <v>PSI INDIA PVT LTD</v>
      </c>
    </row>
    <row r="2599" ht="16.5" customHeight="1">
      <c r="H2599" s="1" t="str">
        <f>IFERROR(__xludf.DUMMYFUNCTION("""COMPUTED_VALUE"""),"PSYCHOCARE")</f>
        <v>PSYCHOCARE</v>
      </c>
    </row>
    <row r="2600" ht="16.5" customHeight="1">
      <c r="H2600" s="1" t="str">
        <f>IFERROR(__xludf.DUMMYFUNCTION("""COMPUTED_VALUE"""),"PSYCHOTROPICS INDIA LIMITED (GENERIC)")</f>
        <v>PSYCHOTROPICS INDIA LIMITED (GENERIC)</v>
      </c>
    </row>
    <row r="2601" ht="16.5" customHeight="1">
      <c r="H2601" s="1" t="str">
        <f>IFERROR(__xludf.DUMMYFUNCTION("""COMPUTED_VALUE"""),"PSYCHOTROPICS INDIA LTD")</f>
        <v>PSYCHOTROPICS INDIA LTD</v>
      </c>
    </row>
    <row r="2602" ht="16.5" customHeight="1">
      <c r="H2602" s="1" t="str">
        <f>IFERROR(__xludf.DUMMYFUNCTION("""COMPUTED_VALUE"""),"PSYCHOTROPICS INDIA LTD (FORMULATION)")</f>
        <v>PSYCHOTROPICS INDIA LTD (FORMULATION)</v>
      </c>
    </row>
    <row r="2603" ht="16.5" customHeight="1">
      <c r="H2603" s="1" t="str">
        <f>IFERROR(__xludf.DUMMYFUNCTION("""COMPUTED_VALUE"""),"PSYCHOTROPICS INDIA LTD (RADICAL)")</f>
        <v>PSYCHOTROPICS INDIA LTD (RADICAL)</v>
      </c>
    </row>
    <row r="2604" ht="16.5" customHeight="1">
      <c r="H2604" s="1" t="str">
        <f>IFERROR(__xludf.DUMMYFUNCTION("""COMPUTED_VALUE"""),"PSYCOGEN CAPTAB")</f>
        <v>PSYCOGEN CAPTAB</v>
      </c>
    </row>
    <row r="2605" ht="16.5" customHeight="1">
      <c r="H2605" s="1" t="str">
        <f>IFERROR(__xludf.DUMMYFUNCTION("""COMPUTED_VALUE"""),"Psycormedies")</f>
        <v>Psycormedies</v>
      </c>
    </row>
    <row r="2606" ht="16.5" customHeight="1">
      <c r="H2606" s="1" t="str">
        <f>IFERROR(__xludf.DUMMYFUNCTION("""COMPUTED_VALUE"""),"PULSE (STIMULUS)")</f>
        <v>PULSE (STIMULUS)</v>
      </c>
    </row>
    <row r="2607" ht="16.5" customHeight="1">
      <c r="H2607" s="1" t="str">
        <f>IFERROR(__xludf.DUMMYFUNCTION("""COMPUTED_VALUE"""),"Pulse Pharmaceuticals")</f>
        <v>Pulse Pharmaceuticals</v>
      </c>
    </row>
    <row r="2608" ht="16.5" customHeight="1">
      <c r="H2608" s="1" t="str">
        <f>IFERROR(__xludf.DUMMYFUNCTION("""COMPUTED_VALUE"""),"PULVIN PHARMACEUTICALS")</f>
        <v>PULVIN PHARMACEUTICALS</v>
      </c>
    </row>
    <row r="2609" ht="16.5" customHeight="1">
      <c r="H2609" s="1" t="str">
        <f>IFERROR(__xludf.DUMMYFUNCTION("""COMPUTED_VALUE"""),"Pure Derma")</f>
        <v>Pure Derma</v>
      </c>
    </row>
    <row r="2610" ht="16.5" customHeight="1">
      <c r="H2610" s="1" t="str">
        <f>IFERROR(__xludf.DUMMYFUNCTION("""COMPUTED_VALUE"""),"PUREMED BIOTECH")</f>
        <v>PUREMED BIOTECH</v>
      </c>
    </row>
    <row r="2611" ht="16.5" customHeight="1">
      <c r="H2611" s="1" t="str">
        <f>IFERROR(__xludf.DUMMYFUNCTION("""COMPUTED_VALUE"""),"PUREMED BIOTECH (CARDIMED)")</f>
        <v>PUREMED BIOTECH (CARDIMED)</v>
      </c>
    </row>
    <row r="2612" ht="16.5" customHeight="1">
      <c r="H2612" s="1" t="str">
        <f>IFERROR(__xludf.DUMMYFUNCTION("""COMPUTED_VALUE"""),"PURVISION MALTIFOCAL")</f>
        <v>PURVISION MALTIFOCAL</v>
      </c>
    </row>
    <row r="2613" ht="16.5" customHeight="1">
      <c r="H2613" s="1" t="str">
        <f>IFERROR(__xludf.DUMMYFUNCTION("""COMPUTED_VALUE"""),"PV TORIC")</f>
        <v>PV TORIC</v>
      </c>
    </row>
    <row r="2614" ht="16.5" customHeight="1">
      <c r="H2614" s="1" t="str">
        <f>IFERROR(__xludf.DUMMYFUNCTION("""COMPUTED_VALUE"""),"QUALITRON")</f>
        <v>QUALITRON</v>
      </c>
    </row>
    <row r="2615" ht="16.5" customHeight="1">
      <c r="H2615" s="1" t="str">
        <f>IFERROR(__xludf.DUMMYFUNCTION("""COMPUTED_VALUE"""),"QUALITY PHARMA")</f>
        <v>QUALITY PHARMA</v>
      </c>
    </row>
    <row r="2616" ht="16.5" customHeight="1">
      <c r="H2616" s="1" t="str">
        <f>IFERROR(__xludf.DUMMYFUNCTION("""COMPUTED_VALUE"""),"QUANTRIX HEALTHCARE")</f>
        <v>QUANTRIX HEALTHCARE</v>
      </c>
    </row>
    <row r="2617" ht="16.5" customHeight="1">
      <c r="H2617" s="1" t="str">
        <f>IFERROR(__xludf.DUMMYFUNCTION("""COMPUTED_VALUE"""),"QUEEN PHARMA")</f>
        <v>QUEEN PHARMA</v>
      </c>
    </row>
    <row r="2618" ht="16.5" customHeight="1">
      <c r="H2618" s="1" t="str">
        <f>IFERROR(__xludf.DUMMYFUNCTION("""COMPUTED_VALUE"""),"QUERWELL LIFE SCIENCE")</f>
        <v>QUERWELL LIFE SCIENCE</v>
      </c>
    </row>
    <row r="2619" ht="16.5" customHeight="1">
      <c r="H2619" s="1" t="str">
        <f>IFERROR(__xludf.DUMMYFUNCTION("""COMPUTED_VALUE"""),"QUEST PHARMA")</f>
        <v>QUEST PHARMA</v>
      </c>
    </row>
    <row r="2620" ht="16.5" customHeight="1">
      <c r="H2620" s="1" t="str">
        <f>IFERROR(__xludf.DUMMYFUNCTION("""COMPUTED_VALUE"""),"QUICK HEAL LIFESCIENCES")</f>
        <v>QUICK HEAL LIFESCIENCES</v>
      </c>
    </row>
    <row r="2621" ht="16.5" customHeight="1">
      <c r="H2621" s="1" t="str">
        <f>IFERROR(__xludf.DUMMYFUNCTION("""COMPUTED_VALUE"""),"QUIXOTIC PHARMA PVT LTD")</f>
        <v>QUIXOTIC PHARMA PVT LTD</v>
      </c>
    </row>
    <row r="2622" ht="16.5" customHeight="1">
      <c r="H2622" s="1" t="str">
        <f>IFERROR(__xludf.DUMMYFUNCTION("""COMPUTED_VALUE"""),"QUORA PHARMACEUTICALS (MASK)")</f>
        <v>QUORA PHARMACEUTICALS (MASK)</v>
      </c>
    </row>
    <row r="2623" ht="16.5" customHeight="1">
      <c r="H2623" s="1" t="str">
        <f>IFERROR(__xludf.DUMMYFUNCTION("""COMPUTED_VALUE"""),"QUREWELL LIFESCIENCES")</f>
        <v>QUREWELL LIFESCIENCES</v>
      </c>
    </row>
    <row r="2624" ht="16.5" customHeight="1">
      <c r="H2624" s="1" t="str">
        <f>IFERROR(__xludf.DUMMYFUNCTION("""COMPUTED_VALUE"""),"R+ PHARMACEUTICALS")</f>
        <v>R+ PHARMACEUTICALS</v>
      </c>
    </row>
    <row r="2625" ht="16.5" customHeight="1">
      <c r="H2625" s="1" t="str">
        <f>IFERROR(__xludf.DUMMYFUNCTION("""COMPUTED_VALUE"""),"RAAYN DRUGS")</f>
        <v>RAAYN DRUGS</v>
      </c>
    </row>
    <row r="2626" ht="16.5" customHeight="1">
      <c r="H2626" s="1" t="str">
        <f>IFERROR(__xludf.DUMMYFUNCTION("""COMPUTED_VALUE"""),"RADICO REMEDIES")</f>
        <v>RADICO REMEDIES</v>
      </c>
    </row>
    <row r="2627" ht="16.5" customHeight="1">
      <c r="H2627" s="1" t="str">
        <f>IFERROR(__xludf.DUMMYFUNCTION("""COMPUTED_VALUE"""),"RADICURA PHARMACEUTICALS")</f>
        <v>RADICURA PHARMACEUTICALS</v>
      </c>
    </row>
    <row r="2628" ht="16.5" customHeight="1">
      <c r="H2628" s="1" t="str">
        <f>IFERROR(__xludf.DUMMYFUNCTION("""COMPUTED_VALUE"""),"RADIUS HERBAL")</f>
        <v>RADIUS HERBAL</v>
      </c>
    </row>
    <row r="2629" ht="16.5" customHeight="1">
      <c r="H2629" s="1" t="str">
        <f>IFERROR(__xludf.DUMMYFUNCTION("""COMPUTED_VALUE"""),"RAFFLES PHARMA")</f>
        <v>RAFFLES PHARMA</v>
      </c>
    </row>
    <row r="2630" ht="16.5" customHeight="1">
      <c r="H2630" s="1" t="str">
        <f>IFERROR(__xludf.DUMMYFUNCTION("""COMPUTED_VALUE"""),"RAFPHEAL'S PHARMACEUTICALS")</f>
        <v>RAFPHEAL'S PHARMACEUTICALS</v>
      </c>
    </row>
    <row r="2631" ht="16.5" customHeight="1">
      <c r="H2631" s="1" t="str">
        <f>IFERROR(__xludf.DUMMYFUNCTION("""COMPUTED_VALUE"""),"RAGHAV VAIDYASHALA")</f>
        <v>RAGHAV VAIDYASHALA</v>
      </c>
    </row>
    <row r="2632" ht="16.5" customHeight="1">
      <c r="H2632" s="1" t="str">
        <f>IFERROR(__xludf.DUMMYFUNCTION("""COMPUTED_VALUE"""),"RAHAT INDUSTRIES")</f>
        <v>RAHAT INDUSTRIES</v>
      </c>
    </row>
    <row r="2633" ht="16.5" customHeight="1">
      <c r="H2633" s="1" t="str">
        <f>IFERROR(__xludf.DUMMYFUNCTION("""COMPUTED_VALUE"""),"RAHUL HEALTH CARE")</f>
        <v>RAHUL HEALTH CARE</v>
      </c>
    </row>
    <row r="2634" ht="16.5" customHeight="1">
      <c r="H2634" s="1" t="str">
        <f>IFERROR(__xludf.DUMMYFUNCTION("""COMPUTED_VALUE"""),"RAICHEM LIFE SCIENCES")</f>
        <v>RAICHEM LIFE SCIENCES</v>
      </c>
    </row>
    <row r="2635" ht="16.5" customHeight="1">
      <c r="H2635" s="1" t="str">
        <f>IFERROR(__xludf.DUMMYFUNCTION("""COMPUTED_VALUE"""),"RAINA HEALTHCARE")</f>
        <v>RAINA HEALTHCARE</v>
      </c>
    </row>
    <row r="2636" ht="16.5" customHeight="1">
      <c r="H2636" s="1" t="str">
        <f>IFERROR(__xludf.DUMMYFUNCTION("""COMPUTED_VALUE"""),"RAINBOW")</f>
        <v>RAINBOW</v>
      </c>
    </row>
    <row r="2637" ht="16.5" customHeight="1">
      <c r="H2637" s="1" t="str">
        <f>IFERROR(__xludf.DUMMYFUNCTION("""COMPUTED_VALUE"""),"RAINS HEALTHCARE")</f>
        <v>RAINS HEALTHCARE</v>
      </c>
    </row>
    <row r="2638" ht="16.5" customHeight="1">
      <c r="H2638" s="1" t="str">
        <f>IFERROR(__xludf.DUMMYFUNCTION("""COMPUTED_VALUE"""),"RAJDEEP HERBAL FORMULATION")</f>
        <v>RAJDEEP HERBAL FORMULATION</v>
      </c>
    </row>
    <row r="2639" ht="16.5" customHeight="1">
      <c r="H2639" s="1" t="str">
        <f>IFERROR(__xludf.DUMMYFUNCTION("""COMPUTED_VALUE"""),"RAJVAIDYA SHITAL PRASAD &amp; SONS")</f>
        <v>RAJVAIDYA SHITAL PRASAD &amp; SONS</v>
      </c>
    </row>
    <row r="2640" ht="16.5" customHeight="1">
      <c r="H2640" s="1" t="str">
        <f>IFERROR(__xludf.DUMMYFUNCTION("""COMPUTED_VALUE"""),"RALLIS INDIA LTD")</f>
        <v>RALLIS INDIA LTD</v>
      </c>
    </row>
    <row r="2641" ht="16.5" customHeight="1">
      <c r="H2641" s="1" t="str">
        <f>IFERROR(__xludf.DUMMYFUNCTION("""COMPUTED_VALUE"""),"RALSON")</f>
        <v>RALSON</v>
      </c>
    </row>
    <row r="2642" ht="16.5" customHeight="1">
      <c r="H2642" s="1" t="str">
        <f>IFERROR(__xludf.DUMMYFUNCTION("""COMPUTED_VALUE"""),"RAMAN &amp; WELL PVT LTD")</f>
        <v>RAMAN &amp; WELL PVT LTD</v>
      </c>
    </row>
    <row r="2643" ht="16.5" customHeight="1">
      <c r="H2643" s="1" t="str">
        <f>IFERROR(__xludf.DUMMYFUNCTION("""COMPUTED_VALUE"""),"RAMKRISHNA RAMNARAYAN BAGDI")</f>
        <v>RAMKRISHNA RAMNARAYAN BAGDI</v>
      </c>
    </row>
    <row r="2644" ht="16.5" customHeight="1">
      <c r="H2644" s="1" t="str">
        <f>IFERROR(__xludf.DUMMYFUNCTION("""COMPUTED_VALUE"""),"RAMKRISHNA VIDYUT AYURVEDIC")</f>
        <v>RAMKRISHNA VIDYUT AYURVEDIC</v>
      </c>
    </row>
    <row r="2645" ht="16.5" customHeight="1">
      <c r="H2645" s="1" t="str">
        <f>IFERROR(__xludf.DUMMYFUNCTION("""COMPUTED_VALUE"""),"RAMOSE LABORATORIES")</f>
        <v>RAMOSE LABORATORIES</v>
      </c>
    </row>
    <row r="2646" ht="16.5" customHeight="1">
      <c r="H2646" s="1" t="str">
        <f>IFERROR(__xludf.DUMMYFUNCTION("""COMPUTED_VALUE"""),"RANBAXY (1)")</f>
        <v>RANBAXY (1)</v>
      </c>
    </row>
    <row r="2647" ht="16.5" customHeight="1">
      <c r="H2647" s="1" t="str">
        <f>IFERROR(__xludf.DUMMYFUNCTION("""COMPUTED_VALUE"""),"RANBAXY (2)")</f>
        <v>RANBAXY (2)</v>
      </c>
    </row>
    <row r="2648" ht="16.5" customHeight="1">
      <c r="H2648" s="1" t="str">
        <f>IFERROR(__xludf.DUMMYFUNCTION("""COMPUTED_VALUE"""),"RANBAXY (CROSLANDS LIFE)")</f>
        <v>RANBAXY (CROSLANDS LIFE)</v>
      </c>
    </row>
    <row r="2649" ht="16.5" customHeight="1">
      <c r="H2649" s="1" t="str">
        <f>IFERROR(__xludf.DUMMYFUNCTION("""COMPUTED_VALUE"""),"RANBAXY (CROSSLAND)")</f>
        <v>RANBAXY (CROSSLAND)</v>
      </c>
    </row>
    <row r="2650" ht="16.5" customHeight="1">
      <c r="H2650" s="1" t="str">
        <f>IFERROR(__xludf.DUMMYFUNCTION("""COMPUTED_VALUE"""),"RANBAXY (CV-LIFE)")</f>
        <v>RANBAXY (CV-LIFE)</v>
      </c>
    </row>
    <row r="2651" ht="16.5" customHeight="1">
      <c r="H2651" s="1" t="str">
        <f>IFERROR(__xludf.DUMMYFUNCTION("""COMPUTED_VALUE"""),"RANBAXY (CV)")</f>
        <v>RANBAXY (CV)</v>
      </c>
    </row>
    <row r="2652" ht="16.5" customHeight="1">
      <c r="H2652" s="1" t="str">
        <f>IFERROR(__xludf.DUMMYFUNCTION("""COMPUTED_VALUE"""),"RANBAXY (DERMALANDS)")</f>
        <v>RANBAXY (DERMALANDS)</v>
      </c>
    </row>
    <row r="2653" ht="16.5" customHeight="1">
      <c r="H2653" s="1" t="str">
        <f>IFERROR(__xludf.DUMMYFUNCTION("""COMPUTED_VALUE"""),"Ranbaxy (GENERIC)")</f>
        <v>Ranbaxy (GENERIC)</v>
      </c>
    </row>
    <row r="2654" ht="16.5" customHeight="1">
      <c r="H2654" s="1" t="str">
        <f>IFERROR(__xludf.DUMMYFUNCTION("""COMPUTED_VALUE"""),"RANBAXY (MAXXIM)")</f>
        <v>RANBAXY (MAXXIM)</v>
      </c>
    </row>
    <row r="2655" ht="16.5" customHeight="1">
      <c r="H2655" s="1" t="str">
        <f>IFERROR(__xludf.DUMMYFUNCTION("""COMPUTED_VALUE"""),"RANBAXY (ORTHOLAND)")</f>
        <v>RANBAXY (ORTHOLAND)</v>
      </c>
    </row>
    <row r="2656" ht="16.5" customHeight="1">
      <c r="H2656" s="1" t="str">
        <f>IFERROR(__xludf.DUMMYFUNCTION("""COMPUTED_VALUE"""),"RANBAXY (OTC)")</f>
        <v>RANBAXY (OTC)</v>
      </c>
    </row>
    <row r="2657" ht="16.5" customHeight="1">
      <c r="H2657" s="1" t="str">
        <f>IFERROR(__xludf.DUMMYFUNCTION("""COMPUTED_VALUE"""),"RANBAXY (PHARMA)")</f>
        <v>RANBAXY (PHARMA)</v>
      </c>
    </row>
    <row r="2658" ht="16.5" customHeight="1">
      <c r="H2658" s="1" t="str">
        <f>IFERROR(__xludf.DUMMYFUNCTION("""COMPUTED_VALUE"""),"RANBAXY (PRIMALANDS)")</f>
        <v>RANBAXY (PRIMALANDS)</v>
      </c>
    </row>
    <row r="2659" ht="16.5" customHeight="1">
      <c r="H2659" s="1" t="str">
        <f>IFERROR(__xludf.DUMMYFUNCTION("""COMPUTED_VALUE"""),"RANBAXY (RESPIRATORY)")</f>
        <v>RANBAXY (RESPIRATORY)</v>
      </c>
    </row>
    <row r="2660" ht="16.5" customHeight="1">
      <c r="H2660" s="1" t="str">
        <f>IFERROR(__xludf.DUMMYFUNCTION("""COMPUTED_VALUE"""),"RANBAXY (REXCEL)")</f>
        <v>RANBAXY (REXCEL)</v>
      </c>
    </row>
    <row r="2661" ht="16.5" customHeight="1">
      <c r="H2661" s="1" t="str">
        <f>IFERROR(__xludf.DUMMYFUNCTION("""COMPUTED_VALUE"""),"RANBAXY (RIGEL)")</f>
        <v>RANBAXY (RIGEL)</v>
      </c>
    </row>
    <row r="2662" ht="16.5" customHeight="1">
      <c r="H2662" s="1" t="str">
        <f>IFERROR(__xludf.DUMMYFUNCTION("""COMPUTED_VALUE"""),"RANBAXY (SUNCROS)")</f>
        <v>RANBAXY (SUNCROS)</v>
      </c>
    </row>
    <row r="2663" ht="16.5" customHeight="1">
      <c r="H2663" s="1" t="str">
        <f>IFERROR(__xludf.DUMMYFUNCTION("""COMPUTED_VALUE"""),"RANBAXY (UROCARE)")</f>
        <v>RANBAXY (UROCARE)</v>
      </c>
    </row>
    <row r="2664" ht="16.5" customHeight="1">
      <c r="H2664" s="1" t="str">
        <f>IFERROR(__xludf.DUMMYFUNCTION("""COMPUTED_VALUE"""),"Ranbaxy Laboratories Ltd")</f>
        <v>Ranbaxy Laboratories Ltd</v>
      </c>
    </row>
    <row r="2665" ht="16.5" customHeight="1">
      <c r="H2665" s="1" t="str">
        <f>IFERROR(__xludf.DUMMYFUNCTION("""COMPUTED_VALUE"""),"RANISH PHARMA")</f>
        <v>RANISH PHARMA</v>
      </c>
    </row>
    <row r="2666" ht="16.5" customHeight="1">
      <c r="H2666" s="1" t="str">
        <f>IFERROR(__xludf.DUMMYFUNCTION("""COMPUTED_VALUE"""),"RAPROSS PHARMACEUTICALS")</f>
        <v>RAPROSS PHARMACEUTICALS</v>
      </c>
    </row>
    <row r="2667" ht="16.5" customHeight="1">
      <c r="H2667" s="1" t="str">
        <f>IFERROR(__xludf.DUMMYFUNCTION("""COMPUTED_VALUE"""),"Raptakos Brett &amp; Co Ltd")</f>
        <v>Raptakos Brett &amp; Co Ltd</v>
      </c>
    </row>
    <row r="2668" ht="16.5" customHeight="1">
      <c r="H2668" s="1" t="str">
        <f>IFERROR(__xludf.DUMMYFUNCTION("""COMPUTED_VALUE"""),"RASNA CHEM")</f>
        <v>RASNA CHEM</v>
      </c>
    </row>
    <row r="2669" ht="16.5" customHeight="1">
      <c r="H2669" s="1" t="str">
        <f>IFERROR(__xludf.DUMMYFUNCTION("""COMPUTED_VALUE"""),"RATAN AYURVEDIC SANSTHAN")</f>
        <v>RATAN AYURVEDIC SANSTHAN</v>
      </c>
    </row>
    <row r="2670" ht="16.5" customHeight="1">
      <c r="H2670" s="1" t="str">
        <f>IFERROR(__xludf.DUMMYFUNCTION("""COMPUTED_VALUE"""),"RATAN ORGANICA INTERNATIONAL")</f>
        <v>RATAN ORGANICA INTERNATIONAL</v>
      </c>
    </row>
    <row r="2671" ht="16.5" customHeight="1">
      <c r="H2671" s="1" t="str">
        <f>IFERROR(__xludf.DUMMYFUNCTION("""COMPUTED_VALUE"""),"Rathi Laboratories (Hindustan) Pvt. Ltd.")</f>
        <v>Rathi Laboratories (Hindustan) Pvt. Ltd.</v>
      </c>
    </row>
    <row r="2672" ht="16.5" customHeight="1">
      <c r="H2672" s="1" t="str">
        <f>IFERROR(__xludf.DUMMYFUNCTION("""COMPUTED_VALUE"""),"RATNAMANI HEALTH P LTD")</f>
        <v>RATNAMANI HEALTH P LTD</v>
      </c>
    </row>
    <row r="2673" ht="16.5" customHeight="1">
      <c r="H2673" s="1" t="str">
        <f>IFERROR(__xludf.DUMMYFUNCTION("""COMPUTED_VALUE"""),"RATNAMANI HEALTH PVT LTD")</f>
        <v>RATNAMANI HEALTH PVT LTD</v>
      </c>
    </row>
    <row r="2674" ht="16.5" customHeight="1">
      <c r="H2674" s="1" t="str">
        <f>IFERROR(__xludf.DUMMYFUNCTION("""COMPUTED_VALUE"""),"RAVENBHEL HEALTHCARE")</f>
        <v>RAVENBHEL HEALTHCARE</v>
      </c>
    </row>
    <row r="2675" ht="16.5" customHeight="1">
      <c r="H2675" s="1" t="str">
        <f>IFERROR(__xludf.DUMMYFUNCTION("""COMPUTED_VALUE"""),"RAYANS GLAM SCIENCE")</f>
        <v>RAYANS GLAM SCIENCE</v>
      </c>
    </row>
    <row r="2676" ht="16.5" customHeight="1">
      <c r="H2676" s="1" t="str">
        <f>IFERROR(__xludf.DUMMYFUNCTION("""COMPUTED_VALUE"""),"RAYH HEALTH CARE PVT LTD")</f>
        <v>RAYH HEALTH CARE PVT LTD</v>
      </c>
    </row>
    <row r="2677" ht="16.5" customHeight="1">
      <c r="H2677" s="1" t="str">
        <f>IFERROR(__xludf.DUMMYFUNCTION("""COMPUTED_VALUE"""),"RAYMED")</f>
        <v>RAYMED</v>
      </c>
    </row>
    <row r="2678" ht="16.5" customHeight="1">
      <c r="H2678" s="1" t="str">
        <f>IFERROR(__xludf.DUMMYFUNCTION("""COMPUTED_VALUE"""),"RAYMED PHARMACEUTICALS")</f>
        <v>RAYMED PHARMACEUTICALS</v>
      </c>
    </row>
    <row r="2679" ht="16.5" customHeight="1">
      <c r="H2679" s="1" t="str">
        <f>IFERROR(__xludf.DUMMYFUNCTION("""COMPUTED_VALUE"""),"RAZENTA PHARMACEUTICALS PVT LTD")</f>
        <v>RAZENTA PHARMACEUTICALS PVT LTD</v>
      </c>
    </row>
    <row r="2680" ht="16.5" customHeight="1">
      <c r="H2680" s="1" t="str">
        <f>IFERROR(__xludf.DUMMYFUNCTION("""COMPUTED_VALUE"""),"RECENT HEALTHCARE LTD.")</f>
        <v>RECENT HEALTHCARE LTD.</v>
      </c>
    </row>
    <row r="2681" ht="16.5" customHeight="1">
      <c r="H2681" s="1" t="str">
        <f>IFERROR(__xludf.DUMMYFUNCTION("""COMPUTED_VALUE"""),"RECH ELIST PHARMA")</f>
        <v>RECH ELIST PHARMA</v>
      </c>
    </row>
    <row r="2682" ht="16.5" customHeight="1">
      <c r="H2682" s="1" t="str">
        <f>IFERROR(__xludf.DUMMYFUNCTION("""COMPUTED_VALUE"""),"RECKEWEG")</f>
        <v>RECKEWEG</v>
      </c>
    </row>
    <row r="2683" ht="16.5" customHeight="1">
      <c r="H2683" s="1" t="str">
        <f>IFERROR(__xludf.DUMMYFUNCTION("""COMPUTED_VALUE"""),"Reckitt Benckiser")</f>
        <v>Reckitt Benckiser</v>
      </c>
    </row>
    <row r="2684" ht="16.5" customHeight="1">
      <c r="H2684" s="1" t="str">
        <f>IFERROR(__xludf.DUMMYFUNCTION("""COMPUTED_VALUE"""),"RECOVER HEALTHCARE")</f>
        <v>RECOVER HEALTHCARE</v>
      </c>
    </row>
    <row r="2685" ht="16.5" customHeight="1">
      <c r="H2685" s="1" t="str">
        <f>IFERROR(__xludf.DUMMYFUNCTION("""COMPUTED_VALUE"""),"REDVIA PHARMACEUTICALS")</f>
        <v>REDVIA PHARMACEUTICALS</v>
      </c>
    </row>
    <row r="2686" ht="16.5" customHeight="1">
      <c r="H2686" s="1" t="str">
        <f>IFERROR(__xludf.DUMMYFUNCTION("""COMPUTED_VALUE"""),"REEHEL PHARMACEUTICALS PVT LTD")</f>
        <v>REEHEL PHARMACEUTICALS PVT LTD</v>
      </c>
    </row>
    <row r="2687" ht="16.5" customHeight="1">
      <c r="H2687" s="1" t="str">
        <f>IFERROR(__xludf.DUMMYFUNCTION("""COMPUTED_VALUE"""),"REGAL CHEMICAL WORKS")</f>
        <v>REGAL CHEMICAL WORKS</v>
      </c>
    </row>
    <row r="2688" ht="16.5" customHeight="1">
      <c r="H2688" s="1" t="str">
        <f>IFERROR(__xludf.DUMMYFUNCTION("""COMPUTED_VALUE"""),"REGALIZ MEDICARE LTD")</f>
        <v>REGALIZ MEDICARE LTD</v>
      </c>
    </row>
    <row r="2689" ht="16.5" customHeight="1">
      <c r="H2689" s="1" t="str">
        <f>IFERROR(__xludf.DUMMYFUNCTION("""COMPUTED_VALUE"""),"REGENCY HEALTH CARE")</f>
        <v>REGENCY HEALTH CARE</v>
      </c>
    </row>
    <row r="2690" ht="16.5" customHeight="1">
      <c r="H2690" s="1" t="str">
        <f>IFERROR(__xludf.DUMMYFUNCTION("""COMPUTED_VALUE"""),"REGENT HEALTHCARE")</f>
        <v>REGENT HEALTHCARE</v>
      </c>
    </row>
    <row r="2691" ht="16.5" customHeight="1">
      <c r="H2691" s="1" t="str">
        <f>IFERROR(__xludf.DUMMYFUNCTION("""COMPUTED_VALUE"""),"REGENT MARKETING")</f>
        <v>REGENT MARKETING</v>
      </c>
    </row>
    <row r="2692" ht="16.5" customHeight="1">
      <c r="H2692" s="1" t="str">
        <f>IFERROR(__xludf.DUMMYFUNCTION("""COMPUTED_VALUE"""),"REGRESS LIFESCIENCES")</f>
        <v>REGRESS LIFESCIENCES</v>
      </c>
    </row>
    <row r="2693" ht="16.5" customHeight="1">
      <c r="H2693" s="1" t="str">
        <f>IFERROR(__xludf.DUMMYFUNCTION("""COMPUTED_VALUE"""),"REGRESS LIFESCIENCES (2)")</f>
        <v>REGRESS LIFESCIENCES (2)</v>
      </c>
    </row>
    <row r="2694" ht="16.5" customHeight="1">
      <c r="H2694" s="1" t="str">
        <f>IFERROR(__xludf.DUMMYFUNCTION("""COMPUTED_VALUE"""),"REJLI HEALTHCARE")</f>
        <v>REJLI HEALTHCARE</v>
      </c>
    </row>
    <row r="2695" ht="16.5" customHeight="1">
      <c r="H2695" s="1" t="str">
        <f>IFERROR(__xludf.DUMMYFUNCTION("""COMPUTED_VALUE"""),"Rekvina Laboratories Ltd")</f>
        <v>Rekvina Laboratories Ltd</v>
      </c>
    </row>
    <row r="2696" ht="16.5" customHeight="1">
      <c r="H2696" s="1" t="str">
        <f>IFERROR(__xludf.DUMMYFUNCTION("""COMPUTED_VALUE"""),"RELAX PHARMACEUTICALS PVT LTD")</f>
        <v>RELAX PHARMACEUTICALS PVT LTD</v>
      </c>
    </row>
    <row r="2697" ht="16.5" customHeight="1">
      <c r="H2697" s="1" t="str">
        <f>IFERROR(__xludf.DUMMYFUNCTION("""COMPUTED_VALUE"""),"RELAXE REHABILITATION AIDS")</f>
        <v>RELAXE REHABILITATION AIDS</v>
      </c>
    </row>
    <row r="2698" ht="16.5" customHeight="1">
      <c r="H2698" s="1" t="str">
        <f>IFERROR(__xludf.DUMMYFUNCTION("""COMPUTED_VALUE"""),"RELAXSAN")</f>
        <v>RELAXSAN</v>
      </c>
    </row>
    <row r="2699" ht="16.5" customHeight="1">
      <c r="H2699" s="1" t="str">
        <f>IFERROR(__xludf.DUMMYFUNCTION("""COMPUTED_VALUE"""),"RELIANCE FORMULATION PVT LTD")</f>
        <v>RELIANCE FORMULATION PVT LTD</v>
      </c>
    </row>
    <row r="2700" ht="16.5" customHeight="1">
      <c r="H2700" s="1" t="str">
        <f>IFERROR(__xludf.DUMMYFUNCTION("""COMPUTED_VALUE"""),"Reliance Life Sciences")</f>
        <v>Reliance Life Sciences</v>
      </c>
    </row>
    <row r="2701" ht="16.5" customHeight="1">
      <c r="H2701" s="1" t="str">
        <f>IFERROR(__xludf.DUMMYFUNCTION("""COMPUTED_VALUE"""),"RELIC BIOTECNOLOGY PVT LTD")</f>
        <v>RELIC BIOTECNOLOGY PVT LTD</v>
      </c>
    </row>
    <row r="2702" ht="16.5" customHeight="1">
      <c r="H2702" s="1" t="str">
        <f>IFERROR(__xludf.DUMMYFUNCTION("""COMPUTED_VALUE"""),"RELIEF FORMULATIONS")</f>
        <v>RELIEF FORMULATIONS</v>
      </c>
    </row>
    <row r="2703" ht="16.5" customHeight="1">
      <c r="H2703" s="1" t="str">
        <f>IFERROR(__xludf.DUMMYFUNCTION("""COMPUTED_VALUE"""),"REMEDIAL HEALTHCARE")</f>
        <v>REMEDIAL HEALTHCARE</v>
      </c>
    </row>
    <row r="2704" ht="16.5" customHeight="1">
      <c r="H2704" s="1" t="str">
        <f>IFERROR(__xludf.DUMMYFUNCTION("""COMPUTED_VALUE"""),"RENA EXPORTS PVT LTD")</f>
        <v>RENA EXPORTS PVT LTD</v>
      </c>
    </row>
    <row r="2705" ht="16.5" customHeight="1">
      <c r="H2705" s="1" t="str">
        <f>IFERROR(__xludf.DUMMYFUNCTION("""COMPUTED_VALUE"""),"RENCORD LIFE SCIENCES (NEPHRO)")</f>
        <v>RENCORD LIFE SCIENCES (NEPHRO)</v>
      </c>
    </row>
    <row r="2706" ht="16.5" customHeight="1">
      <c r="H2706" s="1" t="str">
        <f>IFERROR(__xludf.DUMMYFUNCTION("""COMPUTED_VALUE"""),"RENE LIFESCIENCE")</f>
        <v>RENE LIFESCIENCE</v>
      </c>
    </row>
    <row r="2707" ht="16.5" customHeight="1">
      <c r="H2707" s="1" t="str">
        <f>IFERROR(__xludf.DUMMYFUNCTION("""COMPUTED_VALUE"""),"RENE LIFESCIENCES")</f>
        <v>RENE LIFESCIENCES</v>
      </c>
    </row>
    <row r="2708" ht="16.5" customHeight="1">
      <c r="H2708" s="1" t="str">
        <f>IFERROR(__xludf.DUMMYFUNCTION("""COMPUTED_VALUE"""),"RENE PHARMACEUTICALS")</f>
        <v>RENE PHARMACEUTICALS</v>
      </c>
    </row>
    <row r="2709" ht="16.5" customHeight="1">
      <c r="H2709" s="1" t="str">
        <f>IFERROR(__xludf.DUMMYFUNCTION("""COMPUTED_VALUE"""),"RENOVISION EXPORTS PVT")</f>
        <v>RENOVISION EXPORTS PVT</v>
      </c>
    </row>
    <row r="2710" ht="16.5" customHeight="1">
      <c r="H2710" s="1" t="str">
        <f>IFERROR(__xludf.DUMMYFUNCTION("""COMPUTED_VALUE"""),"REPLICA REMEDIES")</f>
        <v>REPLICA REMEDIES</v>
      </c>
    </row>
    <row r="2711" ht="16.5" customHeight="1">
      <c r="H2711" s="1" t="str">
        <f>IFERROR(__xludf.DUMMYFUNCTION("""COMPUTED_VALUE"""),"REPLIN PHARMA")</f>
        <v>REPLIN PHARMA</v>
      </c>
    </row>
    <row r="2712" ht="16.5" customHeight="1">
      <c r="H2712" s="1" t="str">
        <f>IFERROR(__xludf.DUMMYFUNCTION("""COMPUTED_VALUE"""),"RES SANCTA  SOLAN")</f>
        <v>RES SANCTA  SOLAN</v>
      </c>
    </row>
    <row r="2713" ht="16.5" customHeight="1">
      <c r="H2713" s="1" t="str">
        <f>IFERROR(__xludf.DUMMYFUNCTION("""COMPUTED_VALUE"""),"Resilient Cosmecueticals Pvt Ltd")</f>
        <v>Resilient Cosmecueticals Pvt Ltd</v>
      </c>
    </row>
    <row r="2714" ht="16.5" customHeight="1">
      <c r="H2714" s="1" t="str">
        <f>IFERROR(__xludf.DUMMYFUNCTION("""COMPUTED_VALUE"""),"REVASTO LABORATORIES")</f>
        <v>REVASTO LABORATORIES</v>
      </c>
    </row>
    <row r="2715" ht="16.5" customHeight="1">
      <c r="H2715" s="1" t="str">
        <f>IFERROR(__xludf.DUMMYFUNCTION("""COMPUTED_VALUE"""),"REVERIE PHARMACEUTICALS")</f>
        <v>REVERIE PHARMACEUTICALS</v>
      </c>
    </row>
    <row r="2716" ht="16.5" customHeight="1">
      <c r="H2716" s="1" t="str">
        <f>IFERROR(__xludf.DUMMYFUNCTION("""COMPUTED_VALUE"""),"REVLUK LIFE SCIENCES")</f>
        <v>REVLUK LIFE SCIENCES</v>
      </c>
    </row>
    <row r="2717" ht="16.5" customHeight="1">
      <c r="H2717" s="1" t="str">
        <f>IFERROR(__xludf.DUMMYFUNCTION("""COMPUTED_VALUE"""),"REVOZIP")</f>
        <v>REVOZIP</v>
      </c>
    </row>
    <row r="2718" ht="16.5" customHeight="1">
      <c r="H2718" s="1" t="str">
        <f>IFERROR(__xludf.DUMMYFUNCTION("""COMPUTED_VALUE"""),"REVOZIP MD")</f>
        <v>REVOZIP MD</v>
      </c>
    </row>
    <row r="2719" ht="16.5" customHeight="1">
      <c r="H2719" s="1" t="str">
        <f>IFERROR(__xludf.DUMMYFUNCTION("""COMPUTED_VALUE"""),"RHINE BIOGENICS PVT. LTD.")</f>
        <v>RHINE BIOGENICS PVT. LTD.</v>
      </c>
    </row>
    <row r="2720" ht="16.5" customHeight="1">
      <c r="H2720" s="1" t="str">
        <f>IFERROR(__xludf.DUMMYFUNCTION("""COMPUTED_VALUE"""),"RHOMBIC LAB")</f>
        <v>RHOMBIC LAB</v>
      </c>
    </row>
    <row r="2721" ht="16.5" customHeight="1">
      <c r="H2721" s="1" t="str">
        <f>IFERROR(__xludf.DUMMYFUNCTION("""COMPUTED_VALUE"""),"RHOMBUS PHARMA PVT LTD")</f>
        <v>RHOMBUS PHARMA PVT LTD</v>
      </c>
    </row>
    <row r="2722" ht="16.5" customHeight="1">
      <c r="H2722" s="1" t="str">
        <f>IFERROR(__xludf.DUMMYFUNCTION("""COMPUTED_VALUE"""),"RHONE PHARMACIE PVT LTD")</f>
        <v>RHONE PHARMACIE PVT LTD</v>
      </c>
    </row>
    <row r="2723" ht="16.5" customHeight="1">
      <c r="H2723" s="1" t="str">
        <f>IFERROR(__xludf.DUMMYFUNCTION("""COMPUTED_VALUE"""),"RHONE POULEN RORER (INDIA) LTD")</f>
        <v>RHONE POULEN RORER (INDIA) LTD</v>
      </c>
    </row>
    <row r="2724" ht="16.5" customHeight="1">
      <c r="H2724" s="1" t="str">
        <f>IFERROR(__xludf.DUMMYFUNCTION("""COMPUTED_VALUE"""),"RIASMO LIFE SCIENCES")</f>
        <v>RIASMO LIFE SCIENCES</v>
      </c>
    </row>
    <row r="2725" ht="16.5" customHeight="1">
      <c r="H2725" s="1" t="str">
        <f>IFERROR(__xludf.DUMMYFUNCTION("""COMPUTED_VALUE"""),"RICH FAITH PHARMA")</f>
        <v>RICH FAITH PHARMA</v>
      </c>
    </row>
    <row r="2726" ht="16.5" customHeight="1">
      <c r="H2726" s="1" t="str">
        <f>IFERROR(__xludf.DUMMYFUNCTION("""COMPUTED_VALUE"""),"RICH HEALTHCARE")</f>
        <v>RICH HEALTHCARE</v>
      </c>
    </row>
    <row r="2727" ht="16.5" customHeight="1">
      <c r="H2727" s="1" t="str">
        <f>IFERROR(__xludf.DUMMYFUNCTION("""COMPUTED_VALUE"""),"RIDLEY LIFE SCIENCE PVT LTD")</f>
        <v>RIDLEY LIFE SCIENCE PVT LTD</v>
      </c>
    </row>
    <row r="2728" ht="16.5" customHeight="1">
      <c r="H2728" s="1" t="str">
        <f>IFERROR(__xludf.DUMMYFUNCTION("""COMPUTED_VALUE"""),"RIEMANN LAB")</f>
        <v>RIEMANN LAB</v>
      </c>
    </row>
    <row r="2729" ht="16.5" customHeight="1">
      <c r="H2729" s="1" t="str">
        <f>IFERROR(__xludf.DUMMYFUNCTION("""COMPUTED_VALUE"""),"RISHIT PHARMACEUTICALS")</f>
        <v>RISHIT PHARMACEUTICALS</v>
      </c>
    </row>
    <row r="2730" ht="16.5" customHeight="1">
      <c r="H2730" s="1" t="str">
        <f>IFERROR(__xludf.DUMMYFUNCTION("""COMPUTED_VALUE"""),"RISTRYL")</f>
        <v>RISTRYL</v>
      </c>
    </row>
    <row r="2731" ht="16.5" customHeight="1">
      <c r="H2731" s="1" t="str">
        <f>IFERROR(__xludf.DUMMYFUNCTION("""COMPUTED_VALUE"""),"RISTRYL FORTE")</f>
        <v>RISTRYL FORTE</v>
      </c>
    </row>
    <row r="2732" ht="16.5" customHeight="1">
      <c r="H2732" s="1" t="str">
        <f>IFERROR(__xludf.DUMMYFUNCTION("""COMPUTED_VALUE"""),"RITZ PHARMA")</f>
        <v>RITZ PHARMA</v>
      </c>
    </row>
    <row r="2733" ht="16.5" customHeight="1">
      <c r="H2733" s="1" t="str">
        <f>IFERROR(__xludf.DUMMYFUNCTION("""COMPUTED_VALUE"""),"RIVAN PHARMACEUTICALS PVT LTD")</f>
        <v>RIVAN PHARMACEUTICALS PVT LTD</v>
      </c>
    </row>
    <row r="2734" ht="16.5" customHeight="1">
      <c r="H2734" s="1" t="str">
        <f>IFERROR(__xludf.DUMMYFUNCTION("""COMPUTED_VALUE"""),"RKM")</f>
        <v>RKM</v>
      </c>
    </row>
    <row r="2735" ht="16.5" customHeight="1">
      <c r="H2735" s="1" t="str">
        <f>IFERROR(__xludf.DUMMYFUNCTION("""COMPUTED_VALUE"""),"RKON PHARMACEUTICALS")</f>
        <v>RKON PHARMACEUTICALS</v>
      </c>
    </row>
    <row r="2736" ht="16.5" customHeight="1">
      <c r="H2736" s="1" t="str">
        <f>IFERROR(__xludf.DUMMYFUNCTION("""COMPUTED_VALUE"""),"ROCHE (1)")</f>
        <v>ROCHE (1)</v>
      </c>
    </row>
    <row r="2737" ht="16.5" customHeight="1">
      <c r="H2737" s="1" t="str">
        <f>IFERROR(__xludf.DUMMYFUNCTION("""COMPUTED_VALUE"""),"ROCHE (NEPHROLOGY)")</f>
        <v>ROCHE (NEPHROLOGY)</v>
      </c>
    </row>
    <row r="2738" ht="16.5" customHeight="1">
      <c r="H2738" s="1" t="str">
        <f>IFERROR(__xludf.DUMMYFUNCTION("""COMPUTED_VALUE"""),"ROCHE (ONCOLOGY)")</f>
        <v>ROCHE (ONCOLOGY)</v>
      </c>
    </row>
    <row r="2739" ht="16.5" customHeight="1">
      <c r="H2739" s="1" t="str">
        <f>IFERROR(__xludf.DUMMYFUNCTION("""COMPUTED_VALUE"""),"ROCHE (VIROLOGY)")</f>
        <v>ROCHE (VIROLOGY)</v>
      </c>
    </row>
    <row r="2740" ht="16.5" customHeight="1">
      <c r="H2740" s="1" t="str">
        <f>IFERROR(__xludf.DUMMYFUNCTION("""COMPUTED_VALUE"""),"Roche Products India Pvt Ltd")</f>
        <v>Roche Products India Pvt Ltd</v>
      </c>
    </row>
    <row r="2741" ht="16.5" customHeight="1">
      <c r="H2741" s="1" t="str">
        <f>IFERROR(__xludf.DUMMYFUNCTION("""COMPUTED_VALUE"""),"ROCKMED PHARMA P LTD")</f>
        <v>ROCKMED PHARMA P LTD</v>
      </c>
    </row>
    <row r="2742" ht="16.5" customHeight="1">
      <c r="H2742" s="1" t="str">
        <f>IFERROR(__xludf.DUMMYFUNCTION("""COMPUTED_VALUE"""),"ROHAN HERBAL")</f>
        <v>ROHAN HERBAL</v>
      </c>
    </row>
    <row r="2743" ht="16.5" customHeight="1">
      <c r="H2743" s="1" t="str">
        <f>IFERROR(__xludf.DUMMYFUNCTION("""COMPUTED_VALUE"""),"ROLLICK HEALTHCARE PVT LTD")</f>
        <v>ROLLICK HEALTHCARE PVT LTD</v>
      </c>
    </row>
    <row r="2744" ht="16.5" customHeight="1">
      <c r="H2744" s="1" t="str">
        <f>IFERROR(__xludf.DUMMYFUNCTION("""COMPUTED_VALUE"""),"ROMA HEALTHCARE")</f>
        <v>ROMA HEALTHCARE</v>
      </c>
    </row>
    <row r="2745" ht="16.5" customHeight="1">
      <c r="H2745" s="1" t="str">
        <f>IFERROR(__xludf.DUMMYFUNCTION("""COMPUTED_VALUE"""),"ROMSONS SCIENTIFIC AND SURGICAL P LTD")</f>
        <v>ROMSONS SCIENTIFIC AND SURGICAL P LTD</v>
      </c>
    </row>
    <row r="2746" ht="16.5" customHeight="1">
      <c r="H2746" s="1" t="str">
        <f>IFERROR(__xludf.DUMMYFUNCTION("""COMPUTED_VALUE"""),"RONALD PHARMACUTICALS")</f>
        <v>RONALD PHARMACUTICALS</v>
      </c>
    </row>
    <row r="2747" ht="16.5" customHeight="1">
      <c r="H2747" s="1" t="str">
        <f>IFERROR(__xludf.DUMMYFUNCTION("""COMPUTED_VALUE"""),"RONAM HEALTHCARE PVT LTD")</f>
        <v>RONAM HEALTHCARE PVT LTD</v>
      </c>
    </row>
    <row r="2748" ht="16.5" customHeight="1">
      <c r="H2748" s="1" t="str">
        <f>IFERROR(__xludf.DUMMYFUNCTION("""COMPUTED_VALUE"""),"ROOTS &amp; HERBS")</f>
        <v>ROOTS &amp; HERBS</v>
      </c>
    </row>
    <row r="2749" ht="16.5" customHeight="1">
      <c r="H2749" s="1" t="str">
        <f>IFERROR(__xludf.DUMMYFUNCTION("""COMPUTED_VALUE"""),"ROSELABS BIOSCIENCE LTD")</f>
        <v>ROSELABS BIOSCIENCE LTD</v>
      </c>
    </row>
    <row r="2750" ht="16.5" customHeight="1">
      <c r="H2750" s="1" t="str">
        <f>IFERROR(__xludf.DUMMYFUNCTION("""COMPUTED_VALUE"""),"ROSSWELL")</f>
        <v>ROSSWELL</v>
      </c>
    </row>
    <row r="2751" ht="16.5" customHeight="1">
      <c r="H2751" s="1" t="str">
        <f>IFERROR(__xludf.DUMMYFUNCTION("""COMPUTED_VALUE"""),"ROSSWELT BIOSCIENCES PVT LTD")</f>
        <v>ROSSWELT BIOSCIENCES PVT LTD</v>
      </c>
    </row>
    <row r="2752" ht="16.5" customHeight="1">
      <c r="H2752" s="1" t="str">
        <f>IFERROR(__xludf.DUMMYFUNCTION("""COMPUTED_VALUE"""),"ROUSSEL INDIA LIMITED")</f>
        <v>ROUSSEL INDIA LIMITED</v>
      </c>
    </row>
    <row r="2753" ht="16.5" customHeight="1">
      <c r="H2753" s="1" t="str">
        <f>IFERROR(__xludf.DUMMYFUNCTION("""COMPUTED_VALUE"""),"ROUSSET BIOTECH")</f>
        <v>ROUSSET BIOTECH</v>
      </c>
    </row>
    <row r="2754" ht="16.5" customHeight="1">
      <c r="H2754" s="1" t="str">
        <f>IFERROR(__xludf.DUMMYFUNCTION("""COMPUTED_VALUE"""),"ROUZEL PHARMA")</f>
        <v>ROUZEL PHARMA</v>
      </c>
    </row>
    <row r="2755" ht="16.5" customHeight="1">
      <c r="H2755" s="1" t="str">
        <f>IFERROR(__xludf.DUMMYFUNCTION("""COMPUTED_VALUE"""),"ROWLINGES LIFE SCIENCES")</f>
        <v>ROWLINGES LIFE SCIENCES</v>
      </c>
    </row>
    <row r="2756" ht="16.5" customHeight="1">
      <c r="H2756" s="1" t="str">
        <f>IFERROR(__xludf.DUMMYFUNCTION("""COMPUTED_VALUE"""),"ROYAL BEE NATURAL PRODUCTS")</f>
        <v>ROYAL BEE NATURAL PRODUCTS</v>
      </c>
    </row>
    <row r="2757" ht="16.5" customHeight="1">
      <c r="H2757" s="1" t="str">
        <f>IFERROR(__xludf.DUMMYFUNCTION("""COMPUTED_VALUE"""),"ROYAL HEALTHCARE")</f>
        <v>ROYAL HEALTHCARE</v>
      </c>
    </row>
    <row r="2758" ht="16.5" customHeight="1">
      <c r="H2758" s="1" t="str">
        <f>IFERROR(__xludf.DUMMYFUNCTION("""COMPUTED_VALUE"""),"RP")</f>
        <v>RP</v>
      </c>
    </row>
    <row r="2759" ht="16.5" customHeight="1">
      <c r="H2759" s="1" t="str">
        <f>IFERROR(__xludf.DUMMYFUNCTION("""COMPUTED_VALUE"""),"RPG (SEARLE)")</f>
        <v>RPG (SEARLE)</v>
      </c>
    </row>
    <row r="2760" ht="16.5" customHeight="1">
      <c r="H2760" s="1" t="str">
        <f>IFERROR(__xludf.DUMMYFUNCTION("""COMPUTED_VALUE"""),"RPG Life Sciences (NEPHRO)")</f>
        <v>RPG Life Sciences (NEPHRO)</v>
      </c>
    </row>
    <row r="2761" ht="16.5" customHeight="1">
      <c r="H2761" s="1" t="str">
        <f>IFERROR(__xludf.DUMMYFUNCTION("""COMPUTED_VALUE"""),"RPG Life Sciences Ltd")</f>
        <v>RPG Life Sciences Ltd</v>
      </c>
    </row>
    <row r="2762" ht="16.5" customHeight="1">
      <c r="H2762" s="1" t="str">
        <f>IFERROR(__xludf.DUMMYFUNCTION("""COMPUTED_VALUE"""),"RSBP")</f>
        <v>RSBP</v>
      </c>
    </row>
    <row r="2763" ht="16.5" customHeight="1">
      <c r="H2763" s="1" t="str">
        <f>IFERROR(__xludf.DUMMYFUNCTION("""COMPUTED_VALUE"""),"RUBRA PHARMACEUTICALS")</f>
        <v>RUBRA PHARMACEUTICALS</v>
      </c>
    </row>
    <row r="2764" ht="16.5" customHeight="1">
      <c r="H2764" s="1" t="str">
        <f>IFERROR(__xludf.DUMMYFUNCTION("""COMPUTED_VALUE"""),"RUPAK ENTERPRISES PVT LTD")</f>
        <v>RUPAK ENTERPRISES PVT LTD</v>
      </c>
    </row>
    <row r="2765" ht="16.5" customHeight="1">
      <c r="H2765" s="1" t="str">
        <f>IFERROR(__xludf.DUMMYFUNCTION("""COMPUTED_VALUE"""),"RUSAN HEALTHCARE PVT LTD")</f>
        <v>RUSAN HEALTHCARE PVT LTD</v>
      </c>
    </row>
    <row r="2766" ht="16.5" customHeight="1">
      <c r="H2766" s="1" t="str">
        <f>IFERROR(__xludf.DUMMYFUNCTION("""COMPUTED_VALUE"""),"RUSAN PHARMA")</f>
        <v>RUSAN PHARMA</v>
      </c>
    </row>
    <row r="2767" ht="16.5" customHeight="1">
      <c r="H2767" s="1" t="str">
        <f>IFERROR(__xludf.DUMMYFUNCTION("""COMPUTED_VALUE"""),"Rusi Remedies P Ltd")</f>
        <v>Rusi Remedies P Ltd</v>
      </c>
    </row>
    <row r="2768" ht="16.5" customHeight="1">
      <c r="H2768" s="1" t="str">
        <f>IFERROR(__xludf.DUMMYFUNCTION("""COMPUTED_VALUE"""),"RUSLAN NOVO PHARMACEUTICALS")</f>
        <v>RUSLAN NOVO PHARMACEUTICALS</v>
      </c>
    </row>
    <row r="2769" ht="16.5" customHeight="1">
      <c r="H2769" s="1" t="str">
        <f>IFERROR(__xludf.DUMMYFUNCTION("""COMPUTED_VALUE"""),"RUSLAN NOVO PHARMACIAUTICALS")</f>
        <v>RUSLAN NOVO PHARMACIAUTICALS</v>
      </c>
    </row>
    <row r="2770" ht="16.5" customHeight="1">
      <c r="H2770" s="1" t="str">
        <f>IFERROR(__xludf.DUMMYFUNCTION("""COMPUTED_VALUE"""),"RUSOMA LABORATORIES PVT LTD")</f>
        <v>RUSOMA LABORATORIES PVT LTD</v>
      </c>
    </row>
    <row r="2771" ht="16.5" customHeight="1">
      <c r="H2771" s="1" t="str">
        <f>IFERROR(__xludf.DUMMYFUNCTION("""COMPUTED_VALUE"""),"RUTURAJ AYURVEDIC GRUH UDHYOG")</f>
        <v>RUTURAJ AYURVEDIC GRUH UDHYOG</v>
      </c>
    </row>
    <row r="2772" ht="16.5" customHeight="1">
      <c r="H2772" s="1" t="str">
        <f>IFERROR(__xludf.DUMMYFUNCTION("""COMPUTED_VALUE"""),"RYAN HEALTHCARE")</f>
        <v>RYAN HEALTHCARE</v>
      </c>
    </row>
    <row r="2773" ht="16.5" customHeight="1">
      <c r="H2773" s="1" t="str">
        <f>IFERROR(__xludf.DUMMYFUNCTION("""COMPUTED_VALUE"""),"RYZE LIFECARE")</f>
        <v>RYZE LIFECARE</v>
      </c>
    </row>
    <row r="2774" ht="16.5" customHeight="1">
      <c r="H2774" s="1" t="str">
        <f>IFERROR(__xludf.DUMMYFUNCTION("""COMPUTED_VALUE"""),"S A REMEDIES")</f>
        <v>S A REMEDIES</v>
      </c>
    </row>
    <row r="2775" ht="16.5" customHeight="1">
      <c r="H2775" s="1" t="str">
        <f>IFERROR(__xludf.DUMMYFUNCTION("""COMPUTED_VALUE"""),"S ABDUR RASHEED")</f>
        <v>S ABDUR RASHEED</v>
      </c>
    </row>
    <row r="2776" ht="16.5" customHeight="1">
      <c r="H2776" s="1" t="str">
        <f>IFERROR(__xludf.DUMMYFUNCTION("""COMPUTED_VALUE"""),"S R BIOTECH")</f>
        <v>S R BIOTECH</v>
      </c>
    </row>
    <row r="2777" ht="16.5" customHeight="1">
      <c r="H2777" s="1" t="str">
        <f>IFERROR(__xludf.DUMMYFUNCTION("""COMPUTED_VALUE"""),"S R PHARMACEUTICALS")</f>
        <v>S R PHARMACEUTICALS</v>
      </c>
    </row>
    <row r="2778" ht="16.5" customHeight="1">
      <c r="H2778" s="1" t="str">
        <f>IFERROR(__xludf.DUMMYFUNCTION("""COMPUTED_VALUE"""),"S V BIOVAC PHARMACEUTICALS")</f>
        <v>S V BIOVAC PHARMACEUTICALS</v>
      </c>
    </row>
    <row r="2779" ht="16.5" customHeight="1">
      <c r="H2779" s="1" t="str">
        <f>IFERROR(__xludf.DUMMYFUNCTION("""COMPUTED_VALUE"""),"S.K.J.S. PHARMACEUTICALS")</f>
        <v>S.K.J.S. PHARMACEUTICALS</v>
      </c>
    </row>
    <row r="2780" ht="16.5" customHeight="1">
      <c r="H2780" s="1" t="str">
        <f>IFERROR(__xludf.DUMMYFUNCTION("""COMPUTED_VALUE"""),"SAC PHARMACEUTICAL")</f>
        <v>SAC PHARMACEUTICAL</v>
      </c>
    </row>
    <row r="2781" ht="16.5" customHeight="1">
      <c r="H2781" s="1" t="str">
        <f>IFERROR(__xludf.DUMMYFUNCTION("""COMPUTED_VALUE"""),"SACHIO PHARMA PVT LTD")</f>
        <v>SACHIO PHARMA PVT LTD</v>
      </c>
    </row>
    <row r="2782" ht="16.5" customHeight="1">
      <c r="H2782" s="1" t="str">
        <f>IFERROR(__xludf.DUMMYFUNCTION("""COMPUTED_VALUE"""),"SAF FERMION (NUVO)")</f>
        <v>SAF FERMION (NUVO)</v>
      </c>
    </row>
    <row r="2783" ht="16.5" customHeight="1">
      <c r="H2783" s="1" t="str">
        <f>IFERROR(__xludf.DUMMYFUNCTION("""COMPUTED_VALUE"""),"SAF Fermion Ltd")</f>
        <v>SAF Fermion Ltd</v>
      </c>
    </row>
    <row r="2784" ht="16.5" customHeight="1">
      <c r="H2784" s="1" t="str">
        <f>IFERROR(__xludf.DUMMYFUNCTION("""COMPUTED_VALUE"""),"SAFFRON FORMULATION")</f>
        <v>SAFFRON FORMULATION</v>
      </c>
    </row>
    <row r="2785" ht="16.5" customHeight="1">
      <c r="H2785" s="1" t="str">
        <f>IFERROR(__xludf.DUMMYFUNCTION("""COMPUTED_VALUE"""),"Saffron Therapeutics Pvt Ltd")</f>
        <v>Saffron Therapeutics Pvt Ltd</v>
      </c>
    </row>
    <row r="2786" ht="16.5" customHeight="1">
      <c r="H2786" s="1" t="str">
        <f>IFERROR(__xludf.DUMMYFUNCTION("""COMPUTED_VALUE"""),"SAG HEALTH SCIENCE PVT LTD")</f>
        <v>SAG HEALTH SCIENCE PVT LTD</v>
      </c>
    </row>
    <row r="2787" ht="16.5" customHeight="1">
      <c r="H2787" s="1" t="str">
        <f>IFERROR(__xludf.DUMMYFUNCTION("""COMPUTED_VALUE"""),"SAGA LABORATORIES")</f>
        <v>SAGA LABORATORIES</v>
      </c>
    </row>
    <row r="2788" ht="16.5" customHeight="1">
      <c r="H2788" s="1" t="str">
        <f>IFERROR(__xludf.DUMMYFUNCTION("""COMPUTED_VALUE"""),"SAGE NUTRAVEDICS")</f>
        <v>SAGE NUTRAVEDICS</v>
      </c>
    </row>
    <row r="2789" ht="16.5" customHeight="1">
      <c r="H2789" s="1" t="str">
        <f>IFERROR(__xludf.DUMMYFUNCTION("""COMPUTED_VALUE"""),"SAHAJANAND HEALTH CARE (SHC)")</f>
        <v>SAHAJANAND HEALTH CARE (SHC)</v>
      </c>
    </row>
    <row r="2790" ht="16.5" customHeight="1">
      <c r="H2790" s="1" t="str">
        <f>IFERROR(__xludf.DUMMYFUNCTION("""COMPUTED_VALUE"""),"SAHAJANAND HERBALS")</f>
        <v>SAHAJANAND HERBALS</v>
      </c>
    </row>
    <row r="2791" ht="16.5" customHeight="1">
      <c r="H2791" s="1" t="str">
        <f>IFERROR(__xludf.DUMMYFUNCTION("""COMPUTED_VALUE"""),"SAIBOON LIFECARE")</f>
        <v>SAIBOON LIFECARE</v>
      </c>
    </row>
    <row r="2792" ht="16.5" customHeight="1">
      <c r="H2792" s="1" t="str">
        <f>IFERROR(__xludf.DUMMYFUNCTION("""COMPUTED_VALUE"""),"SAIFA SEVAAASHRAM")</f>
        <v>SAIFA SEVAAASHRAM</v>
      </c>
    </row>
    <row r="2793" ht="16.5" customHeight="1">
      <c r="H2793" s="1" t="str">
        <f>IFERROR(__xludf.DUMMYFUNCTION("""COMPUTED_VALUE"""),"SAIN MICHEAL BIOTECH")</f>
        <v>SAIN MICHEAL BIOTECH</v>
      </c>
    </row>
    <row r="2794" ht="16.5" customHeight="1">
      <c r="H2794" s="1" t="str">
        <f>IFERROR(__xludf.DUMMYFUNCTION("""COMPUTED_VALUE"""),"SAINTLIFE PHARMACEUTICALS LTD")</f>
        <v>SAINTLIFE PHARMACEUTICALS LTD</v>
      </c>
    </row>
    <row r="2795" ht="16.5" customHeight="1">
      <c r="H2795" s="1" t="str">
        <f>IFERROR(__xludf.DUMMYFUNCTION("""COMPUTED_VALUE"""),"SAITECH MEDICARE PVT.LTD.K")</f>
        <v>SAITECH MEDICARE PVT.LTD.K</v>
      </c>
    </row>
    <row r="2796" ht="16.5" customHeight="1">
      <c r="H2796" s="1" t="str">
        <f>IFERROR(__xludf.DUMMYFUNCTION("""COMPUTED_VALUE"""),"SALASAR BLESSED HERBALS")</f>
        <v>SALASAR BLESSED HERBALS</v>
      </c>
    </row>
    <row r="2797" ht="16.5" customHeight="1">
      <c r="H2797" s="1" t="str">
        <f>IFERROR(__xludf.DUMMYFUNCTION("""COMPUTED_VALUE"""),"SALASAR PHARMACEUTICALS")</f>
        <v>SALASAR PHARMACEUTICALS</v>
      </c>
    </row>
    <row r="2798" ht="16.5" customHeight="1">
      <c r="H2798" s="1" t="str">
        <f>IFERROR(__xludf.DUMMYFUNCTION("""COMPUTED_VALUE"""),"SALIUS PHARMA PVT LTD")</f>
        <v>SALIUS PHARMA PVT LTD</v>
      </c>
    </row>
    <row r="2799" ht="16.5" customHeight="1">
      <c r="H2799" s="1" t="str">
        <f>IFERROR(__xludf.DUMMYFUNCTION("""COMPUTED_VALUE"""),"Salud Care India Pvt Ltd")</f>
        <v>Salud Care India Pvt Ltd</v>
      </c>
    </row>
    <row r="2800" ht="16.5" customHeight="1">
      <c r="H2800" s="1" t="str">
        <f>IFERROR(__xludf.DUMMYFUNCTION("""COMPUTED_VALUE"""),"SALUTE")</f>
        <v>SALUTE</v>
      </c>
    </row>
    <row r="2801" ht="16.5" customHeight="1">
      <c r="H2801" s="1" t="str">
        <f>IFERROR(__xludf.DUMMYFUNCTION("""COMPUTED_VALUE"""),"SALVADOR BIOTECH")</f>
        <v>SALVADOR BIOTECH</v>
      </c>
    </row>
    <row r="2802" ht="16.5" customHeight="1">
      <c r="H2802" s="1" t="str">
        <f>IFERROR(__xludf.DUMMYFUNCTION("""COMPUTED_VALUE"""),"SALVEO LIFE SCIENCES LTD")</f>
        <v>SALVEO LIFE SCIENCES LTD</v>
      </c>
    </row>
    <row r="2803" ht="16.5" customHeight="1">
      <c r="H2803" s="1" t="str">
        <f>IFERROR(__xludf.DUMMYFUNCTION("""COMPUTED_VALUE"""),"SAMARTH LIFE SCIENCES")</f>
        <v>SAMARTH LIFE SCIENCES</v>
      </c>
    </row>
    <row r="2804" ht="16.5" customHeight="1">
      <c r="H2804" s="1" t="str">
        <f>IFERROR(__xludf.DUMMYFUNCTION("""COMPUTED_VALUE"""),"SAMARTH PHARMA")</f>
        <v>SAMARTH PHARMA</v>
      </c>
    </row>
    <row r="2805" ht="16.5" customHeight="1">
      <c r="H2805" s="1" t="str">
        <f>IFERROR(__xludf.DUMMYFUNCTION("""COMPUTED_VALUE"""),"SAMARTH PHARMA (ANCARD)")</f>
        <v>SAMARTH PHARMA (ANCARD)</v>
      </c>
    </row>
    <row r="2806" ht="16.5" customHeight="1">
      <c r="H2806" s="1" t="str">
        <f>IFERROR(__xludf.DUMMYFUNCTION("""COMPUTED_VALUE"""),"SAMARTH PHARMA (CRITIGEN)")</f>
        <v>SAMARTH PHARMA (CRITIGEN)</v>
      </c>
    </row>
    <row r="2807" ht="16.5" customHeight="1">
      <c r="H2807" s="1" t="str">
        <f>IFERROR(__xludf.DUMMYFUNCTION("""COMPUTED_VALUE"""),"SAMARTH PHARMA (EUGENIC)")</f>
        <v>SAMARTH PHARMA (EUGENIC)</v>
      </c>
    </row>
    <row r="2808" ht="16.5" customHeight="1">
      <c r="H2808" s="1" t="str">
        <f>IFERROR(__xludf.DUMMYFUNCTION("""COMPUTED_VALUE"""),"SAMARTH PHARMA (SAMGEN)")</f>
        <v>SAMARTH PHARMA (SAMGEN)</v>
      </c>
    </row>
    <row r="2809" ht="16.5" customHeight="1">
      <c r="H2809" s="1" t="str">
        <f>IFERROR(__xludf.DUMMYFUNCTION("""COMPUTED_VALUE"""),"SAMAY SURGICALS")</f>
        <v>SAMAY SURGICALS</v>
      </c>
    </row>
    <row r="2810" ht="16.5" customHeight="1">
      <c r="H2810" s="1" t="str">
        <f>IFERROR(__xludf.DUMMYFUNCTION("""COMPUTED_VALUE"""),"SAMKEM PHARMACEUTICALS PVT LTD")</f>
        <v>SAMKEM PHARMACEUTICALS PVT LTD</v>
      </c>
    </row>
    <row r="2811" ht="16.5" customHeight="1">
      <c r="H2811" s="1" t="str">
        <f>IFERROR(__xludf.DUMMYFUNCTION("""COMPUTED_VALUE"""),"SAMSON LAB P LTD, SOLAN")</f>
        <v>SAMSON LAB P LTD, SOLAN</v>
      </c>
    </row>
    <row r="2812" ht="16.5" customHeight="1">
      <c r="H2812" s="1" t="str">
        <f>IFERROR(__xludf.DUMMYFUNCTION("""COMPUTED_VALUE"""),"SAMTECH REMEDIES")</f>
        <v>SAMTECH REMEDIES</v>
      </c>
    </row>
    <row r="2813" ht="16.5" customHeight="1">
      <c r="H2813" s="1" t="str">
        <f>IFERROR(__xludf.DUMMYFUNCTION("""COMPUTED_VALUE"""),"SANA GENETICA")</f>
        <v>SANA GENETICA</v>
      </c>
    </row>
    <row r="2814" ht="16.5" customHeight="1">
      <c r="H2814" s="1" t="str">
        <f>IFERROR(__xludf.DUMMYFUNCTION("""COMPUTED_VALUE"""),"Sanat Products Ltd")</f>
        <v>Sanat Products Ltd</v>
      </c>
    </row>
    <row r="2815" ht="16.5" customHeight="1">
      <c r="H2815" s="1" t="str">
        <f>IFERROR(__xludf.DUMMYFUNCTION("""COMPUTED_VALUE"""),"Sanctus Global")</f>
        <v>Sanctus Global</v>
      </c>
    </row>
    <row r="2816" ht="16.5" customHeight="1">
      <c r="H2816" s="1" t="str">
        <f>IFERROR(__xludf.DUMMYFUNCTION("""COMPUTED_VALUE"""),"SANDOZ (GENERIC)")</f>
        <v>SANDOZ (GENERIC)</v>
      </c>
    </row>
    <row r="2817" ht="16.5" customHeight="1">
      <c r="H2817" s="1" t="str">
        <f>IFERROR(__xludf.DUMMYFUNCTION("""COMPUTED_VALUE"""),"SANDU BROTHERS")</f>
        <v>SANDU BROTHERS</v>
      </c>
    </row>
    <row r="2818" ht="16.5" customHeight="1">
      <c r="H2818" s="1" t="str">
        <f>IFERROR(__xludf.DUMMYFUNCTION("""COMPUTED_VALUE"""),"SANIFY HEALTHCARE")</f>
        <v>SANIFY HEALTHCARE</v>
      </c>
    </row>
    <row r="2819" ht="16.5" customHeight="1">
      <c r="H2819" s="1" t="str">
        <f>IFERROR(__xludf.DUMMYFUNCTION("""COMPUTED_VALUE"""),"SANITY PHARMA")</f>
        <v>SANITY PHARMA</v>
      </c>
    </row>
    <row r="2820" ht="16.5" customHeight="1">
      <c r="H2820" s="1" t="str">
        <f>IFERROR(__xludf.DUMMYFUNCTION("""COMPUTED_VALUE"""),"SANIX FORMULATION PVT LTD")</f>
        <v>SANIX FORMULATION PVT LTD</v>
      </c>
    </row>
    <row r="2821" ht="16.5" customHeight="1">
      <c r="H2821" s="1" t="str">
        <f>IFERROR(__xludf.DUMMYFUNCTION("""COMPUTED_VALUE"""),"SANJIVNI PARENTERAL")</f>
        <v>SANJIVNI PARENTERAL</v>
      </c>
    </row>
    <row r="2822" ht="16.5" customHeight="1">
      <c r="H2822" s="1" t="str">
        <f>IFERROR(__xludf.DUMMYFUNCTION("""COMPUTED_VALUE"""),"SANMATI UDYOG")</f>
        <v>SANMATI UDYOG</v>
      </c>
    </row>
    <row r="2823" ht="16.5" customHeight="1">
      <c r="H2823" s="1" t="str">
        <f>IFERROR(__xludf.DUMMYFUNCTION("""COMPUTED_VALUE"""),"SANOFI GENZYME")</f>
        <v>SANOFI GENZYME</v>
      </c>
    </row>
    <row r="2824" ht="16.5" customHeight="1">
      <c r="H2824" s="1" t="str">
        <f>IFERROR(__xludf.DUMMYFUNCTION("""COMPUTED_VALUE"""),"Sanofi India Ltd")</f>
        <v>Sanofi India Ltd</v>
      </c>
    </row>
    <row r="2825" ht="16.5" customHeight="1">
      <c r="H2825" s="1" t="str">
        <f>IFERROR(__xludf.DUMMYFUNCTION("""COMPUTED_VALUE"""),"SANOFI PASTEUR")</f>
        <v>SANOFI PASTEUR</v>
      </c>
    </row>
    <row r="2826" ht="16.5" customHeight="1">
      <c r="H2826" s="1" t="str">
        <f>IFERROR(__xludf.DUMMYFUNCTION("""COMPUTED_VALUE"""),"SANTIAGO LIFE SCIENCES")</f>
        <v>SANTIAGO LIFE SCIENCES</v>
      </c>
    </row>
    <row r="2827" ht="16.5" customHeight="1">
      <c r="H2827" s="1" t="str">
        <f>IFERROR(__xludf.DUMMYFUNCTION("""COMPUTED_VALUE"""),"SANTO MEDI SCIENCES")</f>
        <v>SANTO MEDI SCIENCES</v>
      </c>
    </row>
    <row r="2828" ht="16.5" customHeight="1">
      <c r="H2828" s="1" t="str">
        <f>IFERROR(__xludf.DUMMYFUNCTION("""COMPUTED_VALUE"""),"SANZYME (ART)")</f>
        <v>SANZYME (ART)</v>
      </c>
    </row>
    <row r="2829" ht="16.5" customHeight="1">
      <c r="H2829" s="1" t="str">
        <f>IFERROR(__xludf.DUMMYFUNCTION("""COMPUTED_VALUE"""),"Sanzyme Ltd (NEPHRO URO)")</f>
        <v>Sanzyme Ltd (NEPHRO URO)</v>
      </c>
    </row>
    <row r="2830" ht="16.5" customHeight="1">
      <c r="H2830" s="1" t="str">
        <f>IFERROR(__xludf.DUMMYFUNCTION("""COMPUTED_VALUE"""),"Sanzyme Ltd (UNI SANKYO)")</f>
        <v>Sanzyme Ltd (UNI SANKYO)</v>
      </c>
    </row>
    <row r="2831" ht="16.5" customHeight="1">
      <c r="H2831" s="1" t="str">
        <f>IFERROR(__xludf.DUMMYFUNCTION("""COMPUTED_VALUE"""),"Sanzyme Ltd (ZEST)")</f>
        <v>Sanzyme Ltd (ZEST)</v>
      </c>
    </row>
    <row r="2832" ht="16.5" customHeight="1">
      <c r="H2832" s="1" t="str">
        <f>IFERROR(__xludf.DUMMYFUNCTION("""COMPUTED_VALUE"""),"SAPAT &amp; COMPANY")</f>
        <v>SAPAT &amp; COMPANY</v>
      </c>
    </row>
    <row r="2833" ht="16.5" customHeight="1">
      <c r="H2833" s="1" t="str">
        <f>IFERROR(__xludf.DUMMYFUNCTION("""COMPUTED_VALUE"""),"SAPHNIX LIFE SCIENCES")</f>
        <v>SAPHNIX LIFE SCIENCES</v>
      </c>
    </row>
    <row r="2834" ht="16.5" customHeight="1">
      <c r="H2834" s="1" t="str">
        <f>IFERROR(__xludf.DUMMYFUNCTION("""COMPUTED_VALUE"""),"SAPIENT LABORATORIES")</f>
        <v>SAPIENT LABORATORIES</v>
      </c>
    </row>
    <row r="2835" ht="16.5" customHeight="1">
      <c r="H2835" s="1" t="str">
        <f>IFERROR(__xludf.DUMMYFUNCTION("""COMPUTED_VALUE"""),"SARA LIFE SCIENCE")</f>
        <v>SARA LIFE SCIENCE</v>
      </c>
    </row>
    <row r="2836" ht="16.5" customHeight="1">
      <c r="H2836" s="1" t="str">
        <f>IFERROR(__xludf.DUMMYFUNCTION("""COMPUTED_VALUE"""),"SARA REMEDIES LTD")</f>
        <v>SARA REMEDIES LTD</v>
      </c>
    </row>
    <row r="2837" ht="16.5" customHeight="1">
      <c r="H2837" s="1" t="str">
        <f>IFERROR(__xludf.DUMMYFUNCTION("""COMPUTED_VALUE"""),"SARABHAI CHEMICALS")</f>
        <v>SARABHAI CHEMICALS</v>
      </c>
    </row>
    <row r="2838" ht="16.5" customHeight="1">
      <c r="H2838" s="1" t="str">
        <f>IFERROR(__xludf.DUMMYFUNCTION("""COMPUTED_VALUE"""),"SARANSH PHARMACEUTICALS")</f>
        <v>SARANSH PHARMACEUTICALS</v>
      </c>
    </row>
    <row r="2839" ht="16.5" customHeight="1">
      <c r="H2839" s="1" t="str">
        <f>IFERROR(__xludf.DUMMYFUNCTION("""COMPUTED_VALUE"""),"SARIAN HEALTHCARE")</f>
        <v>SARIAN HEALTHCARE</v>
      </c>
    </row>
    <row r="2840" ht="16.5" customHeight="1">
      <c r="H2840" s="1" t="str">
        <f>IFERROR(__xludf.DUMMYFUNCTION("""COMPUTED_VALUE"""),"SARTHAK BIOTECHNICS")</f>
        <v>SARTHAK BIOTECHNICS</v>
      </c>
    </row>
    <row r="2841" ht="16.5" customHeight="1">
      <c r="H2841" s="1" t="str">
        <f>IFERROR(__xludf.DUMMYFUNCTION("""COMPUTED_VALUE"""),"SAS BIOSYNTH")</f>
        <v>SAS BIOSYNTH</v>
      </c>
    </row>
    <row r="2842" ht="16.5" customHeight="1">
      <c r="H2842" s="1" t="str">
        <f>IFERROR(__xludf.DUMMYFUNCTION("""COMPUTED_VALUE"""),"SATNAM HERBALS")</f>
        <v>SATNAM HERBALS</v>
      </c>
    </row>
    <row r="2843" ht="16.5" customHeight="1">
      <c r="H2843" s="1" t="str">
        <f>IFERROR(__xludf.DUMMYFUNCTION("""COMPUTED_VALUE"""),"SATURN LAB")</f>
        <v>SATURN LAB</v>
      </c>
    </row>
    <row r="2844" ht="16.5" customHeight="1">
      <c r="H2844" s="1" t="str">
        <f>IFERROR(__xludf.DUMMYFUNCTION("""COMPUTED_VALUE"""),"SATYAM HEALTHCARE P.LTD.")</f>
        <v>SATYAM HEALTHCARE P.LTD.</v>
      </c>
    </row>
    <row r="2845" ht="16.5" customHeight="1">
      <c r="H2845" s="1" t="str">
        <f>IFERROR(__xludf.DUMMYFUNCTION("""COMPUTED_VALUE"""),"SATYAM OPHTHALMICS")</f>
        <v>SATYAM OPHTHALMICS</v>
      </c>
    </row>
    <row r="2846" ht="16.5" customHeight="1">
      <c r="H2846" s="1" t="str">
        <f>IFERROR(__xludf.DUMMYFUNCTION("""COMPUTED_VALUE"""),"SATYAM REMEDIES")</f>
        <v>SATYAM REMEDIES</v>
      </c>
    </row>
    <row r="2847" ht="16.5" customHeight="1">
      <c r="H2847" s="1" t="str">
        <f>IFERROR(__xludf.DUMMYFUNCTION("""COMPUTED_VALUE"""),"SAVA MEDICA LTD")</f>
        <v>SAVA MEDICA LTD</v>
      </c>
    </row>
    <row r="2848" ht="16.5" customHeight="1">
      <c r="H2848" s="1" t="str">
        <f>IFERROR(__xludf.DUMMYFUNCTION("""COMPUTED_VALUE"""),"SAVESOL PHARMA")</f>
        <v>SAVESOL PHARMA</v>
      </c>
    </row>
    <row r="2849" ht="16.5" customHeight="1">
      <c r="H2849" s="1" t="str">
        <f>IFERROR(__xludf.DUMMYFUNCTION("""COMPUTED_VALUE"""),"SAYRE THERAPEUTICS")</f>
        <v>SAYRE THERAPEUTICS</v>
      </c>
    </row>
    <row r="2850" ht="16.5" customHeight="1">
      <c r="H2850" s="1" t="str">
        <f>IFERROR(__xludf.DUMMYFUNCTION("""COMPUTED_VALUE"""),"SAYUJYA PHARMACEUTICALS")</f>
        <v>SAYUJYA PHARMACEUTICALS</v>
      </c>
    </row>
    <row r="2851" ht="16.5" customHeight="1">
      <c r="H2851" s="1" t="str">
        <f>IFERROR(__xludf.DUMMYFUNCTION("""COMPUTED_VALUE"""),"SB LIFESCIENCE")</f>
        <v>SB LIFESCIENCE</v>
      </c>
    </row>
    <row r="2852" ht="16.5" customHeight="1">
      <c r="H2852" s="1" t="str">
        <f>IFERROR(__xludf.DUMMYFUNCTION("""COMPUTED_VALUE"""),"Sbeed Pharmaceuticals")</f>
        <v>Sbeed Pharmaceuticals</v>
      </c>
    </row>
    <row r="2853" ht="16.5" customHeight="1">
      <c r="H2853" s="1" t="str">
        <f>IFERROR(__xludf.DUMMYFUNCTION("""COMPUTED_VALUE"""),"SBL")</f>
        <v>SBL</v>
      </c>
    </row>
    <row r="2854" ht="16.5" customHeight="1">
      <c r="H2854" s="1" t="str">
        <f>IFERROR(__xludf.DUMMYFUNCTION("""COMPUTED_VALUE"""),"SBS BIOTECH")</f>
        <v>SBS BIOTECH</v>
      </c>
    </row>
    <row r="2855" ht="16.5" customHeight="1">
      <c r="H2855" s="1" t="str">
        <f>IFERROR(__xludf.DUMMYFUNCTION("""COMPUTED_VALUE"""),"SCALA PHARMACEUTICALS")</f>
        <v>SCALA PHARMACEUTICALS</v>
      </c>
    </row>
    <row r="2856" ht="16.5" customHeight="1">
      <c r="H2856" s="1" t="str">
        <f>IFERROR(__xludf.DUMMYFUNCTION("""COMPUTED_VALUE"""),"SCHNELLER HEATHCARE")</f>
        <v>SCHNELLER HEATHCARE</v>
      </c>
    </row>
    <row r="2857" ht="16.5" customHeight="1">
      <c r="H2857" s="1" t="str">
        <f>IFERROR(__xludf.DUMMYFUNCTION("""COMPUTED_VALUE"""),"SCHON PHARMACEUTICALS LTD")</f>
        <v>SCHON PHARMACEUTICALS LTD</v>
      </c>
    </row>
    <row r="2858" ht="16.5" customHeight="1">
      <c r="H2858" s="1" t="str">
        <f>IFERROR(__xludf.DUMMYFUNCTION("""COMPUTED_VALUE"""),"SCORRTIS PHARMA")</f>
        <v>SCORRTIS PHARMA</v>
      </c>
    </row>
    <row r="2859" ht="16.5" customHeight="1">
      <c r="H2859" s="1" t="str">
        <f>IFERROR(__xludf.DUMMYFUNCTION("""COMPUTED_VALUE"""),"SCOT DERMA PVT LTD")</f>
        <v>SCOT DERMA PVT LTD</v>
      </c>
    </row>
    <row r="2860" ht="16.5" customHeight="1">
      <c r="H2860" s="1" t="str">
        <f>IFERROR(__xludf.DUMMYFUNCTION("""COMPUTED_VALUE"""),"Scott Edil Pharmacia Ltd")</f>
        <v>Scott Edil Pharmacia Ltd</v>
      </c>
    </row>
    <row r="2861" ht="16.5" customHeight="1">
      <c r="H2861" s="1" t="str">
        <f>IFERROR(__xludf.DUMMYFUNCTION("""COMPUTED_VALUE"""),"SCUTONIX LIFESCIENCES PVT LTD")</f>
        <v>SCUTONIX LIFESCIENCES PVT LTD</v>
      </c>
    </row>
    <row r="2862" ht="16.5" customHeight="1">
      <c r="H2862" s="1" t="str">
        <f>IFERROR(__xludf.DUMMYFUNCTION("""COMPUTED_VALUE"""),"SDD TORIC")</f>
        <v>SDD TORIC</v>
      </c>
    </row>
    <row r="2863" ht="16.5" customHeight="1">
      <c r="H2863" s="1" t="str">
        <f>IFERROR(__xludf.DUMMYFUNCTION("""COMPUTED_VALUE"""),"SDS NUTRACEUTICALS")</f>
        <v>SDS NUTRACEUTICALS</v>
      </c>
    </row>
    <row r="2864" ht="16.5" customHeight="1">
      <c r="H2864" s="1" t="str">
        <f>IFERROR(__xludf.DUMMYFUNCTION("""COMPUTED_VALUE"""),"SEAGULL PHARMACEUTICALS PVT LTD")</f>
        <v>SEAGULL PHARMACEUTICALS PVT LTD</v>
      </c>
    </row>
    <row r="2865" ht="16.5" customHeight="1">
      <c r="H2865" s="1" t="str">
        <f>IFERROR(__xludf.DUMMYFUNCTION("""COMPUTED_VALUE"""),"SEARCH CREATION")</f>
        <v>SEARCH CREATION</v>
      </c>
    </row>
    <row r="2866" ht="16.5" customHeight="1">
      <c r="H2866" s="1" t="str">
        <f>IFERROR(__xludf.DUMMYFUNCTION("""COMPUTED_VALUE"""),"SEARUB")</f>
        <v>SEARUB</v>
      </c>
    </row>
    <row r="2867" ht="16.5" customHeight="1">
      <c r="H2867" s="1" t="str">
        <f>IFERROR(__xludf.DUMMYFUNCTION("""COMPUTED_VALUE"""),"SEEMA INTERNATIONAL")</f>
        <v>SEEMA INTERNATIONAL</v>
      </c>
    </row>
    <row r="2868" ht="16.5" customHeight="1">
      <c r="H2868" s="1" t="str">
        <f>IFERROR(__xludf.DUMMYFUNCTION("""COMPUTED_VALUE"""),"SEGMENT CARE")</f>
        <v>SEGMENT CARE</v>
      </c>
    </row>
    <row r="2869" ht="16.5" customHeight="1">
      <c r="H2869" s="1" t="str">
        <f>IFERROR(__xludf.DUMMYFUNCTION("""COMPUTED_VALUE"""),"SELVADOR LTD")</f>
        <v>SELVADOR LTD</v>
      </c>
    </row>
    <row r="2870" ht="16.5" customHeight="1">
      <c r="H2870" s="1" t="str">
        <f>IFERROR(__xludf.DUMMYFUNCTION("""COMPUTED_VALUE"""),"SELWAY LIFE SCIENCES PVT LTD")</f>
        <v>SELWAY LIFE SCIENCES PVT LTD</v>
      </c>
    </row>
    <row r="2871" ht="16.5" customHeight="1">
      <c r="H2871" s="1" t="str">
        <f>IFERROR(__xludf.DUMMYFUNCTION("""COMPUTED_VALUE"""),"SENATE LABORATORIES ROORKE")</f>
        <v>SENATE LABORATORIES ROORKE</v>
      </c>
    </row>
    <row r="2872" ht="16.5" customHeight="1">
      <c r="H2872" s="1" t="str">
        <f>IFERROR(__xludf.DUMMYFUNCTION("""COMPUTED_VALUE"""),"SENCARE LIFE SCIENCES")</f>
        <v>SENCARE LIFE SCIENCES</v>
      </c>
    </row>
    <row r="2873" ht="16.5" customHeight="1">
      <c r="H2873" s="1" t="str">
        <f>IFERROR(__xludf.DUMMYFUNCTION("""COMPUTED_VALUE"""),"SENEN BIOTECH")</f>
        <v>SENEN BIOTECH</v>
      </c>
    </row>
    <row r="2874" ht="16.5" customHeight="1">
      <c r="H2874" s="1" t="str">
        <f>IFERROR(__xludf.DUMMYFUNCTION("""COMPUTED_VALUE"""),"SENERA ESSENTIALS")</f>
        <v>SENERA ESSENTIALS</v>
      </c>
    </row>
    <row r="2875" ht="16.5" customHeight="1">
      <c r="H2875" s="1" t="str">
        <f>IFERROR(__xludf.DUMMYFUNCTION("""COMPUTED_VALUE"""),"SENERA ETHICAL")</f>
        <v>SENERA ETHICAL</v>
      </c>
    </row>
    <row r="2876" ht="16.5" customHeight="1">
      <c r="H2876" s="1" t="str">
        <f>IFERROR(__xludf.DUMMYFUNCTION("""COMPUTED_VALUE"""),"SENSES PHARMACEUTICALS")</f>
        <v>SENSES PHARMACEUTICALS</v>
      </c>
    </row>
    <row r="2877" ht="16.5" customHeight="1">
      <c r="H2877" s="1" t="str">
        <f>IFERROR(__xludf.DUMMYFUNCTION("""COMPUTED_VALUE"""),"SENTISS PHARMA")</f>
        <v>SENTISS PHARMA</v>
      </c>
    </row>
    <row r="2878" ht="16.5" customHeight="1">
      <c r="H2878" s="1" t="str">
        <f>IFERROR(__xludf.DUMMYFUNCTION("""COMPUTED_VALUE"""),"SENTRO PHARMA &amp; HEALTH CARE LLP")</f>
        <v>SENTRO PHARMA &amp; HEALTH CARE LLP</v>
      </c>
    </row>
    <row r="2879" ht="16.5" customHeight="1">
      <c r="H2879" s="1" t="str">
        <f>IFERROR(__xludf.DUMMYFUNCTION("""COMPUTED_VALUE"""),"SEPTALYST LIFESCIENCES (CNS)")</f>
        <v>SEPTALYST LIFESCIENCES (CNS)</v>
      </c>
    </row>
    <row r="2880" ht="16.5" customHeight="1">
      <c r="H2880" s="1" t="str">
        <f>IFERROR(__xludf.DUMMYFUNCTION("""COMPUTED_VALUE"""),"SEPTALYST LIFESCIENCES (NEPHRO)")</f>
        <v>SEPTALYST LIFESCIENCES (NEPHRO)</v>
      </c>
    </row>
    <row r="2881" ht="16.5" customHeight="1">
      <c r="H2881" s="1" t="str">
        <f>IFERROR(__xludf.DUMMYFUNCTION("""COMPUTED_VALUE"""),"Septalyst Lifesciences Pvt. Ltd")</f>
        <v>Septalyst Lifesciences Pvt. Ltd</v>
      </c>
    </row>
    <row r="2882" ht="16.5" customHeight="1">
      <c r="H2882" s="1" t="str">
        <f>IFERROR(__xludf.DUMMYFUNCTION("""COMPUTED_VALUE"""),"Serdia Pharmaceuticals India Pvt Ltd")</f>
        <v>Serdia Pharmaceuticals India Pvt Ltd</v>
      </c>
    </row>
    <row r="2883" ht="16.5" customHeight="1">
      <c r="H2883" s="1" t="str">
        <f>IFERROR(__xludf.DUMMYFUNCTION("""COMPUTED_VALUE"""),"SERUM BIOTECH LTD")</f>
        <v>SERUM BIOTECH LTD</v>
      </c>
    </row>
    <row r="2884" ht="16.5" customHeight="1">
      <c r="H2884" s="1" t="str">
        <f>IFERROR(__xludf.DUMMYFUNCTION("""COMPUTED_VALUE"""),"Serum Institute Of India Ltd")</f>
        <v>Serum Institute Of India Ltd</v>
      </c>
    </row>
    <row r="2885" ht="16.5" customHeight="1">
      <c r="H2885" s="1" t="str">
        <f>IFERROR(__xludf.DUMMYFUNCTION("""COMPUTED_VALUE"""),"SERVETUS")</f>
        <v>SERVETUS</v>
      </c>
    </row>
    <row r="2886" ht="16.5" customHeight="1">
      <c r="H2886" s="1" t="str">
        <f>IFERROR(__xludf.DUMMYFUNCTION("""COMPUTED_VALUE"""),"SERWINA PHARMACEUTICALS (GENERIC)")</f>
        <v>SERWINA PHARMACEUTICALS (GENERIC)</v>
      </c>
    </row>
    <row r="2887" ht="16.5" customHeight="1">
      <c r="H2887" s="1" t="str">
        <f>IFERROR(__xludf.DUMMYFUNCTION("""COMPUTED_VALUE"""),"SESDERMA INDIA PVT LTD")</f>
        <v>SESDERMA INDIA PVT LTD</v>
      </c>
    </row>
    <row r="2888" ht="16.5" customHeight="1">
      <c r="H2888" s="1" t="str">
        <f>IFERROR(__xludf.DUMMYFUNCTION("""COMPUTED_VALUE"""),"SEVA HEALTHCARE(P)LTD")</f>
        <v>SEVA HEALTHCARE(P)LTD</v>
      </c>
    </row>
    <row r="2889" ht="16.5" customHeight="1">
      <c r="H2889" s="1" t="str">
        <f>IFERROR(__xludf.DUMMYFUNCTION("""COMPUTED_VALUE"""),"SEVEN BIOSCIENCES")</f>
        <v>SEVEN BIOSCIENCES</v>
      </c>
    </row>
    <row r="2890" ht="16.5" customHeight="1">
      <c r="H2890" s="1" t="str">
        <f>IFERROR(__xludf.DUMMYFUNCTION("""COMPUTED_VALUE"""),"SEVEN SEAS")</f>
        <v>SEVEN SEAS</v>
      </c>
    </row>
    <row r="2891" ht="16.5" customHeight="1">
      <c r="H2891" s="1" t="str">
        <f>IFERROR(__xludf.DUMMYFUNCTION("""COMPUTED_VALUE"""),"SEVENHILLS LIFESCIENCES")</f>
        <v>SEVENHILLS LIFESCIENCES</v>
      </c>
    </row>
    <row r="2892" ht="16.5" customHeight="1">
      <c r="H2892" s="1" t="str">
        <f>IFERROR(__xludf.DUMMYFUNCTION("""COMPUTED_VALUE"""),"SG LIFECARE")</f>
        <v>SG LIFECARE</v>
      </c>
    </row>
    <row r="2893" ht="16.5" customHeight="1">
      <c r="H2893" s="1" t="str">
        <f>IFERROR(__xludf.DUMMYFUNCTION("""COMPUTED_VALUE"""),"SG PHARMA")</f>
        <v>SG PHARMA</v>
      </c>
    </row>
    <row r="2894" ht="16.5" customHeight="1">
      <c r="H2894" s="1" t="str">
        <f>IFERROR(__xludf.DUMMYFUNCTION("""COMPUTED_VALUE"""),"SG PHYTO PHARMA P LTD")</f>
        <v>SG PHYTO PHARMA P LTD</v>
      </c>
    </row>
    <row r="2895" ht="16.5" customHeight="1">
      <c r="H2895" s="1" t="str">
        <f>IFERROR(__xludf.DUMMYFUNCTION("""COMPUTED_VALUE"""),"SGS")</f>
        <v>SGS</v>
      </c>
    </row>
    <row r="2896" ht="16.5" customHeight="1">
      <c r="H2896" s="1" t="str">
        <f>IFERROR(__xludf.DUMMYFUNCTION("""COMPUTED_VALUE"""),"SH PHARMACEUTICALS LTD")</f>
        <v>SH PHARMACEUTICALS LTD</v>
      </c>
    </row>
    <row r="2897" ht="16.5" customHeight="1">
      <c r="H2897" s="1" t="str">
        <f>IFERROR(__xludf.DUMMYFUNCTION("""COMPUTED_VALUE"""),"SHALMAN PHARMACEUTICAL")</f>
        <v>SHALMAN PHARMACEUTICAL</v>
      </c>
    </row>
    <row r="2898" ht="16.5" customHeight="1">
      <c r="H2898" s="1" t="str">
        <f>IFERROR(__xludf.DUMMYFUNCTION("""COMPUTED_VALUE"""),"SHAMAC HEALTHCARE")</f>
        <v>SHAMAC HEALTHCARE</v>
      </c>
    </row>
    <row r="2899" ht="16.5" customHeight="1">
      <c r="H2899" s="1" t="str">
        <f>IFERROR(__xludf.DUMMYFUNCTION("""COMPUTED_VALUE"""),"SHANKHIN HEALTHCARE")</f>
        <v>SHANKHIN HEALTHCARE</v>
      </c>
    </row>
    <row r="2900" ht="16.5" customHeight="1">
      <c r="H2900" s="1" t="str">
        <f>IFERROR(__xludf.DUMMYFUNCTION("""COMPUTED_VALUE"""),"SHANKUS ACME PHARMA")</f>
        <v>SHANKUS ACME PHARMA</v>
      </c>
    </row>
    <row r="2901" ht="16.5" customHeight="1">
      <c r="H2901" s="1" t="str">
        <f>IFERROR(__xludf.DUMMYFUNCTION("""COMPUTED_VALUE"""),"SHANTA BIOTECH LTD")</f>
        <v>SHANTA BIOTECH LTD</v>
      </c>
    </row>
    <row r="2902" ht="16.5" customHeight="1">
      <c r="H2902" s="1" t="str">
        <f>IFERROR(__xludf.DUMMYFUNCTION("""COMPUTED_VALUE"""),"SHARANGDHAR")</f>
        <v>SHARANGDHAR</v>
      </c>
    </row>
    <row r="2903" ht="16.5" customHeight="1">
      <c r="H2903" s="1" t="str">
        <f>IFERROR(__xludf.DUMMYFUNCTION("""COMPUTED_VALUE"""),"SHARMAYU AYURVED BHAWAN")</f>
        <v>SHARMAYU AYURVED BHAWAN</v>
      </c>
    </row>
    <row r="2904" ht="16.5" customHeight="1">
      <c r="H2904" s="1" t="str">
        <f>IFERROR(__xludf.DUMMYFUNCTION("""COMPUTED_VALUE"""),"SHE BIOLOGICALS")</f>
        <v>SHE BIOLOGICALS</v>
      </c>
    </row>
    <row r="2905" ht="16.5" customHeight="1">
      <c r="H2905" s="1" t="str">
        <f>IFERROR(__xludf.DUMMYFUNCTION("""COMPUTED_VALUE"""),"SHEBA INDUSTRIES")</f>
        <v>SHEBA INDUSTRIES</v>
      </c>
    </row>
    <row r="2906" ht="16.5" customHeight="1">
      <c r="H2906" s="1" t="str">
        <f>IFERROR(__xludf.DUMMYFUNCTION("""COMPUTED_VALUE"""),"SHERINGS")</f>
        <v>SHERINGS</v>
      </c>
    </row>
    <row r="2907" ht="16.5" customHeight="1">
      <c r="H2907" s="1" t="str">
        <f>IFERROR(__xludf.DUMMYFUNCTION("""COMPUTED_VALUE"""),"SHETH BROS.")</f>
        <v>SHETH BROS.</v>
      </c>
    </row>
    <row r="2908" ht="16.5" customHeight="1">
      <c r="H2908" s="1" t="str">
        <f>IFERROR(__xludf.DUMMYFUNCTION("""COMPUTED_VALUE"""),"SHIELD HEALTH CARE PVT LTD")</f>
        <v>SHIELD HEALTH CARE PVT LTD</v>
      </c>
    </row>
    <row r="2909" ht="16.5" customHeight="1">
      <c r="H2909" s="1" t="str">
        <f>IFERROR(__xludf.DUMMYFUNCTION("""COMPUTED_VALUE"""),"SHILPA MEDICARE LTD")</f>
        <v>SHILPA MEDICARE LTD</v>
      </c>
    </row>
    <row r="2910" ht="16.5" customHeight="1">
      <c r="H2910" s="1" t="str">
        <f>IFERROR(__xludf.DUMMYFUNCTION("""COMPUTED_VALUE"""),"SHILPACHEM INDUSTRIES")</f>
        <v>SHILPACHEM INDUSTRIES</v>
      </c>
    </row>
    <row r="2911" ht="16.5" customHeight="1">
      <c r="H2911" s="1" t="str">
        <f>IFERROR(__xludf.DUMMYFUNCTION("""COMPUTED_VALUE"""),"Shine Pharmaceuticals Ltd")</f>
        <v>Shine Pharmaceuticals Ltd</v>
      </c>
    </row>
    <row r="2912" ht="16.5" customHeight="1">
      <c r="H2912" s="1" t="str">
        <f>IFERROR(__xludf.DUMMYFUNCTION("""COMPUTED_VALUE"""),"SHINTO ORGANICS")</f>
        <v>SHINTO ORGANICS</v>
      </c>
    </row>
    <row r="2913" ht="16.5" customHeight="1">
      <c r="H2913" s="1" t="str">
        <f>IFERROR(__xludf.DUMMYFUNCTION("""COMPUTED_VALUE"""),"SHIVANI COTTON")</f>
        <v>SHIVANI COTTON</v>
      </c>
    </row>
    <row r="2914" ht="16.5" customHeight="1">
      <c r="H2914" s="1" t="str">
        <f>IFERROR(__xludf.DUMMYFUNCTION("""COMPUTED_VALUE"""),"SHIVAYU HERBAL CARE")</f>
        <v>SHIVAYU HERBAL CARE</v>
      </c>
    </row>
    <row r="2915" ht="16.5" customHeight="1">
      <c r="H2915" s="1" t="str">
        <f>IFERROR(__xludf.DUMMYFUNCTION("""COMPUTED_VALUE"""),"SHIVAYUR HEALTHCARE (GENERIC)")</f>
        <v>SHIVAYUR HEALTHCARE (GENERIC)</v>
      </c>
    </row>
    <row r="2916" ht="16.5" customHeight="1">
      <c r="H2916" s="1" t="str">
        <f>IFERROR(__xludf.DUMMYFUNCTION("""COMPUTED_VALUE"""),"SHL")</f>
        <v>SHL</v>
      </c>
    </row>
    <row r="2917" ht="16.5" customHeight="1">
      <c r="H2917" s="1" t="str">
        <f>IFERROR(__xludf.DUMMYFUNCTION("""COMPUTED_VALUE"""),"Shree Baidyanath Ayurved Bhawan Pvt Ltd")</f>
        <v>Shree Baidyanath Ayurved Bhawan Pvt Ltd</v>
      </c>
    </row>
    <row r="2918" ht="16.5" customHeight="1">
      <c r="H2918" s="1" t="str">
        <f>IFERROR(__xludf.DUMMYFUNCTION("""COMPUTED_VALUE"""),"SHREE DHANWANTRI HERBALS")</f>
        <v>SHREE DHANWANTRI HERBALS</v>
      </c>
    </row>
    <row r="2919" ht="16.5" customHeight="1">
      <c r="H2919" s="1" t="str">
        <f>IFERROR(__xludf.DUMMYFUNCTION("""COMPUTED_VALUE"""),"SHREE GANESH PHARMACEUTICALS")</f>
        <v>SHREE GANESH PHARMACEUTICALS</v>
      </c>
    </row>
    <row r="2920" ht="16.5" customHeight="1">
      <c r="H2920" s="1" t="str">
        <f>IFERROR(__xludf.DUMMYFUNCTION("""COMPUTED_VALUE"""),"SHREE KRISHNA PHARMACEUTICALS")</f>
        <v>SHREE KRISHNA PHARMACEUTICALS</v>
      </c>
    </row>
    <row r="2921" ht="16.5" customHeight="1">
      <c r="H2921" s="1" t="str">
        <f>IFERROR(__xludf.DUMMYFUNCTION("""COMPUTED_VALUE"""),"SHREE MARUTI HERBAL")</f>
        <v>SHREE MARUTI HERBAL</v>
      </c>
    </row>
    <row r="2922" ht="16.5" customHeight="1">
      <c r="H2922" s="1" t="str">
        <f>IFERROR(__xludf.DUMMYFUNCTION("""COMPUTED_VALUE"""),"SHREE NATH PHARMACEUTICALS LTD")</f>
        <v>SHREE NATH PHARMACEUTICALS LTD</v>
      </c>
    </row>
    <row r="2923" ht="16.5" customHeight="1">
      <c r="H2923" s="1" t="str">
        <f>IFERROR(__xludf.DUMMYFUNCTION("""COMPUTED_VALUE"""),"SHREE NUTRITIONS VIDHYAVIH")</f>
        <v>SHREE NUTRITIONS VIDHYAVIH</v>
      </c>
    </row>
    <row r="2924" ht="16.5" customHeight="1">
      <c r="H2924" s="1" t="str">
        <f>IFERROR(__xludf.DUMMYFUNCTION("""COMPUTED_VALUE"""),"SHREE SHARMA AYURVED MANDIR")</f>
        <v>SHREE SHARMA AYURVED MANDIR</v>
      </c>
    </row>
    <row r="2925" ht="16.5" customHeight="1">
      <c r="H2925" s="1" t="str">
        <f>IFERROR(__xludf.DUMMYFUNCTION("""COMPUTED_VALUE"""),"SHREE SIDDHA AYURVED &amp; RESEARCH")</f>
        <v>SHREE SIDDHA AYURVED &amp; RESEARCH</v>
      </c>
    </row>
    <row r="2926" ht="16.5" customHeight="1">
      <c r="H2926" s="1" t="str">
        <f>IFERROR(__xludf.DUMMYFUNCTION("""COMPUTED_VALUE"""),"SHREE SITARAGHAVA VAIDYASALA")</f>
        <v>SHREE SITARAGHAVA VAIDYASALA</v>
      </c>
    </row>
    <row r="2927" ht="16.5" customHeight="1">
      <c r="H2927" s="1" t="str">
        <f>IFERROR(__xludf.DUMMYFUNCTION("""COMPUTED_VALUE"""),"SHREEJI AGENCY (OMP)")</f>
        <v>SHREEJI AGENCY (OMP)</v>
      </c>
    </row>
    <row r="2928" ht="16.5" customHeight="1">
      <c r="H2928" s="1" t="str">
        <f>IFERROR(__xludf.DUMMYFUNCTION("""COMPUTED_VALUE"""),"SHREEM DRUGS P LTD")</f>
        <v>SHREEM DRUGS P LTD</v>
      </c>
    </row>
    <row r="2929" ht="16.5" customHeight="1">
      <c r="H2929" s="1" t="str">
        <f>IFERROR(__xludf.DUMMYFUNCTION("""COMPUTED_VALUE"""),"SHREEYAM HEALTH CARE")</f>
        <v>SHREEYAM HEALTH CARE</v>
      </c>
    </row>
    <row r="2930" ht="16.5" customHeight="1">
      <c r="H2930" s="1" t="str">
        <f>IFERROR(__xludf.DUMMYFUNCTION("""COMPUTED_VALUE"""),"Shreeyam Healthcare")</f>
        <v>Shreeyam Healthcare</v>
      </c>
    </row>
    <row r="2931" ht="16.5" customHeight="1">
      <c r="H2931" s="1" t="str">
        <f>IFERROR(__xludf.DUMMYFUNCTION("""COMPUTED_VALUE"""),"Shrey Nutraceuticals &amp; Herbals Pvt Ltd")</f>
        <v>Shrey Nutraceuticals &amp; Herbals Pvt Ltd</v>
      </c>
    </row>
    <row r="2932" ht="16.5" customHeight="1">
      <c r="H2932" s="1" t="str">
        <f>IFERROR(__xludf.DUMMYFUNCTION("""COMPUTED_VALUE"""),"Shreya Life Sciences Pvt Ltd")</f>
        <v>Shreya Life Sciences Pvt Ltd</v>
      </c>
    </row>
    <row r="2933" ht="16.5" customHeight="1">
      <c r="H2933" s="1" t="str">
        <f>IFERROR(__xludf.DUMMYFUNCTION("""COMPUTED_VALUE"""),"SHRI AYURVED SEVA SADAN")</f>
        <v>SHRI AYURVED SEVA SADAN</v>
      </c>
    </row>
    <row r="2934" ht="16.5" customHeight="1">
      <c r="H2934" s="1" t="str">
        <f>IFERROR(__xludf.DUMMYFUNCTION("""COMPUTED_VALUE"""),"SHRINIVAS (ESSENTIAL)")</f>
        <v>SHRINIVAS (ESSENTIAL)</v>
      </c>
    </row>
    <row r="2935" ht="16.5" customHeight="1">
      <c r="H2935" s="1" t="str">
        <f>IFERROR(__xludf.DUMMYFUNCTION("""COMPUTED_VALUE"""),"SHRINIVAS (GUJRAT) LABORATORIES")</f>
        <v>SHRINIVAS (GUJRAT) LABORATORIES</v>
      </c>
    </row>
    <row r="2936" ht="16.5" customHeight="1">
      <c r="H2936" s="1" t="str">
        <f>IFERROR(__xludf.DUMMYFUNCTION("""COMPUTED_VALUE"""),"SIDDHAYU")</f>
        <v>SIDDHAYU</v>
      </c>
    </row>
    <row r="2937" ht="16.5" customHeight="1">
      <c r="H2937" s="1" t="str">
        <f>IFERROR(__xludf.DUMMYFUNCTION("""COMPUTED_VALUE"""),"SIENNA FORMULATIONS")</f>
        <v>SIENNA FORMULATIONS</v>
      </c>
    </row>
    <row r="2938" ht="16.5" customHeight="1">
      <c r="H2938" s="1" t="str">
        <f>IFERROR(__xludf.DUMMYFUNCTION("""COMPUTED_VALUE"""),"SIESTA PHARMA")</f>
        <v>SIESTA PHARMA</v>
      </c>
    </row>
    <row r="2939" ht="16.5" customHeight="1">
      <c r="H2939" s="1" t="str">
        <f>IFERROR(__xludf.DUMMYFUNCTION("""COMPUTED_VALUE"""),"SIFCO PHARMA")</f>
        <v>SIFCO PHARMA</v>
      </c>
    </row>
    <row r="2940" ht="16.5" customHeight="1">
      <c r="H2940" s="1" t="str">
        <f>IFERROR(__xludf.DUMMYFUNCTION("""COMPUTED_VALUE"""),"SIGMA LABORATORIES")</f>
        <v>SIGMA LABORATORIES</v>
      </c>
    </row>
    <row r="2941" ht="16.5" customHeight="1">
      <c r="H2941" s="1" t="str">
        <f>IFERROR(__xludf.DUMMYFUNCTION("""COMPUTED_VALUE"""),"SIGMAN WELLNESS")</f>
        <v>SIGMAN WELLNESS</v>
      </c>
    </row>
    <row r="2942" ht="16.5" customHeight="1">
      <c r="H2942" s="1" t="str">
        <f>IFERROR(__xludf.DUMMYFUNCTION("""COMPUTED_VALUE"""),"Sigmund Promedica")</f>
        <v>Sigmund Promedica</v>
      </c>
    </row>
    <row r="2943" ht="16.5" customHeight="1">
      <c r="H2943" s="1" t="str">
        <f>IFERROR(__xludf.DUMMYFUNCTION("""COMPUTED_VALUE"""),"SIGNITY PHARMACEUTICALS")</f>
        <v>SIGNITY PHARMACEUTICALS</v>
      </c>
    </row>
    <row r="2944" ht="16.5" customHeight="1">
      <c r="H2944" s="1" t="str">
        <f>IFERROR(__xludf.DUMMYFUNCTION("""COMPUTED_VALUE"""),"Signova Pharma Pvt Ltd")</f>
        <v>Signova Pharma Pvt Ltd</v>
      </c>
    </row>
    <row r="2945" ht="16.5" customHeight="1">
      <c r="H2945" s="1" t="str">
        <f>IFERROR(__xludf.DUMMYFUNCTION("""COMPUTED_VALUE"""),"SIGNUTRA INC")</f>
        <v>SIGNUTRA INC</v>
      </c>
    </row>
    <row r="2946" ht="16.5" customHeight="1">
      <c r="H2946" s="1" t="str">
        <f>IFERROR(__xludf.DUMMYFUNCTION("""COMPUTED_VALUE"""),"SIMCO ORGANICS")</f>
        <v>SIMCO ORGANICS</v>
      </c>
    </row>
    <row r="2947" ht="16.5" customHeight="1">
      <c r="H2947" s="1" t="str">
        <f>IFERROR(__xludf.DUMMYFUNCTION("""COMPUTED_VALUE"""),"SIMPLY SATVIK")</f>
        <v>SIMPLY SATVIK</v>
      </c>
    </row>
    <row r="2948" ht="16.5" customHeight="1">
      <c r="H2948" s="1" t="str">
        <f>IFERROR(__xludf.DUMMYFUNCTION("""COMPUTED_VALUE"""),"SINGHAL PHARMA")</f>
        <v>SINGHAL PHARMA</v>
      </c>
    </row>
    <row r="2949" ht="16.5" customHeight="1">
      <c r="H2949" s="1" t="str">
        <f>IFERROR(__xludf.DUMMYFUNCTION("""COMPUTED_VALUE"""),"SINSAN PHARMACEUTICALS")</f>
        <v>SINSAN PHARMACEUTICALS</v>
      </c>
    </row>
    <row r="2950" ht="16.5" customHeight="1">
      <c r="H2950" s="1" t="str">
        <f>IFERROR(__xludf.DUMMYFUNCTION("""COMPUTED_VALUE"""),"SIXTH SENSE PHARMACEUTICALS")</f>
        <v>SIXTH SENSE PHARMACEUTICALS</v>
      </c>
    </row>
    <row r="2951" ht="16.5" customHeight="1">
      <c r="H2951" s="1" t="str">
        <f>IFERROR(__xludf.DUMMYFUNCTION("""COMPUTED_VALUE"""),"SKIN SCIENCE")</f>
        <v>SKIN SCIENCE</v>
      </c>
    </row>
    <row r="2952" ht="16.5" customHeight="1">
      <c r="H2952" s="1" t="str">
        <f>IFERROR(__xludf.DUMMYFUNCTION("""COMPUTED_VALUE"""),"SKINWAVE INDIA")</f>
        <v>SKINWAVE INDIA</v>
      </c>
    </row>
    <row r="2953" ht="16.5" customHeight="1">
      <c r="H2953" s="1" t="str">
        <f>IFERROR(__xludf.DUMMYFUNCTION("""COMPUTED_VALUE"""),"SKN ORGANICS")</f>
        <v>SKN ORGANICS</v>
      </c>
    </row>
    <row r="2954" ht="16.5" customHeight="1">
      <c r="H2954" s="1" t="str">
        <f>IFERROR(__xludf.DUMMYFUNCTION("""COMPUTED_VALUE"""),"SKY VISION PHARMA PVT LTD")</f>
        <v>SKY VISION PHARMA PVT LTD</v>
      </c>
    </row>
    <row r="2955" ht="16.5" customHeight="1">
      <c r="H2955" s="1" t="str">
        <f>IFERROR(__xludf.DUMMYFUNCTION("""COMPUTED_VALUE"""),"SKYVISION")</f>
        <v>SKYVISION</v>
      </c>
    </row>
    <row r="2956" ht="16.5" customHeight="1">
      <c r="H2956" s="1" t="str">
        <f>IFERROR(__xludf.DUMMYFUNCTION("""COMPUTED_VALUE"""),"SL  TORIC")</f>
        <v>SL  TORIC</v>
      </c>
    </row>
    <row r="2957" ht="16.5" customHeight="1">
      <c r="H2957" s="1" t="str">
        <f>IFERROR(__xludf.DUMMYFUNCTION("""COMPUTED_VALUE"""),"SLANEY HEALTHCARE")</f>
        <v>SLANEY HEALTHCARE</v>
      </c>
    </row>
    <row r="2958" ht="16.5" customHeight="1">
      <c r="H2958" s="1" t="str">
        <f>IFERROR(__xludf.DUMMYFUNCTION("""COMPUTED_VALUE"""),"SMART LABORATORIES (CONVEX)")</f>
        <v>SMART LABORATORIES (CONVEX)</v>
      </c>
    </row>
    <row r="2959" ht="16.5" customHeight="1">
      <c r="H2959" s="1" t="str">
        <f>IFERROR(__xludf.DUMMYFUNCTION("""COMPUTED_VALUE"""),"SMITHSONS LIFE SCIENCE")</f>
        <v>SMITHSONS LIFE SCIENCE</v>
      </c>
    </row>
    <row r="2960" ht="16.5" customHeight="1">
      <c r="H2960" s="1" t="str">
        <f>IFERROR(__xludf.DUMMYFUNCTION("""COMPUTED_VALUE"""),"SNDAR")</f>
        <v>SNDAR</v>
      </c>
    </row>
    <row r="2961" ht="16.5" customHeight="1">
      <c r="H2961" s="1" t="str">
        <f>IFERROR(__xludf.DUMMYFUNCTION("""COMPUTED_VALUE"""),"SNERVOTEC PHARMACIUTICAL B")</f>
        <v>SNERVOTEC PHARMACIUTICAL B</v>
      </c>
    </row>
    <row r="2962" ht="16.5" customHeight="1">
      <c r="H2962" s="1" t="str">
        <f>IFERROR(__xludf.DUMMYFUNCTION("""COMPUTED_VALUE"""),"SNERVOTEC PHARMACUTICAL")</f>
        <v>SNERVOTEC PHARMACUTICAL</v>
      </c>
    </row>
    <row r="2963" ht="16.5" customHeight="1">
      <c r="H2963" s="1" t="str">
        <f>IFERROR(__xludf.DUMMYFUNCTION("""COMPUTED_VALUE"""),"SOCRUS PHARMACUTICAL")</f>
        <v>SOCRUS PHARMACUTICAL</v>
      </c>
    </row>
    <row r="2964" ht="16.5" customHeight="1">
      <c r="H2964" s="1" t="str">
        <f>IFERROR(__xludf.DUMMYFUNCTION("""COMPUTED_VALUE"""),"SOFLENS DAILY DISP")</f>
        <v>SOFLENS DAILY DISP</v>
      </c>
    </row>
    <row r="2965" ht="16.5" customHeight="1">
      <c r="H2965" s="1" t="str">
        <f>IFERROR(__xludf.DUMMYFUNCTION("""COMPUTED_VALUE"""),"SOFT MEDICAPS")</f>
        <v>SOFT MEDICAPS</v>
      </c>
    </row>
    <row r="2966" ht="16.5" customHeight="1">
      <c r="H2966" s="1" t="str">
        <f>IFERROR(__xludf.DUMMYFUNCTION("""COMPUTED_VALUE"""),"Sol Derma")</f>
        <v>Sol Derma</v>
      </c>
    </row>
    <row r="2967" ht="16.5" customHeight="1">
      <c r="H2967" s="1" t="str">
        <f>IFERROR(__xludf.DUMMYFUNCTION("""COMPUTED_VALUE"""),"SOLACE (CARMENTA)")</f>
        <v>SOLACE (CARMENTA)</v>
      </c>
    </row>
    <row r="2968" ht="16.5" customHeight="1">
      <c r="H2968" s="1" t="str">
        <f>IFERROR(__xludf.DUMMYFUNCTION("""COMPUTED_VALUE"""),"SOLACE (DENTAL)")</f>
        <v>SOLACE (DENTAL)</v>
      </c>
    </row>
    <row r="2969" ht="16.5" customHeight="1">
      <c r="H2969" s="1" t="str">
        <f>IFERROR(__xludf.DUMMYFUNCTION("""COMPUTED_VALUE"""),"SOLACE (EOS)")</f>
        <v>SOLACE (EOS)</v>
      </c>
    </row>
    <row r="2970" ht="16.5" customHeight="1">
      <c r="H2970" s="1" t="str">
        <f>IFERROR(__xludf.DUMMYFUNCTION("""COMPUTED_VALUE"""),"SOLACE (NUTRITION NEXT )")</f>
        <v>SOLACE (NUTRITION NEXT )</v>
      </c>
    </row>
    <row r="2971" ht="16.5" customHeight="1">
      <c r="H2971" s="1" t="str">
        <f>IFERROR(__xludf.DUMMYFUNCTION("""COMPUTED_VALUE"""),"SOLACE (NUTRITION NEXT)")</f>
        <v>SOLACE (NUTRITION NEXT)</v>
      </c>
    </row>
    <row r="2972" ht="16.5" customHeight="1">
      <c r="H2972" s="1" t="str">
        <f>IFERROR(__xludf.DUMMYFUNCTION("""COMPUTED_VALUE"""),"SOLACE (OSTEO)")</f>
        <v>SOLACE (OSTEO)</v>
      </c>
    </row>
    <row r="2973" ht="16.5" customHeight="1">
      <c r="H2973" s="1" t="str">
        <f>IFERROR(__xludf.DUMMYFUNCTION("""COMPUTED_VALUE"""),"SOLACE (PICCOLO)")</f>
        <v>SOLACE (PICCOLO)</v>
      </c>
    </row>
    <row r="2974" ht="16.5" customHeight="1">
      <c r="H2974" s="1" t="str">
        <f>IFERROR(__xludf.DUMMYFUNCTION("""COMPUTED_VALUE"""),"SOLACE (SOLTECH)")</f>
        <v>SOLACE (SOLTECH)</v>
      </c>
    </row>
    <row r="2975" ht="16.5" customHeight="1">
      <c r="H2975" s="1" t="str">
        <f>IFERROR(__xludf.DUMMYFUNCTION("""COMPUTED_VALUE"""),"Solace Biotech Ltd")</f>
        <v>Solace Biotech Ltd</v>
      </c>
    </row>
    <row r="2976" ht="16.5" customHeight="1">
      <c r="H2976" s="1" t="str">
        <f>IFERROR(__xludf.DUMMYFUNCTION("""COMPUTED_VALUE"""),"SOLEIL INTERNATIONAL")</f>
        <v>SOLEIL INTERNATIONAL</v>
      </c>
    </row>
    <row r="2977" ht="16.5" customHeight="1">
      <c r="H2977" s="1" t="str">
        <f>IFERROR(__xludf.DUMMYFUNCTION("""COMPUTED_VALUE"""),"SOLERA LIFE SCIENCES P LTD")</f>
        <v>SOLERA LIFE SCIENCES P LTD</v>
      </c>
    </row>
    <row r="2978" ht="16.5" customHeight="1">
      <c r="H2978" s="1" t="str">
        <f>IFERROR(__xludf.DUMMYFUNCTION("""COMPUTED_VALUE"""),"SOLOWIN PHARMA")</f>
        <v>SOLOWIN PHARMA</v>
      </c>
    </row>
    <row r="2979" ht="16.5" customHeight="1">
      <c r="H2979" s="1" t="str">
        <f>IFERROR(__xludf.DUMMYFUNCTION("""COMPUTED_VALUE"""),"SOLOZEN LIFESCIENCES")</f>
        <v>SOLOZEN LIFESCIENCES</v>
      </c>
    </row>
    <row r="2980" ht="16.5" customHeight="1">
      <c r="H2980" s="1" t="str">
        <f>IFERROR(__xludf.DUMMYFUNCTION("""COMPUTED_VALUE"""),"Solumiks Piramal Ltd")</f>
        <v>Solumiks Piramal Ltd</v>
      </c>
    </row>
    <row r="2981" ht="16.5" customHeight="1">
      <c r="H2981" s="1" t="str">
        <f>IFERROR(__xludf.DUMMYFUNCTION("""COMPUTED_VALUE"""),"SOLUTION ENTERPRISES PVT LTD")</f>
        <v>SOLUTION ENTERPRISES PVT LTD</v>
      </c>
    </row>
    <row r="2982" ht="16.5" customHeight="1">
      <c r="H2982" s="1" t="str">
        <f>IFERROR(__xludf.DUMMYFUNCTION("""COMPUTED_VALUE"""),"Solvate Laboratries Pvt Ltd")</f>
        <v>Solvate Laboratries Pvt Ltd</v>
      </c>
    </row>
    <row r="2983" ht="16.5" customHeight="1">
      <c r="H2983" s="1" t="str">
        <f>IFERROR(__xludf.DUMMYFUNCTION("""COMPUTED_VALUE"""),"SONAM PHARMA (OTHER PRODUCTS)")</f>
        <v>SONAM PHARMA (OTHER PRODUCTS)</v>
      </c>
    </row>
    <row r="2984" ht="16.5" customHeight="1">
      <c r="H2984" s="1" t="str">
        <f>IFERROR(__xludf.DUMMYFUNCTION("""COMPUTED_VALUE"""),"SONIKA LIFE SCIENCE")</f>
        <v>SONIKA LIFE SCIENCE</v>
      </c>
    </row>
    <row r="2985" ht="16.5" customHeight="1">
      <c r="H2985" s="1" t="str">
        <f>IFERROR(__xludf.DUMMYFUNCTION("""COMPUTED_VALUE"""),"SONTEX ROLLED BANDAGE WORKS")</f>
        <v>SONTEX ROLLED BANDAGE WORKS</v>
      </c>
    </row>
    <row r="2986" ht="16.5" customHeight="1">
      <c r="H2986" s="1" t="str">
        <f>IFERROR(__xludf.DUMMYFUNCTION("""COMPUTED_VALUE"""),"SOUL PHARMA")</f>
        <v>SOUL PHARMA</v>
      </c>
    </row>
    <row r="2987" ht="16.5" customHeight="1">
      <c r="H2987" s="1" t="str">
        <f>IFERROR(__xludf.DUMMYFUNCTION("""COMPUTED_VALUE"""),"SP PHARMACEUTICALS")</f>
        <v>SP PHARMACEUTICALS</v>
      </c>
    </row>
    <row r="2988" ht="16.5" customHeight="1">
      <c r="H2988" s="1" t="str">
        <f>IFERROR(__xludf.DUMMYFUNCTION("""COMPUTED_VALUE"""),"SPA NEWTRACEUTICALS")</f>
        <v>SPA NEWTRACEUTICALS</v>
      </c>
    </row>
    <row r="2989" ht="16.5" customHeight="1">
      <c r="H2989" s="1" t="str">
        <f>IFERROR(__xludf.DUMMYFUNCTION("""COMPUTED_VALUE"""),"SPARK BLESS PHARMA")</f>
        <v>SPARK BLESS PHARMA</v>
      </c>
    </row>
    <row r="2990" ht="16.5" customHeight="1">
      <c r="H2990" s="1" t="str">
        <f>IFERROR(__xludf.DUMMYFUNCTION("""COMPUTED_VALUE"""),"SPECIALITY MEDITECH PVT LTD")</f>
        <v>SPECIALITY MEDITECH PVT LTD</v>
      </c>
    </row>
    <row r="2991" ht="16.5" customHeight="1">
      <c r="H2991" s="1" t="str">
        <f>IFERROR(__xludf.DUMMYFUNCTION("""COMPUTED_VALUE"""),"SPECTRUM PHARMACEUTICAL")</f>
        <v>SPECTRUM PHARMACEUTICAL</v>
      </c>
    </row>
    <row r="2992" ht="16.5" customHeight="1">
      <c r="H2992" s="1" t="str">
        <f>IFERROR(__xludf.DUMMYFUNCTION("""COMPUTED_VALUE"""),"SPEY MEDICAL P LTD")</f>
        <v>SPEY MEDICAL P LTD</v>
      </c>
    </row>
    <row r="2993" ht="16.5" customHeight="1">
      <c r="H2993" s="1" t="str">
        <f>IFERROR(__xludf.DUMMYFUNCTION("""COMPUTED_VALUE"""),"SPLENDID PHARMACEUTICALS")</f>
        <v>SPLENDID PHARMACEUTICALS</v>
      </c>
    </row>
    <row r="2994" ht="16.5" customHeight="1">
      <c r="H2994" s="1" t="str">
        <f>IFERROR(__xludf.DUMMYFUNCTION("""COMPUTED_VALUE"""),"SR PHARMA")</f>
        <v>SR PHARMA</v>
      </c>
    </row>
    <row r="2995" ht="16.5" customHeight="1">
      <c r="H2995" s="1" t="str">
        <f>IFERROR(__xludf.DUMMYFUNCTION("""COMPUTED_VALUE"""),"SRESAN")</f>
        <v>SRESAN</v>
      </c>
    </row>
    <row r="2996" ht="16.5" customHeight="1">
      <c r="H2996" s="1" t="str">
        <f>IFERROR(__xludf.DUMMYFUNCTION("""COMPUTED_VALUE"""),"SRI MAHALAKSHMI TEXTILES")</f>
        <v>SRI MAHALAKSHMI TEXTILES</v>
      </c>
    </row>
    <row r="2997" ht="16.5" customHeight="1">
      <c r="H2997" s="1" t="str">
        <f>IFERROR(__xludf.DUMMYFUNCTION("""COMPUTED_VALUE"""),"SRI SIDDHDATA FARMLAD PVT LTD")</f>
        <v>SRI SIDDHDATA FARMLAD PVT LTD</v>
      </c>
    </row>
    <row r="2998" ht="16.5" customHeight="1">
      <c r="H2998" s="1" t="str">
        <f>IFERROR(__xludf.DUMMYFUNCTION("""COMPUTED_VALUE"""),"ST GABERIEL PHARMACEUTICALS")</f>
        <v>ST GABERIEL PHARMACEUTICALS</v>
      </c>
    </row>
    <row r="2999" ht="16.5" customHeight="1">
      <c r="H2999" s="1" t="str">
        <f>IFERROR(__xludf.DUMMYFUNCTION("""COMPUTED_VALUE"""),"Stadchem Of India")</f>
        <v>Stadchem Of India</v>
      </c>
    </row>
    <row r="3000" ht="16.5" customHeight="1">
      <c r="H3000" s="1" t="str">
        <f>IFERROR(__xludf.DUMMYFUNCTION("""COMPUTED_VALUE"""),"STADIA BIOTECH")</f>
        <v>STADIA BIOTECH</v>
      </c>
    </row>
    <row r="3001" ht="16.5" customHeight="1">
      <c r="H3001" s="1" t="str">
        <f>IFERROR(__xludf.DUMMYFUNCTION("""COMPUTED_VALUE"""),"Stadmed Pvt Ltd")</f>
        <v>Stadmed Pvt Ltd</v>
      </c>
    </row>
    <row r="3002" ht="16.5" customHeight="1">
      <c r="H3002" s="1" t="str">
        <f>IFERROR(__xludf.DUMMYFUNCTION("""COMPUTED_VALUE"""),"Stallion Laboratories Pvt Ltd")</f>
        <v>Stallion Laboratories Pvt Ltd</v>
      </c>
    </row>
    <row r="3003" ht="16.5" customHeight="1">
      <c r="H3003" s="1" t="str">
        <f>IFERROR(__xludf.DUMMYFUNCTION("""COMPUTED_VALUE"""),"STALWART REMEDIES")</f>
        <v>STALWART REMEDIES</v>
      </c>
    </row>
    <row r="3004" ht="16.5" customHeight="1">
      <c r="H3004" s="1" t="str">
        <f>IFERROR(__xludf.DUMMYFUNCTION("""COMPUTED_VALUE"""),"STAMINE")</f>
        <v>STAMINE</v>
      </c>
    </row>
    <row r="3005" ht="16.5" customHeight="1">
      <c r="H3005" s="1" t="str">
        <f>IFERROR(__xludf.DUMMYFUNCTION("""COMPUTED_VALUE"""),"STANMARK PHARMA")</f>
        <v>STANMARK PHARMA</v>
      </c>
    </row>
    <row r="3006" ht="16.5" customHeight="1">
      <c r="H3006" s="1" t="str">
        <f>IFERROR(__xludf.DUMMYFUNCTION("""COMPUTED_VALUE"""),"STARELL BIOCEUTICALS PVT LTD")</f>
        <v>STARELL BIOCEUTICALS PVT LTD</v>
      </c>
    </row>
    <row r="3007" ht="16.5" customHeight="1">
      <c r="H3007" s="1" t="str">
        <f>IFERROR(__xludf.DUMMYFUNCTION("""COMPUTED_VALUE"""),"STARUS PHARMACEUTICALS P LTD")</f>
        <v>STARUS PHARMACEUTICALS P LTD</v>
      </c>
    </row>
    <row r="3008" ht="16.5" customHeight="1">
      <c r="H3008" s="1" t="str">
        <f>IFERROR(__xludf.DUMMYFUNCTION("""COMPUTED_VALUE"""),"STAUNCH HEALTH CARE")</f>
        <v>STAUNCH HEALTH CARE</v>
      </c>
    </row>
    <row r="3009" ht="16.5" customHeight="1">
      <c r="H3009" s="1" t="str">
        <f>IFERROR(__xludf.DUMMYFUNCTION("""COMPUTED_VALUE"""),"Staunch Health Care Pvt Ltd")</f>
        <v>Staunch Health Care Pvt Ltd</v>
      </c>
    </row>
    <row r="3010" ht="16.5" customHeight="1">
      <c r="H3010" s="1" t="str">
        <f>IFERROR(__xludf.DUMMYFUNCTION("""COMPUTED_VALUE"""),"STAYWELL FORMULATION P LTD")</f>
        <v>STAYWELL FORMULATION P LTD</v>
      </c>
    </row>
    <row r="3011" ht="16.5" customHeight="1">
      <c r="H3011" s="1" t="str">
        <f>IFERROR(__xludf.DUMMYFUNCTION("""COMPUTED_VALUE"""),"STEADFAST MEDISHIELD PVT LTD")</f>
        <v>STEADFAST MEDISHIELD PVT LTD</v>
      </c>
    </row>
    <row r="3012" ht="16.5" customHeight="1">
      <c r="H3012" s="1" t="str">
        <f>IFERROR(__xludf.DUMMYFUNCTION("""COMPUTED_VALUE"""),"Stedman Pharmaceuticals Pvt Ltd")</f>
        <v>Stedman Pharmaceuticals Pvt Ltd</v>
      </c>
    </row>
    <row r="3013" ht="16.5" customHeight="1">
      <c r="H3013" s="1" t="str">
        <f>IFERROR(__xludf.DUMMYFUNCTION("""COMPUTED_VALUE"""),"STEIGEN PHARMA")</f>
        <v>STEIGEN PHARMA</v>
      </c>
    </row>
    <row r="3014" ht="16.5" customHeight="1">
      <c r="H3014" s="1" t="str">
        <f>IFERROR(__xludf.DUMMYFUNCTION("""COMPUTED_VALUE"""),"STELLAR BIO LABS")</f>
        <v>STELLAR BIO LABS</v>
      </c>
    </row>
    <row r="3015" ht="16.5" customHeight="1">
      <c r="H3015" s="1" t="str">
        <f>IFERROR(__xludf.DUMMYFUNCTION("""COMPUTED_VALUE"""),"STENHIL LABS")</f>
        <v>STENHIL LABS</v>
      </c>
    </row>
    <row r="3016" ht="16.5" customHeight="1">
      <c r="H3016" s="1" t="str">
        <f>IFERROR(__xludf.DUMMYFUNCTION("""COMPUTED_VALUE"""),"STENROZ BIOTECH")</f>
        <v>STENROZ BIOTECH</v>
      </c>
    </row>
    <row r="3017" ht="16.5" customHeight="1">
      <c r="H3017" s="1" t="str">
        <f>IFERROR(__xludf.DUMMYFUNCTION("""COMPUTED_VALUE"""),"STEPAN LABORATORIES P LTD")</f>
        <v>STEPAN LABORATORIES P LTD</v>
      </c>
    </row>
    <row r="3018" ht="16.5" customHeight="1">
      <c r="H3018" s="1" t="str">
        <f>IFERROR(__xludf.DUMMYFUNCTION("""COMPUTED_VALUE"""),"STERANCO HEALTHCARE PVT LTD")</f>
        <v>STERANCO HEALTHCARE PVT LTD</v>
      </c>
    </row>
    <row r="3019" ht="16.5" customHeight="1">
      <c r="H3019" s="1" t="str">
        <f>IFERROR(__xludf.DUMMYFUNCTION("""COMPUTED_VALUE"""),"STERIS HEALTHCARE PVT LTD")</f>
        <v>STERIS HEALTHCARE PVT LTD</v>
      </c>
    </row>
    <row r="3020" ht="16.5" customHeight="1">
      <c r="H3020" s="1" t="str">
        <f>IFERROR(__xludf.DUMMYFUNCTION("""COMPUTED_VALUE"""),"Stiefel India Pvt Ltd")</f>
        <v>Stiefel India Pvt Ltd</v>
      </c>
    </row>
    <row r="3021" ht="16.5" customHeight="1">
      <c r="H3021" s="1" t="str">
        <f>IFERROR(__xludf.DUMMYFUNCTION("""COMPUTED_VALUE"""),"STIM BRUSHES")</f>
        <v>STIM BRUSHES</v>
      </c>
    </row>
    <row r="3022" ht="16.5" customHeight="1">
      <c r="H3022" s="1" t="str">
        <f>IFERROR(__xludf.DUMMYFUNCTION("""COMPUTED_VALUE"""),"Strassenburg Pharmaceuticals.Ltd")</f>
        <v>Strassenburg Pharmaceuticals.Ltd</v>
      </c>
    </row>
    <row r="3023" ht="16.5" customHeight="1">
      <c r="H3023" s="1" t="str">
        <f>IFERROR(__xludf.DUMMYFUNCTION("""COMPUTED_VALUE"""),"STRENGTHEN PHARMA")</f>
        <v>STRENGTHEN PHARMA</v>
      </c>
    </row>
    <row r="3024" ht="16.5" customHeight="1">
      <c r="H3024" s="1" t="str">
        <f>IFERROR(__xludf.DUMMYFUNCTION("""COMPUTED_VALUE"""),"STRIDES SHASUN")</f>
        <v>STRIDES SHASUN</v>
      </c>
    </row>
    <row r="3025" ht="16.5" customHeight="1">
      <c r="H3025" s="1" t="str">
        <f>IFERROR(__xludf.DUMMYFUNCTION("""COMPUTED_VALUE"""),"STRIDES SHASUN (AVETO)")</f>
        <v>STRIDES SHASUN (AVETO)</v>
      </c>
    </row>
    <row r="3026" ht="16.5" customHeight="1">
      <c r="H3026" s="1" t="str">
        <f>IFERROR(__xludf.DUMMYFUNCTION("""COMPUTED_VALUE"""),"STRIDES SHASUN (EXCEDO)")</f>
        <v>STRIDES SHASUN (EXCEDO)</v>
      </c>
    </row>
    <row r="3027" ht="16.5" customHeight="1">
      <c r="H3027" s="1" t="str">
        <f>IFERROR(__xludf.DUMMYFUNCTION("""COMPUTED_VALUE"""),"STRIDES SHASUN (NEURA NEUROLOGY)")</f>
        <v>STRIDES SHASUN (NEURA NEUROLOGY)</v>
      </c>
    </row>
    <row r="3028" ht="16.5" customHeight="1">
      <c r="H3028" s="1" t="str">
        <f>IFERROR(__xludf.DUMMYFUNCTION("""COMPUTED_VALUE"""),"STRIDES SHASUN (NEURO PSYCHIATRY)")</f>
        <v>STRIDES SHASUN (NEURO PSYCHIATRY)</v>
      </c>
    </row>
    <row r="3029" ht="16.5" customHeight="1">
      <c r="H3029" s="1" t="str">
        <f>IFERROR(__xludf.DUMMYFUNCTION("""COMPUTED_VALUE"""),"SUBLIME THERAPEUTICS PVT LTD")</f>
        <v>SUBLIME THERAPEUTICS PVT LTD</v>
      </c>
    </row>
    <row r="3030" ht="16.5" customHeight="1">
      <c r="H3030" s="1" t="str">
        <f>IFERROR(__xludf.DUMMYFUNCTION("""COMPUTED_VALUE"""),"SUBSIST PHARMA")</f>
        <v>SUBSIST PHARMA</v>
      </c>
    </row>
    <row r="3031" ht="16.5" customHeight="1">
      <c r="H3031" s="1" t="str">
        <f>IFERROR(__xludf.DUMMYFUNCTION("""COMPUTED_VALUE"""),"SUDHA")</f>
        <v>SUDHA</v>
      </c>
    </row>
    <row r="3032" ht="16.5" customHeight="1">
      <c r="H3032" s="1" t="str">
        <f>IFERROR(__xludf.DUMMYFUNCTION("""COMPUTED_VALUE"""),"SUFFUSE PHARMA")</f>
        <v>SUFFUSE PHARMA</v>
      </c>
    </row>
    <row r="3033" ht="16.5" customHeight="1">
      <c r="H3033" s="1" t="str">
        <f>IFERROR(__xludf.DUMMYFUNCTION("""COMPUTED_VALUE"""),"SUGANDHA LABOROTRIES")</f>
        <v>SUGANDHA LABOROTRIES</v>
      </c>
    </row>
    <row r="3034" ht="16.5" customHeight="1">
      <c r="H3034" s="1" t="str">
        <f>IFERROR(__xludf.DUMMYFUNCTION("""COMPUTED_VALUE"""),"SUJANIL CHEMO INDUSTRIES")</f>
        <v>SUJANIL CHEMO INDUSTRIES</v>
      </c>
    </row>
    <row r="3035" ht="16.5" customHeight="1">
      <c r="H3035" s="1" t="str">
        <f>IFERROR(__xludf.DUMMYFUNCTION("""COMPUTED_VALUE"""),"SUJATA MEDICOSE (OTHER PRODUCTS)")</f>
        <v>SUJATA MEDICOSE (OTHER PRODUCTS)</v>
      </c>
    </row>
    <row r="3036" ht="16.5" customHeight="1">
      <c r="H3036" s="1" t="str">
        <f>IFERROR(__xludf.DUMMYFUNCTION("""COMPUTED_VALUE"""),"SULZDERM PHARMA")</f>
        <v>SULZDERM PHARMA</v>
      </c>
    </row>
    <row r="3037" ht="16.5" customHeight="1">
      <c r="H3037" s="1" t="str">
        <f>IFERROR(__xludf.DUMMYFUNCTION("""COMPUTED_VALUE"""),"SUMANDEEP LIFE SCIENCES LLP")</f>
        <v>SUMANDEEP LIFE SCIENCES LLP</v>
      </c>
    </row>
    <row r="3038" ht="16.5" customHeight="1">
      <c r="H3038" s="1" t="str">
        <f>IFERROR(__xludf.DUMMYFUNCTION("""COMPUTED_VALUE"""),"SUMER HEALTHCARE")</f>
        <v>SUMER HEALTHCARE</v>
      </c>
    </row>
    <row r="3039" ht="16.5" customHeight="1">
      <c r="H3039" s="1" t="str">
        <f>IFERROR(__xludf.DUMMYFUNCTION("""COMPUTED_VALUE"""),"SUN (ONCOLOGY)")</f>
        <v>SUN (ONCOLOGY)</v>
      </c>
    </row>
    <row r="3040" ht="16.5" customHeight="1">
      <c r="H3040" s="1" t="str">
        <f>IFERROR(__xludf.DUMMYFUNCTION("""COMPUTED_VALUE"""),"SUN AJ PHARMA")</f>
        <v>SUN AJ PHARMA</v>
      </c>
    </row>
    <row r="3041" ht="16.5" customHeight="1">
      <c r="H3041" s="1" t="str">
        <f>IFERROR(__xludf.DUMMYFUNCTION("""COMPUTED_VALUE"""),"SUN HERITAGE PHARMA")</f>
        <v>SUN HERITAGE PHARMA</v>
      </c>
    </row>
    <row r="3042" ht="16.5" customHeight="1">
      <c r="H3042" s="1" t="str">
        <f>IFERROR(__xludf.DUMMYFUNCTION("""COMPUTED_VALUE"""),"SUN INDIA LABORATORIES")</f>
        <v>SUN INDIA LABORATORIES</v>
      </c>
    </row>
    <row r="3043" ht="16.5" customHeight="1">
      <c r="H3043" s="1" t="str">
        <f>IFERROR(__xludf.DUMMYFUNCTION("""COMPUTED_VALUE"""),"SUN LIFE SCIENCES PVT LTD")</f>
        <v>SUN LIFE SCIENCES PVT LTD</v>
      </c>
    </row>
    <row r="3044" ht="16.5" customHeight="1">
      <c r="H3044" s="1" t="str">
        <f>IFERROR(__xludf.DUMMYFUNCTION("""COMPUTED_VALUE"""),"SUN PHARMA (AKUNA AV)")</f>
        <v>SUN PHARMA (AKUNA AV)</v>
      </c>
    </row>
    <row r="3045" ht="16.5" customHeight="1">
      <c r="H3045" s="1" t="str">
        <f>IFERROR(__xludf.DUMMYFUNCTION("""COMPUTED_VALUE"""),"SUN PHARMA (AKUNA)")</f>
        <v>SUN PHARMA (AKUNA)</v>
      </c>
    </row>
    <row r="3046" ht="16.5" customHeight="1">
      <c r="H3046" s="1" t="str">
        <f>IFERROR(__xludf.DUMMYFUNCTION("""COMPUTED_VALUE"""),"SUN PHARMA (ALTAN)")</f>
        <v>SUN PHARMA (ALTAN)</v>
      </c>
    </row>
    <row r="3047" ht="16.5" customHeight="1">
      <c r="H3047" s="1" t="str">
        <f>IFERROR(__xludf.DUMMYFUNCTION("""COMPUTED_VALUE"""),"SUN PHARMA (ARIAN)")</f>
        <v>SUN PHARMA (ARIAN)</v>
      </c>
    </row>
    <row r="3048" ht="16.5" customHeight="1">
      <c r="H3048" s="1" t="str">
        <f>IFERROR(__xludf.DUMMYFUNCTION("""COMPUTED_VALUE"""),"SUN PHARMA (AVESTA)")</f>
        <v>SUN PHARMA (AVESTA)</v>
      </c>
    </row>
    <row r="3049" ht="16.5" customHeight="1">
      <c r="H3049" s="1" t="str">
        <f>IFERROR(__xludf.DUMMYFUNCTION("""COMPUTED_VALUE"""),"SUN PHARMA (AVIOR)")</f>
        <v>SUN PHARMA (AVIOR)</v>
      </c>
    </row>
    <row r="3050" ht="16.5" customHeight="1">
      <c r="H3050" s="1" t="str">
        <f>IFERROR(__xludf.DUMMYFUNCTION("""COMPUTED_VALUE"""),"SUN PHARMA (AZURA LIFE)")</f>
        <v>SUN PHARMA (AZURA LIFE)</v>
      </c>
    </row>
    <row r="3051" ht="16.5" customHeight="1">
      <c r="H3051" s="1" t="str">
        <f>IFERROR(__xludf.DUMMYFUNCTION("""COMPUTED_VALUE"""),"SUN PHARMA (AZURA)")</f>
        <v>SUN PHARMA (AZURA)</v>
      </c>
    </row>
    <row r="3052" ht="16.5" customHeight="1">
      <c r="H3052" s="1" t="str">
        <f>IFERROR(__xludf.DUMMYFUNCTION("""COMPUTED_VALUE"""),"SUN PHARMA (CORONUS)")</f>
        <v>SUN PHARMA (CORONUS)</v>
      </c>
    </row>
    <row r="3053" ht="16.5" customHeight="1">
      <c r="H3053" s="1" t="str">
        <f>IFERROR(__xludf.DUMMYFUNCTION("""COMPUTED_VALUE"""),"SUN PHARMA (INCA)")</f>
        <v>SUN PHARMA (INCA)</v>
      </c>
    </row>
    <row r="3054" ht="16.5" customHeight="1">
      <c r="H3054" s="1" t="str">
        <f>IFERROR(__xludf.DUMMYFUNCTION("""COMPUTED_VALUE"""),"SUN PHARMA (MAIN)")</f>
        <v>SUN PHARMA (MAIN)</v>
      </c>
    </row>
    <row r="3055" ht="16.5" customHeight="1">
      <c r="H3055" s="1" t="str">
        <f>IFERROR(__xludf.DUMMYFUNCTION("""COMPUTED_VALUE"""),"SUN PHARMA (MILMEL)")</f>
        <v>SUN PHARMA (MILMEL)</v>
      </c>
    </row>
    <row r="3056" ht="16.5" customHeight="1">
      <c r="H3056" s="1" t="str">
        <f>IFERROR(__xludf.DUMMYFUNCTION("""COMPUTED_VALUE"""),"SUN PHARMA (MILMET)")</f>
        <v>SUN PHARMA (MILMET)</v>
      </c>
    </row>
    <row r="3057" ht="16.5" customHeight="1">
      <c r="H3057" s="1" t="str">
        <f>IFERROR(__xludf.DUMMYFUNCTION("""COMPUTED_VALUE"""),"SUN PHARMA (ORTUS)")</f>
        <v>SUN PHARMA (ORTUS)</v>
      </c>
    </row>
    <row r="3058" ht="16.5" customHeight="1">
      <c r="H3058" s="1" t="str">
        <f>IFERROR(__xludf.DUMMYFUNCTION("""COMPUTED_VALUE"""),"SUN PHARMA (OTC)")</f>
        <v>SUN PHARMA (OTC)</v>
      </c>
    </row>
    <row r="3059" ht="16.5" customHeight="1">
      <c r="H3059" s="1" t="str">
        <f>IFERROR(__xludf.DUMMYFUNCTION("""COMPUTED_VALUE"""),"SUN PHARMA (PRIMALENT)")</f>
        <v>SUN PHARMA (PRIMALENT)</v>
      </c>
    </row>
    <row r="3060" ht="16.5" customHeight="1">
      <c r="H3060" s="1" t="str">
        <f>IFERROR(__xludf.DUMMYFUNCTION("""COMPUTED_VALUE"""),"SUN PHARMA (RADIANT)")</f>
        <v>SUN PHARMA (RADIANT)</v>
      </c>
    </row>
    <row r="3061" ht="16.5" customHeight="1">
      <c r="H3061" s="1" t="str">
        <f>IFERROR(__xludf.DUMMYFUNCTION("""COMPUTED_VALUE"""),"SUN PHARMA (SELECTA)")</f>
        <v>SUN PHARMA (SELECTA)</v>
      </c>
    </row>
    <row r="3062" ht="16.5" customHeight="1">
      <c r="H3062" s="1" t="str">
        <f>IFERROR(__xludf.DUMMYFUNCTION("""COMPUTED_VALUE"""),"SUN PHARMA (SENORA)")</f>
        <v>SUN PHARMA (SENORA)</v>
      </c>
    </row>
    <row r="3063" ht="16.5" customHeight="1">
      <c r="H3063" s="1" t="str">
        <f>IFERROR(__xludf.DUMMYFUNCTION("""COMPUTED_VALUE"""),"SUN PHARMA (SEPHEUS)")</f>
        <v>SUN PHARMA (SEPHEUS)</v>
      </c>
    </row>
    <row r="3064" ht="16.5" customHeight="1">
      <c r="H3064" s="1" t="str">
        <f>IFERROR(__xludf.DUMMYFUNCTION("""COMPUTED_VALUE"""),"SUN PHARMA (SIRIUS)")</f>
        <v>SUN PHARMA (SIRIUS)</v>
      </c>
    </row>
    <row r="3065" ht="16.5" customHeight="1">
      <c r="H3065" s="1" t="str">
        <f>IFERROR(__xludf.DUMMYFUNCTION("""COMPUTED_VALUE"""),"SUN PHARMA (SOLARES)")</f>
        <v>SUN PHARMA (SOLARES)</v>
      </c>
    </row>
    <row r="3066" ht="16.5" customHeight="1">
      <c r="H3066" s="1" t="str">
        <f>IFERROR(__xludf.DUMMYFUNCTION("""COMPUTED_VALUE"""),"SUN PHARMA (SPECTRA)")</f>
        <v>SUN PHARMA (SPECTRA)</v>
      </c>
    </row>
    <row r="3067" ht="16.5" customHeight="1">
      <c r="H3067" s="1" t="str">
        <f>IFERROR(__xludf.DUMMYFUNCTION("""COMPUTED_VALUE"""),"SUN PHARMA (SUNRION)")</f>
        <v>SUN PHARMA (SUNRION)</v>
      </c>
    </row>
    <row r="3068" ht="16.5" customHeight="1">
      <c r="H3068" s="1" t="str">
        <f>IFERROR(__xludf.DUMMYFUNCTION("""COMPUTED_VALUE"""),"SUN PHARMA (SYGUNS)")</f>
        <v>SUN PHARMA (SYGUNS)</v>
      </c>
    </row>
    <row r="3069" ht="16.5" customHeight="1">
      <c r="H3069" s="1" t="str">
        <f>IFERROR(__xludf.DUMMYFUNCTION("""COMPUTED_VALUE"""),"SUN PHARMA (SYMBIOSIS)")</f>
        <v>SUN PHARMA (SYMBIOSIS)</v>
      </c>
    </row>
    <row r="3070" ht="16.5" customHeight="1">
      <c r="H3070" s="1" t="str">
        <f>IFERROR(__xludf.DUMMYFUNCTION("""COMPUTED_VALUE"""),"SUN PHARMA (SYMENTA)")</f>
        <v>SUN PHARMA (SYMENTA)</v>
      </c>
    </row>
    <row r="3071" ht="16.5" customHeight="1">
      <c r="H3071" s="1" t="str">
        <f>IFERROR(__xludf.DUMMYFUNCTION("""COMPUTED_VALUE"""),"SUN PHARMA (SYNERGY)")</f>
        <v>SUN PHARMA (SYNERGY)</v>
      </c>
    </row>
    <row r="3072" ht="16.5" customHeight="1">
      <c r="H3072" s="1" t="str">
        <f>IFERROR(__xludf.DUMMYFUNCTION("""COMPUTED_VALUE"""),"SUN PHARMA (TR)")</f>
        <v>SUN PHARMA (TR)</v>
      </c>
    </row>
    <row r="3073" ht="16.5" customHeight="1">
      <c r="H3073" s="1" t="str">
        <f>IFERROR(__xludf.DUMMYFUNCTION("""COMPUTED_VALUE"""),"SUN PHARMA (UROLOGY)")</f>
        <v>SUN PHARMA (UROLOGY)</v>
      </c>
    </row>
    <row r="3074" ht="16.5" customHeight="1">
      <c r="H3074" s="1" t="str">
        <f>IFERROR(__xludf.DUMMYFUNCTION("""COMPUTED_VALUE"""),"Sun Pharmaceuticals")</f>
        <v>Sun Pharmaceuticals</v>
      </c>
    </row>
    <row r="3075" ht="16.5" customHeight="1">
      <c r="H3075" s="1" t="str">
        <f>IFERROR(__xludf.DUMMYFUNCTION("""COMPUTED_VALUE"""),"SUN VISION HEALTHCARE")</f>
        <v>SUN VISION HEALTHCARE</v>
      </c>
    </row>
    <row r="3076" ht="16.5" customHeight="1">
      <c r="H3076" s="1" t="str">
        <f>IFERROR(__xludf.DUMMYFUNCTION("""COMPUTED_VALUE"""),"SUN-AJ PHARMA")</f>
        <v>SUN-AJ PHARMA</v>
      </c>
    </row>
    <row r="3077" ht="16.5" customHeight="1">
      <c r="H3077" s="1" t="str">
        <f>IFERROR(__xludf.DUMMYFUNCTION("""COMPUTED_VALUE"""),"SUNCARE PHARMACETUCALS")</f>
        <v>SUNCARE PHARMACETUCALS</v>
      </c>
    </row>
    <row r="3078" ht="16.5" customHeight="1">
      <c r="H3078" s="1" t="str">
        <f>IFERROR(__xludf.DUMMYFUNCTION("""COMPUTED_VALUE"""),"Sundyota Numandis Pharmaceuticals Pvt Ltd")</f>
        <v>Sundyota Numandis Pharmaceuticals Pvt Ltd</v>
      </c>
    </row>
    <row r="3079" ht="16.5" customHeight="1">
      <c r="H3079" s="1" t="str">
        <f>IFERROR(__xludf.DUMMYFUNCTION("""COMPUTED_VALUE"""),"SUNMORE PHARMACEUTICALS PVT LTD")</f>
        <v>SUNMORE PHARMACEUTICALS PVT LTD</v>
      </c>
    </row>
    <row r="3080" ht="16.5" customHeight="1">
      <c r="H3080" s="1" t="str">
        <f>IFERROR(__xludf.DUMMYFUNCTION("""COMPUTED_VALUE"""),"SUNRISE PHARMACEUTICALS")</f>
        <v>SUNRISE PHARMACEUTICALS</v>
      </c>
    </row>
    <row r="3081" ht="16.5" customHeight="1">
      <c r="H3081" s="1" t="str">
        <f>IFERROR(__xludf.DUMMYFUNCTION("""COMPUTED_VALUE"""),"SUNUP HUMACARE PVT LTD")</f>
        <v>SUNUP HUMACARE PVT LTD</v>
      </c>
    </row>
    <row r="3082" ht="16.5" customHeight="1">
      <c r="H3082" s="1" t="str">
        <f>IFERROR(__xludf.DUMMYFUNCTION("""COMPUTED_VALUE"""),"SUNUP PHARMA PVT LTD")</f>
        <v>SUNUP PHARMA PVT LTD</v>
      </c>
    </row>
    <row r="3083" ht="16.5" customHeight="1">
      <c r="H3083" s="1" t="str">
        <f>IFERROR(__xludf.DUMMYFUNCTION("""COMPUTED_VALUE"""),"SUNVET PHARMA P LTD, SIRMOR")</f>
        <v>SUNVET PHARMA P LTD, SIRMOR</v>
      </c>
    </row>
    <row r="3084" ht="16.5" customHeight="1">
      <c r="H3084" s="1" t="str">
        <f>IFERROR(__xludf.DUMMYFUNCTION("""COMPUTED_VALUE"""),"SUNVIJ DRUGS")</f>
        <v>SUNVIJ DRUGS</v>
      </c>
    </row>
    <row r="3085" ht="16.5" customHeight="1">
      <c r="H3085" s="1" t="str">
        <f>IFERROR(__xludf.DUMMYFUNCTION("""COMPUTED_VALUE"""),"Sunways India Pvt Ltd")</f>
        <v>Sunways India Pvt Ltd</v>
      </c>
    </row>
    <row r="3086" ht="16.5" customHeight="1">
      <c r="H3086" s="1" t="str">
        <f>IFERROR(__xludf.DUMMYFUNCTION("""COMPUTED_VALUE"""),"SUPER PHARMA")</f>
        <v>SUPER PHARMA</v>
      </c>
    </row>
    <row r="3087" ht="16.5" customHeight="1">
      <c r="H3087" s="1" t="str">
        <f>IFERROR(__xludf.DUMMYFUNCTION("""COMPUTED_VALUE"""),"SUPERB PHARMA")</f>
        <v>SUPERB PHARMA</v>
      </c>
    </row>
    <row r="3088" ht="16.5" customHeight="1">
      <c r="H3088" s="1" t="str">
        <f>IFERROR(__xludf.DUMMYFUNCTION("""COMPUTED_VALUE"""),"SUPERLATIVE HEALTHCARE")</f>
        <v>SUPERLATIVE HEALTHCARE</v>
      </c>
    </row>
    <row r="3089" ht="16.5" customHeight="1">
      <c r="H3089" s="1" t="str">
        <f>IFERROR(__xludf.DUMMYFUNCTION("""COMPUTED_VALUE"""),"SUPREME PHARMA")</f>
        <v>SUPREME PHARMA</v>
      </c>
    </row>
    <row r="3090" ht="16.5" customHeight="1">
      <c r="H3090" s="1" t="str">
        <f>IFERROR(__xludf.DUMMYFUNCTION("""COMPUTED_VALUE"""),"SUPREX LABORATORIES")</f>
        <v>SUPREX LABORATORIES</v>
      </c>
    </row>
    <row r="3091" ht="16.5" customHeight="1">
      <c r="H3091" s="1" t="str">
        <f>IFERROR(__xludf.DUMMYFUNCTION("""COMPUTED_VALUE"""),"SURE LIFESCIENCE")</f>
        <v>SURE LIFESCIENCE</v>
      </c>
    </row>
    <row r="3092" ht="16.5" customHeight="1">
      <c r="H3092" s="1" t="str">
        <f>IFERROR(__xludf.DUMMYFUNCTION("""COMPUTED_VALUE"""),"SURGE PHARMACEUTICAL PVT LTD")</f>
        <v>SURGE PHARMACEUTICAL PVT LTD</v>
      </c>
    </row>
    <row r="3093" ht="16.5" customHeight="1">
      <c r="H3093" s="1" t="str">
        <f>IFERROR(__xludf.DUMMYFUNCTION("""COMPUTED_VALUE"""),"SURGICARE")</f>
        <v>SURGICARE</v>
      </c>
    </row>
    <row r="3094" ht="16.5" customHeight="1">
      <c r="H3094" s="1" t="str">
        <f>IFERROR(__xludf.DUMMYFUNCTION("""COMPUTED_VALUE"""),"SURGIWEAR")</f>
        <v>SURGIWEAR</v>
      </c>
    </row>
    <row r="3095" ht="16.5" customHeight="1">
      <c r="H3095" s="1" t="str">
        <f>IFERROR(__xludf.DUMMYFUNCTION("""COMPUTED_VALUE"""),"SURJAN AYURVEDIC PHARMACY")</f>
        <v>SURJAN AYURVEDIC PHARMACY</v>
      </c>
    </row>
    <row r="3096" ht="16.5" customHeight="1">
      <c r="H3096" s="1" t="str">
        <f>IFERROR(__xludf.DUMMYFUNCTION("""COMPUTED_VALUE"""),"SURU INTERNATIONAL PVT LTD")</f>
        <v>SURU INTERNATIONAL PVT LTD</v>
      </c>
    </row>
    <row r="3097" ht="16.5" customHeight="1">
      <c r="H3097" s="1" t="str">
        <f>IFERROR(__xludf.DUMMYFUNCTION("""COMPUTED_VALUE"""),"SURYA PHARMA AYURVEDIC")</f>
        <v>SURYA PHARMA AYURVEDIC</v>
      </c>
    </row>
    <row r="3098" ht="16.5" customHeight="1">
      <c r="H3098" s="1" t="str">
        <f>IFERROR(__xludf.DUMMYFUNCTION("""COMPUTED_VALUE"""),"SURYA PHARMA, VARANASI")</f>
        <v>SURYA PHARMA, VARANASI</v>
      </c>
    </row>
    <row r="3099" ht="16.5" customHeight="1">
      <c r="H3099" s="1" t="str">
        <f>IFERROR(__xludf.DUMMYFUNCTION("""COMPUTED_VALUE"""),"SURYA PHARMACEUTICALS")</f>
        <v>SURYA PHARMACEUTICALS</v>
      </c>
    </row>
    <row r="3100" ht="16.5" customHeight="1">
      <c r="H3100" s="1" t="str">
        <f>IFERROR(__xludf.DUMMYFUNCTION("""COMPUTED_VALUE"""),"SV LIFECARE")</f>
        <v>SV LIFECARE</v>
      </c>
    </row>
    <row r="3101" ht="16.5" customHeight="1">
      <c r="H3101" s="1" t="str">
        <f>IFERROR(__xludf.DUMMYFUNCTION("""COMPUTED_VALUE"""),"SVEN GENTECH LTD")</f>
        <v>SVEN GENTECH LTD</v>
      </c>
    </row>
    <row r="3102" ht="16.5" customHeight="1">
      <c r="H3102" s="1" t="str">
        <f>IFERROR(__xludf.DUMMYFUNCTION("""COMPUTED_VALUE"""),"SVIZERA")</f>
        <v>SVIZERA</v>
      </c>
    </row>
    <row r="3103" ht="16.5" customHeight="1">
      <c r="H3103" s="1" t="str">
        <f>IFERROR(__xludf.DUMMYFUNCTION("""COMPUTED_VALUE"""),"SWAGDARE LIFESCIENCE")</f>
        <v>SWAGDARE LIFESCIENCE</v>
      </c>
    </row>
    <row r="3104" ht="16.5" customHeight="1">
      <c r="H3104" s="1" t="str">
        <f>IFERROR(__xludf.DUMMYFUNCTION("""COMPUTED_VALUE"""),"SWAROOP PHARMACEUTICALS PVT LTD")</f>
        <v>SWAROOP PHARMACEUTICALS PVT LTD</v>
      </c>
    </row>
    <row r="3105" ht="16.5" customHeight="1">
      <c r="H3105" s="1" t="str">
        <f>IFERROR(__xludf.DUMMYFUNCTION("""COMPUTED_VALUE"""),"SWASTH BIOTECH P LTD")</f>
        <v>SWASTH BIOTECH P LTD</v>
      </c>
    </row>
    <row r="3106" ht="16.5" customHeight="1">
      <c r="H3106" s="1" t="str">
        <f>IFERROR(__xludf.DUMMYFUNCTION("""COMPUTED_VALUE"""),"SWASTIK FORMULATION PVT LTD")</f>
        <v>SWASTIK FORMULATION PVT LTD</v>
      </c>
    </row>
    <row r="3107" ht="16.5" customHeight="1">
      <c r="H3107" s="1" t="str">
        <f>IFERROR(__xludf.DUMMYFUNCTION("""COMPUTED_VALUE"""),"SWEDISH LIFESCIENCES")</f>
        <v>SWEDISH LIFESCIENCES</v>
      </c>
    </row>
    <row r="3108" ht="16.5" customHeight="1">
      <c r="H3108" s="1" t="str">
        <f>IFERROR(__xludf.DUMMYFUNCTION("""COMPUTED_VALUE"""),"SWEIZ PHARMACEUTICAL PVT LTD")</f>
        <v>SWEIZ PHARMACEUTICAL PVT LTD</v>
      </c>
    </row>
    <row r="3109" ht="16.5" customHeight="1">
      <c r="H3109" s="1" t="str">
        <f>IFERROR(__xludf.DUMMYFUNCTION("""COMPUTED_VALUE"""),"SWISS INTERNATIONAL")</f>
        <v>SWISS INTERNATIONAL</v>
      </c>
    </row>
    <row r="3110" ht="16.5" customHeight="1">
      <c r="H3110" s="1" t="str">
        <f>IFERROR(__xludf.DUMMYFUNCTION("""COMPUTED_VALUE"""),"SYGNUS BIOTECH")</f>
        <v>SYGNUS BIOTECH</v>
      </c>
    </row>
    <row r="3111" ht="16.5" customHeight="1">
      <c r="H3111" s="1" t="str">
        <f>IFERROR(__xludf.DUMMYFUNCTION("""COMPUTED_VALUE"""),"Symbiosis Lab")</f>
        <v>Symbiosis Lab</v>
      </c>
    </row>
    <row r="3112" ht="16.5" customHeight="1">
      <c r="H3112" s="1" t="str">
        <f>IFERROR(__xludf.DUMMYFUNCTION("""COMPUTED_VALUE"""),"SYMBIOSIS LIFESCIENCES")</f>
        <v>SYMBIOSIS LIFESCIENCES</v>
      </c>
    </row>
    <row r="3113" ht="16.5" customHeight="1">
      <c r="H3113" s="1" t="str">
        <f>IFERROR(__xludf.DUMMYFUNCTION("""COMPUTED_VALUE"""),"SYMBIOSIS PHARMA")</f>
        <v>SYMBIOSIS PHARMA</v>
      </c>
    </row>
    <row r="3114" ht="16.5" customHeight="1">
      <c r="H3114" s="1" t="str">
        <f>IFERROR(__xludf.DUMMYFUNCTION("""COMPUTED_VALUE"""),"Synchem Lab")</f>
        <v>Synchem Lab</v>
      </c>
    </row>
    <row r="3115" ht="16.5" customHeight="1">
      <c r="H3115" s="1" t="str">
        <f>IFERROR(__xludf.DUMMYFUNCTION("""COMPUTED_VALUE"""),"SYNCOM FORMULATIONS (INDIA) LTD")</f>
        <v>SYNCOM FORMULATIONS (INDIA) LTD</v>
      </c>
    </row>
    <row r="3116" ht="16.5" customHeight="1">
      <c r="H3116" s="1" t="str">
        <f>IFERROR(__xludf.DUMMYFUNCTION("""COMPUTED_VALUE"""),"SYNCOM FORMULATIONS PVT LTD")</f>
        <v>SYNCOM FORMULATIONS PVT LTD</v>
      </c>
    </row>
    <row r="3117" ht="16.5" customHeight="1">
      <c r="H3117" s="1" t="str">
        <f>IFERROR(__xludf.DUMMYFUNCTION("""COMPUTED_VALUE"""),"SYNDICATE PHARMA")</f>
        <v>SYNDICATE PHARMA</v>
      </c>
    </row>
    <row r="3118" ht="16.5" customHeight="1">
      <c r="H3118" s="1" t="str">
        <f>IFERROR(__xludf.DUMMYFUNCTION("""COMPUTED_VALUE"""),"SYNERGY")</f>
        <v>SYNERGY</v>
      </c>
    </row>
    <row r="3119" ht="16.5" customHeight="1">
      <c r="H3119" s="1" t="str">
        <f>IFERROR(__xludf.DUMMYFUNCTION("""COMPUTED_VALUE"""),"SYNERGY DIAGNOSTICS")</f>
        <v>SYNERGY DIAGNOSTICS</v>
      </c>
    </row>
    <row r="3120" ht="16.5" customHeight="1">
      <c r="H3120" s="1" t="str">
        <f>IFERROR(__xludf.DUMMYFUNCTION("""COMPUTED_VALUE"""),"SYNERGY VACCINES LLP")</f>
        <v>SYNERGY VACCINES LLP</v>
      </c>
    </row>
    <row r="3121" ht="16.5" customHeight="1">
      <c r="H3121" s="1" t="str">
        <f>IFERROR(__xludf.DUMMYFUNCTION("""COMPUTED_VALUE"""),"SYNODIC LIFESCIENCES P LTD")</f>
        <v>SYNODIC LIFESCIENCES P LTD</v>
      </c>
    </row>
    <row r="3122" ht="16.5" customHeight="1">
      <c r="H3122" s="1" t="str">
        <f>IFERROR(__xludf.DUMMYFUNCTION("""COMPUTED_VALUE"""),"SYNOPTIC LIFE SCIENCES")</f>
        <v>SYNOPTIC LIFE SCIENCES</v>
      </c>
    </row>
    <row r="3123" ht="16.5" customHeight="1">
      <c r="H3123" s="1" t="str">
        <f>IFERROR(__xludf.DUMMYFUNCTION("""COMPUTED_VALUE"""),"SYNOVIA LIFESCIENCES")</f>
        <v>SYNOVIA LIFESCIENCES</v>
      </c>
    </row>
    <row r="3124" ht="16.5" customHeight="1">
      <c r="H3124" s="1" t="str">
        <f>IFERROR(__xludf.DUMMYFUNCTION("""COMPUTED_VALUE"""),"SYNTHESIS")</f>
        <v>SYNTHESIS</v>
      </c>
    </row>
    <row r="3125" ht="16.5" customHeight="1">
      <c r="H3125" s="1" t="str">
        <f>IFERROR(__xludf.DUMMYFUNCTION("""COMPUTED_VALUE"""),"SYNTHIKO EXPORTS")</f>
        <v>SYNTHIKO EXPORTS</v>
      </c>
    </row>
    <row r="3126" ht="16.5" customHeight="1">
      <c r="H3126" s="1" t="str">
        <f>IFERROR(__xludf.DUMMYFUNCTION("""COMPUTED_VALUE"""),"Syntho Pharmaceuticals Pvt Ltd")</f>
        <v>Syntho Pharmaceuticals Pvt Ltd</v>
      </c>
    </row>
    <row r="3127" ht="16.5" customHeight="1">
      <c r="H3127" s="1" t="str">
        <f>IFERROR(__xludf.DUMMYFUNCTION("""COMPUTED_VALUE"""),"SYNTHOKIND PHARMACEUTICALS PVT LTD")</f>
        <v>SYNTHOKIND PHARMACEUTICALS PVT LTD</v>
      </c>
    </row>
    <row r="3128" ht="16.5" customHeight="1">
      <c r="H3128" s="1" t="str">
        <f>IFERROR(__xludf.DUMMYFUNCTION("""COMPUTED_VALUE"""),"SYNTONIX BIOFARM")</f>
        <v>SYNTONIX BIOFARM</v>
      </c>
    </row>
    <row r="3129" ht="16.5" customHeight="1">
      <c r="H3129" s="1" t="str">
        <f>IFERROR(__xludf.DUMMYFUNCTION("""COMPUTED_VALUE"""),"SYSCOM")</f>
        <v>SYSCOM</v>
      </c>
    </row>
    <row r="3130" ht="16.5" customHeight="1">
      <c r="H3130" s="1" t="str">
        <f>IFERROR(__xludf.DUMMYFUNCTION("""COMPUTED_VALUE"""),"SYSMED LABORATORIES PVT LTD")</f>
        <v>SYSMED LABORATORIES PVT LTD</v>
      </c>
    </row>
    <row r="3131" ht="16.5" customHeight="1">
      <c r="H3131" s="1" t="str">
        <f>IFERROR(__xludf.DUMMYFUNCTION("""COMPUTED_VALUE"""),"SYSTEMIC HEALTHCARE")</f>
        <v>SYSTEMIC HEALTHCARE</v>
      </c>
    </row>
    <row r="3132" ht="16.5" customHeight="1">
      <c r="H3132" s="1" t="str">
        <f>IFERROR(__xludf.DUMMYFUNCTION("""COMPUTED_VALUE"""),"SYSTOCHEM")</f>
        <v>SYSTOCHEM</v>
      </c>
    </row>
    <row r="3133" ht="16.5" customHeight="1">
      <c r="H3133" s="1" t="str">
        <f>IFERROR(__xludf.DUMMYFUNCTION("""COMPUTED_VALUE"""),"Systopic Laboratories Pvt Ltd")</f>
        <v>Systopic Laboratories Pvt Ltd</v>
      </c>
    </row>
    <row r="3134" ht="16.5" customHeight="1">
      <c r="H3134" s="1" t="str">
        <f>IFERROR(__xludf.DUMMYFUNCTION("""COMPUTED_VALUE"""),"TABLETS INDIA")</f>
        <v>TABLETS INDIA</v>
      </c>
    </row>
    <row r="3135" ht="16.5" customHeight="1">
      <c r="H3135" s="1" t="str">
        <f>IFERROR(__xludf.DUMMYFUNCTION("""COMPUTED_VALUE"""),"TABLETS INDIA (LUCID)")</f>
        <v>TABLETS INDIA (LUCID)</v>
      </c>
    </row>
    <row r="3136" ht="16.5" customHeight="1">
      <c r="H3136" s="1" t="str">
        <f>IFERROR(__xludf.DUMMYFUNCTION("""COMPUTED_VALUE"""),"TABLETS INDIA (TABZEN)")</f>
        <v>TABLETS INDIA (TABZEN)</v>
      </c>
    </row>
    <row r="3137" ht="16.5" customHeight="1">
      <c r="H3137" s="1" t="str">
        <f>IFERROR(__xludf.DUMMYFUNCTION("""COMPUTED_VALUE"""),"TABLETS INDIA (VIBRANZ)")</f>
        <v>TABLETS INDIA (VIBRANZ)</v>
      </c>
    </row>
    <row r="3138" ht="16.5" customHeight="1">
      <c r="H3138" s="1" t="str">
        <f>IFERROR(__xludf.DUMMYFUNCTION("""COMPUTED_VALUE"""),"Talent Healthcare")</f>
        <v>Talent Healthcare</v>
      </c>
    </row>
    <row r="3139" ht="16.5" customHeight="1">
      <c r="H3139" s="1" t="str">
        <f>IFERROR(__xludf.DUMMYFUNCTION("""COMPUTED_VALUE"""),"TALENT INDIA")</f>
        <v>TALENT INDIA</v>
      </c>
    </row>
    <row r="3140" ht="16.5" customHeight="1">
      <c r="H3140" s="1" t="str">
        <f>IFERROR(__xludf.DUMMYFUNCTION("""COMPUTED_VALUE"""),"TALIN REMEDIES")</f>
        <v>TALIN REMEDIES</v>
      </c>
    </row>
    <row r="3141" ht="16.5" customHeight="1">
      <c r="H3141" s="1" t="str">
        <f>IFERROR(__xludf.DUMMYFUNCTION("""COMPUTED_VALUE"""),"TARAGOD PHARMACALS")</f>
        <v>TARAGOD PHARMACALS</v>
      </c>
    </row>
    <row r="3142" ht="16.5" customHeight="1">
      <c r="H3142" s="1" t="str">
        <f>IFERROR(__xludf.DUMMYFUNCTION("""COMPUTED_VALUE"""),"taronto")</f>
        <v>taronto</v>
      </c>
    </row>
    <row r="3143" ht="16.5" customHeight="1">
      <c r="H3143" s="1" t="str">
        <f>IFERROR(__xludf.DUMMYFUNCTION("""COMPUTED_VALUE"""),"TASMED LAB")</f>
        <v>TASMED LAB</v>
      </c>
    </row>
    <row r="3144" ht="16.5" customHeight="1">
      <c r="H3144" s="1" t="str">
        <f>IFERROR(__xludf.DUMMYFUNCTION("""COMPUTED_VALUE"""),"TASMED LAB (DERMA)")</f>
        <v>TASMED LAB (DERMA)</v>
      </c>
    </row>
    <row r="3145" ht="16.5" customHeight="1">
      <c r="H3145" s="1" t="str">
        <f>IFERROR(__xludf.DUMMYFUNCTION("""COMPUTED_VALUE"""),"TEBLIK DRUG P LTD")</f>
        <v>TEBLIK DRUG P LTD</v>
      </c>
    </row>
    <row r="3146" ht="16.5" customHeight="1">
      <c r="H3146" s="1" t="str">
        <f>IFERROR(__xludf.DUMMYFUNCTION("""COMPUTED_VALUE"""),"TECHNOPHARMA PHARMACEUTICALS")</f>
        <v>TECHNOPHARMA PHARMACEUTICALS</v>
      </c>
    </row>
    <row r="3147" ht="16.5" customHeight="1">
      <c r="H3147" s="1" t="str">
        <f>IFERROR(__xludf.DUMMYFUNCTION("""COMPUTED_VALUE"""),"TEETHYS INC")</f>
        <v>TEETHYS INC</v>
      </c>
    </row>
    <row r="3148" ht="16.5" customHeight="1">
      <c r="H3148" s="1" t="str">
        <f>IFERROR(__xludf.DUMMYFUNCTION("""COMPUTED_VALUE"""),"TEMOMAPS 100")</f>
        <v>TEMOMAPS 100</v>
      </c>
    </row>
    <row r="3149" ht="16.5" customHeight="1">
      <c r="H3149" s="1" t="str">
        <f>IFERROR(__xludf.DUMMYFUNCTION("""COMPUTED_VALUE"""),"TEMOMAPS 20")</f>
        <v>TEMOMAPS 20</v>
      </c>
    </row>
    <row r="3150" ht="16.5" customHeight="1">
      <c r="H3150" s="1" t="str">
        <f>IFERROR(__xludf.DUMMYFUNCTION("""COMPUTED_VALUE"""),"TEMOMAPS 250")</f>
        <v>TEMOMAPS 250</v>
      </c>
    </row>
    <row r="3151" ht="16.5" customHeight="1">
      <c r="H3151" s="1" t="str">
        <f>IFERROR(__xludf.DUMMYFUNCTION("""COMPUTED_VALUE"""),"TERAPIO PHARMA P LTD")</f>
        <v>TERAPIO PHARMA P LTD</v>
      </c>
    </row>
    <row r="3152" ht="16.5" customHeight="1">
      <c r="H3152" s="1" t="str">
        <f>IFERROR(__xludf.DUMMYFUNCTION("""COMPUTED_VALUE"""),"TETRAMED BIOTEK PVT LTD")</f>
        <v>TETRAMED BIOTEK PVT LTD</v>
      </c>
    </row>
    <row r="3153" ht="16.5" customHeight="1">
      <c r="H3153" s="1" t="str">
        <f>IFERROR(__xludf.DUMMYFUNCTION("""COMPUTED_VALUE"""),"THE ARIYANPHARMACEUTICALS")</f>
        <v>THE ARIYANPHARMACEUTICALS</v>
      </c>
    </row>
    <row r="3154" ht="16.5" customHeight="1">
      <c r="H3154" s="1" t="str">
        <f>IFERROR(__xludf.DUMMYFUNCTION("""COMPUTED_VALUE"""),"THE BIHARI AYURVEDIC PHARMACY")</f>
        <v>THE BIHARI AYURVEDIC PHARMACY</v>
      </c>
    </row>
    <row r="3155" ht="16.5" customHeight="1">
      <c r="H3155" s="1" t="str">
        <f>IFERROR(__xludf.DUMMYFUNCTION("""COMPUTED_VALUE"""),"THE TAYYEBI DAWAKHANA")</f>
        <v>THE TAYYEBI DAWAKHANA</v>
      </c>
    </row>
    <row r="3156" ht="16.5" customHeight="1">
      <c r="H3156" s="1" t="str">
        <f>IFERROR(__xludf.DUMMYFUNCTION("""COMPUTED_VALUE"""),"THE ZONE CHEMICAL COMPANY")</f>
        <v>THE ZONE CHEMICAL COMPANY</v>
      </c>
    </row>
    <row r="3157" ht="16.5" customHeight="1">
      <c r="H3157" s="1" t="str">
        <f>IFERROR(__xludf.DUMMYFUNCTION("""COMPUTED_VALUE"""),"Themis Medicare (ORTHO)")</f>
        <v>Themis Medicare (ORTHO)</v>
      </c>
    </row>
    <row r="3158" ht="16.5" customHeight="1">
      <c r="H3158" s="1" t="str">
        <f>IFERROR(__xludf.DUMMYFUNCTION("""COMPUTED_VALUE"""),"Themis Medicare Ltd")</f>
        <v>Themis Medicare Ltd</v>
      </c>
    </row>
    <row r="3159" ht="16.5" customHeight="1">
      <c r="H3159" s="1" t="str">
        <f>IFERROR(__xludf.DUMMYFUNCTION("""COMPUTED_VALUE"""),"Themis Medicare Ltd (SPECIALITY)")</f>
        <v>Themis Medicare Ltd (SPECIALITY)</v>
      </c>
    </row>
    <row r="3160" ht="16.5" customHeight="1">
      <c r="H3160" s="1" t="str">
        <f>IFERROR(__xludf.DUMMYFUNCTION("""COMPUTED_VALUE"""),"THEOGEN P LTD")</f>
        <v>THEOGEN P LTD</v>
      </c>
    </row>
    <row r="3161" ht="16.5" customHeight="1">
      <c r="H3161" s="1" t="str">
        <f>IFERROR(__xludf.DUMMYFUNCTION("""COMPUTED_VALUE"""),"THERMED LIFESCIENCES")</f>
        <v>THERMED LIFESCIENCES</v>
      </c>
    </row>
    <row r="3162" ht="16.5" customHeight="1">
      <c r="H3162" s="1" t="str">
        <f>IFERROR(__xludf.DUMMYFUNCTION("""COMPUTED_VALUE"""),"Theta Lab Pvt Ltd")</f>
        <v>Theta Lab Pvt Ltd</v>
      </c>
    </row>
    <row r="3163" ht="16.5" customHeight="1">
      <c r="H3163" s="1" t="str">
        <f>IFERROR(__xludf.DUMMYFUNCTION("""COMPUTED_VALUE"""),"TIARA")</f>
        <v>TIARA</v>
      </c>
    </row>
    <row r="3164" ht="16.5" customHeight="1">
      <c r="H3164" s="1" t="str">
        <f>IFERROR(__xludf.DUMMYFUNCTION("""COMPUTED_VALUE"""),"Tidal Laboratories Pvt Ltd")</f>
        <v>Tidal Laboratories Pvt Ltd</v>
      </c>
    </row>
    <row r="3165" ht="16.5" customHeight="1">
      <c r="H3165" s="1" t="str">
        <f>IFERROR(__xludf.DUMMYFUNCTION("""COMPUTED_VALUE"""),"TILLU SOUL PHARMA")</f>
        <v>TILLU SOUL PHARMA</v>
      </c>
    </row>
    <row r="3166" ht="16.5" customHeight="1">
      <c r="H3166" s="1" t="str">
        <f>IFERROR(__xludf.DUMMYFUNCTION("""COMPUTED_VALUE"""),"TIRUPATI MEDICARE LTD")</f>
        <v>TIRUPATI MEDICARE LTD</v>
      </c>
    </row>
    <row r="3167" ht="16.5" customHeight="1">
      <c r="H3167" s="1" t="str">
        <f>IFERROR(__xludf.DUMMYFUNCTION("""COMPUTED_VALUE"""),"TISCON")</f>
        <v>TISCON</v>
      </c>
    </row>
    <row r="3168" ht="16.5" customHeight="1">
      <c r="H3168" s="1" t="str">
        <f>IFERROR(__xludf.DUMMYFUNCTION("""COMPUTED_VALUE"""),"TITAN (BIOSCIENCES)")</f>
        <v>TITAN (BIOSCIENCES)</v>
      </c>
    </row>
    <row r="3169" ht="16.5" customHeight="1">
      <c r="H3169" s="1" t="str">
        <f>IFERROR(__xludf.DUMMYFUNCTION("""COMPUTED_VALUE"""),"TITAN (FUTURA)")</f>
        <v>TITAN (FUTURA)</v>
      </c>
    </row>
    <row r="3170" ht="16.5" customHeight="1">
      <c r="H3170" s="1" t="str">
        <f>IFERROR(__xludf.DUMMYFUNCTION("""COMPUTED_VALUE"""),"TJS BEAUTY SECREAT")</f>
        <v>TJS BEAUTY SECREAT</v>
      </c>
    </row>
    <row r="3171" ht="16.5" customHeight="1">
      <c r="H3171" s="1" t="str">
        <f>IFERROR(__xludf.DUMMYFUNCTION("""COMPUTED_VALUE"""),"TN SYS MERYL PHARMA PVT LTD")</f>
        <v>TN SYS MERYL PHARMA PVT LTD</v>
      </c>
    </row>
    <row r="3172" ht="16.5" customHeight="1">
      <c r="H3172" s="1" t="str">
        <f>IFERROR(__xludf.DUMMYFUNCTION("""COMPUTED_VALUE"""),"TODAY REMEDIES")</f>
        <v>TODAY REMEDIES</v>
      </c>
    </row>
    <row r="3173" ht="16.5" customHeight="1">
      <c r="H3173" s="1" t="str">
        <f>IFERROR(__xludf.DUMMYFUNCTION("""COMPUTED_VALUE"""),"TORAINSE LIFECARE")</f>
        <v>TORAINSE LIFECARE</v>
      </c>
    </row>
    <row r="3174" ht="16.5" customHeight="1">
      <c r="H3174" s="1" t="str">
        <f>IFERROR(__xludf.DUMMYFUNCTION("""COMPUTED_VALUE"""),"TORINO LABOTATORIES PVT LTD")</f>
        <v>TORINO LABOTATORIES PVT LTD</v>
      </c>
    </row>
    <row r="3175" ht="16.5" customHeight="1">
      <c r="H3175" s="1" t="str">
        <f>IFERROR(__xludf.DUMMYFUNCTION("""COMPUTED_VALUE"""),"Torque Pharmaceuticals Pvt Ltd")</f>
        <v>Torque Pharmaceuticals Pvt Ltd</v>
      </c>
    </row>
    <row r="3176" ht="16.5" customHeight="1">
      <c r="H3176" s="1" t="str">
        <f>IFERROR(__xludf.DUMMYFUNCTION("""COMPUTED_VALUE"""),"TORQUE PHRAMACUETICAL")</f>
        <v>TORQUE PHRAMACUETICAL</v>
      </c>
    </row>
    <row r="3177" ht="16.5" customHeight="1">
      <c r="H3177" s="1" t="str">
        <f>IFERROR(__xludf.DUMMYFUNCTION("""COMPUTED_VALUE"""),"TORRENT (AXON)")</f>
        <v>TORRENT (AXON)</v>
      </c>
    </row>
    <row r="3178" ht="16.5" customHeight="1">
      <c r="H3178" s="1" t="str">
        <f>IFERROR(__xludf.DUMMYFUNCTION("""COMPUTED_VALUE"""),"TORRENT (AZUCA)")</f>
        <v>TORRENT (AZUCA)</v>
      </c>
    </row>
    <row r="3179" ht="16.5" customHeight="1">
      <c r="H3179" s="1" t="str">
        <f>IFERROR(__xludf.DUMMYFUNCTION("""COMPUTED_VALUE"""),"TORRENT (B WELL)")</f>
        <v>TORRENT (B WELL)</v>
      </c>
    </row>
    <row r="3180" ht="16.5" customHeight="1">
      <c r="H3180" s="1" t="str">
        <f>IFERROR(__xludf.DUMMYFUNCTION("""COMPUTED_VALUE"""),"TORRENT (B-GYNE)")</f>
        <v>TORRENT (B-GYNE)</v>
      </c>
    </row>
    <row r="3181" ht="16.5" customHeight="1">
      <c r="H3181" s="1" t="str">
        <f>IFERROR(__xludf.DUMMYFUNCTION("""COMPUTED_VALUE"""),"TORRENT (DELTA)")</f>
        <v>TORRENT (DELTA)</v>
      </c>
    </row>
    <row r="3182" ht="16.5" customHeight="1">
      <c r="H3182" s="1" t="str">
        <f>IFERROR(__xludf.DUMMYFUNCTION("""COMPUTED_VALUE"""),"TORRENT (GENERIC)")</f>
        <v>TORRENT (GENERIC)</v>
      </c>
    </row>
    <row r="3183" ht="16.5" customHeight="1">
      <c r="H3183" s="1" t="str">
        <f>IFERROR(__xludf.DUMMYFUNCTION("""COMPUTED_VALUE"""),"TORRENT (MIND)")</f>
        <v>TORRENT (MIND)</v>
      </c>
    </row>
    <row r="3184" ht="16.5" customHeight="1">
      <c r="H3184" s="1" t="str">
        <f>IFERROR(__xludf.DUMMYFUNCTION("""COMPUTED_VALUE"""),"TORRENT (NEURON)")</f>
        <v>TORRENT (NEURON)</v>
      </c>
    </row>
    <row r="3185" ht="16.5" customHeight="1">
      <c r="H3185" s="1" t="str">
        <f>IFERROR(__xludf.DUMMYFUNCTION("""COMPUTED_VALUE"""),"TORRENT (PRIMA)")</f>
        <v>TORRENT (PRIMA)</v>
      </c>
    </row>
    <row r="3186" ht="16.5" customHeight="1">
      <c r="H3186" s="1" t="str">
        <f>IFERROR(__xludf.DUMMYFUNCTION("""COMPUTED_VALUE"""),"TORRENT (PSYCAN-CND)")</f>
        <v>TORRENT (PSYCAN-CND)</v>
      </c>
    </row>
    <row r="3187" ht="16.5" customHeight="1">
      <c r="H3187" s="1" t="str">
        <f>IFERROR(__xludf.DUMMYFUNCTION("""COMPUTED_VALUE"""),"TORRENT (PSYCAN)")</f>
        <v>TORRENT (PSYCAN)</v>
      </c>
    </row>
    <row r="3188" ht="16.5" customHeight="1">
      <c r="H3188" s="1" t="str">
        <f>IFERROR(__xludf.DUMMYFUNCTION("""COMPUTED_VALUE"""),"TORRENT (SENSA PV)")</f>
        <v>TORRENT (SENSA PV)</v>
      </c>
    </row>
    <row r="3189" ht="16.5" customHeight="1">
      <c r="H3189" s="1" t="str">
        <f>IFERROR(__xludf.DUMMYFUNCTION("""COMPUTED_VALUE"""),"TORRENT (SPARSH)")</f>
        <v>TORRENT (SPARSH)</v>
      </c>
    </row>
    <row r="3190" ht="16.5" customHeight="1">
      <c r="H3190" s="1" t="str">
        <f>IFERROR(__xludf.DUMMYFUNCTION("""COMPUTED_VALUE"""),"TORRENT (SPRRITUS)")</f>
        <v>TORRENT (SPRRITUS)</v>
      </c>
    </row>
    <row r="3191" ht="16.5" customHeight="1">
      <c r="H3191" s="1" t="str">
        <f>IFERROR(__xludf.DUMMYFUNCTION("""COMPUTED_VALUE"""),"TORRENT (Unichem-UVA)")</f>
        <v>TORRENT (Unichem-UVA)</v>
      </c>
    </row>
    <row r="3192" ht="16.5" customHeight="1">
      <c r="H3192" s="1" t="str">
        <f>IFERROR(__xludf.DUMMYFUNCTION("""COMPUTED_VALUE"""),"TORRENT (UNO SPRIT)")</f>
        <v>TORRENT (UNO SPRIT)</v>
      </c>
    </row>
    <row r="3193" ht="16.5" customHeight="1">
      <c r="H3193" s="1" t="str">
        <f>IFERROR(__xludf.DUMMYFUNCTION("""COMPUTED_VALUE"""),"TORRENT (UNO VISTA)")</f>
        <v>TORRENT (UNO VISTA)</v>
      </c>
    </row>
    <row r="3194" ht="16.5" customHeight="1">
      <c r="H3194" s="1" t="str">
        <f>IFERROR(__xludf.DUMMYFUNCTION("""COMPUTED_VALUE"""),"TORRENT (VISTA)")</f>
        <v>TORRENT (VISTA)</v>
      </c>
    </row>
    <row r="3195" ht="16.5" customHeight="1">
      <c r="H3195" s="1" t="str">
        <f>IFERROR(__xludf.DUMMYFUNCTION("""COMPUTED_VALUE"""),"TORRENT (VIVA)")</f>
        <v>TORRENT (VIVA)</v>
      </c>
    </row>
    <row r="3196" ht="16.5" customHeight="1">
      <c r="H3196" s="1" t="str">
        <f>IFERROR(__xludf.DUMMYFUNCTION("""COMPUTED_VALUE"""),"Torrent Pharmaceuticals Ltd")</f>
        <v>Torrent Pharmaceuticals Ltd</v>
      </c>
    </row>
    <row r="3197" ht="16.5" customHeight="1">
      <c r="H3197" s="1" t="str">
        <f>IFERROR(__xludf.DUMMYFUNCTION("""COMPUTED_VALUE"""),"TRANSGENIC")</f>
        <v>TRANSGENIC</v>
      </c>
    </row>
    <row r="3198" ht="16.5" customHeight="1">
      <c r="H3198" s="1" t="str">
        <f>IFERROR(__xludf.DUMMYFUNCTION("""COMPUTED_VALUE"""),"TREATWELL PHARMA")</f>
        <v>TREATWELL PHARMA</v>
      </c>
    </row>
    <row r="3199" ht="16.5" customHeight="1">
      <c r="H3199" s="1" t="str">
        <f>IFERROR(__xludf.DUMMYFUNCTION("""COMPUTED_VALUE"""),"TRIBUNE PHARMACEUTICALS")</f>
        <v>TRIBUNE PHARMACEUTICALS</v>
      </c>
    </row>
    <row r="3200" ht="16.5" customHeight="1">
      <c r="H3200" s="1" t="str">
        <f>IFERROR(__xludf.DUMMYFUNCTION("""COMPUTED_VALUE"""),"TRIFARMA")</f>
        <v>TRIFARMA</v>
      </c>
    </row>
    <row r="3201" ht="16.5" customHeight="1">
      <c r="H3201" s="1" t="str">
        <f>IFERROR(__xludf.DUMMYFUNCTION("""COMPUTED_VALUE"""),"TRIGLOBAL BIOSCIENCE")</f>
        <v>TRIGLOBAL BIOSCIENCE</v>
      </c>
    </row>
    <row r="3202" ht="16.5" customHeight="1">
      <c r="H3202" s="1" t="str">
        <f>IFERROR(__xludf.DUMMYFUNCTION("""COMPUTED_VALUE"""),"TRIKONA PHARMACEUTICALS PVT LTD")</f>
        <v>TRIKONA PHARMACEUTICALS PVT LTD</v>
      </c>
    </row>
    <row r="3203" ht="16.5" customHeight="1">
      <c r="H3203" s="1" t="str">
        <f>IFERROR(__xludf.DUMMYFUNCTION("""COMPUTED_VALUE"""),"TRIO LIFESCIENCE")</f>
        <v>TRIO LIFESCIENCE</v>
      </c>
    </row>
    <row r="3204" ht="16.5" customHeight="1">
      <c r="H3204" s="1" t="str">
        <f>IFERROR(__xludf.DUMMYFUNCTION("""COMPUTED_VALUE"""),"TRION PHARMA INDIA LLP")</f>
        <v>TRION PHARMA INDIA LLP</v>
      </c>
    </row>
    <row r="3205" ht="16.5" customHeight="1">
      <c r="H3205" s="1" t="str">
        <f>IFERROR(__xludf.DUMMYFUNCTION("""COMPUTED_VALUE"""),"TRIPADA HEALTHCARE")</f>
        <v>TRIPADA HEALTHCARE</v>
      </c>
    </row>
    <row r="3206" ht="16.5" customHeight="1">
      <c r="H3206" s="1" t="str">
        <f>IFERROR(__xludf.DUMMYFUNCTION("""COMPUTED_VALUE"""),"TRIPADA LIFECARE")</f>
        <v>TRIPADA LIFECARE</v>
      </c>
    </row>
    <row r="3207" ht="16.5" customHeight="1">
      <c r="H3207" s="1" t="str">
        <f>IFERROR(__xludf.DUMMYFUNCTION("""COMPUTED_VALUE"""),"TRITON")</f>
        <v>TRITON</v>
      </c>
    </row>
    <row r="3208" ht="16.5" customHeight="1">
      <c r="H3208" s="1" t="str">
        <f>IFERROR(__xludf.DUMMYFUNCTION("""COMPUTED_VALUE"""),"TRIUMPH")</f>
        <v>TRIUMPH</v>
      </c>
    </row>
    <row r="3209" ht="16.5" customHeight="1">
      <c r="H3209" s="1" t="str">
        <f>IFERROR(__xludf.DUMMYFUNCTION("""COMPUTED_VALUE"""),"TRIVIGYA BIOSCIENCE")</f>
        <v>TRIVIGYA BIOSCIENCE</v>
      </c>
    </row>
    <row r="3210" ht="16.5" customHeight="1">
      <c r="H3210" s="1" t="str">
        <f>IFERROR(__xludf.DUMMYFUNCTION("""COMPUTED_VALUE"""),"TROIKAA (ALTIUS)")</f>
        <v>TROIKAA (ALTIUS)</v>
      </c>
    </row>
    <row r="3211" ht="16.5" customHeight="1">
      <c r="H3211" s="1" t="str">
        <f>IFERROR(__xludf.DUMMYFUNCTION("""COMPUTED_VALUE"""),"TROIKAA (AURA)")</f>
        <v>TROIKAA (AURA)</v>
      </c>
    </row>
    <row r="3212" ht="16.5" customHeight="1">
      <c r="H3212" s="1" t="str">
        <f>IFERROR(__xludf.DUMMYFUNCTION("""COMPUTED_VALUE"""),"TROIKAA (CITIUS)")</f>
        <v>TROIKAA (CITIUS)</v>
      </c>
    </row>
    <row r="3213" ht="16.5" customHeight="1">
      <c r="H3213" s="1" t="str">
        <f>IFERROR(__xludf.DUMMYFUNCTION("""COMPUTED_VALUE"""),"TROIKAA (GENERIC)")</f>
        <v>TROIKAA (GENERIC)</v>
      </c>
    </row>
    <row r="3214" ht="16.5" customHeight="1">
      <c r="H3214" s="1" t="str">
        <f>IFERROR(__xludf.DUMMYFUNCTION("""COMPUTED_VALUE"""),"TROIKAA (HOS)")</f>
        <v>TROIKAA (HOS)</v>
      </c>
    </row>
    <row r="3215" ht="16.5" customHeight="1">
      <c r="H3215" s="1" t="str">
        <f>IFERROR(__xludf.DUMMYFUNCTION("""COMPUTED_VALUE"""),"TROIKAA (SPECTRA)")</f>
        <v>TROIKAA (SPECTRA)</v>
      </c>
    </row>
    <row r="3216" ht="16.5" customHeight="1">
      <c r="H3216" s="1" t="str">
        <f>IFERROR(__xludf.DUMMYFUNCTION("""COMPUTED_VALUE"""),"Troikaa Pharmaceuticals Ltd")</f>
        <v>Troikaa Pharmaceuticals Ltd</v>
      </c>
    </row>
    <row r="3217" ht="16.5" customHeight="1">
      <c r="H3217" s="1" t="str">
        <f>IFERROR(__xludf.DUMMYFUNCTION("""COMPUTED_VALUE"""),"TROPHIC (WELLNESS)")</f>
        <v>TROPHIC (WELLNESS)</v>
      </c>
    </row>
    <row r="3218" ht="16.5" customHeight="1">
      <c r="H3218" s="1" t="str">
        <f>IFERROR(__xludf.DUMMYFUNCTION("""COMPUTED_VALUE"""),"TRUEWORTH HEALTHCARE")</f>
        <v>TRUEWORTH HEALTHCARE</v>
      </c>
    </row>
    <row r="3219" ht="16.5" customHeight="1">
      <c r="H3219" s="1" t="str">
        <f>IFERROR(__xludf.DUMMYFUNCTION("""COMPUTED_VALUE"""),"TRUHEALTHY LLP")</f>
        <v>TRUHEALTHY LLP</v>
      </c>
    </row>
    <row r="3220" ht="16.5" customHeight="1">
      <c r="H3220" s="1" t="str">
        <f>IFERROR(__xludf.DUMMYFUNCTION("""COMPUTED_VALUE"""),"TRULAM LIFE SCIENCES")</f>
        <v>TRULAM LIFE SCIENCES</v>
      </c>
    </row>
    <row r="3221" ht="16.5" customHeight="1">
      <c r="H3221" s="1" t="str">
        <f>IFERROR(__xludf.DUMMYFUNCTION("""COMPUTED_VALUE"""),"TRUMAC HEALTHCARE PVT LTD")</f>
        <v>TRUMAC HEALTHCARE PVT LTD</v>
      </c>
    </row>
    <row r="3222" ht="16.5" customHeight="1">
      <c r="H3222" s="1" t="str">
        <f>IFERROR(__xludf.DUMMYFUNCTION("""COMPUTED_VALUE"""),"TRUWORTH HEALTHCARE")</f>
        <v>TRUWORTH HEALTHCARE</v>
      </c>
    </row>
    <row r="3223" ht="16.5" customHeight="1">
      <c r="H3223" s="1" t="str">
        <f>IFERROR(__xludf.DUMMYFUNCTION("""COMPUTED_VALUE"""),"TRY BIRD HEALTHCARE PVT LTD")</f>
        <v>TRY BIRD HEALTHCARE PVT LTD</v>
      </c>
    </row>
    <row r="3224" ht="16.5" customHeight="1">
      <c r="H3224" s="1" t="str">
        <f>IFERROR(__xludf.DUMMYFUNCTION("""COMPUTED_VALUE"""),"TTK HEALTHCARE (ENDURA)")</f>
        <v>TTK HEALTHCARE (ENDURA)</v>
      </c>
    </row>
    <row r="3225" ht="16.5" customHeight="1">
      <c r="H3225" s="1" t="str">
        <f>IFERROR(__xludf.DUMMYFUNCTION("""COMPUTED_VALUE"""),"TTK HEALTHCARE (EPD)")</f>
        <v>TTK HEALTHCARE (EPD)</v>
      </c>
    </row>
    <row r="3226" ht="16.5" customHeight="1">
      <c r="H3226" s="1" t="str">
        <f>IFERROR(__xludf.DUMMYFUNCTION("""COMPUTED_VALUE"""),"TTK HEALTHCARE (NOVA)")</f>
        <v>TTK HEALTHCARE (NOVA)</v>
      </c>
    </row>
    <row r="3227" ht="16.5" customHeight="1">
      <c r="H3227" s="1" t="str">
        <f>IFERROR(__xludf.DUMMYFUNCTION("""COMPUTED_VALUE"""),"TTK HEALTHCARE (VENTURA FERTILITY)")</f>
        <v>TTK HEALTHCARE (VENTURA FERTILITY)</v>
      </c>
    </row>
    <row r="3228" ht="16.5" customHeight="1">
      <c r="H3228" s="1" t="str">
        <f>IFERROR(__xludf.DUMMYFUNCTION("""COMPUTED_VALUE"""),"TTK HEALTHCARE (VENTURA GYNIC)")</f>
        <v>TTK HEALTHCARE (VENTURA GYNIC)</v>
      </c>
    </row>
    <row r="3229" ht="16.5" customHeight="1">
      <c r="H3229" s="1" t="str">
        <f>IFERROR(__xludf.DUMMYFUNCTION("""COMPUTED_VALUE"""),"TTK HEALTHCARE (VENTURA)")</f>
        <v>TTK HEALTHCARE (VENTURA)</v>
      </c>
    </row>
    <row r="3230" ht="16.5" customHeight="1">
      <c r="H3230" s="1" t="str">
        <f>IFERROR(__xludf.DUMMYFUNCTION("""COMPUTED_VALUE"""),"TTK Healthcare Ltd")</f>
        <v>TTK Healthcare Ltd</v>
      </c>
    </row>
    <row r="3231" ht="16.5" customHeight="1">
      <c r="H3231" s="1" t="str">
        <f>IFERROR(__xludf.DUMMYFUNCTION("""COMPUTED_VALUE"""),"TUHI LIFE SCIENCES P LTD")</f>
        <v>TUHI LIFE SCIENCES P LTD</v>
      </c>
    </row>
    <row r="3232" ht="16.5" customHeight="1">
      <c r="H3232" s="1" t="str">
        <f>IFERROR(__xludf.DUMMYFUNCTION("""COMPUTED_VALUE"""),"TULAS PHARMACEUTICALS PVT LTD")</f>
        <v>TULAS PHARMACEUTICALS PVT LTD</v>
      </c>
    </row>
    <row r="3233" ht="16.5" customHeight="1">
      <c r="H3233" s="1" t="str">
        <f>IFERROR(__xludf.DUMMYFUNCTION("""COMPUTED_VALUE"""),"TULIP LAB PVT LTD")</f>
        <v>TULIP LAB PVT LTD</v>
      </c>
    </row>
    <row r="3234" ht="16.5" customHeight="1">
      <c r="H3234" s="1" t="str">
        <f>IFERROR(__xludf.DUMMYFUNCTION("""COMPUTED_VALUE"""),"TUTON PHARMACEUTICALS")</f>
        <v>TUTON PHARMACEUTICALS</v>
      </c>
    </row>
    <row r="3235" ht="16.5" customHeight="1">
      <c r="H3235" s="1" t="str">
        <f>IFERROR(__xludf.DUMMYFUNCTION("""COMPUTED_VALUE"""),"TWEET INDIA")</f>
        <v>TWEET INDIA</v>
      </c>
    </row>
    <row r="3236" ht="16.5" customHeight="1">
      <c r="H3236" s="1" t="str">
        <f>IFERROR(__xludf.DUMMYFUNCTION("""COMPUTED_VALUE"""),"UA BIOTECH PVT LTD")</f>
        <v>UA BIOTECH PVT LTD</v>
      </c>
    </row>
    <row r="3237" ht="16.5" customHeight="1">
      <c r="H3237" s="1" t="str">
        <f>IFERROR(__xludf.DUMMYFUNCTION("""COMPUTED_VALUE"""),"UCB India Pvt Ltd")</f>
        <v>UCB India Pvt Ltd</v>
      </c>
    </row>
    <row r="3238" ht="16.5" customHeight="1">
      <c r="H3238" s="1" t="str">
        <f>IFERROR(__xludf.DUMMYFUNCTION("""COMPUTED_VALUE"""),"ULTRATECH PHARMACEUTICALS")</f>
        <v>ULTRATECH PHARMACEUTICALS</v>
      </c>
    </row>
    <row r="3239" ht="16.5" customHeight="1">
      <c r="H3239" s="1" t="str">
        <f>IFERROR(__xludf.DUMMYFUNCTION("""COMPUTED_VALUE"""),"ULTRON PHARMA PVT TD")</f>
        <v>ULTRON PHARMA PVT TD</v>
      </c>
    </row>
    <row r="3240" ht="16.5" customHeight="1">
      <c r="H3240" s="1" t="str">
        <f>IFERROR(__xludf.DUMMYFUNCTION("""COMPUTED_VALUE"""),"UMARK PHARMACEUTICALS")</f>
        <v>UMARK PHARMACEUTICALS</v>
      </c>
    </row>
    <row r="3241" ht="16.5" customHeight="1">
      <c r="H3241" s="1" t="str">
        <f>IFERROR(__xludf.DUMMYFUNCTION("""COMPUTED_VALUE"""),"UNANI AYUR SEWA ASHRAM")</f>
        <v>UNANI AYUR SEWA ASHRAM</v>
      </c>
    </row>
    <row r="3242" ht="16.5" customHeight="1">
      <c r="H3242" s="1" t="str">
        <f>IFERROR(__xludf.DUMMYFUNCTION("""COMPUTED_VALUE"""),"UNI PLUS HEALTHCARE INDIA PVT LTD")</f>
        <v>UNI PLUS HEALTHCARE INDIA PVT LTD</v>
      </c>
    </row>
    <row r="3243" ht="16.5" customHeight="1">
      <c r="H3243" s="1" t="str">
        <f>IFERROR(__xludf.DUMMYFUNCTION("""COMPUTED_VALUE"""),"UNIALL PHARMA")</f>
        <v>UNIALL PHARMA</v>
      </c>
    </row>
    <row r="3244" ht="16.5" customHeight="1">
      <c r="H3244" s="1" t="str">
        <f>IFERROR(__xludf.DUMMYFUNCTION("""COMPUTED_VALUE"""),"UNIASTHA LIFE SCIENCES,SOLAN")</f>
        <v>UNIASTHA LIFE SCIENCES,SOLAN</v>
      </c>
    </row>
    <row r="3245" ht="16.5" customHeight="1">
      <c r="H3245" s="1" t="str">
        <f>IFERROR(__xludf.DUMMYFUNCTION("""COMPUTED_VALUE"""),"UNICHEM (GENERIC)")</f>
        <v>UNICHEM (GENERIC)</v>
      </c>
    </row>
    <row r="3246" ht="16.5" customHeight="1">
      <c r="H3246" s="1" t="str">
        <f>IFERROR(__xludf.DUMMYFUNCTION("""COMPUTED_VALUE"""),"Unichem Laboratories (LIFECARE)")</f>
        <v>Unichem Laboratories (LIFECARE)</v>
      </c>
    </row>
    <row r="3247" ht="16.5" customHeight="1">
      <c r="H3247" s="1" t="str">
        <f>IFERROR(__xludf.DUMMYFUNCTION("""COMPUTED_VALUE"""),"UNICHEM LABORATORIES LTD")</f>
        <v>UNICHEM LABORATORIES LTD</v>
      </c>
    </row>
    <row r="3248" ht="16.5" customHeight="1">
      <c r="H3248" s="1" t="str">
        <f>IFERROR(__xludf.DUMMYFUNCTION("""COMPUTED_VALUE"""),"Unicure India Pvt Ltd")</f>
        <v>Unicure India Pvt Ltd</v>
      </c>
    </row>
    <row r="3249" ht="16.5" customHeight="1">
      <c r="H3249" s="1" t="str">
        <f>IFERROR(__xludf.DUMMYFUNCTION("""COMPUTED_VALUE"""),"Unicure Remedies Pvt Ltd")</f>
        <v>Unicure Remedies Pvt Ltd</v>
      </c>
    </row>
    <row r="3250" ht="16.5" customHeight="1">
      <c r="H3250" s="1" t="str">
        <f>IFERROR(__xludf.DUMMYFUNCTION("""COMPUTED_VALUE"""),"UNIFAITH  BIOTECH P LTD")</f>
        <v>UNIFAITH  BIOTECH P LTD</v>
      </c>
    </row>
    <row r="3251" ht="16.5" customHeight="1">
      <c r="H3251" s="1" t="str">
        <f>IFERROR(__xludf.DUMMYFUNCTION("""COMPUTED_VALUE"""),"UNIFAITH BIOTECH P LTD")</f>
        <v>UNIFAITH BIOTECH P LTD</v>
      </c>
    </row>
    <row r="3252" ht="16.5" customHeight="1">
      <c r="H3252" s="1" t="str">
        <f>IFERROR(__xludf.DUMMYFUNCTION("""COMPUTED_VALUE"""),"UNIFARMA HERBALS")</f>
        <v>UNIFARMA HERBALS</v>
      </c>
    </row>
    <row r="3253" ht="16.5" customHeight="1">
      <c r="H3253" s="1" t="str">
        <f>IFERROR(__xludf.DUMMYFUNCTION("""COMPUTED_VALUE"""),"UNIJULES LIFESCIENCES (UNIVERSAL MEDIKIT)")</f>
        <v>UNIJULES LIFESCIENCES (UNIVERSAL MEDIKIT)</v>
      </c>
    </row>
    <row r="3254" ht="16.5" customHeight="1">
      <c r="H3254" s="1" t="str">
        <f>IFERROR(__xludf.DUMMYFUNCTION("""COMPUTED_VALUE"""),"UNIKIND PHARMA")</f>
        <v>UNIKIND PHARMA</v>
      </c>
    </row>
    <row r="3255" ht="16.5" customHeight="1">
      <c r="H3255" s="1" t="str">
        <f>IFERROR(__xludf.DUMMYFUNCTION("""COMPUTED_VALUE"""),"Unimarck Healthcare Ltd")</f>
        <v>Unimarck Healthcare Ltd</v>
      </c>
    </row>
    <row r="3256" ht="16.5" customHeight="1">
      <c r="H3256" s="1" t="str">
        <f>IFERROR(__xludf.DUMMYFUNCTION("""COMPUTED_VALUE"""),"UNIMARCK PHARMA INDIA LTD")</f>
        <v>UNIMARCK PHARMA INDIA LTD</v>
      </c>
    </row>
    <row r="3257" ht="16.5" customHeight="1">
      <c r="H3257" s="1" t="str">
        <f>IFERROR(__xludf.DUMMYFUNCTION("""COMPUTED_VALUE"""),"Unimark Remedies Ltd")</f>
        <v>Unimark Remedies Ltd</v>
      </c>
    </row>
    <row r="3258" ht="16.5" customHeight="1">
      <c r="H3258" s="1" t="str">
        <f>IFERROR(__xludf.DUMMYFUNCTION("""COMPUTED_VALUE"""),"UNINOR BIOTECH")</f>
        <v>UNINOR BIOTECH</v>
      </c>
    </row>
    <row r="3259" ht="16.5" customHeight="1">
      <c r="H3259" s="1" t="str">
        <f>IFERROR(__xludf.DUMMYFUNCTION("""COMPUTED_VALUE"""),"UNIPEX")</f>
        <v>UNIPEX</v>
      </c>
    </row>
    <row r="3260" ht="16.5" customHeight="1">
      <c r="H3260" s="1" t="str">
        <f>IFERROR(__xludf.DUMMYFUNCTION("""COMPUTED_VALUE"""),"UNIQUE DRUGS LAB NEEMANVAS")</f>
        <v>UNIQUE DRUGS LAB NEEMANVAS</v>
      </c>
    </row>
    <row r="3261" ht="16.5" customHeight="1">
      <c r="H3261" s="1" t="str">
        <f>IFERROR(__xludf.DUMMYFUNCTION("""COMPUTED_VALUE"""),"UNIROSE PHARMA PVT LTD")</f>
        <v>UNIROSE PHARMA PVT LTD</v>
      </c>
    </row>
    <row r="3262" ht="16.5" customHeight="1">
      <c r="H3262" s="1" t="str">
        <f>IFERROR(__xludf.DUMMYFUNCTION("""COMPUTED_VALUE"""),"UNISAFE BIOSCIENCE")</f>
        <v>UNISAFE BIOSCIENCE</v>
      </c>
    </row>
    <row r="3263" ht="16.5" customHeight="1">
      <c r="H3263" s="1" t="str">
        <f>IFERROR(__xludf.DUMMYFUNCTION("""COMPUTED_VALUE"""),"UNISANKYO")</f>
        <v>UNISANKYO</v>
      </c>
    </row>
    <row r="3264" ht="16.5" customHeight="1">
      <c r="H3264" s="1" t="str">
        <f>IFERROR(__xludf.DUMMYFUNCTION("""COMPUTED_VALUE"""),"Unison Pharmaceutical (UNICARE)")</f>
        <v>Unison Pharmaceutical (UNICARE)</v>
      </c>
    </row>
    <row r="3265" ht="16.5" customHeight="1">
      <c r="H3265" s="1" t="str">
        <f>IFERROR(__xludf.DUMMYFUNCTION("""COMPUTED_VALUE"""),"UNISON PHARMACEUTICALS PVT LTD")</f>
        <v>UNISON PHARMACEUTICALS PVT LTD</v>
      </c>
    </row>
    <row r="3266" ht="16.5" customHeight="1">
      <c r="H3266" s="1" t="str">
        <f>IFERROR(__xludf.DUMMYFUNCTION("""COMPUTED_VALUE"""),"UNISURE BIOTECH")</f>
        <v>UNISURE BIOTECH</v>
      </c>
    </row>
    <row r="3267" ht="16.5" customHeight="1">
      <c r="H3267" s="1" t="str">
        <f>IFERROR(__xludf.DUMMYFUNCTION("""COMPUTED_VALUE"""),"UNITECH HEALTHCARE")</f>
        <v>UNITECH HEALTHCARE</v>
      </c>
    </row>
    <row r="3268" ht="16.5" customHeight="1">
      <c r="H3268" s="1" t="str">
        <f>IFERROR(__xludf.DUMMYFUNCTION("""COMPUTED_VALUE"""),"UNITECH HEALTHCARE P LTD")</f>
        <v>UNITECH HEALTHCARE P LTD</v>
      </c>
    </row>
    <row r="3269" ht="16.5" customHeight="1">
      <c r="H3269" s="1" t="str">
        <f>IFERROR(__xludf.DUMMYFUNCTION("""COMPUTED_VALUE"""),"UNITED BIOTECH")</f>
        <v>UNITED BIOTECH</v>
      </c>
    </row>
    <row r="3270" ht="16.5" customHeight="1">
      <c r="H3270" s="1" t="str">
        <f>IFERROR(__xludf.DUMMYFUNCTION("""COMPUTED_VALUE"""),"UNITED BIOTECH (CRITICAL CARE)")</f>
        <v>UNITED BIOTECH (CRITICAL CARE)</v>
      </c>
    </row>
    <row r="3271" ht="16.5" customHeight="1">
      <c r="H3271" s="1" t="str">
        <f>IFERROR(__xludf.DUMMYFUNCTION("""COMPUTED_VALUE"""),"UNITED BIOTECH (HYGEA DIVISION)")</f>
        <v>UNITED BIOTECH (HYGEA DIVISION)</v>
      </c>
    </row>
    <row r="3272" ht="16.5" customHeight="1">
      <c r="H3272" s="1" t="str">
        <f>IFERROR(__xludf.DUMMYFUNCTION("""COMPUTED_VALUE"""),"UNITED BIOTECH (SPECIALTY DIVISION)")</f>
        <v>UNITED BIOTECH (SPECIALTY DIVISION)</v>
      </c>
    </row>
    <row r="3273" ht="16.5" customHeight="1">
      <c r="H3273" s="1" t="str">
        <f>IFERROR(__xludf.DUMMYFUNCTION("""COMPUTED_VALUE"""),"UNIVENTIS MEDICARE LTD")</f>
        <v>UNIVENTIS MEDICARE LTD</v>
      </c>
    </row>
    <row r="3274" ht="16.5" customHeight="1">
      <c r="H3274" s="1" t="str">
        <f>IFERROR(__xludf.DUMMYFUNCTION("""COMPUTED_VALUE"""),"UNIVERSAL BIOSCIENCES (GENERIC)")</f>
        <v>UNIVERSAL BIOSCIENCES (GENERIC)</v>
      </c>
    </row>
    <row r="3275" ht="16.5" customHeight="1">
      <c r="H3275" s="1" t="str">
        <f>IFERROR(__xludf.DUMMYFUNCTION("""COMPUTED_VALUE"""),"Universal Drug House Pvt Ltd")</f>
        <v>Universal Drug House Pvt Ltd</v>
      </c>
    </row>
    <row r="3276" ht="16.5" customHeight="1">
      <c r="H3276" s="1" t="str">
        <f>IFERROR(__xludf.DUMMYFUNCTION("""COMPUTED_VALUE"""),"UNIVERSAL HELTHCARE BADDI")</f>
        <v>UNIVERSAL HELTHCARE BADDI</v>
      </c>
    </row>
    <row r="3277" ht="16.5" customHeight="1">
      <c r="H3277" s="1" t="str">
        <f>IFERROR(__xludf.DUMMYFUNCTION("""COMPUTED_VALUE"""),"UNIVERSAL LIFE SCIENCES (GENERIC)")</f>
        <v>UNIVERSAL LIFE SCIENCES (GENERIC)</v>
      </c>
    </row>
    <row r="3278" ht="16.5" customHeight="1">
      <c r="H3278" s="1" t="str">
        <f>IFERROR(__xludf.DUMMYFUNCTION("""COMPUTED_VALUE"""),"UNIVERSAL LTD")</f>
        <v>UNIVERSAL LTD</v>
      </c>
    </row>
    <row r="3279" ht="16.5" customHeight="1">
      <c r="H3279" s="1" t="str">
        <f>IFERROR(__xludf.DUMMYFUNCTION("""COMPUTED_VALUE"""),"UNIVERSAL MEDICARE PVT LTD")</f>
        <v>UNIVERSAL MEDICARE PVT LTD</v>
      </c>
    </row>
    <row r="3280" ht="16.5" customHeight="1">
      <c r="H3280" s="1" t="str">
        <f>IFERROR(__xludf.DUMMYFUNCTION("""COMPUTED_VALUE"""),"Universal Medikit")</f>
        <v>Universal Medikit</v>
      </c>
    </row>
    <row r="3281" ht="16.5" customHeight="1">
      <c r="H3281" s="1" t="str">
        <f>IFERROR(__xludf.DUMMYFUNCTION("""COMPUTED_VALUE"""),"Universal Twin Labs (GENERIC)")</f>
        <v>Universal Twin Labs (GENERIC)</v>
      </c>
    </row>
    <row r="3282" ht="16.5" customHeight="1">
      <c r="H3282" s="1" t="str">
        <f>IFERROR(__xludf.DUMMYFUNCTION("""COMPUTED_VALUE"""),"UNIVICTOR HEALTHCARE")</f>
        <v>UNIVICTOR HEALTHCARE</v>
      </c>
    </row>
    <row r="3283" ht="16.5" customHeight="1">
      <c r="H3283" s="1" t="str">
        <f>IFERROR(__xludf.DUMMYFUNCTION("""COMPUTED_VALUE"""),"UNIX")</f>
        <v>UNIX</v>
      </c>
    </row>
    <row r="3284" ht="16.5" customHeight="1">
      <c r="H3284" s="1" t="str">
        <f>IFERROR(__xludf.DUMMYFUNCTION("""COMPUTED_VALUE"""),"UNIZA HEALTHCARE")</f>
        <v>UNIZA HEALTHCARE</v>
      </c>
    </row>
    <row r="3285" ht="16.5" customHeight="1">
      <c r="H3285" s="1" t="str">
        <f>IFERROR(__xludf.DUMMYFUNCTION("""COMPUTED_VALUE"""),"UNJHA PHARMACY")</f>
        <v>UNJHA PHARMACY</v>
      </c>
    </row>
    <row r="3286" ht="16.5" customHeight="1">
      <c r="H3286" s="1" t="str">
        <f>IFERROR(__xludf.DUMMYFUNCTION("""COMPUTED_VALUE"""),"UP PHARMACEUTICALS")</f>
        <v>UP PHARMACEUTICALS</v>
      </c>
    </row>
    <row r="3287" ht="16.5" customHeight="1">
      <c r="H3287" s="1" t="str">
        <f>IFERROR(__xludf.DUMMYFUNCTION("""COMPUTED_VALUE"""),"UPJONE LAB PVT LTD")</f>
        <v>UPJONE LAB PVT LTD</v>
      </c>
    </row>
    <row r="3288" ht="16.5" customHeight="1">
      <c r="H3288" s="1" t="str">
        <f>IFERROR(__xludf.DUMMYFUNCTION("""COMPUTED_VALUE"""),"URIHK PHARMACEUTICAL PVT LTD")</f>
        <v>URIHK PHARMACEUTICAL PVT LTD</v>
      </c>
    </row>
    <row r="3289" ht="16.5" customHeight="1">
      <c r="H3289" s="1" t="str">
        <f>IFERROR(__xludf.DUMMYFUNCTION("""COMPUTED_VALUE"""),"URMED PHARMACEUTICAL")</f>
        <v>URMED PHARMACEUTICAL</v>
      </c>
    </row>
    <row r="3290" ht="16.5" customHeight="1">
      <c r="H3290" s="1" t="str">
        <f>IFERROR(__xludf.DUMMYFUNCTION("""COMPUTED_VALUE"""),"USV (CENTRA)")</f>
        <v>USV (CENTRA)</v>
      </c>
    </row>
    <row r="3291" ht="16.5" customHeight="1">
      <c r="H3291" s="1" t="str">
        <f>IFERROR(__xludf.DUMMYFUNCTION("""COMPUTED_VALUE"""),"USV (CHANNEL)")</f>
        <v>USV (CHANNEL)</v>
      </c>
    </row>
    <row r="3292" ht="16.5" customHeight="1">
      <c r="H3292" s="1" t="str">
        <f>IFERROR(__xludf.DUMMYFUNCTION("""COMPUTED_VALUE"""),"USV (CLASSIC)")</f>
        <v>USV (CLASSIC)</v>
      </c>
    </row>
    <row r="3293" ht="16.5" customHeight="1">
      <c r="H3293" s="1" t="str">
        <f>IFERROR(__xludf.DUMMYFUNCTION("""COMPUTED_VALUE"""),"USV (CONDOR)")</f>
        <v>USV (CONDOR)</v>
      </c>
    </row>
    <row r="3294" ht="16.5" customHeight="1">
      <c r="H3294" s="1" t="str">
        <f>IFERROR(__xludf.DUMMYFUNCTION("""COMPUTED_VALUE"""),"USV (CONQUER)")</f>
        <v>USV (CONQUER)</v>
      </c>
    </row>
    <row r="3295" ht="16.5" customHeight="1">
      <c r="H3295" s="1" t="str">
        <f>IFERROR(__xludf.DUMMYFUNCTION("""COMPUTED_VALUE"""),"USV (CORONA)")</f>
        <v>USV (CORONA)</v>
      </c>
    </row>
    <row r="3296" ht="16.5" customHeight="1">
      <c r="H3296" s="1" t="str">
        <f>IFERROR(__xludf.DUMMYFUNCTION("""COMPUTED_VALUE"""),"USV (CORVETT)")</f>
        <v>USV (CORVETT)</v>
      </c>
    </row>
    <row r="3297" ht="16.5" customHeight="1">
      <c r="H3297" s="1" t="str">
        <f>IFERROR(__xludf.DUMMYFUNCTION("""COMPUTED_VALUE"""),"USV (COSMETICS)")</f>
        <v>USV (COSMETICS)</v>
      </c>
    </row>
    <row r="3298" ht="16.5" customHeight="1">
      <c r="H3298" s="1" t="str">
        <f>IFERROR(__xludf.DUMMYFUNCTION("""COMPUTED_VALUE"""),"USV (CRESCENDO)")</f>
        <v>USV (CRESCENDO)</v>
      </c>
    </row>
    <row r="3299" ht="16.5" customHeight="1">
      <c r="H3299" s="1" t="str">
        <f>IFERROR(__xludf.DUMMYFUNCTION("""COMPUTED_VALUE"""),"USV (CREST)")</f>
        <v>USV (CREST)</v>
      </c>
    </row>
    <row r="3300" ht="16.5" customHeight="1">
      <c r="H3300" s="1" t="str">
        <f>IFERROR(__xludf.DUMMYFUNCTION("""COMPUTED_VALUE"""),"USV (DERMA)")</f>
        <v>USV (DERMA)</v>
      </c>
    </row>
    <row r="3301" ht="16.5" customHeight="1">
      <c r="H3301" s="1" t="str">
        <f>IFERROR(__xludf.DUMMYFUNCTION("""COMPUTED_VALUE"""),"USV (GENERAL)")</f>
        <v>USV (GENERAL)</v>
      </c>
    </row>
    <row r="3302" ht="16.5" customHeight="1">
      <c r="H3302" s="1" t="str">
        <f>IFERROR(__xludf.DUMMYFUNCTION("""COMPUTED_VALUE"""),"USV (LIFEON)")</f>
        <v>USV (LIFEON)</v>
      </c>
    </row>
    <row r="3303" ht="16.5" customHeight="1">
      <c r="H3303" s="1" t="str">
        <f>IFERROR(__xludf.DUMMYFUNCTION("""COMPUTED_VALUE"""),"USV (MULTI SPECIALITY)")</f>
        <v>USV (MULTI SPECIALITY)</v>
      </c>
    </row>
    <row r="3304" ht="16.5" customHeight="1">
      <c r="H3304" s="1" t="str">
        <f>IFERROR(__xludf.DUMMYFUNCTION("""COMPUTED_VALUE"""),"USV (TAZLOC TEAM)")</f>
        <v>USV (TAZLOC TEAM)</v>
      </c>
    </row>
    <row r="3305" ht="16.5" customHeight="1">
      <c r="H3305" s="1" t="str">
        <f>IFERROR(__xludf.DUMMYFUNCTION("""COMPUTED_VALUE"""),"USV Ltd")</f>
        <v>USV Ltd</v>
      </c>
    </row>
    <row r="3306" ht="16.5" customHeight="1">
      <c r="H3306" s="1" t="str">
        <f>IFERROR(__xludf.DUMMYFUNCTION("""COMPUTED_VALUE"""),"UTH Healthcare")</f>
        <v>UTH Healthcare</v>
      </c>
    </row>
    <row r="3307" ht="16.5" customHeight="1">
      <c r="H3307" s="1" t="str">
        <f>IFERROR(__xludf.DUMMYFUNCTION("""COMPUTED_VALUE"""),"UTLTRAMED")</f>
        <v>UTLTRAMED</v>
      </c>
    </row>
    <row r="3308" ht="16.5" customHeight="1">
      <c r="H3308" s="1" t="str">
        <f>IFERROR(__xludf.DUMMYFUNCTION("""COMPUTED_VALUE"""),"VAARDAAN")</f>
        <v>VAARDAAN</v>
      </c>
    </row>
    <row r="3309" ht="16.5" customHeight="1">
      <c r="H3309" s="1" t="str">
        <f>IFERROR(__xludf.DUMMYFUNCTION("""COMPUTED_VALUE"""),"VADNARE CHEMICAL WORKS")</f>
        <v>VADNARE CHEMICAL WORKS</v>
      </c>
    </row>
    <row r="3310" ht="16.5" customHeight="1">
      <c r="H3310" s="1" t="str">
        <f>IFERROR(__xludf.DUMMYFUNCTION("""COMPUTED_VALUE"""),"VADNARE CHEMICALS")</f>
        <v>VADNARE CHEMICALS</v>
      </c>
    </row>
    <row r="3311" ht="16.5" customHeight="1">
      <c r="H3311" s="1" t="str">
        <f>IFERROR(__xludf.DUMMYFUNCTION("""COMPUTED_VALUE"""),"VAIDRISHI LABORATORIES")</f>
        <v>VAIDRISHI LABORATORIES</v>
      </c>
    </row>
    <row r="3312" ht="16.5" customHeight="1">
      <c r="H3312" s="1" t="str">
        <f>IFERROR(__xludf.DUMMYFUNCTION("""COMPUTED_VALUE"""),"VAIDYA PATANKAR PHARMACY")</f>
        <v>VAIDYA PATANKAR PHARMACY</v>
      </c>
    </row>
    <row r="3313" ht="16.5" customHeight="1">
      <c r="H3313" s="1" t="str">
        <f>IFERROR(__xludf.DUMMYFUNCTION("""COMPUTED_VALUE"""),"VALCRET")</f>
        <v>VALCRET</v>
      </c>
    </row>
    <row r="3314" ht="16.5" customHeight="1">
      <c r="H3314" s="1" t="str">
        <f>IFERROR(__xludf.DUMMYFUNCTION("""COMPUTED_VALUE"""),"VALENS PHARMACEUTICALS")</f>
        <v>VALENS PHARMACEUTICALS</v>
      </c>
    </row>
    <row r="3315" ht="16.5" customHeight="1">
      <c r="H3315" s="1" t="str">
        <f>IFERROR(__xludf.DUMMYFUNCTION("""COMPUTED_VALUE"""),"VALLABH VIJAY COMPANY")</f>
        <v>VALLABH VIJAY COMPANY</v>
      </c>
    </row>
    <row r="3316" ht="16.5" customHeight="1">
      <c r="H3316" s="1" t="str">
        <f>IFERROR(__xludf.DUMMYFUNCTION("""COMPUTED_VALUE"""),"VALLEY PHARMA")</f>
        <v>VALLEY PHARMA</v>
      </c>
    </row>
    <row r="3317" ht="16.5" customHeight="1">
      <c r="H3317" s="1" t="str">
        <f>IFERROR(__xludf.DUMMYFUNCTION("""COMPUTED_VALUE"""),"VAMSI")</f>
        <v>VAMSI</v>
      </c>
    </row>
    <row r="3318" ht="16.5" customHeight="1">
      <c r="H3318" s="1" t="str">
        <f>IFERROR(__xludf.DUMMYFUNCTION("""COMPUTED_VALUE"""),"Vanguard Therapeutics Pvt Ltd")</f>
        <v>Vanguard Therapeutics Pvt Ltd</v>
      </c>
    </row>
    <row r="3319" ht="16.5" customHeight="1">
      <c r="H3319" s="1" t="str">
        <f>IFERROR(__xludf.DUMMYFUNCTION("""COMPUTED_VALUE"""),"VANMART PHARMACEUTICALS &amp; BIOTECH")</f>
        <v>VANMART PHARMACEUTICALS &amp; BIOTECH</v>
      </c>
    </row>
    <row r="3320" ht="16.5" customHeight="1">
      <c r="H3320" s="1" t="str">
        <f>IFERROR(__xludf.DUMMYFUNCTION("""COMPUTED_VALUE"""),"VARDHAN HEALTH CARE")</f>
        <v>VARDHAN HEALTH CARE</v>
      </c>
    </row>
    <row r="3321" ht="16.5" customHeight="1">
      <c r="H3321" s="1" t="str">
        <f>IFERROR(__xludf.DUMMYFUNCTION("""COMPUTED_VALUE"""),"VARENYAM HEALTHCARE")</f>
        <v>VARENYAM HEALTHCARE</v>
      </c>
    </row>
    <row r="3322" ht="16.5" customHeight="1">
      <c r="H3322" s="1" t="str">
        <f>IFERROR(__xludf.DUMMYFUNCTION("""COMPUTED_VALUE"""),"VARLIN BIOSCIENCE")</f>
        <v>VARLIN BIOSCIENCE</v>
      </c>
    </row>
    <row r="3323" ht="16.5" customHeight="1">
      <c r="H3323" s="1" t="str">
        <f>IFERROR(__xludf.DUMMYFUNCTION("""COMPUTED_VALUE"""),"Vasu Pharmaceuticals Pvt Ltd")</f>
        <v>Vasu Pharmaceuticals Pvt Ltd</v>
      </c>
    </row>
    <row r="3324" ht="16.5" customHeight="1">
      <c r="H3324" s="1" t="str">
        <f>IFERROR(__xludf.DUMMYFUNCTION("""COMPUTED_VALUE"""),"VASU SPORTS INTERNATIONAL")</f>
        <v>VASU SPORTS INTERNATIONAL</v>
      </c>
    </row>
    <row r="3325" ht="16.5" customHeight="1">
      <c r="H3325" s="1" t="str">
        <f>IFERROR(__xludf.DUMMYFUNCTION("""COMPUTED_VALUE"""),"VAZES CO OFFICE PILLS")</f>
        <v>VAZES CO OFFICE PILLS</v>
      </c>
    </row>
    <row r="3326" ht="16.5" customHeight="1">
      <c r="H3326" s="1" t="str">
        <f>IFERROR(__xludf.DUMMYFUNCTION("""COMPUTED_VALUE"""),"VCAN BIOTEC")</f>
        <v>VCAN BIOTEC</v>
      </c>
    </row>
    <row r="3327" ht="16.5" customHeight="1">
      <c r="H3327" s="1" t="str">
        <f>IFERROR(__xludf.DUMMYFUNCTION("""COMPUTED_VALUE"""),"VEANA CR")</f>
        <v>VEANA CR</v>
      </c>
    </row>
    <row r="3328" ht="16.5" customHeight="1">
      <c r="H3328" s="1" t="str">
        <f>IFERROR(__xludf.DUMMYFUNCTION("""COMPUTED_VALUE"""),"VEE REMEDIES")</f>
        <v>VEE REMEDIES</v>
      </c>
    </row>
    <row r="3329" ht="16.5" customHeight="1">
      <c r="H3329" s="1" t="str">
        <f>IFERROR(__xludf.DUMMYFUNCTION("""COMPUTED_VALUE"""),"VEEMAL")</f>
        <v>VEEMAL</v>
      </c>
    </row>
    <row r="3330" ht="16.5" customHeight="1">
      <c r="H3330" s="1" t="str">
        <f>IFERROR(__xludf.DUMMYFUNCTION("""COMPUTED_VALUE"""),"VELBIOM PROBIOTICS PVT LTD")</f>
        <v>VELBIOM PROBIOTICS PVT LTD</v>
      </c>
    </row>
    <row r="3331" ht="16.5" customHeight="1">
      <c r="H3331" s="1" t="str">
        <f>IFERROR(__xludf.DUMMYFUNCTION("""COMPUTED_VALUE"""),"VELGRET HEALTHCARE")</f>
        <v>VELGRET HEALTHCARE</v>
      </c>
    </row>
    <row r="3332" ht="16.5" customHeight="1">
      <c r="H3332" s="1" t="str">
        <f>IFERROR(__xludf.DUMMYFUNCTION("""COMPUTED_VALUE"""),"VELITE")</f>
        <v>VELITE</v>
      </c>
    </row>
    <row r="3333" ht="16.5" customHeight="1">
      <c r="H3333" s="1" t="str">
        <f>IFERROR(__xludf.DUMMYFUNCTION("""COMPUTED_VALUE"""),"VELLINTON HEALTHCARE")</f>
        <v>VELLINTON HEALTHCARE</v>
      </c>
    </row>
    <row r="3334" ht="16.5" customHeight="1">
      <c r="H3334" s="1" t="str">
        <f>IFERROR(__xludf.DUMMYFUNCTION("""COMPUTED_VALUE"""),"VENISTRO BIOTECH")</f>
        <v>VENISTRO BIOTECH</v>
      </c>
    </row>
    <row r="3335" ht="16.5" customHeight="1">
      <c r="H3335" s="1" t="str">
        <f>IFERROR(__xludf.DUMMYFUNCTION("""COMPUTED_VALUE"""),"VENKY'S NUTRITION")</f>
        <v>VENKY'S NUTRITION</v>
      </c>
    </row>
    <row r="3336" ht="16.5" customHeight="1">
      <c r="H3336" s="1" t="str">
        <f>IFERROR(__xludf.DUMMYFUNCTION("""COMPUTED_VALUE"""),"VENSAT BIO")</f>
        <v>VENSAT BIO</v>
      </c>
    </row>
    <row r="3337" ht="16.5" customHeight="1">
      <c r="H3337" s="1" t="str">
        <f>IFERROR(__xludf.DUMMYFUNCTION("""COMPUTED_VALUE"""),"VENTICARE MEDICAL INC")</f>
        <v>VENTICARE MEDICAL INC</v>
      </c>
    </row>
    <row r="3338" ht="16.5" customHeight="1">
      <c r="H3338" s="1" t="str">
        <f>IFERROR(__xludf.DUMMYFUNCTION("""COMPUTED_VALUE"""),"Venus Remedies Ltd")</f>
        <v>Venus Remedies Ltd</v>
      </c>
    </row>
    <row r="3339" ht="16.5" customHeight="1">
      <c r="H3339" s="1" t="str">
        <f>IFERROR(__xludf.DUMMYFUNCTION("""COMPUTED_VALUE"""),"Veritaz Healthcare Ltd")</f>
        <v>Veritaz Healthcare Ltd</v>
      </c>
    </row>
    <row r="3340" ht="16.5" customHeight="1">
      <c r="H3340" s="1" t="str">
        <f>IFERROR(__xludf.DUMMYFUNCTION("""COMPUTED_VALUE"""),"VERITAZHEALTHCARE (COSMOCARE)")</f>
        <v>VERITAZHEALTHCARE (COSMOCARE)</v>
      </c>
    </row>
    <row r="3341" ht="16.5" customHeight="1">
      <c r="H3341" s="1" t="str">
        <f>IFERROR(__xludf.DUMMYFUNCTION("""COMPUTED_VALUE"""),"VERIZON PHARMA")</f>
        <v>VERIZON PHARMA</v>
      </c>
    </row>
    <row r="3342" ht="16.5" customHeight="1">
      <c r="H3342" s="1" t="str">
        <f>IFERROR(__xludf.DUMMYFUNCTION("""COMPUTED_VALUE"""),"VERNA HEALTHCARE (GENERIC)")</f>
        <v>VERNA HEALTHCARE (GENERIC)</v>
      </c>
    </row>
    <row r="3343" ht="16.5" customHeight="1">
      <c r="H3343" s="1" t="str">
        <f>IFERROR(__xludf.DUMMYFUNCTION("""COMPUTED_VALUE"""),"VERRILL HEALTHCARE")</f>
        <v>VERRILL HEALTHCARE</v>
      </c>
    </row>
    <row r="3344" ht="16.5" customHeight="1">
      <c r="H3344" s="1" t="str">
        <f>IFERROR(__xludf.DUMMYFUNCTION("""COMPUTED_VALUE"""),"VERTEX PHARMACEUTICALS")</f>
        <v>VERTEX PHARMACEUTICALS</v>
      </c>
    </row>
    <row r="3345" ht="16.5" customHeight="1">
      <c r="H3345" s="1" t="str">
        <f>IFERROR(__xludf.DUMMYFUNCTION("""COMPUTED_VALUE"""),"VESTIGE MARKETING PVT LTD")</f>
        <v>VESTIGE MARKETING PVT LTD</v>
      </c>
    </row>
    <row r="3346" ht="16.5" customHeight="1">
      <c r="H3346" s="1" t="str">
        <f>IFERROR(__xludf.DUMMYFUNCTION("""COMPUTED_VALUE"""),"VHB LIFESCIENCES")</f>
        <v>VHB LIFESCIENCES</v>
      </c>
    </row>
    <row r="3347" ht="16.5" customHeight="1">
      <c r="H3347" s="1" t="str">
        <f>IFERROR(__xludf.DUMMYFUNCTION("""COMPUTED_VALUE"""),"VIBCARE PHARMA PVT LTD")</f>
        <v>VIBCARE PHARMA PVT LTD</v>
      </c>
    </row>
    <row r="3348" ht="16.5" customHeight="1">
      <c r="H3348" s="1" t="str">
        <f>IFERROR(__xludf.DUMMYFUNCTION("""COMPUTED_VALUE"""),"VIBDRUGS BIOSCIENCES")</f>
        <v>VIBDRUGS BIOSCIENCES</v>
      </c>
    </row>
    <row r="3349" ht="16.5" customHeight="1">
      <c r="H3349" s="1" t="str">
        <f>IFERROR(__xludf.DUMMYFUNCTION("""COMPUTED_VALUE"""),"VIBGYOR DRUGS PVT LTD")</f>
        <v>VIBGYOR DRUGS PVT LTD</v>
      </c>
    </row>
    <row r="3350" ht="16.5" customHeight="1">
      <c r="H3350" s="1" t="str">
        <f>IFERROR(__xludf.DUMMYFUNCTION("""COMPUTED_VALUE"""),"VICCO LABS")</f>
        <v>VICCO LABS</v>
      </c>
    </row>
    <row r="3351" ht="16.5" customHeight="1">
      <c r="H3351" s="1" t="str">
        <f>IFERROR(__xludf.DUMMYFUNCTION("""COMPUTED_VALUE"""),"VICTOR LIFE SCIENCES")</f>
        <v>VICTOR LIFE SCIENCES</v>
      </c>
    </row>
    <row r="3352" ht="16.5" customHeight="1">
      <c r="H3352" s="1" t="str">
        <f>IFERROR(__xludf.DUMMYFUNCTION("""COMPUTED_VALUE"""),"VIDYA JAGANNATH G. DWIVEDI")</f>
        <v>VIDYA JAGANNATH G. DWIVEDI</v>
      </c>
    </row>
    <row r="3353" ht="16.5" customHeight="1">
      <c r="H3353" s="1" t="str">
        <f>IFERROR(__xludf.DUMMYFUNCTION("""COMPUTED_VALUE"""),"VIKAS PHARMA")</f>
        <v>VIKAS PHARMA</v>
      </c>
    </row>
    <row r="3354" ht="16.5" customHeight="1">
      <c r="H3354" s="1" t="str">
        <f>IFERROR(__xludf.DUMMYFUNCTION("""COMPUTED_VALUE"""),"VIKRAM LABORATORIES")</f>
        <v>VIKRAM LABORATORIES</v>
      </c>
    </row>
    <row r="3355" ht="16.5" customHeight="1">
      <c r="H3355" s="1" t="str">
        <f>IFERROR(__xludf.DUMMYFUNCTION("""COMPUTED_VALUE"""),"Vilberry Healthcare Pvt Ltd")</f>
        <v>Vilberry Healthcare Pvt Ltd</v>
      </c>
    </row>
    <row r="3356" ht="16.5" customHeight="1">
      <c r="H3356" s="1" t="str">
        <f>IFERROR(__xludf.DUMMYFUNCTION("""COMPUTED_VALUE"""),"VIMAL LABS")</f>
        <v>VIMAL LABS</v>
      </c>
    </row>
    <row r="3357" ht="16.5" customHeight="1">
      <c r="H3357" s="1" t="str">
        <f>IFERROR(__xludf.DUMMYFUNCTION("""COMPUTED_VALUE"""),"VIMS")</f>
        <v>VIMS</v>
      </c>
    </row>
    <row r="3358" ht="16.5" customHeight="1">
      <c r="H3358" s="1" t="str">
        <f>IFERROR(__xludf.DUMMYFUNCTION("""COMPUTED_VALUE"""),"VINASIA LIFESCIENCES PVT LTD")</f>
        <v>VINASIA LIFESCIENCES PVT LTD</v>
      </c>
    </row>
    <row r="3359" ht="16.5" customHeight="1">
      <c r="H3359" s="1" t="str">
        <f>IFERROR(__xludf.DUMMYFUNCTION("""COMPUTED_VALUE"""),"vinayak Care Solution Pvt Ltd")</f>
        <v>vinayak Care Solution Pvt Ltd</v>
      </c>
    </row>
    <row r="3360" ht="16.5" customHeight="1">
      <c r="H3360" s="1" t="str">
        <f>IFERROR(__xludf.DUMMYFUNCTION("""COMPUTED_VALUE"""),"VINAYAK CARE SOLUTIONS")</f>
        <v>VINAYAK CARE SOLUTIONS</v>
      </c>
    </row>
    <row r="3361" ht="16.5" customHeight="1">
      <c r="H3361" s="1" t="str">
        <f>IFERROR(__xludf.DUMMYFUNCTION("""COMPUTED_VALUE"""),"VINDAS CHEMICAL INDUSTRIES")</f>
        <v>VINDAS CHEMICAL INDUSTRIES</v>
      </c>
    </row>
    <row r="3362" ht="16.5" customHeight="1">
      <c r="H3362" s="1" t="str">
        <f>IFERROR(__xludf.DUMMYFUNCTION("""COMPUTED_VALUE"""),"VINKEM LABS LTD")</f>
        <v>VINKEM LABS LTD</v>
      </c>
    </row>
    <row r="3363" ht="16.5" customHeight="1">
      <c r="H3363" s="1" t="str">
        <f>IFERROR(__xludf.DUMMYFUNCTION("""COMPUTED_VALUE"""),"VINS BIOPRODUCTS LLIMITED")</f>
        <v>VINS BIOPRODUCTS LLIMITED</v>
      </c>
    </row>
    <row r="3364" ht="16.5" customHeight="1">
      <c r="H3364" s="1" t="str">
        <f>IFERROR(__xludf.DUMMYFUNCTION("""COMPUTED_VALUE"""),"VINTEK PHARMACEUTICALS")</f>
        <v>VINTEK PHARMACEUTICALS</v>
      </c>
    </row>
    <row r="3365" ht="16.5" customHeight="1">
      <c r="H3365" s="1" t="str">
        <f>IFERROR(__xludf.DUMMYFUNCTION("""COMPUTED_VALUE"""),"VINTOCHEM")</f>
        <v>VINTOCHEM</v>
      </c>
    </row>
    <row r="3366" ht="16.5" customHeight="1">
      <c r="H3366" s="1" t="str">
        <f>IFERROR(__xludf.DUMMYFUNCTION("""COMPUTED_VALUE"""),"VIP PHARMACEUTICALS PVT LTD")</f>
        <v>VIP PHARMACEUTICALS PVT LTD</v>
      </c>
    </row>
    <row r="3367" ht="16.5" customHeight="1">
      <c r="H3367" s="1" t="str">
        <f>IFERROR(__xludf.DUMMYFUNCTION("""COMPUTED_VALUE"""),"VIRBAC ANIMAL HEALTHCARE")</f>
        <v>VIRBAC ANIMAL HEALTHCARE</v>
      </c>
    </row>
    <row r="3368" ht="16.5" customHeight="1">
      <c r="H3368" s="1" t="str">
        <f>IFERROR(__xludf.DUMMYFUNCTION("""COMPUTED_VALUE"""),"VIRCHOW")</f>
        <v>VIRCHOW</v>
      </c>
    </row>
    <row r="3369" ht="16.5" customHeight="1">
      <c r="H3369" s="1" t="str">
        <f>IFERROR(__xludf.DUMMYFUNCTION("""COMPUTED_VALUE"""),"VIRCHOW BIOTECH")</f>
        <v>VIRCHOW BIOTECH</v>
      </c>
    </row>
    <row r="3370" ht="16.5" customHeight="1">
      <c r="H3370" s="1" t="str">
        <f>IFERROR(__xludf.DUMMYFUNCTION("""COMPUTED_VALUE"""),"VISCO LABS")</f>
        <v>VISCO LABS</v>
      </c>
    </row>
    <row r="3371" ht="16.5" customHeight="1">
      <c r="H3371" s="1" t="str">
        <f>IFERROR(__xludf.DUMMYFUNCTION("""COMPUTED_VALUE"""),"VISHAL PHARMA LAB INDORE")</f>
        <v>VISHAL PHARMA LAB INDORE</v>
      </c>
    </row>
    <row r="3372" ht="16.5" customHeight="1">
      <c r="H3372" s="1" t="str">
        <f>IFERROR(__xludf.DUMMYFUNCTION("""COMPUTED_VALUE"""),"VISHAL PHARMACEUTICAL LAB")</f>
        <v>VISHAL PHARMACEUTICAL LAB</v>
      </c>
    </row>
    <row r="3373" ht="16.5" customHeight="1">
      <c r="H3373" s="1" t="str">
        <f>IFERROR(__xludf.DUMMYFUNCTION("""COMPUTED_VALUE"""),"VISHNU HEALTHCARE")</f>
        <v>VISHNU HEALTHCARE</v>
      </c>
    </row>
    <row r="3374" ht="16.5" customHeight="1">
      <c r="H3374" s="1" t="str">
        <f>IFERROR(__xludf.DUMMYFUNCTION("""COMPUTED_VALUE"""),"VISHVA MANGAL UDYOG")</f>
        <v>VISHVA MANGAL UDYOG</v>
      </c>
    </row>
    <row r="3375" ht="16.5" customHeight="1">
      <c r="H3375" s="1" t="str">
        <f>IFERROR(__xludf.DUMMYFUNCTION("""COMPUTED_VALUE"""),"VISHWAMITRA AYURVEDIC")</f>
        <v>VISHWAMITRA AYURVEDIC</v>
      </c>
    </row>
    <row r="3376" ht="16.5" customHeight="1">
      <c r="H3376" s="1" t="str">
        <f>IFERROR(__xludf.DUMMYFUNCTION("""COMPUTED_VALUE"""),"VISION PHARMA")</f>
        <v>VISION PHARMA</v>
      </c>
    </row>
    <row r="3377" ht="16.5" customHeight="1">
      <c r="H3377" s="1" t="str">
        <f>IFERROR(__xludf.DUMMYFUNCTION("""COMPUTED_VALUE"""),"VISMO")</f>
        <v>VISMO</v>
      </c>
    </row>
    <row r="3378" ht="16.5" customHeight="1">
      <c r="H3378" s="1" t="str">
        <f>IFERROR(__xludf.DUMMYFUNCTION("""COMPUTED_VALUE"""),"VISSCO REHABILITATION AIDS PVT LTD")</f>
        <v>VISSCO REHABILITATION AIDS PVT LTD</v>
      </c>
    </row>
    <row r="3379" ht="16.5" customHeight="1">
      <c r="H3379" s="1" t="str">
        <f>IFERROR(__xludf.DUMMYFUNCTION("""COMPUTED_VALUE"""),"VITACE REMEDIES")</f>
        <v>VITACE REMEDIES</v>
      </c>
    </row>
    <row r="3380" ht="16.5" customHeight="1">
      <c r="H3380" s="1" t="str">
        <f>IFERROR(__xludf.DUMMYFUNCTION("""COMPUTED_VALUE"""),"VITALITY HEALTHCARE")</f>
        <v>VITALITY HEALTHCARE</v>
      </c>
    </row>
    <row r="3381" ht="16.5" customHeight="1">
      <c r="H3381" s="1" t="str">
        <f>IFERROR(__xludf.DUMMYFUNCTION("""COMPUTED_VALUE"""),"VITANE PHARMACEUTICALS")</f>
        <v>VITANE PHARMACEUTICALS</v>
      </c>
    </row>
    <row r="3382" ht="16.5" customHeight="1">
      <c r="H3382" s="1" t="str">
        <f>IFERROR(__xludf.DUMMYFUNCTION("""COMPUTED_VALUE"""),"VITHOBA INDUSTRIES")</f>
        <v>VITHOBA INDUSTRIES</v>
      </c>
    </row>
    <row r="3383" ht="16.5" customHeight="1">
      <c r="H3383" s="1" t="str">
        <f>IFERROR(__xludf.DUMMYFUNCTION("""COMPUTED_VALUE"""),"VIVENCY HEALTH CARE PVT LTD")</f>
        <v>VIVENCY HEALTH CARE PVT LTD</v>
      </c>
    </row>
    <row r="3384" ht="16.5" customHeight="1">
      <c r="H3384" s="1" t="str">
        <f>IFERROR(__xludf.DUMMYFUNCTION("""COMPUTED_VALUE"""),"VIVEZ LIFESCIENCE")</f>
        <v>VIVEZ LIFESCIENCE</v>
      </c>
    </row>
    <row r="3385" ht="16.5" customHeight="1">
      <c r="H3385" s="1" t="str">
        <f>IFERROR(__xludf.DUMMYFUNCTION("""COMPUTED_VALUE"""),"VIVIA DERMACARE")</f>
        <v>VIVIA DERMACARE</v>
      </c>
    </row>
    <row r="3386" ht="16.5" customHeight="1">
      <c r="H3386" s="1" t="str">
        <f>IFERROR(__xludf.DUMMYFUNCTION("""COMPUTED_VALUE"""),"VIVO LIFESCIENCES")</f>
        <v>VIVO LIFESCIENCES</v>
      </c>
    </row>
    <row r="3387" ht="16.5" customHeight="1">
      <c r="H3387" s="1" t="str">
        <f>IFERROR(__xludf.DUMMYFUNCTION("""COMPUTED_VALUE"""),"VK SARANU")</f>
        <v>VK SARANU</v>
      </c>
    </row>
    <row r="3388" ht="16.5" customHeight="1">
      <c r="H3388" s="1" t="str">
        <f>IFERROR(__xludf.DUMMYFUNCTION("""COMPUTED_VALUE"""),"VMC PHARMACEUTICAL")</f>
        <v>VMC PHARMACEUTICAL</v>
      </c>
    </row>
    <row r="3389" ht="16.5" customHeight="1">
      <c r="H3389" s="1" t="str">
        <f>IFERROR(__xludf.DUMMYFUNCTION("""COMPUTED_VALUE"""),"VYALI INTERNATIONAL")</f>
        <v>VYALI INTERNATIONAL</v>
      </c>
    </row>
    <row r="3390" ht="16.5" customHeight="1">
      <c r="H3390" s="1" t="str">
        <f>IFERROR(__xludf.DUMMYFUNCTION("""COMPUTED_VALUE"""),"VYAPITUS SPECIALITIES")</f>
        <v>VYAPITUS SPECIALITIES</v>
      </c>
    </row>
    <row r="3391" ht="16.5" customHeight="1">
      <c r="H3391" s="1" t="str">
        <f>IFERROR(__xludf.DUMMYFUNCTION("""COMPUTED_VALUE"""),"VYAS PHARMACEUTICALS")</f>
        <v>VYAS PHARMACEUTICALS</v>
      </c>
    </row>
    <row r="3392" ht="16.5" customHeight="1">
      <c r="H3392" s="1" t="str">
        <f>IFERROR(__xludf.DUMMYFUNCTION("""COMPUTED_VALUE"""),"VYONICS HEALTHCARE")</f>
        <v>VYONICS HEALTHCARE</v>
      </c>
    </row>
    <row r="3393" ht="16.5" customHeight="1">
      <c r="H3393" s="1" t="str">
        <f>IFERROR(__xludf.DUMMYFUNCTION("""COMPUTED_VALUE"""),"VYSON INDIA")</f>
        <v>VYSON INDIA</v>
      </c>
    </row>
    <row r="3394" ht="16.5" customHeight="1">
      <c r="H3394" s="1" t="str">
        <f>IFERROR(__xludf.DUMMYFUNCTION("""COMPUTED_VALUE"""),"WAFTURE HEALTHCARE")</f>
        <v>WAFTURE HEALTHCARE</v>
      </c>
    </row>
    <row r="3395" ht="16.5" customHeight="1">
      <c r="H3395" s="1" t="str">
        <f>IFERROR(__xludf.DUMMYFUNCTION("""COMPUTED_VALUE"""),"WALBERG PHARMACEUTICALS")</f>
        <v>WALBERG PHARMACEUTICALS</v>
      </c>
    </row>
    <row r="3396" ht="16.5" customHeight="1">
      <c r="H3396" s="1" t="str">
        <f>IFERROR(__xludf.DUMMYFUNCTION("""COMPUTED_VALUE"""),"WALLACE (GASTRO)")</f>
        <v>WALLACE (GASTRO)</v>
      </c>
    </row>
    <row r="3397" ht="16.5" customHeight="1">
      <c r="H3397" s="1" t="str">
        <f>IFERROR(__xludf.DUMMYFUNCTION("""COMPUTED_VALUE"""),"WALLACE (LIFE STYLE)")</f>
        <v>WALLACE (LIFE STYLE)</v>
      </c>
    </row>
    <row r="3398" ht="16.5" customHeight="1">
      <c r="H3398" s="1" t="str">
        <f>IFERROR(__xludf.DUMMYFUNCTION("""COMPUTED_VALUE"""),"WALLACE (RIVELA)")</f>
        <v>WALLACE (RIVELA)</v>
      </c>
    </row>
    <row r="3399" ht="16.5" customHeight="1">
      <c r="H3399" s="1" t="str">
        <f>IFERROR(__xludf.DUMMYFUNCTION("""COMPUTED_VALUE"""),"Wallace Pharmaceuticals Pvt Ltd")</f>
        <v>Wallace Pharmaceuticals Pvt Ltd</v>
      </c>
    </row>
    <row r="3400" ht="16.5" customHeight="1">
      <c r="H3400" s="1" t="str">
        <f>IFERROR(__xludf.DUMMYFUNCTION("""COMPUTED_VALUE"""),"WALNUT LIFESCIENCES PVT LTD")</f>
        <v>WALNUT LIFESCIENCES PVT LTD</v>
      </c>
    </row>
    <row r="3401" ht="16.5" customHeight="1">
      <c r="H3401" s="1" t="str">
        <f>IFERROR(__xludf.DUMMYFUNCTION("""COMPUTED_VALUE"""),"WALRON HEALTHCARE P LTD")</f>
        <v>WALRON HEALTHCARE P LTD</v>
      </c>
    </row>
    <row r="3402" ht="16.5" customHeight="1">
      <c r="H3402" s="1" t="str">
        <f>IFERROR(__xludf.DUMMYFUNCTION("""COMPUTED_VALUE"""),"Walter Bushnell")</f>
        <v>Walter Bushnell</v>
      </c>
    </row>
    <row r="3403" ht="16.5" customHeight="1">
      <c r="H3403" s="1" t="str">
        <f>IFERROR(__xludf.DUMMYFUNCTION("""COMPUTED_VALUE"""),"WAMA PHARMA")</f>
        <v>WAMA PHARMA</v>
      </c>
    </row>
    <row r="3404" ht="16.5" customHeight="1">
      <c r="H3404" s="1" t="str">
        <f>IFERROR(__xludf.DUMMYFUNCTION("""COMPUTED_VALUE"""),"Wanbury Ltd")</f>
        <v>Wanbury Ltd</v>
      </c>
    </row>
    <row r="3405" ht="16.5" customHeight="1">
      <c r="H3405" s="1" t="str">
        <f>IFERROR(__xludf.DUMMYFUNCTION("""COMPUTED_VALUE"""),"WANCURA LIFE SCIENCE")</f>
        <v>WANCURA LIFE SCIENCE</v>
      </c>
    </row>
    <row r="3406" ht="16.5" customHeight="1">
      <c r="H3406" s="1" t="str">
        <f>IFERROR(__xludf.DUMMYFUNCTION("""COMPUTED_VALUE"""),"WANTURA LABORATORIES")</f>
        <v>WANTURA LABORATORIES</v>
      </c>
    </row>
    <row r="3407" ht="16.5" customHeight="1">
      <c r="H3407" s="1" t="str">
        <f>IFERROR(__xludf.DUMMYFUNCTION("""COMPUTED_VALUE"""),"WARDEX PHARMACEUTICALS PVT LTD")</f>
        <v>WARDEX PHARMACEUTICALS PVT LTD</v>
      </c>
    </row>
    <row r="3408" ht="16.5" customHeight="1">
      <c r="H3408" s="1" t="str">
        <f>IFERROR(__xludf.DUMMYFUNCTION("""COMPUTED_VALUE"""),"WARIOX LIFE SCIENCE PVT LTD")</f>
        <v>WARIOX LIFE SCIENCE PVT LTD</v>
      </c>
    </row>
    <row r="3409" ht="16.5" customHeight="1">
      <c r="H3409" s="1" t="str">
        <f>IFERROR(__xludf.DUMMYFUNCTION("""COMPUTED_VALUE"""),"WATERLEY PHARMACEUTICALS PVT LTD")</f>
        <v>WATERLEY PHARMACEUTICALS PVT LTD</v>
      </c>
    </row>
    <row r="3410" ht="16.5" customHeight="1">
      <c r="H3410" s="1" t="str">
        <f>IFERROR(__xludf.DUMMYFUNCTION("""COMPUTED_VALUE"""),"WELCOME VET PHARMA")</f>
        <v>WELCOME VET PHARMA</v>
      </c>
    </row>
    <row r="3411" ht="16.5" customHeight="1">
      <c r="H3411" s="1" t="str">
        <f>IFERROR(__xludf.DUMMYFUNCTION("""COMPUTED_VALUE"""),"WELLAR")</f>
        <v>WELLAR</v>
      </c>
    </row>
    <row r="3412" ht="16.5" customHeight="1">
      <c r="H3412" s="1" t="str">
        <f>IFERROR(__xludf.DUMMYFUNCTION("""COMPUTED_VALUE"""),"WELLCHEM")</f>
        <v>WELLCHEM</v>
      </c>
    </row>
    <row r="3413" ht="16.5" customHeight="1">
      <c r="H3413" s="1" t="str">
        <f>IFERROR(__xludf.DUMMYFUNCTION("""COMPUTED_VALUE"""),"WELLCHEM PHARMACEUTICALS")</f>
        <v>WELLCHEM PHARMACEUTICALS</v>
      </c>
    </row>
    <row r="3414" ht="16.5" customHeight="1">
      <c r="H3414" s="1" t="str">
        <f>IFERROR(__xludf.DUMMYFUNCTION("""COMPUTED_VALUE"""),"WELLCON ANIMAL HEALTH PVT LTD")</f>
        <v>WELLCON ANIMAL HEALTH PVT LTD</v>
      </c>
    </row>
    <row r="3415" ht="16.5" customHeight="1">
      <c r="H3415" s="1" t="str">
        <f>IFERROR(__xludf.DUMMYFUNCTION("""COMPUTED_VALUE"""),"WELLERS LIFESCIENCES RESEARCH LAB")</f>
        <v>WELLERS LIFESCIENCES RESEARCH LAB</v>
      </c>
    </row>
    <row r="3416" ht="16.5" customHeight="1">
      <c r="H3416" s="1" t="str">
        <f>IFERROR(__xludf.DUMMYFUNCTION("""COMPUTED_VALUE"""),"WELLFORD PHARMACEUTICAL PVT LTD")</f>
        <v>WELLFORD PHARMACEUTICAL PVT LTD</v>
      </c>
    </row>
    <row r="3417" ht="16.5" customHeight="1">
      <c r="H3417" s="1" t="str">
        <f>IFERROR(__xludf.DUMMYFUNCTION("""COMPUTED_VALUE"""),"WELLMOS GLOBAL HEALTHCARE PHARMA")</f>
        <v>WELLMOS GLOBAL HEALTHCARE PHARMA</v>
      </c>
    </row>
    <row r="3418" ht="16.5" customHeight="1">
      <c r="H3418" s="1" t="str">
        <f>IFERROR(__xludf.DUMMYFUNCTION("""COMPUTED_VALUE"""),"WELRIN PHARMA")</f>
        <v>WELRIN PHARMA</v>
      </c>
    </row>
    <row r="3419" ht="16.5" customHeight="1">
      <c r="H3419" s="1" t="str">
        <f>IFERROR(__xludf.DUMMYFUNCTION("""COMPUTED_VALUE"""),"Wens Drugs India Pvt Ltd")</f>
        <v>Wens Drugs India Pvt Ltd</v>
      </c>
    </row>
    <row r="3420" ht="16.5" customHeight="1">
      <c r="H3420" s="1" t="str">
        <f>IFERROR(__xludf.DUMMYFUNCTION("""COMPUTED_VALUE"""),"WERKE HEALTHCARE")</f>
        <v>WERKE HEALTHCARE</v>
      </c>
    </row>
    <row r="3421" ht="16.5" customHeight="1">
      <c r="H3421" s="1" t="str">
        <f>IFERROR(__xludf.DUMMYFUNCTION("""COMPUTED_VALUE"""),"West-Coast Pharmaceutical Works Ltd")</f>
        <v>West-Coast Pharmaceutical Works Ltd</v>
      </c>
    </row>
    <row r="3422" ht="16.5" customHeight="1">
      <c r="H3422" s="1" t="str">
        <f>IFERROR(__xludf.DUMMYFUNCTION("""COMPUTED_VALUE"""),"WHIZ LABORATORIES INDIA PVT LTD")</f>
        <v>WHIZ LABORATORIES INDIA PVT LTD</v>
      </c>
    </row>
    <row r="3423" ht="16.5" customHeight="1">
      <c r="H3423" s="1" t="str">
        <f>IFERROR(__xludf.DUMMYFUNCTION("""COMPUTED_VALUE"""),"WILBURT (GENERAL)")</f>
        <v>WILBURT (GENERAL)</v>
      </c>
    </row>
    <row r="3424" ht="16.5" customHeight="1">
      <c r="H3424" s="1" t="str">
        <f>IFERROR(__xludf.DUMMYFUNCTION("""COMPUTED_VALUE"""),"WILBURT (NEXION)")</f>
        <v>WILBURT (NEXION)</v>
      </c>
    </row>
    <row r="3425" ht="16.5" customHeight="1">
      <c r="H3425" s="1" t="str">
        <f>IFERROR(__xludf.DUMMYFUNCTION("""COMPUTED_VALUE"""),"WILBURT REMEDIES")</f>
        <v>WILBURT REMEDIES</v>
      </c>
    </row>
    <row r="3426" ht="16.5" customHeight="1">
      <c r="H3426" s="1" t="str">
        <f>IFERROR(__xludf.DUMMYFUNCTION("""COMPUTED_VALUE"""),"WILCURE REMEDIES PVT LTD")</f>
        <v>WILCURE REMEDIES PVT LTD</v>
      </c>
    </row>
    <row r="3427" ht="16.5" customHeight="1">
      <c r="H3427" s="1" t="str">
        <f>IFERROR(__xludf.DUMMYFUNCTION("""COMPUTED_VALUE"""),"Willburt (Lifez Cardio and Diabetes)")</f>
        <v>Willburt (Lifez Cardio and Diabetes)</v>
      </c>
    </row>
    <row r="3428" ht="16.5" customHeight="1">
      <c r="H3428" s="1" t="str">
        <f>IFERROR(__xludf.DUMMYFUNCTION("""COMPUTED_VALUE"""),"Willcare Lifesciences")</f>
        <v>Willcare Lifesciences</v>
      </c>
    </row>
    <row r="3429" ht="16.5" customHeight="1">
      <c r="H3429" s="1" t="str">
        <f>IFERROR(__xludf.DUMMYFUNCTION("""COMPUTED_VALUE"""),"WILSHIR HELTH CARE")</f>
        <v>WILSHIR HELTH CARE</v>
      </c>
    </row>
    <row r="3430" ht="16.5" customHeight="1">
      <c r="H3430" s="1" t="str">
        <f>IFERROR(__xludf.DUMMYFUNCTION("""COMPUTED_VALUE"""),"WILSHIRE PHARMACEUTICALS")</f>
        <v>WILSHIRE PHARMACEUTICALS</v>
      </c>
    </row>
    <row r="3431" ht="16.5" customHeight="1">
      <c r="H3431" s="1" t="str">
        <f>IFERROR(__xludf.DUMMYFUNCTION("""COMPUTED_VALUE"""),"WILSON")</f>
        <v>WILSON</v>
      </c>
    </row>
    <row r="3432" ht="16.5" customHeight="1">
      <c r="H3432" s="1" t="str">
        <f>IFERROR(__xludf.DUMMYFUNCTION("""COMPUTED_VALUE"""),"WILSON HEALTHCARE")</f>
        <v>WILSON HEALTHCARE</v>
      </c>
    </row>
    <row r="3433" ht="16.5" customHeight="1">
      <c r="H3433" s="1" t="str">
        <f>IFERROR(__xludf.DUMMYFUNCTION("""COMPUTED_VALUE"""),"WIN NATURALS")</f>
        <v>WIN NATURALS</v>
      </c>
    </row>
    <row r="3434" ht="16.5" customHeight="1">
      <c r="H3434" s="1" t="str">
        <f>IFERROR(__xludf.DUMMYFUNCTION("""COMPUTED_VALUE"""),"Win-Medicare Pvt Ltd")</f>
        <v>Win-Medicare Pvt Ltd</v>
      </c>
    </row>
    <row r="3435" ht="16.5" customHeight="1">
      <c r="H3435" s="1" t="str">
        <f>IFERROR(__xludf.DUMMYFUNCTION("""COMPUTED_VALUE"""),"WINDLAS BIOTECH PVT LTD")</f>
        <v>WINDLAS BIOTECH PVT LTD</v>
      </c>
    </row>
    <row r="3436" ht="16.5" customHeight="1">
      <c r="H3436" s="1" t="str">
        <f>IFERROR(__xludf.DUMMYFUNCTION("""COMPUTED_VALUE"""),"WINFERTILITY")</f>
        <v>WINFERTILITY</v>
      </c>
    </row>
    <row r="3437" ht="16.5" customHeight="1">
      <c r="H3437" s="1" t="str">
        <f>IFERROR(__xludf.DUMMYFUNCTION("""COMPUTED_VALUE"""),"Wings Biotech Ltd (GENERIC)")</f>
        <v>Wings Biotech Ltd (GENERIC)</v>
      </c>
    </row>
    <row r="3438" ht="16.5" customHeight="1">
      <c r="H3438" s="1" t="str">
        <f>IFERROR(__xludf.DUMMYFUNCTION("""COMPUTED_VALUE"""),"WINTECH PHARMACEUTICALS (PHARMA)")</f>
        <v>WINTECH PHARMACEUTICALS (PHARMA)</v>
      </c>
    </row>
    <row r="3439" ht="16.5" customHeight="1">
      <c r="H3439" s="1" t="str">
        <f>IFERROR(__xludf.DUMMYFUNCTION("""COMPUTED_VALUE"""),"WINTECH PHARMACEUTICALS (ZENOVA)")</f>
        <v>WINTECH PHARMACEUTICALS (ZENOVA)</v>
      </c>
    </row>
    <row r="3440" ht="16.5" customHeight="1">
      <c r="H3440" s="1" t="str">
        <f>IFERROR(__xludf.DUMMYFUNCTION("""COMPUTED_VALUE"""),"WINY HEALTHCARE")</f>
        <v>WINY HEALTHCARE</v>
      </c>
    </row>
    <row r="3441" ht="16.5" customHeight="1">
      <c r="H3441" s="1" t="str">
        <f>IFERROR(__xludf.DUMMYFUNCTION("""COMPUTED_VALUE"""),"Wiscon Pharmaceuticals Pvt Ltd")</f>
        <v>Wiscon Pharmaceuticals Pvt Ltd</v>
      </c>
    </row>
    <row r="3442" ht="16.5" customHeight="1">
      <c r="H3442" s="1" t="str">
        <f>IFERROR(__xludf.DUMMYFUNCTION("""COMPUTED_VALUE"""),"WISE LIFECARE PVT LTD")</f>
        <v>WISE LIFECARE PVT LTD</v>
      </c>
    </row>
    <row r="3443" ht="16.5" customHeight="1">
      <c r="H3443" s="1" t="str">
        <f>IFERROR(__xludf.DUMMYFUNCTION("""COMPUTED_VALUE"""),"WIZ HEALTH CARE")</f>
        <v>WIZ HEALTH CARE</v>
      </c>
    </row>
    <row r="3444" ht="16.5" customHeight="1">
      <c r="H3444" s="1" t="str">
        <f>IFERROR(__xludf.DUMMYFUNCTION("""COMPUTED_VALUE"""),"WOCCKAHCHARLES PHARMA LTD")</f>
        <v>WOCCKAHCHARLES PHARMA LTD</v>
      </c>
    </row>
    <row r="3445" ht="16.5" customHeight="1">
      <c r="H3445" s="1" t="str">
        <f>IFERROR(__xludf.DUMMYFUNCTION("""COMPUTED_VALUE"""),"WOCKHARDT (CARDIO)")</f>
        <v>WOCKHARDT (CARDIO)</v>
      </c>
    </row>
    <row r="3446" ht="16.5" customHeight="1">
      <c r="H3446" s="1" t="str">
        <f>IFERROR(__xludf.DUMMYFUNCTION("""COMPUTED_VALUE"""),"WOCKHARDT (M1)")</f>
        <v>WOCKHARDT (M1)</v>
      </c>
    </row>
    <row r="3447" ht="16.5" customHeight="1">
      <c r="H3447" s="1" t="str">
        <f>IFERROR(__xludf.DUMMYFUNCTION("""COMPUTED_VALUE"""),"WOCKHARDT (METABOLICS)")</f>
        <v>WOCKHARDT (METABOLICS)</v>
      </c>
    </row>
    <row r="3448" ht="16.5" customHeight="1">
      <c r="H3448" s="1" t="str">
        <f>IFERROR(__xludf.DUMMYFUNCTION("""COMPUTED_VALUE"""),"WOCKHARDT (NEPHRO)")</f>
        <v>WOCKHARDT (NEPHRO)</v>
      </c>
    </row>
    <row r="3449" ht="16.5" customHeight="1">
      <c r="H3449" s="1" t="str">
        <f>IFERROR(__xludf.DUMMYFUNCTION("""COMPUTED_VALUE"""),"WOCKHARDT (PHARMA)")</f>
        <v>WOCKHARDT (PHARMA)</v>
      </c>
    </row>
    <row r="3450" ht="16.5" customHeight="1">
      <c r="H3450" s="1" t="str">
        <f>IFERROR(__xludf.DUMMYFUNCTION("""COMPUTED_VALUE"""),"WOCKHARDT (SPACIEL)")</f>
        <v>WOCKHARDT (SPACIEL)</v>
      </c>
    </row>
    <row r="3451" ht="16.5" customHeight="1">
      <c r="H3451" s="1" t="str">
        <f>IFERROR(__xludf.DUMMYFUNCTION("""COMPUTED_VALUE"""),"Wockhardt Ltd")</f>
        <v>Wockhardt Ltd</v>
      </c>
    </row>
    <row r="3452" ht="16.5" customHeight="1">
      <c r="H3452" s="1" t="str">
        <f>IFERROR(__xludf.DUMMYFUNCTION("""COMPUTED_VALUE"""),"Wockhardt Ltd  (SPECTRA)")</f>
        <v>Wockhardt Ltd  (SPECTRA)</v>
      </c>
    </row>
    <row r="3453" ht="16.5" customHeight="1">
      <c r="H3453" s="1" t="str">
        <f>IFERROR(__xludf.DUMMYFUNCTION("""COMPUTED_VALUE"""),"Wockhardt Ltd (CRITICAL CARE-NTF)")</f>
        <v>Wockhardt Ltd (CRITICAL CARE-NTF)</v>
      </c>
    </row>
    <row r="3454" ht="16.5" customHeight="1">
      <c r="H3454" s="1" t="str">
        <f>IFERROR(__xludf.DUMMYFUNCTION("""COMPUTED_VALUE"""),"Wockhardt Ltd (CRITICAL CARE)")</f>
        <v>Wockhardt Ltd (CRITICAL CARE)</v>
      </c>
    </row>
    <row r="3455" ht="16.5" customHeight="1">
      <c r="H3455" s="1" t="str">
        <f>IFERROR(__xludf.DUMMYFUNCTION("""COMPUTED_VALUE"""),"Wockhardt Ltd (DERMA)")</f>
        <v>Wockhardt Ltd (DERMA)</v>
      </c>
    </row>
    <row r="3456" ht="16.5" customHeight="1">
      <c r="H3456" s="1" t="str">
        <f>IFERROR(__xludf.DUMMYFUNCTION("""COMPUTED_VALUE"""),"Wockhardt Ltd (DIABETIC)")</f>
        <v>Wockhardt Ltd (DIABETIC)</v>
      </c>
    </row>
    <row r="3457" ht="16.5" customHeight="1">
      <c r="H3457" s="1" t="str">
        <f>IFERROR(__xludf.DUMMYFUNCTION("""COMPUTED_VALUE"""),"Wockhardt Ltd (GENERIC)")</f>
        <v>Wockhardt Ltd (GENERIC)</v>
      </c>
    </row>
    <row r="3458" ht="16.5" customHeight="1">
      <c r="H3458" s="1" t="str">
        <f>IFERROR(__xludf.DUMMYFUNCTION("""COMPUTED_VALUE"""),"Wockhardt Ltd (MAIN)")</f>
        <v>Wockhardt Ltd (MAIN)</v>
      </c>
    </row>
    <row r="3459" ht="16.5" customHeight="1">
      <c r="H3459" s="1" t="str">
        <f>IFERROR(__xludf.DUMMYFUNCTION("""COMPUTED_VALUE"""),"Wockhardt Ltd (RESPIRATORY)")</f>
        <v>Wockhardt Ltd (RESPIRATORY)</v>
      </c>
    </row>
    <row r="3460" ht="16.5" customHeight="1">
      <c r="H3460" s="1" t="str">
        <f>IFERROR(__xludf.DUMMYFUNCTION("""COMPUTED_VALUE"""),"Wockhardt Ltd (SPECTRA)")</f>
        <v>Wockhardt Ltd (SPECTRA)</v>
      </c>
    </row>
    <row r="3461" ht="16.5" customHeight="1">
      <c r="H3461" s="1" t="str">
        <f>IFERROR(__xludf.DUMMYFUNCTION("""COMPUTED_VALUE"""),"Wockhardt Ltd (SUPER SPECIALITY)")</f>
        <v>Wockhardt Ltd (SUPER SPECIALITY)</v>
      </c>
    </row>
    <row r="3462" ht="16.5" customHeight="1">
      <c r="H3462" s="1" t="str">
        <f>IFERROR(__xludf.DUMMYFUNCTION("""COMPUTED_VALUE"""),"Wockhardt Ltd (TARUS-2)")</f>
        <v>Wockhardt Ltd (TARUS-2)</v>
      </c>
    </row>
    <row r="3463" ht="16.5" customHeight="1">
      <c r="H3463" s="1" t="str">
        <f>IFERROR(__xludf.DUMMYFUNCTION("""COMPUTED_VALUE"""),"Wockhardt Ltd (TARUS)")</f>
        <v>Wockhardt Ltd (TARUS)</v>
      </c>
    </row>
    <row r="3464" ht="16.5" customHeight="1">
      <c r="H3464" s="1" t="str">
        <f>IFERROR(__xludf.DUMMYFUNCTION("""COMPUTED_VALUE"""),"WONSET HEALTHCARE")</f>
        <v>WONSET HEALTHCARE</v>
      </c>
    </row>
    <row r="3465" ht="16.5" customHeight="1">
      <c r="H3465" s="1" t="str">
        <f>IFERROR(__xludf.DUMMYFUNCTION("""COMPUTED_VALUE"""),"WOOD GERMAN BIOTECH")</f>
        <v>WOOD GERMAN BIOTECH</v>
      </c>
    </row>
    <row r="3466" ht="16.5" customHeight="1">
      <c r="H3466" s="1" t="str">
        <f>IFERROR(__xludf.DUMMYFUNCTION("""COMPUTED_VALUE"""),"WORLD HEALTHCARE PHARMA")</f>
        <v>WORLD HEALTHCARE PHARMA</v>
      </c>
    </row>
    <row r="3467" ht="16.5" customHeight="1">
      <c r="H3467" s="1" t="str">
        <f>IFERROR(__xludf.DUMMYFUNCTION("""COMPUTED_VALUE"""),"WRIGHT LIFESCIENCES P LTD")</f>
        <v>WRIGHT LIFESCIENCES P LTD</v>
      </c>
    </row>
    <row r="3468" ht="16.5" customHeight="1">
      <c r="H3468" s="1" t="str">
        <f>IFERROR(__xludf.DUMMYFUNCTION("""COMPUTED_VALUE"""),"WRIGHT LIFESCIENCES PVT LTD")</f>
        <v>WRIGHT LIFESCIENCES PVT LTD</v>
      </c>
    </row>
    <row r="3469" ht="16.5" customHeight="1">
      <c r="H3469" s="1" t="str">
        <f>IFERROR(__xludf.DUMMYFUNCTION("""COMPUTED_VALUE"""),"WSI")</f>
        <v>WSI</v>
      </c>
    </row>
    <row r="3470" ht="16.5" customHeight="1">
      <c r="H3470" s="1" t="str">
        <f>IFERROR(__xludf.DUMMYFUNCTION("""COMPUTED_VALUE"""),"Wyeth Limited")</f>
        <v>Wyeth Limited</v>
      </c>
    </row>
    <row r="3471" ht="16.5" customHeight="1">
      <c r="H3471" s="1" t="str">
        <f>IFERROR(__xludf.DUMMYFUNCTION("""COMPUTED_VALUE"""),"XANOCIA LIFE SCIENCES")</f>
        <v>XANOCIA LIFE SCIENCES</v>
      </c>
    </row>
    <row r="3472" ht="16.5" customHeight="1">
      <c r="H3472" s="1" t="str">
        <f>IFERROR(__xludf.DUMMYFUNCTION("""COMPUTED_VALUE"""),"XENA CORONUS HEALTH CARE")</f>
        <v>XENA CORONUS HEALTH CARE</v>
      </c>
    </row>
    <row r="3473" ht="16.5" customHeight="1">
      <c r="H3473" s="1" t="str">
        <f>IFERROR(__xludf.DUMMYFUNCTION("""COMPUTED_VALUE"""),"XENO LIFE SCIENCE PVT LTD")</f>
        <v>XENO LIFE SCIENCE PVT LTD</v>
      </c>
    </row>
    <row r="3474" ht="16.5" customHeight="1">
      <c r="H3474" s="1" t="str">
        <f>IFERROR(__xludf.DUMMYFUNCTION("""COMPUTED_VALUE"""),"XIEON LIFE SCIENCES")</f>
        <v>XIEON LIFE SCIENCES</v>
      </c>
    </row>
    <row r="3475" ht="16.5" customHeight="1">
      <c r="H3475" s="1" t="str">
        <f>IFERROR(__xludf.DUMMYFUNCTION("""COMPUTED_VALUE"""),"Y E HADVAIDYA")</f>
        <v>Y E HADVAIDYA</v>
      </c>
    </row>
    <row r="3476" ht="16.5" customHeight="1">
      <c r="H3476" s="1" t="str">
        <f>IFERROR(__xludf.DUMMYFUNCTION("""COMPUTED_VALUE"""),"YAJAT LIFE SCIENCES")</f>
        <v>YAJAT LIFE SCIENCES</v>
      </c>
    </row>
    <row r="3477" ht="16.5" customHeight="1">
      <c r="H3477" s="1" t="str">
        <f>IFERROR(__xludf.DUMMYFUNCTION("""COMPUTED_VALUE"""),"YAP COSDERM LABORATORIES PVT LTD")</f>
        <v>YAP COSDERM LABORATORIES PVT LTD</v>
      </c>
    </row>
    <row r="3478" ht="16.5" customHeight="1">
      <c r="H3478" s="1" t="str">
        <f>IFERROR(__xludf.DUMMYFUNCTION("""COMPUTED_VALUE"""),"YASH PHARMA (DERMA)")</f>
        <v>YASH PHARMA (DERMA)</v>
      </c>
    </row>
    <row r="3479" ht="16.5" customHeight="1">
      <c r="H3479" s="1" t="str">
        <f>IFERROR(__xludf.DUMMYFUNCTION("""COMPUTED_VALUE"""),"YASH PHARMA LAB")</f>
        <v>YASH PHARMA LAB</v>
      </c>
    </row>
    <row r="3480" ht="16.5" customHeight="1">
      <c r="H3480" s="1" t="str">
        <f>IFERROR(__xludf.DUMMYFUNCTION("""COMPUTED_VALUE"""),"YASODAKHYAA REMEDIES")</f>
        <v>YASODAKHYAA REMEDIES</v>
      </c>
    </row>
    <row r="3481" ht="16.5" customHeight="1">
      <c r="H3481" s="1" t="str">
        <f>IFERROR(__xludf.DUMMYFUNCTION("""COMPUTED_VALUE"""),"YGEIA HEALTH PVT LTD")</f>
        <v>YGEIA HEALTH PVT LTD</v>
      </c>
    </row>
    <row r="3482" ht="16.5" customHeight="1">
      <c r="H3482" s="1" t="str">
        <f>IFERROR(__xludf.DUMMYFUNCTION("""COMPUTED_VALUE"""),"YOGEE HERBAL INDIA")</f>
        <v>YOGEE HERBAL INDIA</v>
      </c>
    </row>
    <row r="3483" ht="16.5" customHeight="1">
      <c r="H3483" s="1" t="str">
        <f>IFERROR(__xludf.DUMMYFUNCTION("""COMPUTED_VALUE"""),"YOGI AYURVEDIC PRODUCTS LTD")</f>
        <v>YOGI AYURVEDIC PRODUCTS LTD</v>
      </c>
    </row>
    <row r="3484" ht="16.5" customHeight="1">
      <c r="H3484" s="1" t="str">
        <f>IFERROR(__xludf.DUMMYFUNCTION("""COMPUTED_VALUE"""),"YOGI HERBALS")</f>
        <v>YOGI HERBALS</v>
      </c>
    </row>
    <row r="3485" ht="16.5" customHeight="1">
      <c r="H3485" s="1" t="str">
        <f>IFERROR(__xludf.DUMMYFUNCTION("""COMPUTED_VALUE"""),"YOURS PHARMA DISTRIBUTERS PVT LTD")</f>
        <v>YOURS PHARMA DISTRIBUTERS PVT LTD</v>
      </c>
    </row>
    <row r="3486" ht="16.5" customHeight="1">
      <c r="H3486" s="1" t="str">
        <f>IFERROR(__xludf.DUMMYFUNCTION("""COMPUTED_VALUE"""),"YUDERMA LABORATORIE")</f>
        <v>YUDERMA LABORATORIE</v>
      </c>
    </row>
    <row r="3487" ht="16.5" customHeight="1">
      <c r="H3487" s="1" t="str">
        <f>IFERROR(__xludf.DUMMYFUNCTION("""COMPUTED_VALUE"""),"YUZDERM PHARMACEUTICALS")</f>
        <v>YUZDERM PHARMACEUTICALS</v>
      </c>
    </row>
    <row r="3488" ht="16.5" customHeight="1">
      <c r="H3488" s="1" t="str">
        <f>IFERROR(__xludf.DUMMYFUNCTION("""COMPUTED_VALUE"""),"ZADINE RUMBS LIMITED")</f>
        <v>ZADINE RUMBS LIMITED</v>
      </c>
    </row>
    <row r="3489" ht="16.5" customHeight="1">
      <c r="H3489" s="1" t="str">
        <f>IFERROR(__xludf.DUMMYFUNCTION("""COMPUTED_VALUE"""),"Zandu Pharmaceutical Works Ltd")</f>
        <v>Zandu Pharmaceutical Works Ltd</v>
      </c>
    </row>
    <row r="3490" ht="16.5" customHeight="1">
      <c r="H3490" s="1" t="str">
        <f>IFERROR(__xludf.DUMMYFUNCTION("""COMPUTED_VALUE"""),"ZARETA BIOTEC PVT LTD")</f>
        <v>ZARETA BIOTEC PVT LTD</v>
      </c>
    </row>
    <row r="3491" ht="16.5" customHeight="1">
      <c r="H3491" s="1" t="str">
        <f>IFERROR(__xludf.DUMMYFUNCTION("""COMPUTED_VALUE"""),"ZATROPHA PHARMA")</f>
        <v>ZATROPHA PHARMA</v>
      </c>
    </row>
    <row r="3492" ht="16.5" customHeight="1">
      <c r="H3492" s="1" t="str">
        <f>IFERROR(__xludf.DUMMYFUNCTION("""COMPUTED_VALUE"""),"ZEDIP FORMULATIONS")</f>
        <v>ZEDIP FORMULATIONS</v>
      </c>
    </row>
    <row r="3493" ht="16.5" customHeight="1">
      <c r="H3493" s="1" t="str">
        <f>IFERROR(__xludf.DUMMYFUNCTION("""COMPUTED_VALUE"""),"ZEDON PHARMA")</f>
        <v>ZEDON PHARMA</v>
      </c>
    </row>
    <row r="3494" ht="16.5" customHeight="1">
      <c r="H3494" s="1" t="str">
        <f>IFERROR(__xludf.DUMMYFUNCTION("""COMPUTED_VALUE"""),"ZEE LABORATORIES LTD")</f>
        <v>ZEE LABORATORIES LTD</v>
      </c>
    </row>
    <row r="3495" ht="16.5" customHeight="1">
      <c r="H3495" s="1" t="str">
        <f>IFERROR(__xludf.DUMMYFUNCTION("""COMPUTED_VALUE"""),"ZEE LABORATORIES LTD (ELWIN)")</f>
        <v>ZEE LABORATORIES LTD (ELWIN)</v>
      </c>
    </row>
    <row r="3496" ht="16.5" customHeight="1">
      <c r="H3496" s="1" t="str">
        <f>IFERROR(__xludf.DUMMYFUNCTION("""COMPUTED_VALUE"""),"ZEE LABORATORIES LTD (KLOKTER)")</f>
        <v>ZEE LABORATORIES LTD (KLOKTER)</v>
      </c>
    </row>
    <row r="3497" ht="16.5" customHeight="1">
      <c r="H3497" s="1" t="str">
        <f>IFERROR(__xludf.DUMMYFUNCTION("""COMPUTED_VALUE"""),"ZEE LABORATORIS")</f>
        <v>ZEE LABORATORIS</v>
      </c>
    </row>
    <row r="3498" ht="16.5" customHeight="1">
      <c r="H3498" s="1" t="str">
        <f>IFERROR(__xludf.DUMMYFUNCTION("""COMPUTED_VALUE"""),"ZEE PHARMA")</f>
        <v>ZEE PHARMA</v>
      </c>
    </row>
    <row r="3499" ht="16.5" customHeight="1">
      <c r="H3499" s="1" t="str">
        <f>IFERROR(__xludf.DUMMYFUNCTION("""COMPUTED_VALUE"""),"ZELKOVA LIFESCIENCES PVT LTD")</f>
        <v>ZELKOVA LIFESCIENCES PVT LTD</v>
      </c>
    </row>
    <row r="3500" ht="16.5" customHeight="1">
      <c r="H3500" s="1" t="str">
        <f>IFERROR(__xludf.DUMMYFUNCTION("""COMPUTED_VALUE"""),"ZELLEVEN PHARMA PVT LTD")</f>
        <v>ZELLEVEN PHARMA PVT LTD</v>
      </c>
    </row>
    <row r="3501" ht="16.5" customHeight="1">
      <c r="H3501" s="1" t="str">
        <f>IFERROR(__xludf.DUMMYFUNCTION("""COMPUTED_VALUE"""),"ZEN LABS")</f>
        <v>ZEN LABS</v>
      </c>
    </row>
    <row r="3502" ht="16.5" customHeight="1">
      <c r="H3502" s="1" t="str">
        <f>IFERROR(__xludf.DUMMYFUNCTION("""COMPUTED_VALUE"""),"ZEN PHARMACEUTICALS")</f>
        <v>ZEN PHARMACEUTICALS</v>
      </c>
    </row>
    <row r="3503" ht="16.5" customHeight="1">
      <c r="H3503" s="1" t="str">
        <f>IFERROR(__xludf.DUMMYFUNCTION("""COMPUTED_VALUE"""),"Zenacts Pharma P Ltd")</f>
        <v>Zenacts Pharma P Ltd</v>
      </c>
    </row>
    <row r="3504" ht="16.5" customHeight="1">
      <c r="H3504" s="1" t="str">
        <f>IFERROR(__xludf.DUMMYFUNCTION("""COMPUTED_VALUE"""),"ZENCUS PHARMA")</f>
        <v>ZENCUS PHARMA</v>
      </c>
    </row>
    <row r="3505" ht="16.5" customHeight="1">
      <c r="H3505" s="1" t="str">
        <f>IFERROR(__xludf.DUMMYFUNCTION("""COMPUTED_VALUE"""),"ZENEX HEALTHCARE")</f>
        <v>ZENEX HEALTHCARE</v>
      </c>
    </row>
    <row r="3506" ht="16.5" customHeight="1">
      <c r="H3506" s="1" t="str">
        <f>IFERROR(__xludf.DUMMYFUNCTION("""COMPUTED_VALUE"""),"ZENITH DRUGS")</f>
        <v>ZENITH DRUGS</v>
      </c>
    </row>
    <row r="3507" ht="16.5" customHeight="1">
      <c r="H3507" s="1" t="str">
        <f>IFERROR(__xludf.DUMMYFUNCTION("""COMPUTED_VALUE"""),"Zenith Healthcare Ltd")</f>
        <v>Zenith Healthcare Ltd</v>
      </c>
    </row>
    <row r="3508" ht="16.5" customHeight="1">
      <c r="H3508" s="1" t="str">
        <f>IFERROR(__xludf.DUMMYFUNCTION("""COMPUTED_VALUE"""),"ZENLABS (GENERIC)")</f>
        <v>ZENLABS (GENERIC)</v>
      </c>
    </row>
    <row r="3509" ht="16.5" customHeight="1">
      <c r="H3509" s="1" t="str">
        <f>IFERROR(__xludf.DUMMYFUNCTION("""COMPUTED_VALUE"""),"ZENLABS ETHICA LTD")</f>
        <v>ZENLABS ETHICA LTD</v>
      </c>
    </row>
    <row r="3510" ht="16.5" customHeight="1">
      <c r="H3510" s="1" t="str">
        <f>IFERROR(__xludf.DUMMYFUNCTION("""COMPUTED_VALUE"""),"ZENNAR LIFE SCIENCES")</f>
        <v>ZENNAR LIFE SCIENCES</v>
      </c>
    </row>
    <row r="3511" ht="16.5" customHeight="1">
      <c r="H3511" s="1" t="str">
        <f>IFERROR(__xludf.DUMMYFUNCTION("""COMPUTED_VALUE"""),"ZENOBIC LIFE SCIENCES (ZENOBIC)")</f>
        <v>ZENOBIC LIFE SCIENCES (ZENOBIC)</v>
      </c>
    </row>
    <row r="3512" ht="16.5" customHeight="1">
      <c r="H3512" s="1" t="str">
        <f>IFERROR(__xludf.DUMMYFUNCTION("""COMPUTED_VALUE"""),"ZENON HEALTHCARE LTD")</f>
        <v>ZENON HEALTHCARE LTD</v>
      </c>
    </row>
    <row r="3513" ht="16.5" customHeight="1">
      <c r="H3513" s="1" t="str">
        <f>IFERROR(__xludf.DUMMYFUNCTION("""COMPUTED_VALUE"""),"ZENONA LIFESCIENCES PVT LTD")</f>
        <v>ZENONA LIFESCIENCES PVT LTD</v>
      </c>
    </row>
    <row r="3514" ht="16.5" customHeight="1">
      <c r="H3514" s="1" t="str">
        <f>IFERROR(__xludf.DUMMYFUNCTION("""COMPUTED_VALUE"""),"ZENOTECH LOBORATORIES LTD.")</f>
        <v>ZENOTECH LOBORATORIES LTD.</v>
      </c>
    </row>
    <row r="3515" ht="16.5" customHeight="1">
      <c r="H3515" s="1" t="str">
        <f>IFERROR(__xludf.DUMMYFUNCTION("""COMPUTED_VALUE"""),"ZENOVA BIO NUTRITION")</f>
        <v>ZENOVA BIO NUTRITION</v>
      </c>
    </row>
    <row r="3516" ht="16.5" customHeight="1">
      <c r="H3516" s="1" t="str">
        <f>IFERROR(__xludf.DUMMYFUNCTION("""COMPUTED_VALUE"""),"ZENSKA LIFE SCIENCE PVT LTD")</f>
        <v>ZENSKA LIFE SCIENCE PVT LTD</v>
      </c>
    </row>
    <row r="3517" ht="16.5" customHeight="1">
      <c r="H3517" s="1" t="str">
        <f>IFERROR(__xludf.DUMMYFUNCTION("""COMPUTED_VALUE"""),"ZENSTAR LIFE SCIENCES")</f>
        <v>ZENSTAR LIFE SCIENCES</v>
      </c>
    </row>
    <row r="3518" ht="16.5" customHeight="1">
      <c r="H3518" s="1" t="str">
        <f>IFERROR(__xludf.DUMMYFUNCTION("""COMPUTED_VALUE"""),"ZERICO LIFESCIENCE")</f>
        <v>ZERICO LIFESCIENCE</v>
      </c>
    </row>
    <row r="3519" ht="16.5" customHeight="1">
      <c r="H3519" s="1" t="str">
        <f>IFERROR(__xludf.DUMMYFUNCTION("""COMPUTED_VALUE"""),"ZERICO LIFESCIENCES")</f>
        <v>ZERICO LIFESCIENCES</v>
      </c>
    </row>
    <row r="3520" ht="16.5" customHeight="1">
      <c r="H3520" s="1" t="str">
        <f>IFERROR(__xludf.DUMMYFUNCTION("""COMPUTED_VALUE"""),"Zest Pharma")</f>
        <v>Zest Pharma</v>
      </c>
    </row>
    <row r="3521" ht="16.5" customHeight="1">
      <c r="H3521" s="1" t="str">
        <f>IFERROR(__xludf.DUMMYFUNCTION("""COMPUTED_VALUE"""),"ZESTICA PHARMA")</f>
        <v>ZESTICA PHARMA</v>
      </c>
    </row>
    <row r="3522" ht="16.5" customHeight="1">
      <c r="H3522" s="1" t="str">
        <f>IFERROR(__xludf.DUMMYFUNCTION("""COMPUTED_VALUE"""),"ZETA")</f>
        <v>ZETA</v>
      </c>
    </row>
    <row r="3523" ht="16.5" customHeight="1">
      <c r="H3523" s="1" t="str">
        <f>IFERROR(__xludf.DUMMYFUNCTION("""COMPUTED_VALUE"""),"ZETACA LIFESCIENCES")</f>
        <v>ZETACA LIFESCIENCES</v>
      </c>
    </row>
    <row r="3524" ht="16.5" customHeight="1">
      <c r="H3524" s="1" t="str">
        <f>IFERROR(__xludf.DUMMYFUNCTION("""COMPUTED_VALUE"""),"ZEUS DRUG")</f>
        <v>ZEUS DRUG</v>
      </c>
    </row>
    <row r="3525" ht="16.5" customHeight="1">
      <c r="H3525" s="1" t="str">
        <f>IFERROR(__xludf.DUMMYFUNCTION("""COMPUTED_VALUE"""),"ZEVEN LIFESCIENCES LTD")</f>
        <v>ZEVEN LIFESCIENCES LTD</v>
      </c>
    </row>
    <row r="3526" ht="16.5" customHeight="1">
      <c r="H3526" s="1" t="str">
        <f>IFERROR(__xludf.DUMMYFUNCTION("""COMPUTED_VALUE"""),"ZICAD LIFE CARE")</f>
        <v>ZICAD LIFE CARE</v>
      </c>
    </row>
    <row r="3527" ht="16.5" customHeight="1">
      <c r="H3527" s="1" t="str">
        <f>IFERROR(__xludf.DUMMYFUNCTION("""COMPUTED_VALUE"""),"ZIVIRA LABS P LTD")</f>
        <v>ZIVIRA LABS P LTD</v>
      </c>
    </row>
    <row r="3528" ht="16.5" customHeight="1">
      <c r="H3528" s="1" t="str">
        <f>IFERROR(__xludf.DUMMYFUNCTION("""COMPUTED_VALUE"""),"ZIVOT HEALTHCARE")</f>
        <v>ZIVOT HEALTHCARE</v>
      </c>
    </row>
    <row r="3529" ht="16.5" customHeight="1">
      <c r="H3529" s="1" t="str">
        <f>IFERROR(__xludf.DUMMYFUNCTION("""COMPUTED_VALUE"""),"ZOETIC AYURVEDICS PVT LTD")</f>
        <v>ZOETIC AYURVEDICS PVT LTD</v>
      </c>
    </row>
    <row r="3530" ht="16.5" customHeight="1">
      <c r="H3530" s="1" t="str">
        <f>IFERROR(__xludf.DUMMYFUNCTION("""COMPUTED_VALUE"""),"ZOITHROSS")</f>
        <v>ZOITHROSS</v>
      </c>
    </row>
    <row r="3531" ht="16.5" customHeight="1">
      <c r="H3531" s="1" t="str">
        <f>IFERROR(__xludf.DUMMYFUNCTION("""COMPUTED_VALUE"""),"ZORICON PHARMACEUTICALS")</f>
        <v>ZORICON PHARMACEUTICALS</v>
      </c>
    </row>
    <row r="3532" ht="16.5" customHeight="1">
      <c r="H3532" s="1" t="str">
        <f>IFERROR(__xludf.DUMMYFUNCTION("""COMPUTED_VALUE"""),"ZORILANT PHARMA")</f>
        <v>ZORILANT PHARMA</v>
      </c>
    </row>
    <row r="3533" ht="16.5" customHeight="1">
      <c r="H3533" s="1" t="str">
        <f>IFERROR(__xludf.DUMMYFUNCTION("""COMPUTED_VALUE"""),"ZOTA HEALTHCARE")</f>
        <v>ZOTA HEALTHCARE</v>
      </c>
    </row>
    <row r="3534" ht="16.5" customHeight="1">
      <c r="H3534" s="1" t="str">
        <f>IFERROR(__xludf.DUMMYFUNCTION("""COMPUTED_VALUE"""),"Zovaitalia Healthcare Pvt Ltd")</f>
        <v>Zovaitalia Healthcare Pvt Ltd</v>
      </c>
    </row>
    <row r="3535" ht="16.5" customHeight="1">
      <c r="H3535" s="1" t="str">
        <f>IFERROR(__xludf.DUMMYFUNCTION("""COMPUTED_VALUE"""),"ZUBIT LIFECARE")</f>
        <v>ZUBIT LIFECARE</v>
      </c>
    </row>
    <row r="3536" ht="16.5" customHeight="1">
      <c r="H3536" s="1" t="str">
        <f>IFERROR(__xludf.DUMMYFUNCTION("""COMPUTED_VALUE"""),"ZURICH HEALTH CARE UJJAIN")</f>
        <v>ZURICH HEALTH CARE UJJAIN</v>
      </c>
    </row>
    <row r="3537" ht="16.5" customHeight="1">
      <c r="H3537" s="1" t="str">
        <f>IFERROR(__xludf.DUMMYFUNCTION("""COMPUTED_VALUE"""),"ZUVENTUS (GENERIC)")</f>
        <v>ZUVENTUS (GENERIC)</v>
      </c>
    </row>
    <row r="3538" ht="16.5" customHeight="1">
      <c r="H3538" s="1" t="str">
        <f>IFERROR(__xludf.DUMMYFUNCTION("""COMPUTED_VALUE"""),"ZUVENTUS (GROMAXX)")</f>
        <v>ZUVENTUS (GROMAXX)</v>
      </c>
    </row>
    <row r="3539" ht="16.5" customHeight="1">
      <c r="H3539" s="1" t="str">
        <f>IFERROR(__xludf.DUMMYFUNCTION("""COMPUTED_VALUE"""),"ZUVENTUS (HEALTHCARE)")</f>
        <v>ZUVENTUS (HEALTHCARE)</v>
      </c>
    </row>
    <row r="3540" ht="16.5" customHeight="1">
      <c r="H3540" s="1" t="str">
        <f>IFERROR(__xludf.DUMMYFUNCTION("""COMPUTED_VALUE"""),"ZUVENTUS (LASUR)")</f>
        <v>ZUVENTUS (LASUR)</v>
      </c>
    </row>
    <row r="3541" ht="16.5" customHeight="1">
      <c r="H3541" s="1" t="str">
        <f>IFERROR(__xludf.DUMMYFUNCTION("""COMPUTED_VALUE"""),"ZUVENTUS (LIFESTYLE)")</f>
        <v>ZUVENTUS (LIFESTYLE)</v>
      </c>
    </row>
    <row r="3542" ht="16.5" customHeight="1">
      <c r="H3542" s="1" t="str">
        <f>IFERROR(__xludf.DUMMYFUNCTION("""COMPUTED_VALUE"""),"ZUVENTUS (ODENEA)")</f>
        <v>ZUVENTUS (ODENEA)</v>
      </c>
    </row>
    <row r="3543" ht="16.5" customHeight="1">
      <c r="H3543" s="1" t="str">
        <f>IFERROR(__xludf.DUMMYFUNCTION("""COMPUTED_VALUE"""),"ZUVENTUS (ONCO)")</f>
        <v>ZUVENTUS (ONCO)</v>
      </c>
    </row>
    <row r="3544" ht="16.5" customHeight="1">
      <c r="H3544" s="1" t="str">
        <f>IFERROR(__xludf.DUMMYFUNCTION("""COMPUTED_VALUE"""),"Zuventus Healthcare Ltd")</f>
        <v>Zuventus Healthcare Ltd</v>
      </c>
    </row>
    <row r="3545" ht="16.5" customHeight="1">
      <c r="H3545" s="1" t="str">
        <f>IFERROR(__xludf.DUMMYFUNCTION("""COMPUTED_VALUE"""),"Zuventus Healthcare Ltd (SPECIALITY)")</f>
        <v>Zuventus Healthcare Ltd (SPECIALITY)</v>
      </c>
    </row>
    <row r="3546" ht="16.5" customHeight="1">
      <c r="H3546" s="1" t="str">
        <f>IFERROR(__xludf.DUMMYFUNCTION("""COMPUTED_VALUE"""),"ZUVIUS LIFE SCIENSE PVT LTD")</f>
        <v>ZUVIUS LIFE SCIENSE PVT LTD</v>
      </c>
    </row>
    <row r="3547" ht="16.5" customHeight="1">
      <c r="H3547" s="1" t="str">
        <f>IFERROR(__xludf.DUMMYFUNCTION("""COMPUTED_VALUE"""),"ZYCARE PHARMACEUTICALS")</f>
        <v>ZYCARE PHARMACEUTICALS</v>
      </c>
    </row>
    <row r="3548" ht="16.5" customHeight="1">
      <c r="H3548" s="1" t="str">
        <f>IFERROR(__xludf.DUMMYFUNCTION("""COMPUTED_VALUE"""),"ZYDAR PHARMACEUTICALS P LTD")</f>
        <v>ZYDAR PHARMACEUTICALS P LTD</v>
      </c>
    </row>
    <row r="3549" ht="16.5" customHeight="1">
      <c r="H3549" s="1" t="str">
        <f>IFERROR(__xludf.DUMMYFUNCTION("""COMPUTED_VALUE"""),"ZYDUS (ALIDAC)")</f>
        <v>ZYDUS (ALIDAC)</v>
      </c>
    </row>
    <row r="3550" ht="16.5" customHeight="1">
      <c r="H3550" s="1" t="str">
        <f>IFERROR(__xludf.DUMMYFUNCTION("""COMPUTED_VALUE"""),"ZYDUS (BIOVATION)")</f>
        <v>ZYDUS (BIOVATION)</v>
      </c>
    </row>
    <row r="3551" ht="16.5" customHeight="1">
      <c r="H3551" s="1" t="str">
        <f>IFERROR(__xludf.DUMMYFUNCTION("""COMPUTED_VALUE"""),"ZYDUS (CADILA)")</f>
        <v>ZYDUS (CADILA)</v>
      </c>
    </row>
    <row r="3552" ht="16.5" customHeight="1">
      <c r="H3552" s="1" t="str">
        <f>IFERROR(__xludf.DUMMYFUNCTION("""COMPUTED_VALUE"""),"ZYDUS (CARDIVA)")</f>
        <v>ZYDUS (CARDIVA)</v>
      </c>
    </row>
    <row r="3553" ht="16.5" customHeight="1">
      <c r="H3553" s="1" t="str">
        <f>IFERROR(__xludf.DUMMYFUNCTION("""COMPUTED_VALUE"""),"ZYDUS (CND)")</f>
        <v>ZYDUS (CND)</v>
      </c>
    </row>
    <row r="3554" ht="16.5" customHeight="1">
      <c r="H3554" s="1" t="str">
        <f>IFERROR(__xludf.DUMMYFUNCTION("""COMPUTED_VALUE"""),"ZYDUS (CORZA)")</f>
        <v>ZYDUS (CORZA)</v>
      </c>
    </row>
    <row r="3555" ht="16.5" customHeight="1">
      <c r="H3555" s="1" t="str">
        <f>IFERROR(__xludf.DUMMYFUNCTION("""COMPUTED_VALUE"""),"ZYDUS (DISCOVERY)")</f>
        <v>ZYDUS (DISCOVERY)</v>
      </c>
    </row>
    <row r="3556" ht="16.5" customHeight="1">
      <c r="H3556" s="1" t="str">
        <f>IFERROR(__xludf.DUMMYFUNCTION("""COMPUTED_VALUE"""),"ZYDUS (FORTIZA)")</f>
        <v>ZYDUS (FORTIZA)</v>
      </c>
    </row>
    <row r="3557" ht="16.5" customHeight="1">
      <c r="H3557" s="1" t="str">
        <f>IFERROR(__xludf.DUMMYFUNCTION("""COMPUTED_VALUE"""),"ZYDUS (GEO)")</f>
        <v>ZYDUS (GEO)</v>
      </c>
    </row>
    <row r="3558" ht="16.5" customHeight="1">
      <c r="H3558" s="1" t="str">
        <f>IFERROR(__xludf.DUMMYFUNCTION("""COMPUTED_VALUE"""),"ZYDUS (HEPTIZA)")</f>
        <v>ZYDUS (HEPTIZA)</v>
      </c>
    </row>
    <row r="3559" ht="16.5" customHeight="1">
      <c r="H3559" s="1" t="str">
        <f>IFERROR(__xludf.DUMMYFUNCTION("""COMPUTED_VALUE"""),"ZYDUS (LIVA)")</f>
        <v>ZYDUS (LIVA)</v>
      </c>
    </row>
    <row r="3560" ht="16.5" customHeight="1">
      <c r="H3560" s="1" t="str">
        <f>IFERROR(__xludf.DUMMYFUNCTION("""COMPUTED_VALUE"""),"ZYDUS (MEDICA)")</f>
        <v>ZYDUS (MEDICA)</v>
      </c>
    </row>
    <row r="3561" ht="16.5" customHeight="1">
      <c r="H3561" s="1" t="str">
        <f>IFERROR(__xludf.DUMMYFUNCTION("""COMPUTED_VALUE"""),"ZYDUS (NEPHRO 1)")</f>
        <v>ZYDUS (NEPHRO 1)</v>
      </c>
    </row>
    <row r="3562" ht="16.5" customHeight="1">
      <c r="H3562" s="1" t="str">
        <f>IFERROR(__xludf.DUMMYFUNCTION("""COMPUTED_VALUE"""),"ZYDUS (NEPHRO TRANSPLANT)")</f>
        <v>ZYDUS (NEPHRO TRANSPLANT)</v>
      </c>
    </row>
    <row r="3563" ht="16.5" customHeight="1">
      <c r="H3563" s="1" t="str">
        <f>IFERROR(__xludf.DUMMYFUNCTION("""COMPUTED_VALUE"""),"ZYDUS (NEUROSCIENCES)")</f>
        <v>ZYDUS (NEUROSCIENCES)</v>
      </c>
    </row>
    <row r="3564" ht="16.5" customHeight="1">
      <c r="H3564" s="1" t="str">
        <f>IFERROR(__xludf.DUMMYFUNCTION("""COMPUTED_VALUE"""),"ZYDUS (NUTRIVA)")</f>
        <v>ZYDUS (NUTRIVA)</v>
      </c>
    </row>
    <row r="3565" ht="16.5" customHeight="1">
      <c r="H3565" s="1" t="str">
        <f>IFERROR(__xludf.DUMMYFUNCTION("""COMPUTED_VALUE"""),"ZYDUS (OCCURE)")</f>
        <v>ZYDUS (OCCURE)</v>
      </c>
    </row>
    <row r="3566" ht="16.5" customHeight="1">
      <c r="H3566" s="1" t="str">
        <f>IFERROR(__xludf.DUMMYFUNCTION("""COMPUTED_VALUE"""),"ZYDUS (ONCOSCIENCES)")</f>
        <v>ZYDUS (ONCOSCIENCES)</v>
      </c>
    </row>
    <row r="3567" ht="16.5" customHeight="1">
      <c r="H3567" s="1" t="str">
        <f>IFERROR(__xludf.DUMMYFUNCTION("""COMPUTED_VALUE"""),"ZYDUS (OSTIVIA)")</f>
        <v>ZYDUS (OSTIVIA)</v>
      </c>
    </row>
    <row r="3568" ht="16.5" customHeight="1">
      <c r="H3568" s="1" t="str">
        <f>IFERROR(__xludf.DUMMYFUNCTION("""COMPUTED_VALUE"""),"ZYDUS (SYNOVIA)")</f>
        <v>ZYDUS (SYNOVIA)</v>
      </c>
    </row>
    <row r="3569" ht="16.5" customHeight="1">
      <c r="H3569" s="1" t="str">
        <f>IFERROR(__xludf.DUMMYFUNCTION("""COMPUTED_VALUE"""),"ZYDUS (UROSCIENCES)")</f>
        <v>ZYDUS (UROSCIENCES)</v>
      </c>
    </row>
    <row r="3570" ht="16.5" customHeight="1">
      <c r="H3570" s="1" t="str">
        <f>IFERROR(__xludf.DUMMYFUNCTION("""COMPUTED_VALUE"""),"ZYDUS ANIMAL HEALTHCARE LIMITED")</f>
        <v>ZYDUS ANIMAL HEALTHCARE LIMITED</v>
      </c>
    </row>
    <row r="3571" ht="16.5" customHeight="1">
      <c r="H3571" s="1" t="str">
        <f>IFERROR(__xludf.DUMMYFUNCTION("""COMPUTED_VALUE"""),"Zydus Cadila Healthcare")</f>
        <v>Zydus Cadila Healthcare</v>
      </c>
    </row>
    <row r="3572" ht="16.5" customHeight="1">
      <c r="H3572" s="1" t="str">
        <f>IFERROR(__xludf.DUMMYFUNCTION("""COMPUTED_VALUE"""),"ZYDUS WELLNESS LIMITED")</f>
        <v>ZYDUS WELLNESS LIMITED</v>
      </c>
    </row>
    <row r="3573" ht="16.5" customHeight="1">
      <c r="H3573" s="1" t="str">
        <f>IFERROR(__xludf.DUMMYFUNCTION("""COMPUTED_VALUE"""),"ZYLIG LIFESCIENCES")</f>
        <v>ZYLIG LIFESCIENCES</v>
      </c>
    </row>
    <row r="3574" ht="16.5" customHeight="1">
      <c r="H3574" s="1" t="str">
        <f>IFERROR(__xludf.DUMMYFUNCTION("""COMPUTED_VALUE"""),"ZYMES BIOSCIENCE PVT LTD")</f>
        <v>ZYMES BIOSCIENCE PVT LTD</v>
      </c>
    </row>
    <row r="3575" ht="16.5" customHeight="1">
      <c r="H3575" s="1" t="str">
        <f>IFERROR(__xludf.DUMMYFUNCTION("""COMPUTED_VALUE"""),"ZYNEXT PHARMA")</f>
        <v>ZYNEXT PHARMA</v>
      </c>
    </row>
    <row r="3576" ht="16.5" customHeight="1">
      <c r="H3576" s="1" t="str">
        <f>IFERROR(__xludf.DUMMYFUNCTION("""COMPUTED_VALUE"""),"ZYPHAR'S PHARMACEUTIC'S PVT LT")</f>
        <v>ZYPHAR'S PHARMACEUTIC'S PVT LT</v>
      </c>
    </row>
    <row r="3577" ht="16.5" customHeight="1">
      <c r="H3577" s="1"/>
    </row>
    <row r="3578" ht="16.5" customHeight="1">
      <c r="H3578" s="1"/>
    </row>
    <row r="3579" ht="16.5" customHeight="1">
      <c r="H3579" s="1"/>
    </row>
    <row r="3580" ht="16.5" customHeight="1">
      <c r="H3580" s="1"/>
    </row>
    <row r="3581" ht="16.5" customHeight="1">
      <c r="H3581" s="1"/>
    </row>
    <row r="3582" ht="16.5" customHeight="1">
      <c r="H3582" s="1"/>
    </row>
    <row r="3583" ht="16.5" customHeight="1">
      <c r="H3583" s="1"/>
    </row>
    <row r="3584" ht="16.5" customHeight="1">
      <c r="H3584" s="1"/>
    </row>
    <row r="3585" ht="16.5" customHeight="1">
      <c r="H3585" s="1"/>
    </row>
    <row r="3586" ht="16.5" customHeight="1">
      <c r="H3586" s="1"/>
    </row>
    <row r="3587" ht="16.5" customHeight="1">
      <c r="H3587" s="1"/>
    </row>
    <row r="3588" ht="16.5" customHeight="1">
      <c r="H3588" s="1"/>
    </row>
    <row r="3589" ht="16.5" customHeight="1">
      <c r="H3589" s="1"/>
    </row>
    <row r="3590" ht="16.5" customHeight="1">
      <c r="H3590" s="1"/>
    </row>
    <row r="3591" ht="16.5" customHeight="1">
      <c r="H3591" s="1"/>
    </row>
    <row r="3592" ht="16.5" customHeight="1">
      <c r="H3592" s="1"/>
    </row>
    <row r="3593" ht="16.5" customHeight="1">
      <c r="H3593" s="1"/>
    </row>
    <row r="3594" ht="16.5" customHeight="1">
      <c r="H3594" s="1"/>
    </row>
    <row r="3595" ht="16.5" customHeight="1">
      <c r="H3595" s="1"/>
    </row>
    <row r="3596" ht="16.5" customHeight="1">
      <c r="H3596" s="1"/>
    </row>
    <row r="3597" ht="16.5" customHeight="1">
      <c r="H3597" s="1"/>
    </row>
    <row r="3598" ht="16.5" customHeight="1">
      <c r="H3598" s="1"/>
    </row>
    <row r="3599" ht="16.5" customHeight="1">
      <c r="H3599" s="1"/>
    </row>
    <row r="3600" ht="16.5" customHeight="1">
      <c r="H3600" s="1"/>
    </row>
    <row r="3601" ht="16.5" customHeight="1">
      <c r="H3601" s="1"/>
    </row>
    <row r="3602" ht="16.5" customHeight="1">
      <c r="H3602" s="1"/>
    </row>
    <row r="3603" ht="16.5" customHeight="1">
      <c r="H3603" s="1"/>
    </row>
    <row r="3604" ht="16.5" customHeight="1">
      <c r="H3604" s="1"/>
    </row>
    <row r="3605" ht="16.5" customHeight="1">
      <c r="H3605" s="1"/>
    </row>
    <row r="3606" ht="16.5" customHeight="1">
      <c r="H3606" s="1"/>
    </row>
    <row r="3607" ht="16.5" customHeight="1">
      <c r="H3607" s="1"/>
    </row>
    <row r="3608" ht="16.5" customHeight="1">
      <c r="H3608" s="1"/>
    </row>
    <row r="3609" ht="16.5" customHeight="1">
      <c r="H3609" s="1"/>
    </row>
    <row r="3610" ht="16.5" customHeight="1">
      <c r="H3610" s="1"/>
    </row>
    <row r="3611" ht="16.5" customHeight="1">
      <c r="H3611" s="1"/>
    </row>
    <row r="3612" ht="16.5" customHeight="1">
      <c r="H3612" s="1"/>
    </row>
    <row r="3613" ht="16.5" customHeight="1">
      <c r="H3613" s="1"/>
    </row>
    <row r="3614" ht="16.5" customHeight="1">
      <c r="H3614" s="1"/>
    </row>
    <row r="3615" ht="16.5" customHeight="1">
      <c r="H3615" s="1"/>
    </row>
    <row r="3616" ht="16.5" customHeight="1">
      <c r="H3616" s="1"/>
    </row>
    <row r="3617" ht="16.5" customHeight="1">
      <c r="H3617" s="1"/>
    </row>
    <row r="3618" ht="16.5" customHeight="1">
      <c r="H3618" s="1"/>
    </row>
    <row r="3619" ht="16.5" customHeight="1">
      <c r="H3619" s="1"/>
    </row>
    <row r="3620" ht="16.5" customHeight="1">
      <c r="H3620" s="1"/>
    </row>
    <row r="3621" ht="16.5" customHeight="1">
      <c r="H3621" s="1"/>
    </row>
    <row r="3622" ht="16.5" customHeight="1">
      <c r="H3622" s="1"/>
    </row>
    <row r="3623" ht="16.5" customHeight="1">
      <c r="H3623" s="1"/>
    </row>
    <row r="3624" ht="16.5" customHeight="1">
      <c r="H3624" s="1"/>
    </row>
    <row r="3625" ht="16.5" customHeight="1">
      <c r="H3625" s="1"/>
    </row>
    <row r="3626" ht="16.5" customHeight="1">
      <c r="H3626" s="1"/>
    </row>
    <row r="3627" ht="16.5" customHeight="1">
      <c r="H3627" s="1"/>
    </row>
    <row r="3628" ht="16.5" customHeight="1">
      <c r="H3628" s="1"/>
    </row>
    <row r="3629" ht="16.5" customHeight="1">
      <c r="H3629" s="1"/>
    </row>
    <row r="3630" ht="16.5" customHeight="1">
      <c r="H3630" s="1"/>
    </row>
    <row r="3631" ht="16.5" customHeight="1">
      <c r="H3631" s="1"/>
    </row>
    <row r="3632" ht="16.5" customHeight="1">
      <c r="H3632" s="1"/>
    </row>
    <row r="3633" ht="16.5" customHeight="1">
      <c r="H3633" s="1"/>
    </row>
    <row r="3634" ht="16.5" customHeight="1">
      <c r="H3634" s="1"/>
    </row>
    <row r="3635" ht="16.5" customHeight="1">
      <c r="H3635" s="1"/>
    </row>
    <row r="3636" ht="16.5" customHeight="1">
      <c r="H3636" s="1"/>
    </row>
    <row r="3637" ht="16.5" customHeight="1">
      <c r="H3637" s="1"/>
    </row>
    <row r="3638" ht="16.5" customHeight="1">
      <c r="H3638" s="1"/>
    </row>
    <row r="3639" ht="16.5" customHeight="1">
      <c r="H3639" s="1"/>
    </row>
    <row r="3640" ht="16.5" customHeight="1">
      <c r="H3640" s="1"/>
    </row>
    <row r="3641" ht="16.5" customHeight="1">
      <c r="H3641" s="1"/>
    </row>
    <row r="3642" ht="16.5" customHeight="1">
      <c r="H3642" s="1"/>
    </row>
    <row r="3643" ht="16.5" customHeight="1">
      <c r="H3643" s="1"/>
    </row>
    <row r="3644" ht="16.5" customHeight="1">
      <c r="H3644" s="1"/>
    </row>
    <row r="3645" ht="16.5" customHeight="1">
      <c r="H3645" s="1"/>
    </row>
    <row r="3646" ht="16.5" customHeight="1">
      <c r="H3646" s="1"/>
    </row>
    <row r="3647" ht="16.5" customHeight="1">
      <c r="H3647" s="1"/>
    </row>
    <row r="3648" ht="16.5" customHeight="1">
      <c r="H3648" s="1"/>
    </row>
    <row r="3649" ht="16.5" customHeight="1">
      <c r="H3649" s="1"/>
    </row>
    <row r="3650" ht="16.5" customHeight="1">
      <c r="H3650" s="1"/>
    </row>
    <row r="3651" ht="16.5" customHeight="1">
      <c r="H3651" s="1"/>
    </row>
    <row r="3652" ht="16.5" customHeight="1">
      <c r="H3652" s="1"/>
    </row>
    <row r="3653" ht="16.5" customHeight="1">
      <c r="H3653" s="1"/>
    </row>
    <row r="3654" ht="16.5" customHeight="1">
      <c r="H3654" s="1"/>
    </row>
    <row r="3655" ht="16.5" customHeight="1">
      <c r="H3655" s="1"/>
    </row>
    <row r="3656" ht="16.5" customHeight="1">
      <c r="H3656" s="1"/>
    </row>
    <row r="3657" ht="16.5" customHeight="1">
      <c r="H3657" s="1"/>
    </row>
    <row r="3658" ht="16.5" customHeight="1">
      <c r="H3658" s="1"/>
    </row>
    <row r="3659" ht="16.5" customHeight="1">
      <c r="H3659" s="1"/>
    </row>
    <row r="3660" ht="16.5" customHeight="1">
      <c r="H3660" s="1"/>
    </row>
    <row r="3661" ht="16.5" customHeight="1">
      <c r="H3661" s="1"/>
    </row>
    <row r="3662" ht="16.5" customHeight="1">
      <c r="H3662" s="1"/>
    </row>
    <row r="3663" ht="16.5" customHeight="1">
      <c r="H3663" s="1"/>
    </row>
    <row r="3664" ht="16.5" customHeight="1">
      <c r="H3664" s="1"/>
    </row>
    <row r="3665" ht="16.5" customHeight="1">
      <c r="H3665" s="1"/>
    </row>
    <row r="3666" ht="16.5" customHeight="1">
      <c r="H3666" s="1"/>
    </row>
    <row r="3667" ht="16.5" customHeight="1">
      <c r="H3667" s="1"/>
    </row>
    <row r="3668" ht="16.5" customHeight="1">
      <c r="H3668" s="1"/>
    </row>
    <row r="3669" ht="16.5" customHeight="1">
      <c r="H3669" s="1"/>
    </row>
    <row r="3670" ht="16.5" customHeight="1">
      <c r="H3670" s="1"/>
    </row>
    <row r="3671" ht="16.5" customHeight="1">
      <c r="H3671" s="1"/>
    </row>
    <row r="3672" ht="16.5" customHeight="1">
      <c r="H3672" s="1"/>
    </row>
    <row r="3673" ht="16.5" customHeight="1">
      <c r="H3673" s="1"/>
    </row>
    <row r="3674" ht="16.5" customHeight="1">
      <c r="H3674" s="1"/>
    </row>
    <row r="3675" ht="16.5" customHeight="1">
      <c r="H3675" s="1"/>
    </row>
    <row r="3676" ht="16.5" customHeight="1">
      <c r="H3676" s="1"/>
    </row>
    <row r="3677" ht="16.5" customHeight="1">
      <c r="H3677" s="1"/>
    </row>
    <row r="3678" ht="16.5" customHeight="1">
      <c r="H3678" s="1"/>
    </row>
    <row r="3679" ht="16.5" customHeight="1">
      <c r="H3679" s="1"/>
    </row>
    <row r="3680" ht="16.5" customHeight="1">
      <c r="H3680" s="1"/>
    </row>
    <row r="3681" ht="16.5" customHeight="1">
      <c r="H3681" s="1"/>
    </row>
    <row r="3682" ht="16.5" customHeight="1">
      <c r="H3682" s="1"/>
    </row>
    <row r="3683" ht="16.5" customHeight="1">
      <c r="H3683" s="1"/>
    </row>
    <row r="3684" ht="16.5" customHeight="1">
      <c r="H3684" s="1"/>
    </row>
    <row r="3685" ht="16.5" customHeight="1">
      <c r="H3685" s="1"/>
    </row>
    <row r="3686" ht="16.5" customHeight="1">
      <c r="H3686" s="1"/>
    </row>
    <row r="3687" ht="16.5" customHeight="1">
      <c r="H3687" s="1"/>
    </row>
    <row r="3688" ht="16.5" customHeight="1">
      <c r="H3688" s="1"/>
    </row>
    <row r="3689" ht="16.5" customHeight="1">
      <c r="H3689" s="1"/>
    </row>
    <row r="3690" ht="16.5" customHeight="1">
      <c r="H3690" s="1"/>
    </row>
    <row r="3691" ht="16.5" customHeight="1">
      <c r="H3691" s="1"/>
    </row>
    <row r="3692" ht="16.5" customHeight="1">
      <c r="H3692" s="1"/>
    </row>
    <row r="3693" ht="16.5" customHeight="1">
      <c r="H3693" s="1"/>
    </row>
    <row r="3694" ht="16.5" customHeight="1">
      <c r="H3694" s="1"/>
    </row>
    <row r="3695" ht="16.5" customHeight="1">
      <c r="H3695" s="1"/>
    </row>
    <row r="3696" ht="16.5" customHeight="1">
      <c r="H3696" s="1"/>
    </row>
    <row r="3697" ht="16.5" customHeight="1">
      <c r="H3697" s="1"/>
    </row>
    <row r="3698" ht="16.5" customHeight="1">
      <c r="H3698" s="1"/>
    </row>
    <row r="3699" ht="16.5" customHeight="1">
      <c r="H3699" s="1"/>
    </row>
    <row r="3700" ht="16.5" customHeight="1">
      <c r="H3700" s="1"/>
    </row>
    <row r="3701" ht="16.5" customHeight="1">
      <c r="H3701" s="1"/>
    </row>
    <row r="3702" ht="16.5" customHeight="1">
      <c r="H3702" s="1"/>
    </row>
    <row r="3703" ht="16.5" customHeight="1">
      <c r="H3703" s="1"/>
    </row>
    <row r="3704" ht="16.5" customHeight="1">
      <c r="H3704" s="1"/>
    </row>
    <row r="3705" ht="16.5" customHeight="1">
      <c r="H3705" s="1"/>
    </row>
    <row r="3706" ht="16.5" customHeight="1">
      <c r="H3706" s="1"/>
    </row>
    <row r="3707" ht="16.5" customHeight="1">
      <c r="H3707" s="1"/>
    </row>
    <row r="3708" ht="16.5" customHeight="1">
      <c r="H3708" s="1"/>
    </row>
    <row r="3709" ht="16.5" customHeight="1">
      <c r="H3709" s="1"/>
    </row>
    <row r="3710" ht="16.5" customHeight="1">
      <c r="H3710" s="1"/>
    </row>
    <row r="3711" ht="16.5" customHeight="1">
      <c r="H3711" s="1"/>
    </row>
    <row r="3712" ht="16.5" customHeight="1">
      <c r="H3712" s="1"/>
    </row>
    <row r="3713" ht="16.5" customHeight="1">
      <c r="H3713" s="1"/>
    </row>
    <row r="3714" ht="16.5" customHeight="1">
      <c r="H3714" s="1"/>
    </row>
    <row r="3715" ht="16.5" customHeight="1">
      <c r="H3715" s="1"/>
    </row>
    <row r="3716" ht="16.5" customHeight="1">
      <c r="H3716" s="1"/>
    </row>
    <row r="3717" ht="16.5" customHeight="1">
      <c r="H3717" s="1"/>
    </row>
    <row r="3718" ht="16.5" customHeight="1">
      <c r="H3718" s="1"/>
    </row>
    <row r="3719" ht="16.5" customHeight="1">
      <c r="H3719" s="1"/>
    </row>
    <row r="3720" ht="16.5" customHeight="1">
      <c r="H3720" s="1"/>
    </row>
    <row r="3721" ht="16.5" customHeight="1">
      <c r="H3721" s="1"/>
    </row>
    <row r="3722" ht="16.5" customHeight="1">
      <c r="H3722" s="1"/>
    </row>
    <row r="3723" ht="16.5" customHeight="1">
      <c r="H3723" s="1"/>
    </row>
    <row r="3724" ht="16.5" customHeight="1">
      <c r="H3724" s="1"/>
    </row>
    <row r="3725" ht="16.5" customHeight="1">
      <c r="H3725" s="1"/>
    </row>
    <row r="3726" ht="16.5" customHeight="1">
      <c r="H3726" s="1"/>
    </row>
    <row r="3727" ht="16.5" customHeight="1">
      <c r="H3727" s="1"/>
    </row>
    <row r="3728" ht="16.5" customHeight="1">
      <c r="H3728" s="1"/>
    </row>
    <row r="3729" ht="16.5" customHeight="1">
      <c r="H3729" s="1"/>
    </row>
    <row r="3730" ht="16.5" customHeight="1">
      <c r="H3730" s="1"/>
    </row>
    <row r="3731" ht="16.5" customHeight="1">
      <c r="H3731" s="1"/>
    </row>
    <row r="3732" ht="16.5" customHeight="1">
      <c r="H3732" s="1"/>
    </row>
    <row r="3733" ht="16.5" customHeight="1">
      <c r="H3733" s="1"/>
    </row>
    <row r="3734" ht="16.5" customHeight="1">
      <c r="H3734" s="1"/>
    </row>
    <row r="3735" ht="16.5" customHeight="1">
      <c r="H3735" s="1"/>
    </row>
    <row r="3736" ht="16.5" customHeight="1">
      <c r="H3736" s="1"/>
    </row>
    <row r="3737" ht="16.5" customHeight="1">
      <c r="H3737" s="1"/>
    </row>
    <row r="3738" ht="16.5" customHeight="1">
      <c r="H3738" s="1"/>
    </row>
    <row r="3739" ht="16.5" customHeight="1">
      <c r="H3739" s="1"/>
    </row>
    <row r="3740" ht="16.5" customHeight="1">
      <c r="H3740" s="1"/>
    </row>
    <row r="3741" ht="16.5" customHeight="1">
      <c r="H3741" s="1"/>
    </row>
    <row r="3742" ht="16.5" customHeight="1">
      <c r="H3742" s="1"/>
    </row>
    <row r="3743" ht="16.5" customHeight="1">
      <c r="H3743" s="1"/>
    </row>
    <row r="3744" ht="16.5" customHeight="1">
      <c r="H3744" s="1"/>
    </row>
    <row r="3745" ht="16.5" customHeight="1">
      <c r="H3745" s="1"/>
    </row>
    <row r="3746" ht="16.5" customHeight="1">
      <c r="H3746" s="1"/>
    </row>
    <row r="3747" ht="16.5" customHeight="1">
      <c r="H3747" s="1"/>
    </row>
    <row r="3748" ht="16.5" customHeight="1">
      <c r="H3748" s="1"/>
    </row>
    <row r="3749" ht="16.5" customHeight="1">
      <c r="H3749" s="1"/>
    </row>
    <row r="3750" ht="16.5" customHeight="1">
      <c r="H3750" s="1"/>
    </row>
    <row r="3751" ht="16.5" customHeight="1">
      <c r="H3751" s="1"/>
    </row>
    <row r="3752" ht="16.5" customHeight="1">
      <c r="H3752" s="1"/>
    </row>
    <row r="3753" ht="16.5" customHeight="1">
      <c r="H3753" s="1"/>
    </row>
    <row r="3754" ht="16.5" customHeight="1">
      <c r="H3754" s="1"/>
    </row>
    <row r="3755" ht="16.5" customHeight="1">
      <c r="H3755" s="1"/>
    </row>
    <row r="3756" ht="16.5" customHeight="1">
      <c r="H3756" s="1"/>
    </row>
    <row r="3757" ht="16.5" customHeight="1">
      <c r="H3757" s="1"/>
    </row>
    <row r="3758" ht="16.5" customHeight="1">
      <c r="H3758" s="1"/>
    </row>
    <row r="3759" ht="16.5" customHeight="1">
      <c r="H3759" s="1"/>
    </row>
    <row r="3760" ht="16.5" customHeight="1">
      <c r="H3760" s="1"/>
    </row>
    <row r="3761" ht="16.5" customHeight="1">
      <c r="H3761" s="1"/>
    </row>
    <row r="3762" ht="16.5" customHeight="1">
      <c r="H3762" s="1"/>
    </row>
    <row r="3763" ht="16.5" customHeight="1">
      <c r="H3763" s="1"/>
    </row>
    <row r="3764" ht="16.5" customHeight="1">
      <c r="H3764" s="1"/>
    </row>
    <row r="3765" ht="16.5" customHeight="1">
      <c r="H3765" s="1"/>
    </row>
    <row r="3766" ht="16.5" customHeight="1">
      <c r="H3766" s="1"/>
    </row>
    <row r="3767" ht="16.5" customHeight="1">
      <c r="H3767" s="1"/>
    </row>
    <row r="3768" ht="16.5" customHeight="1">
      <c r="H3768" s="1"/>
    </row>
    <row r="3769" ht="16.5" customHeight="1">
      <c r="H3769" s="1"/>
    </row>
    <row r="3770" ht="16.5" customHeight="1">
      <c r="H3770" s="1"/>
    </row>
    <row r="3771" ht="16.5" customHeight="1">
      <c r="H3771" s="1"/>
    </row>
    <row r="3772" ht="16.5" customHeight="1">
      <c r="H3772" s="1"/>
    </row>
    <row r="3773" ht="16.5" customHeight="1">
      <c r="H3773" s="1"/>
    </row>
    <row r="3774" ht="16.5" customHeight="1">
      <c r="H3774" s="1"/>
    </row>
    <row r="3775" ht="16.5" customHeight="1">
      <c r="H3775" s="1"/>
    </row>
    <row r="3776" ht="16.5" customHeight="1">
      <c r="H3776" s="1"/>
    </row>
    <row r="3777" ht="16.5" customHeight="1">
      <c r="H3777" s="1"/>
    </row>
    <row r="3778" ht="16.5" customHeight="1">
      <c r="H3778" s="1"/>
    </row>
    <row r="3779" ht="16.5" customHeight="1">
      <c r="H3779" s="1"/>
    </row>
    <row r="3780" ht="16.5" customHeight="1">
      <c r="H3780" s="1"/>
    </row>
    <row r="3781" ht="16.5" customHeight="1">
      <c r="H3781" s="1"/>
    </row>
    <row r="3782" ht="16.5" customHeight="1">
      <c r="H3782" s="1"/>
    </row>
    <row r="3783" ht="16.5" customHeight="1">
      <c r="H3783" s="1"/>
    </row>
    <row r="3784" ht="16.5" customHeight="1">
      <c r="H3784" s="1"/>
    </row>
    <row r="3785" ht="16.5" customHeight="1">
      <c r="H3785" s="1"/>
    </row>
    <row r="3786" ht="16.5" customHeight="1">
      <c r="H3786" s="1"/>
    </row>
    <row r="3787" ht="16.5" customHeight="1">
      <c r="H3787" s="1"/>
    </row>
    <row r="3788" ht="16.5" customHeight="1">
      <c r="H3788" s="1"/>
    </row>
    <row r="3789" ht="16.5" customHeight="1">
      <c r="H3789" s="1"/>
    </row>
    <row r="3790" ht="16.5" customHeight="1">
      <c r="H3790" s="1"/>
    </row>
    <row r="3791" ht="16.5" customHeight="1">
      <c r="H3791" s="1"/>
    </row>
    <row r="3792" ht="16.5" customHeight="1">
      <c r="H3792" s="1"/>
    </row>
    <row r="3793" ht="16.5" customHeight="1">
      <c r="H3793" s="1"/>
    </row>
    <row r="3794" ht="16.5" customHeight="1">
      <c r="H3794" s="1"/>
    </row>
    <row r="3795" ht="16.5" customHeight="1">
      <c r="H3795" s="1"/>
    </row>
    <row r="3796" ht="16.5" customHeight="1">
      <c r="H3796" s="1"/>
    </row>
    <row r="3797" ht="16.5" customHeight="1">
      <c r="H3797" s="1"/>
    </row>
    <row r="3798" ht="16.5" customHeight="1">
      <c r="H3798" s="1"/>
    </row>
    <row r="3799" ht="16.5" customHeight="1">
      <c r="H3799" s="1"/>
    </row>
    <row r="3800" ht="16.5" customHeight="1">
      <c r="H3800" s="1"/>
    </row>
    <row r="3801" ht="16.5" customHeight="1">
      <c r="H3801" s="1"/>
    </row>
    <row r="3802" ht="16.5" customHeight="1">
      <c r="H3802" s="1"/>
    </row>
    <row r="3803" ht="16.5" customHeight="1">
      <c r="H3803" s="1"/>
    </row>
    <row r="3804" ht="16.5" customHeight="1">
      <c r="H3804" s="1"/>
    </row>
    <row r="3805" ht="16.5" customHeight="1">
      <c r="H3805" s="1"/>
    </row>
    <row r="3806" ht="16.5" customHeight="1">
      <c r="H3806" s="1"/>
    </row>
    <row r="3807" ht="16.5" customHeight="1">
      <c r="H3807" s="1"/>
    </row>
    <row r="3808" ht="16.5" customHeight="1">
      <c r="H3808" s="1"/>
    </row>
    <row r="3809" ht="16.5" customHeight="1">
      <c r="H3809" s="1"/>
    </row>
    <row r="3810" ht="16.5" customHeight="1">
      <c r="H3810" s="1"/>
    </row>
    <row r="3811" ht="16.5" customHeight="1">
      <c r="H3811" s="1"/>
    </row>
    <row r="3812" ht="16.5" customHeight="1">
      <c r="H3812" s="1"/>
    </row>
    <row r="3813" ht="16.5" customHeight="1">
      <c r="H3813" s="1"/>
    </row>
    <row r="3814" ht="16.5" customHeight="1">
      <c r="H3814" s="1"/>
    </row>
    <row r="3815" ht="16.5" customHeight="1">
      <c r="H3815" s="1"/>
    </row>
    <row r="3816" ht="16.5" customHeight="1">
      <c r="H3816" s="1"/>
    </row>
    <row r="3817" ht="16.5" customHeight="1">
      <c r="H3817" s="1"/>
    </row>
    <row r="3818" ht="16.5" customHeight="1">
      <c r="H3818" s="1"/>
    </row>
    <row r="3819" ht="16.5" customHeight="1">
      <c r="H3819" s="1"/>
    </row>
    <row r="3820" ht="16.5" customHeight="1">
      <c r="H3820" s="1"/>
    </row>
    <row r="3821" ht="16.5" customHeight="1">
      <c r="H3821" s="1"/>
    </row>
    <row r="3822" ht="16.5" customHeight="1">
      <c r="H3822" s="1"/>
    </row>
    <row r="3823" ht="16.5" customHeight="1">
      <c r="H3823" s="1"/>
    </row>
    <row r="3824" ht="16.5" customHeight="1">
      <c r="H3824" s="1"/>
    </row>
    <row r="3825" ht="16.5" customHeight="1">
      <c r="H3825" s="1"/>
    </row>
    <row r="3826" ht="16.5" customHeight="1">
      <c r="H3826" s="1"/>
    </row>
    <row r="3827" ht="16.5" customHeight="1">
      <c r="H3827" s="1"/>
    </row>
    <row r="3828" ht="16.5" customHeight="1">
      <c r="H3828" s="1"/>
    </row>
    <row r="3829" ht="16.5" customHeight="1">
      <c r="H3829" s="1"/>
    </row>
    <row r="3830" ht="16.5" customHeight="1">
      <c r="H3830" s="1"/>
    </row>
    <row r="3831" ht="16.5" customHeight="1">
      <c r="H3831" s="1"/>
    </row>
    <row r="3832" ht="16.5" customHeight="1">
      <c r="H3832" s="1"/>
    </row>
    <row r="3833" ht="16.5" customHeight="1">
      <c r="H3833" s="1"/>
    </row>
    <row r="3834" ht="16.5" customHeight="1">
      <c r="H3834" s="1"/>
    </row>
    <row r="3835" ht="16.5" customHeight="1">
      <c r="H3835" s="1"/>
    </row>
    <row r="3836" ht="16.5" customHeight="1">
      <c r="H3836" s="1"/>
    </row>
    <row r="3837" ht="16.5" customHeight="1">
      <c r="H3837" s="1"/>
    </row>
    <row r="3838" ht="16.5" customHeight="1">
      <c r="H3838" s="1"/>
    </row>
    <row r="3839" ht="16.5" customHeight="1">
      <c r="H3839" s="1"/>
    </row>
    <row r="3840" ht="16.5" customHeight="1">
      <c r="H3840" s="1"/>
    </row>
    <row r="3841" ht="16.5" customHeight="1">
      <c r="H3841" s="1"/>
    </row>
    <row r="3842" ht="16.5" customHeight="1">
      <c r="H3842" s="1"/>
    </row>
    <row r="3843" ht="16.5" customHeight="1">
      <c r="H3843" s="1"/>
    </row>
    <row r="3844" ht="16.5" customHeight="1">
      <c r="H3844" s="1"/>
    </row>
    <row r="3845" ht="16.5" customHeight="1">
      <c r="H3845" s="1"/>
    </row>
    <row r="3846" ht="16.5" customHeight="1">
      <c r="H3846" s="1"/>
    </row>
    <row r="3847" ht="16.5" customHeight="1">
      <c r="H3847" s="1"/>
    </row>
    <row r="3848" ht="16.5" customHeight="1">
      <c r="H3848" s="1"/>
    </row>
    <row r="3849" ht="16.5" customHeight="1">
      <c r="H3849" s="1"/>
    </row>
    <row r="3850" ht="16.5" customHeight="1">
      <c r="H3850" s="1"/>
    </row>
    <row r="3851" ht="16.5" customHeight="1">
      <c r="H3851" s="1"/>
    </row>
    <row r="3852" ht="16.5" customHeight="1">
      <c r="H3852" s="1"/>
    </row>
    <row r="3853" ht="16.5" customHeight="1">
      <c r="H3853" s="1"/>
    </row>
    <row r="3854" ht="16.5" customHeight="1">
      <c r="H3854" s="1"/>
    </row>
    <row r="3855" ht="16.5" customHeight="1">
      <c r="H3855" s="1"/>
    </row>
    <row r="3856" ht="16.5" customHeight="1">
      <c r="H3856" s="1"/>
    </row>
    <row r="3857" ht="16.5" customHeight="1">
      <c r="H3857" s="1"/>
    </row>
    <row r="3858" ht="16.5" customHeight="1">
      <c r="H3858" s="1"/>
    </row>
    <row r="3859" ht="16.5" customHeight="1">
      <c r="H3859" s="1"/>
    </row>
    <row r="3860" ht="16.5" customHeight="1">
      <c r="H3860" s="1"/>
    </row>
    <row r="3861" ht="16.5" customHeight="1">
      <c r="H3861" s="1"/>
    </row>
    <row r="3862" ht="16.5" customHeight="1">
      <c r="H3862" s="1"/>
    </row>
    <row r="3863" ht="16.5" customHeight="1">
      <c r="H3863" s="1"/>
    </row>
    <row r="3864" ht="16.5" customHeight="1">
      <c r="H3864" s="1"/>
    </row>
    <row r="3865" ht="16.5" customHeight="1">
      <c r="H3865" s="1"/>
    </row>
    <row r="3866" ht="16.5" customHeight="1">
      <c r="H3866" s="1"/>
    </row>
    <row r="3867" ht="16.5" customHeight="1">
      <c r="H3867" s="1"/>
    </row>
    <row r="3868" ht="16.5" customHeight="1">
      <c r="H3868" s="1"/>
    </row>
    <row r="3869" ht="16.5" customHeight="1">
      <c r="H3869" s="1"/>
    </row>
    <row r="3870" ht="16.5" customHeight="1">
      <c r="H3870" s="1"/>
    </row>
    <row r="3871" ht="16.5" customHeight="1">
      <c r="H3871" s="1"/>
    </row>
    <row r="3872" ht="16.5" customHeight="1">
      <c r="H3872" s="1"/>
    </row>
    <row r="3873" ht="16.5" customHeight="1">
      <c r="H3873" s="1"/>
    </row>
    <row r="3874" ht="16.5" customHeight="1">
      <c r="H3874" s="1"/>
    </row>
    <row r="3875" ht="16.5" customHeight="1">
      <c r="H3875" s="1"/>
    </row>
    <row r="3876" ht="16.5" customHeight="1">
      <c r="H3876" s="1"/>
    </row>
    <row r="3877" ht="16.5" customHeight="1">
      <c r="H3877" s="1"/>
    </row>
    <row r="3878" ht="16.5" customHeight="1">
      <c r="H3878" s="1"/>
    </row>
    <row r="3879" ht="16.5" customHeight="1">
      <c r="H3879" s="1"/>
    </row>
    <row r="3880" ht="16.5" customHeight="1">
      <c r="H3880" s="1"/>
    </row>
    <row r="3881" ht="16.5" customHeight="1">
      <c r="H3881" s="1"/>
    </row>
    <row r="3882" ht="16.5" customHeight="1">
      <c r="H3882" s="1"/>
    </row>
    <row r="3883" ht="16.5" customHeight="1">
      <c r="H3883" s="1"/>
    </row>
    <row r="3884" ht="16.5" customHeight="1">
      <c r="H3884" s="1"/>
    </row>
    <row r="3885" ht="16.5" customHeight="1">
      <c r="H3885" s="1"/>
    </row>
    <row r="3886" ht="16.5" customHeight="1">
      <c r="H3886" s="1"/>
    </row>
    <row r="3887" ht="16.5" customHeight="1">
      <c r="H3887" s="1"/>
    </row>
    <row r="3888" ht="16.5" customHeight="1">
      <c r="H3888" s="1"/>
    </row>
    <row r="3889" ht="16.5" customHeight="1">
      <c r="H3889" s="1"/>
    </row>
    <row r="3890" ht="16.5" customHeight="1">
      <c r="H3890" s="1"/>
    </row>
    <row r="3891" ht="16.5" customHeight="1">
      <c r="H3891" s="1"/>
    </row>
    <row r="3892" ht="16.5" customHeight="1">
      <c r="H3892" s="1"/>
    </row>
    <row r="3893" ht="16.5" customHeight="1">
      <c r="H3893" s="1"/>
    </row>
    <row r="3894" ht="16.5" customHeight="1">
      <c r="H3894" s="1"/>
    </row>
    <row r="3895" ht="16.5" customHeight="1">
      <c r="H3895" s="1"/>
    </row>
    <row r="3896" ht="16.5" customHeight="1">
      <c r="H3896" s="1"/>
    </row>
    <row r="3897" ht="16.5" customHeight="1">
      <c r="H3897" s="1"/>
    </row>
    <row r="3898" ht="16.5" customHeight="1">
      <c r="H3898" s="1"/>
    </row>
    <row r="3899" ht="16.5" customHeight="1">
      <c r="H3899" s="1"/>
    </row>
    <row r="3900" ht="16.5" customHeight="1">
      <c r="H3900" s="1"/>
    </row>
    <row r="3901" ht="16.5" customHeight="1">
      <c r="H3901" s="1"/>
    </row>
    <row r="3902" ht="16.5" customHeight="1">
      <c r="H3902" s="1"/>
    </row>
    <row r="3903" ht="16.5" customHeight="1">
      <c r="H3903" s="1"/>
    </row>
    <row r="3904" ht="16.5" customHeight="1">
      <c r="H3904" s="1"/>
    </row>
    <row r="3905" ht="16.5" customHeight="1">
      <c r="H3905" s="1"/>
    </row>
    <row r="3906" ht="16.5" customHeight="1">
      <c r="H3906" s="1"/>
    </row>
    <row r="3907" ht="16.5" customHeight="1">
      <c r="H3907" s="1"/>
    </row>
    <row r="3908" ht="16.5" customHeight="1">
      <c r="H3908" s="1"/>
    </row>
    <row r="3909" ht="16.5" customHeight="1">
      <c r="H3909" s="1"/>
    </row>
    <row r="3910" ht="16.5" customHeight="1">
      <c r="H3910" s="1"/>
    </row>
    <row r="3911" ht="16.5" customHeight="1">
      <c r="H3911" s="1"/>
    </row>
    <row r="3912" ht="16.5" customHeight="1">
      <c r="H3912" s="1"/>
    </row>
    <row r="3913" ht="16.5" customHeight="1">
      <c r="H3913" s="1"/>
    </row>
    <row r="3914" ht="16.5" customHeight="1">
      <c r="H3914" s="1"/>
    </row>
    <row r="3915" ht="16.5" customHeight="1">
      <c r="H3915" s="1"/>
    </row>
    <row r="3916" ht="16.5" customHeight="1">
      <c r="H3916" s="1"/>
    </row>
    <row r="3917" ht="16.5" customHeight="1">
      <c r="H3917" s="1"/>
    </row>
    <row r="3918" ht="16.5" customHeight="1">
      <c r="H3918" s="1"/>
    </row>
    <row r="3919" ht="16.5" customHeight="1">
      <c r="H3919" s="1"/>
    </row>
    <row r="3920" ht="16.5" customHeight="1">
      <c r="H3920" s="1"/>
    </row>
    <row r="3921" ht="16.5" customHeight="1">
      <c r="H3921" s="1"/>
    </row>
    <row r="3922" ht="16.5" customHeight="1">
      <c r="H3922" s="1"/>
    </row>
    <row r="3923" ht="16.5" customHeight="1">
      <c r="H3923" s="1"/>
    </row>
    <row r="3924" ht="16.5" customHeight="1">
      <c r="H3924" s="1"/>
    </row>
    <row r="3925" ht="16.5" customHeight="1">
      <c r="H3925" s="1"/>
    </row>
    <row r="3926" ht="16.5" customHeight="1">
      <c r="H3926" s="1"/>
    </row>
    <row r="3927" ht="16.5" customHeight="1">
      <c r="H3927" s="1"/>
    </row>
    <row r="3928" ht="16.5" customHeight="1">
      <c r="H3928" s="1"/>
    </row>
    <row r="3929" ht="16.5" customHeight="1">
      <c r="H3929" s="1"/>
    </row>
    <row r="3930" ht="16.5" customHeight="1">
      <c r="H3930" s="1"/>
    </row>
    <row r="3931" ht="16.5" customHeight="1">
      <c r="H3931" s="1"/>
    </row>
    <row r="3932" ht="16.5" customHeight="1">
      <c r="H3932" s="1"/>
    </row>
    <row r="3933" ht="16.5" customHeight="1">
      <c r="H3933" s="1"/>
    </row>
    <row r="3934" ht="16.5" customHeight="1">
      <c r="H3934" s="1"/>
    </row>
    <row r="3935" ht="16.5" customHeight="1">
      <c r="H3935" s="1"/>
    </row>
    <row r="3936" ht="16.5" customHeight="1">
      <c r="H3936" s="1"/>
    </row>
    <row r="3937" ht="16.5" customHeight="1">
      <c r="H3937" s="1"/>
    </row>
    <row r="3938" ht="16.5" customHeight="1">
      <c r="H3938" s="1"/>
    </row>
    <row r="3939" ht="16.5" customHeight="1">
      <c r="H3939" s="1"/>
    </row>
    <row r="3940" ht="16.5" customHeight="1">
      <c r="H3940" s="1"/>
    </row>
    <row r="3941" ht="16.5" customHeight="1">
      <c r="H3941" s="1"/>
    </row>
    <row r="3942" ht="16.5" customHeight="1">
      <c r="H3942" s="1"/>
    </row>
    <row r="3943" ht="16.5" customHeight="1">
      <c r="H3943" s="1"/>
    </row>
    <row r="3944" ht="16.5" customHeight="1">
      <c r="H3944" s="1"/>
    </row>
    <row r="3945" ht="16.5" customHeight="1">
      <c r="H3945" s="1"/>
    </row>
    <row r="3946" ht="16.5" customHeight="1">
      <c r="H3946" s="1"/>
    </row>
    <row r="3947" ht="16.5" customHeight="1">
      <c r="H3947" s="1"/>
    </row>
    <row r="3948" ht="16.5" customHeight="1">
      <c r="H3948" s="1"/>
    </row>
    <row r="3949" ht="16.5" customHeight="1">
      <c r="H3949" s="1"/>
    </row>
    <row r="3950" ht="16.5" customHeight="1">
      <c r="H3950" s="1"/>
    </row>
    <row r="3951" ht="16.5" customHeight="1">
      <c r="H3951" s="1"/>
    </row>
    <row r="3952" ht="16.5" customHeight="1">
      <c r="H3952" s="1"/>
    </row>
    <row r="3953" ht="16.5" customHeight="1">
      <c r="H3953" s="1"/>
    </row>
    <row r="3954" ht="16.5" customHeight="1">
      <c r="H3954" s="1"/>
    </row>
    <row r="3955" ht="16.5" customHeight="1">
      <c r="H3955" s="1"/>
    </row>
    <row r="3956" ht="16.5" customHeight="1">
      <c r="H3956" s="1"/>
    </row>
    <row r="3957" ht="16.5" customHeight="1">
      <c r="H3957" s="1"/>
    </row>
    <row r="3958" ht="16.5" customHeight="1">
      <c r="H3958" s="1"/>
    </row>
    <row r="3959" ht="16.5" customHeight="1">
      <c r="H3959" s="1"/>
    </row>
    <row r="3960" ht="16.5" customHeight="1">
      <c r="H3960" s="1"/>
    </row>
    <row r="3961" ht="16.5" customHeight="1">
      <c r="H3961" s="1"/>
    </row>
    <row r="3962" ht="16.5" customHeight="1">
      <c r="H3962" s="1"/>
    </row>
    <row r="3963" ht="16.5" customHeight="1">
      <c r="H3963" s="1"/>
    </row>
    <row r="3964" ht="16.5" customHeight="1">
      <c r="H3964" s="1"/>
    </row>
    <row r="3965" ht="16.5" customHeight="1">
      <c r="H3965" s="1"/>
    </row>
    <row r="3966" ht="16.5" customHeight="1">
      <c r="H3966" s="1"/>
    </row>
    <row r="3967" ht="16.5" customHeight="1">
      <c r="H3967" s="1"/>
    </row>
    <row r="3968" ht="16.5" customHeight="1">
      <c r="H3968" s="1"/>
    </row>
    <row r="3969" ht="16.5" customHeight="1">
      <c r="H3969" s="1"/>
    </row>
    <row r="3970" ht="16.5" customHeight="1">
      <c r="H3970" s="1"/>
    </row>
    <row r="3971" ht="16.5" customHeight="1">
      <c r="H3971" s="1"/>
    </row>
    <row r="3972" ht="16.5" customHeight="1">
      <c r="H3972" s="1"/>
    </row>
    <row r="3973" ht="16.5" customHeight="1">
      <c r="H3973" s="1"/>
    </row>
    <row r="3974" ht="16.5" customHeight="1">
      <c r="H3974" s="1"/>
    </row>
    <row r="3975" ht="16.5" customHeight="1">
      <c r="H3975" s="1"/>
    </row>
    <row r="3976" ht="16.5" customHeight="1">
      <c r="H3976" s="1"/>
    </row>
    <row r="3977" ht="16.5" customHeight="1">
      <c r="H3977" s="1"/>
    </row>
    <row r="3978" ht="16.5" customHeight="1">
      <c r="H3978" s="1"/>
    </row>
    <row r="3979" ht="16.5" customHeight="1">
      <c r="H3979" s="1"/>
    </row>
    <row r="3980" ht="16.5" customHeight="1">
      <c r="H3980" s="1"/>
    </row>
    <row r="3981" ht="16.5" customHeight="1">
      <c r="H3981" s="1"/>
    </row>
    <row r="3982" ht="16.5" customHeight="1">
      <c r="H3982" s="1"/>
    </row>
    <row r="3983" ht="16.5" customHeight="1">
      <c r="H3983" s="1"/>
    </row>
    <row r="3984" ht="16.5" customHeight="1">
      <c r="H3984" s="1"/>
    </row>
    <row r="3985" ht="16.5" customHeight="1">
      <c r="H3985" s="1"/>
    </row>
    <row r="3986" ht="16.5" customHeight="1">
      <c r="H3986" s="1"/>
    </row>
    <row r="3987" ht="16.5" customHeight="1">
      <c r="H3987" s="1"/>
    </row>
    <row r="3988" ht="16.5" customHeight="1">
      <c r="H3988" s="1"/>
    </row>
    <row r="3989" ht="16.5" customHeight="1">
      <c r="H3989" s="1"/>
    </row>
    <row r="3990" ht="16.5" customHeight="1">
      <c r="H3990" s="1"/>
    </row>
    <row r="3991" ht="16.5" customHeight="1">
      <c r="H3991" s="1"/>
    </row>
    <row r="3992" ht="16.5" customHeight="1">
      <c r="H3992" s="1"/>
    </row>
    <row r="3993" ht="16.5" customHeight="1">
      <c r="H3993" s="1"/>
    </row>
    <row r="3994" ht="16.5" customHeight="1">
      <c r="H3994" s="1"/>
    </row>
    <row r="3995" ht="16.5" customHeight="1">
      <c r="H3995" s="1"/>
    </row>
    <row r="3996" ht="16.5" customHeight="1">
      <c r="H3996" s="1"/>
    </row>
    <row r="3997" ht="16.5" customHeight="1">
      <c r="H3997" s="1"/>
    </row>
    <row r="3998" ht="16.5" customHeight="1">
      <c r="H3998" s="1"/>
    </row>
    <row r="3999" ht="16.5" customHeight="1">
      <c r="H3999" s="1"/>
    </row>
    <row r="4000" ht="16.5" customHeight="1">
      <c r="H4000" s="1"/>
    </row>
    <row r="4001" ht="16.5" customHeight="1">
      <c r="H4001" s="1"/>
    </row>
    <row r="4002" ht="16.5" customHeight="1">
      <c r="H4002" s="1"/>
    </row>
    <row r="4003" ht="16.5" customHeight="1">
      <c r="H4003" s="1"/>
    </row>
    <row r="4004" ht="16.5" customHeight="1">
      <c r="H4004" s="1"/>
    </row>
    <row r="4005" ht="16.5" customHeight="1">
      <c r="H4005" s="1"/>
    </row>
    <row r="4006" ht="16.5" customHeight="1">
      <c r="H4006" s="1"/>
    </row>
    <row r="4007" ht="16.5" customHeight="1">
      <c r="H4007" s="1"/>
    </row>
    <row r="4008" ht="16.5" customHeight="1">
      <c r="H4008" s="1"/>
    </row>
    <row r="4009" ht="16.5" customHeight="1">
      <c r="H4009" s="1"/>
    </row>
    <row r="4010" ht="16.5" customHeight="1">
      <c r="H4010" s="1"/>
    </row>
    <row r="4011" ht="16.5" customHeight="1">
      <c r="H4011" s="1"/>
    </row>
    <row r="4012" ht="16.5" customHeight="1">
      <c r="H4012" s="1"/>
    </row>
    <row r="4013" ht="16.5" customHeight="1">
      <c r="H4013" s="1"/>
    </row>
    <row r="4014" ht="16.5" customHeight="1">
      <c r="H4014" s="1"/>
    </row>
    <row r="4015" ht="16.5" customHeight="1">
      <c r="H4015" s="1"/>
    </row>
    <row r="4016" ht="16.5" customHeight="1">
      <c r="H4016" s="1"/>
    </row>
    <row r="4017" ht="16.5" customHeight="1">
      <c r="H4017" s="1"/>
    </row>
    <row r="4018" ht="16.5" customHeight="1">
      <c r="H4018" s="1"/>
    </row>
    <row r="4019" ht="16.5" customHeight="1">
      <c r="H4019" s="1"/>
    </row>
    <row r="4020" ht="16.5" customHeight="1">
      <c r="H4020" s="1"/>
    </row>
    <row r="4021" ht="16.5" customHeight="1">
      <c r="H4021" s="1"/>
    </row>
    <row r="4022" ht="16.5" customHeight="1">
      <c r="H4022" s="1"/>
    </row>
    <row r="4023" ht="16.5" customHeight="1">
      <c r="H4023" s="1"/>
    </row>
    <row r="4024" ht="16.5" customHeight="1">
      <c r="H4024" s="1"/>
    </row>
    <row r="4025" ht="16.5" customHeight="1">
      <c r="H4025" s="1"/>
    </row>
    <row r="4026" ht="16.5" customHeight="1">
      <c r="H4026" s="1"/>
    </row>
    <row r="4027" ht="16.5" customHeight="1">
      <c r="H4027" s="1"/>
    </row>
    <row r="4028" ht="16.5" customHeight="1">
      <c r="H4028" s="1"/>
    </row>
    <row r="4029" ht="16.5" customHeight="1">
      <c r="H4029" s="1"/>
    </row>
    <row r="4030" ht="16.5" customHeight="1">
      <c r="H4030" s="1"/>
    </row>
    <row r="4031" ht="16.5" customHeight="1">
      <c r="H4031" s="1"/>
    </row>
    <row r="4032" ht="16.5" customHeight="1">
      <c r="H4032" s="1"/>
    </row>
    <row r="4033" ht="16.5" customHeight="1">
      <c r="H4033" s="1"/>
    </row>
    <row r="4034" ht="16.5" customHeight="1">
      <c r="H4034" s="1"/>
    </row>
    <row r="4035" ht="16.5" customHeight="1">
      <c r="H4035" s="1"/>
    </row>
    <row r="4036" ht="16.5" customHeight="1">
      <c r="H4036" s="1"/>
    </row>
    <row r="4037" ht="16.5" customHeight="1">
      <c r="H4037" s="1"/>
    </row>
    <row r="4038" ht="16.5" customHeight="1">
      <c r="H4038" s="1"/>
    </row>
    <row r="4039" ht="16.5" customHeight="1">
      <c r="H4039" s="1"/>
    </row>
    <row r="4040" ht="16.5" customHeight="1">
      <c r="H4040" s="1"/>
    </row>
    <row r="4041" ht="16.5" customHeight="1">
      <c r="H4041" s="1"/>
    </row>
    <row r="4042" ht="16.5" customHeight="1">
      <c r="H4042" s="1"/>
    </row>
    <row r="4043" ht="16.5" customHeight="1">
      <c r="H4043" s="1"/>
    </row>
    <row r="4044" ht="16.5" customHeight="1">
      <c r="H4044" s="1"/>
    </row>
    <row r="4045" ht="16.5" customHeight="1">
      <c r="H4045" s="1"/>
    </row>
    <row r="4046" ht="16.5" customHeight="1">
      <c r="H4046" s="1"/>
    </row>
    <row r="4047" ht="16.5" customHeight="1">
      <c r="H4047" s="1"/>
    </row>
    <row r="4048" ht="16.5" customHeight="1">
      <c r="H4048" s="1"/>
    </row>
    <row r="4049" ht="16.5" customHeight="1">
      <c r="H4049" s="1"/>
    </row>
    <row r="4050" ht="16.5" customHeight="1">
      <c r="H4050" s="1"/>
    </row>
    <row r="4051" ht="16.5" customHeight="1">
      <c r="H4051" s="1"/>
    </row>
    <row r="4052" ht="16.5" customHeight="1">
      <c r="H4052" s="1"/>
    </row>
    <row r="4053" ht="16.5" customHeight="1">
      <c r="H4053" s="1"/>
    </row>
    <row r="4054" ht="16.5" customHeight="1">
      <c r="H4054" s="1"/>
    </row>
    <row r="4055" ht="16.5" customHeight="1">
      <c r="H4055" s="1"/>
    </row>
    <row r="4056" ht="16.5" customHeight="1">
      <c r="H4056" s="1"/>
    </row>
    <row r="4057" ht="16.5" customHeight="1">
      <c r="H4057" s="1"/>
    </row>
    <row r="4058" ht="16.5" customHeight="1">
      <c r="H4058" s="1"/>
    </row>
    <row r="4059" ht="16.5" customHeight="1">
      <c r="H4059" s="1"/>
    </row>
    <row r="4060" ht="16.5" customHeight="1">
      <c r="H4060" s="1"/>
    </row>
    <row r="4061" ht="16.5" customHeight="1">
      <c r="H4061" s="1"/>
    </row>
    <row r="4062" ht="16.5" customHeight="1">
      <c r="H4062" s="1"/>
    </row>
    <row r="4063" ht="16.5" customHeight="1">
      <c r="H4063" s="1"/>
    </row>
    <row r="4064" ht="16.5" customHeight="1">
      <c r="H4064" s="1"/>
    </row>
    <row r="4065" ht="16.5" customHeight="1">
      <c r="H4065" s="1"/>
    </row>
    <row r="4066" ht="16.5" customHeight="1">
      <c r="H4066" s="1"/>
    </row>
    <row r="4067" ht="16.5" customHeight="1">
      <c r="H4067" s="1"/>
    </row>
    <row r="4068" ht="16.5" customHeight="1">
      <c r="H4068" s="1"/>
    </row>
    <row r="4069" ht="16.5" customHeight="1">
      <c r="H4069" s="1"/>
    </row>
    <row r="4070" ht="16.5" customHeight="1">
      <c r="H4070" s="1"/>
    </row>
    <row r="4071" ht="16.5" customHeight="1">
      <c r="H4071" s="1"/>
    </row>
    <row r="4072" ht="16.5" customHeight="1">
      <c r="H4072" s="1"/>
    </row>
    <row r="4073" ht="16.5" customHeight="1">
      <c r="H4073" s="1"/>
    </row>
    <row r="4074" ht="16.5" customHeight="1">
      <c r="H4074" s="1"/>
    </row>
    <row r="4075" ht="16.5" customHeight="1">
      <c r="H4075" s="1"/>
    </row>
    <row r="4076" ht="16.5" customHeight="1">
      <c r="H4076" s="1"/>
    </row>
  </sheetData>
  <dataValidations>
    <dataValidation type="list" allowBlank="1" showErrorMessage="1" sqref="C2:C26">
      <formula1>$H:$H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</row>
    <row r="2">
      <c r="A2" s="12" t="s">
        <v>4542</v>
      </c>
    </row>
    <row r="3" hidden="1">
      <c r="A3" s="12"/>
    </row>
    <row r="4">
      <c r="A4" s="12" t="s">
        <v>2250</v>
      </c>
    </row>
    <row r="5" hidden="1">
      <c r="A5" s="12"/>
    </row>
    <row r="6">
      <c r="A6" s="12" t="s">
        <v>4543</v>
      </c>
    </row>
    <row r="7" hidden="1">
      <c r="A7" s="12"/>
    </row>
    <row r="8">
      <c r="A8" s="12" t="s">
        <v>2252</v>
      </c>
    </row>
    <row r="9" hidden="1">
      <c r="A9" s="12"/>
    </row>
    <row r="10">
      <c r="A10" s="12" t="s">
        <v>2253</v>
      </c>
    </row>
    <row r="11" hidden="1">
      <c r="A11" s="12"/>
    </row>
    <row r="12">
      <c r="A12" s="12" t="s">
        <v>2254</v>
      </c>
    </row>
    <row r="13" hidden="1">
      <c r="A13" s="12"/>
    </row>
    <row r="14">
      <c r="A14" s="12" t="s">
        <v>2255</v>
      </c>
    </row>
    <row r="15" hidden="1">
      <c r="A15" s="12"/>
    </row>
    <row r="16">
      <c r="A16" s="12" t="s">
        <v>2256</v>
      </c>
    </row>
    <row r="17" hidden="1">
      <c r="A17" s="12"/>
    </row>
    <row r="18">
      <c r="A18" s="12" t="s">
        <v>2257</v>
      </c>
    </row>
    <row r="19" hidden="1">
      <c r="A19" s="12"/>
    </row>
    <row r="20">
      <c r="A20" s="12" t="s">
        <v>4544</v>
      </c>
    </row>
    <row r="21" hidden="1">
      <c r="A21" s="12"/>
    </row>
    <row r="22">
      <c r="A22" s="12" t="s">
        <v>2259</v>
      </c>
    </row>
    <row r="23" hidden="1">
      <c r="A23" s="12"/>
    </row>
    <row r="24">
      <c r="A24" s="12" t="s">
        <v>2260</v>
      </c>
    </row>
    <row r="25" hidden="1">
      <c r="A25" s="12"/>
    </row>
    <row r="26">
      <c r="A26" s="12" t="s">
        <v>4545</v>
      </c>
    </row>
    <row r="27" hidden="1">
      <c r="A27" s="12"/>
    </row>
    <row r="28">
      <c r="A28" s="12" t="s">
        <v>4546</v>
      </c>
    </row>
    <row r="29" hidden="1">
      <c r="A29" s="12"/>
    </row>
    <row r="30">
      <c r="A30" s="12" t="s">
        <v>2263</v>
      </c>
    </row>
    <row r="31" hidden="1">
      <c r="A31" s="12"/>
    </row>
    <row r="32">
      <c r="A32" s="12" t="s">
        <v>2264</v>
      </c>
    </row>
    <row r="33" hidden="1">
      <c r="A33" s="12"/>
    </row>
    <row r="34">
      <c r="A34" s="12" t="s">
        <v>2265</v>
      </c>
    </row>
    <row r="35" hidden="1">
      <c r="A35" s="12"/>
    </row>
    <row r="36">
      <c r="A36" s="12" t="s">
        <v>2266</v>
      </c>
    </row>
    <row r="37" hidden="1">
      <c r="A37" s="12"/>
    </row>
    <row r="38">
      <c r="A38" s="12" t="s">
        <v>2267</v>
      </c>
    </row>
    <row r="39" hidden="1">
      <c r="A39" s="12"/>
    </row>
    <row r="40">
      <c r="A40" s="12" t="s">
        <v>2268</v>
      </c>
    </row>
    <row r="41" hidden="1">
      <c r="A41" s="12"/>
    </row>
    <row r="42">
      <c r="A42" s="12" t="s">
        <v>4547</v>
      </c>
    </row>
    <row r="43" hidden="1">
      <c r="A43" s="12"/>
    </row>
    <row r="44">
      <c r="A44" s="12" t="s">
        <v>2270</v>
      </c>
    </row>
    <row r="45" hidden="1">
      <c r="A45" s="12"/>
    </row>
    <row r="46">
      <c r="A46" s="12" t="s">
        <v>4548</v>
      </c>
    </row>
    <row r="47" hidden="1">
      <c r="A47" s="12"/>
    </row>
    <row r="48">
      <c r="A48" s="12" t="s">
        <v>4549</v>
      </c>
    </row>
    <row r="49" hidden="1">
      <c r="A49" s="12"/>
    </row>
    <row r="50">
      <c r="A50" s="12" t="s">
        <v>2273</v>
      </c>
    </row>
    <row r="51" hidden="1">
      <c r="A51" s="12"/>
    </row>
    <row r="52">
      <c r="A52" s="12" t="s">
        <v>4550</v>
      </c>
    </row>
    <row r="53" hidden="1">
      <c r="A53" s="12"/>
    </row>
    <row r="54">
      <c r="A54" s="12" t="s">
        <v>4551</v>
      </c>
    </row>
    <row r="55" hidden="1">
      <c r="A55" s="12"/>
    </row>
    <row r="56">
      <c r="A56" s="12" t="s">
        <v>4552</v>
      </c>
    </row>
    <row r="57" hidden="1">
      <c r="A57" s="12"/>
    </row>
    <row r="58">
      <c r="A58" s="12" t="s">
        <v>2277</v>
      </c>
    </row>
    <row r="59" hidden="1">
      <c r="A59" s="12"/>
    </row>
    <row r="60">
      <c r="A60" s="12" t="s">
        <v>2278</v>
      </c>
    </row>
    <row r="61" hidden="1">
      <c r="A61" s="12"/>
    </row>
    <row r="62">
      <c r="A62" s="12" t="s">
        <v>2279</v>
      </c>
    </row>
    <row r="63" hidden="1">
      <c r="A63" s="12"/>
    </row>
    <row r="64">
      <c r="A64" s="12" t="s">
        <v>2280</v>
      </c>
    </row>
    <row r="65" hidden="1">
      <c r="A65" s="12"/>
    </row>
    <row r="66">
      <c r="A66" s="12" t="s">
        <v>2281</v>
      </c>
    </row>
    <row r="67" hidden="1">
      <c r="A67" s="12"/>
    </row>
    <row r="68">
      <c r="A68" s="12" t="s">
        <v>2282</v>
      </c>
    </row>
    <row r="69" hidden="1">
      <c r="A69" s="12"/>
    </row>
    <row r="70">
      <c r="A70" s="12" t="s">
        <v>2283</v>
      </c>
    </row>
    <row r="71" hidden="1">
      <c r="A71" s="12"/>
    </row>
    <row r="72">
      <c r="A72" s="12" t="s">
        <v>2284</v>
      </c>
    </row>
    <row r="73" hidden="1">
      <c r="A73" s="12"/>
    </row>
    <row r="74">
      <c r="A74" s="12" t="s">
        <v>2285</v>
      </c>
    </row>
    <row r="75" hidden="1">
      <c r="A75" s="12"/>
    </row>
    <row r="76">
      <c r="A76" s="12" t="s">
        <v>2286</v>
      </c>
    </row>
    <row r="77" hidden="1">
      <c r="A77" s="12"/>
    </row>
    <row r="78">
      <c r="A78" s="12" t="s">
        <v>2287</v>
      </c>
    </row>
    <row r="79" hidden="1">
      <c r="A79" s="12"/>
    </row>
    <row r="80">
      <c r="A80" s="12" t="s">
        <v>2288</v>
      </c>
    </row>
    <row r="81" hidden="1">
      <c r="A81" s="12"/>
    </row>
    <row r="82">
      <c r="A82" s="12" t="s">
        <v>2289</v>
      </c>
    </row>
    <row r="83" hidden="1">
      <c r="A83" s="12"/>
    </row>
    <row r="84">
      <c r="A84" s="12" t="s">
        <v>2290</v>
      </c>
    </row>
    <row r="85" hidden="1">
      <c r="A85" s="12"/>
    </row>
    <row r="86">
      <c r="A86" s="12" t="s">
        <v>2291</v>
      </c>
    </row>
    <row r="87" hidden="1">
      <c r="A87" s="12"/>
    </row>
    <row r="88">
      <c r="A88" s="12" t="s">
        <v>4553</v>
      </c>
    </row>
    <row r="89" hidden="1">
      <c r="A89" s="12"/>
    </row>
    <row r="90">
      <c r="A90" s="12" t="s">
        <v>2293</v>
      </c>
    </row>
    <row r="91" hidden="1">
      <c r="A91" s="12"/>
    </row>
    <row r="92">
      <c r="A92" s="12" t="s">
        <v>2294</v>
      </c>
    </row>
    <row r="93" hidden="1">
      <c r="A93" s="12"/>
    </row>
    <row r="94">
      <c r="A94" s="12" t="s">
        <v>4554</v>
      </c>
    </row>
    <row r="95" hidden="1">
      <c r="A95" s="12"/>
    </row>
    <row r="96">
      <c r="A96" s="12" t="s">
        <v>2296</v>
      </c>
    </row>
    <row r="97" hidden="1">
      <c r="A97" s="12"/>
    </row>
    <row r="98">
      <c r="A98" s="12" t="s">
        <v>2297</v>
      </c>
    </row>
    <row r="99" hidden="1">
      <c r="A99" s="12"/>
    </row>
    <row r="100">
      <c r="A100" s="12" t="s">
        <v>2298</v>
      </c>
    </row>
    <row r="101" hidden="1">
      <c r="A101" s="12"/>
    </row>
    <row r="102">
      <c r="A102" s="12" t="s">
        <v>2299</v>
      </c>
    </row>
    <row r="103" hidden="1">
      <c r="A103" s="12"/>
    </row>
    <row r="104">
      <c r="A104" s="12" t="s">
        <v>2300</v>
      </c>
    </row>
    <row r="105" hidden="1">
      <c r="A105" s="12"/>
    </row>
    <row r="106">
      <c r="A106" s="12" t="s">
        <v>2301</v>
      </c>
    </row>
    <row r="107" hidden="1">
      <c r="A107" s="12"/>
    </row>
    <row r="108">
      <c r="A108" s="12" t="s">
        <v>2302</v>
      </c>
    </row>
    <row r="109" hidden="1">
      <c r="A109" s="12"/>
    </row>
    <row r="110">
      <c r="A110" s="12" t="s">
        <v>4555</v>
      </c>
    </row>
    <row r="111" hidden="1">
      <c r="A111" s="12"/>
    </row>
    <row r="112">
      <c r="A112" s="12" t="s">
        <v>4556</v>
      </c>
    </row>
    <row r="113" hidden="1">
      <c r="A113" s="12"/>
    </row>
    <row r="114">
      <c r="A114" s="12" t="s">
        <v>2305</v>
      </c>
    </row>
    <row r="115" hidden="1">
      <c r="A115" s="12"/>
    </row>
    <row r="116">
      <c r="A116" s="12" t="s">
        <v>4557</v>
      </c>
    </row>
    <row r="117" hidden="1">
      <c r="A117" s="12"/>
    </row>
    <row r="118">
      <c r="A118" s="12" t="s">
        <v>2307</v>
      </c>
    </row>
    <row r="119" hidden="1">
      <c r="A119" s="12"/>
    </row>
    <row r="120">
      <c r="A120" s="12" t="s">
        <v>4558</v>
      </c>
    </row>
    <row r="121" hidden="1">
      <c r="A121" s="12"/>
    </row>
    <row r="122">
      <c r="A122" s="12" t="s">
        <v>2309</v>
      </c>
    </row>
    <row r="123" hidden="1">
      <c r="A123" s="12"/>
    </row>
    <row r="124">
      <c r="A124" s="12" t="s">
        <v>4559</v>
      </c>
    </row>
    <row r="125" hidden="1">
      <c r="A125" s="12"/>
    </row>
    <row r="126">
      <c r="A126" s="12" t="s">
        <v>4560</v>
      </c>
    </row>
    <row r="127" hidden="1">
      <c r="A127" s="12"/>
    </row>
    <row r="128">
      <c r="A128" s="12" t="s">
        <v>4561</v>
      </c>
    </row>
    <row r="129" hidden="1">
      <c r="A129" s="12"/>
    </row>
    <row r="130">
      <c r="A130" s="12" t="s">
        <v>2313</v>
      </c>
    </row>
    <row r="131" hidden="1">
      <c r="A131" s="12"/>
    </row>
    <row r="132">
      <c r="A132" s="12" t="s">
        <v>2314</v>
      </c>
    </row>
    <row r="133" hidden="1">
      <c r="A133" s="12"/>
    </row>
    <row r="134">
      <c r="A134" s="12" t="s">
        <v>4562</v>
      </c>
    </row>
    <row r="135" hidden="1">
      <c r="A135" s="12"/>
    </row>
    <row r="136">
      <c r="A136" s="12" t="s">
        <v>2316</v>
      </c>
    </row>
    <row r="137" hidden="1">
      <c r="A137" s="12"/>
    </row>
    <row r="138">
      <c r="A138" s="12" t="s">
        <v>4563</v>
      </c>
    </row>
    <row r="139" hidden="1">
      <c r="A139" s="12"/>
    </row>
    <row r="140" hidden="1">
      <c r="A140" s="12"/>
    </row>
    <row r="141" hidden="1">
      <c r="A141" s="12"/>
    </row>
    <row r="142" hidden="1">
      <c r="A142" s="12"/>
    </row>
    <row r="143" hidden="1">
      <c r="A143" s="12"/>
    </row>
    <row r="144" hidden="1">
      <c r="A144" s="12"/>
    </row>
    <row r="145" hidden="1">
      <c r="A145" s="12"/>
    </row>
    <row r="146" hidden="1">
      <c r="A146" s="12"/>
    </row>
    <row r="147" hidden="1">
      <c r="A147" s="12"/>
    </row>
    <row r="148" hidden="1">
      <c r="A148" s="12"/>
    </row>
    <row r="149" hidden="1">
      <c r="A149" s="12"/>
    </row>
    <row r="150" hidden="1">
      <c r="A150" s="12"/>
    </row>
    <row r="151" hidden="1">
      <c r="A151" s="12"/>
    </row>
    <row r="152" hidden="1">
      <c r="A152" s="12"/>
    </row>
    <row r="153" hidden="1">
      <c r="A153" s="12"/>
    </row>
    <row r="154" hidden="1">
      <c r="A154" s="12"/>
    </row>
    <row r="155" hidden="1">
      <c r="A155" s="12"/>
    </row>
    <row r="156" hidden="1">
      <c r="A156" s="12"/>
    </row>
    <row r="157" hidden="1">
      <c r="A157" s="12"/>
    </row>
    <row r="158" hidden="1">
      <c r="A158" s="12"/>
    </row>
    <row r="159" hidden="1">
      <c r="A159" s="12"/>
    </row>
    <row r="160" hidden="1">
      <c r="A160" s="12"/>
    </row>
    <row r="161" hidden="1">
      <c r="A161" s="12"/>
    </row>
    <row r="162" hidden="1">
      <c r="A162" s="12"/>
    </row>
    <row r="163" hidden="1">
      <c r="A163" s="12"/>
    </row>
    <row r="164" hidden="1">
      <c r="A164" s="12"/>
    </row>
    <row r="165" hidden="1">
      <c r="A165" s="12"/>
    </row>
    <row r="166" hidden="1">
      <c r="A166" s="12"/>
    </row>
    <row r="167" hidden="1">
      <c r="A167" s="12"/>
    </row>
    <row r="168" hidden="1">
      <c r="A168" s="12"/>
    </row>
    <row r="169" hidden="1">
      <c r="A169" s="12"/>
    </row>
    <row r="170" hidden="1">
      <c r="A170" s="12"/>
    </row>
    <row r="171" hidden="1">
      <c r="A171" s="12"/>
    </row>
    <row r="172" hidden="1">
      <c r="A172" s="12"/>
    </row>
    <row r="173" hidden="1">
      <c r="A173" s="12"/>
    </row>
    <row r="174" hidden="1">
      <c r="A174" s="12"/>
    </row>
    <row r="175" hidden="1">
      <c r="A175" s="12"/>
    </row>
    <row r="176" hidden="1">
      <c r="A176" s="12"/>
    </row>
    <row r="177" hidden="1">
      <c r="A177" s="12"/>
    </row>
    <row r="178" hidden="1">
      <c r="A178" s="12"/>
    </row>
    <row r="179" hidden="1">
      <c r="A179" s="12"/>
    </row>
    <row r="180" hidden="1">
      <c r="A180" s="12"/>
    </row>
    <row r="181" hidden="1">
      <c r="A181" s="12"/>
    </row>
    <row r="182" hidden="1">
      <c r="A182" s="12"/>
    </row>
    <row r="183" hidden="1">
      <c r="A183" s="12"/>
    </row>
    <row r="184" hidden="1">
      <c r="A184" s="12"/>
    </row>
    <row r="185" hidden="1">
      <c r="A185" s="12"/>
    </row>
    <row r="186" hidden="1">
      <c r="A186" s="12"/>
    </row>
    <row r="187" hidden="1">
      <c r="A187" s="12"/>
    </row>
    <row r="188" hidden="1">
      <c r="A188" s="12"/>
    </row>
    <row r="189" hidden="1">
      <c r="A189" s="12"/>
    </row>
    <row r="190" hidden="1">
      <c r="A190" s="12"/>
    </row>
    <row r="191" hidden="1">
      <c r="A191" s="12"/>
    </row>
    <row r="192" hidden="1">
      <c r="A192" s="12"/>
    </row>
    <row r="193" hidden="1">
      <c r="A193" s="12"/>
    </row>
    <row r="194" hidden="1">
      <c r="A194" s="12"/>
    </row>
    <row r="195" hidden="1">
      <c r="A195" s="12"/>
    </row>
    <row r="196" hidden="1">
      <c r="A196" s="12"/>
    </row>
    <row r="197" hidden="1">
      <c r="A197" s="12"/>
    </row>
    <row r="198" hidden="1">
      <c r="A198" s="12"/>
    </row>
    <row r="199" hidden="1">
      <c r="A199" s="12"/>
    </row>
    <row r="200" hidden="1">
      <c r="A200" s="12"/>
    </row>
    <row r="201" hidden="1">
      <c r="A201" s="12"/>
    </row>
    <row r="202" hidden="1">
      <c r="A202" s="12"/>
    </row>
    <row r="203" hidden="1">
      <c r="A203" s="12"/>
    </row>
    <row r="204" hidden="1">
      <c r="A204" s="12"/>
    </row>
    <row r="205" hidden="1">
      <c r="A205" s="12"/>
    </row>
    <row r="206" hidden="1">
      <c r="A206" s="12"/>
    </row>
    <row r="207" hidden="1">
      <c r="A207" s="12"/>
    </row>
    <row r="208" hidden="1">
      <c r="A208" s="12"/>
    </row>
    <row r="209" hidden="1">
      <c r="A209" s="12"/>
    </row>
    <row r="210" hidden="1">
      <c r="A210" s="12"/>
    </row>
    <row r="211" hidden="1">
      <c r="A211" s="12"/>
    </row>
    <row r="212" hidden="1">
      <c r="A212" s="12"/>
    </row>
    <row r="213" hidden="1">
      <c r="A213" s="12"/>
    </row>
    <row r="214" hidden="1">
      <c r="A214" s="12"/>
    </row>
    <row r="215" hidden="1">
      <c r="A215" s="12"/>
    </row>
    <row r="216" hidden="1">
      <c r="A216" s="12"/>
    </row>
    <row r="217" hidden="1">
      <c r="A217" s="12"/>
    </row>
    <row r="218" hidden="1">
      <c r="A218" s="12"/>
    </row>
    <row r="219" hidden="1">
      <c r="A219" s="12"/>
    </row>
    <row r="220" hidden="1">
      <c r="A220" s="12"/>
    </row>
    <row r="221" hidden="1">
      <c r="A221" s="12"/>
    </row>
    <row r="222" hidden="1">
      <c r="A222" s="12"/>
    </row>
    <row r="223" hidden="1">
      <c r="A223" s="12"/>
    </row>
    <row r="224" hidden="1">
      <c r="A224" s="12"/>
    </row>
    <row r="225" hidden="1">
      <c r="A225" s="12"/>
    </row>
    <row r="226" hidden="1">
      <c r="A226" s="12"/>
    </row>
    <row r="227" hidden="1">
      <c r="A227" s="12"/>
    </row>
    <row r="228" hidden="1">
      <c r="A228" s="12"/>
    </row>
    <row r="229" hidden="1">
      <c r="A229" s="12"/>
    </row>
    <row r="230" hidden="1">
      <c r="A230" s="12"/>
    </row>
    <row r="231" hidden="1">
      <c r="A231" s="12"/>
    </row>
    <row r="232" hidden="1">
      <c r="A232" s="12"/>
    </row>
    <row r="233" hidden="1">
      <c r="A233" s="12"/>
    </row>
    <row r="234" hidden="1">
      <c r="A234" s="12"/>
    </row>
    <row r="235" hidden="1">
      <c r="A235" s="12"/>
    </row>
    <row r="236" hidden="1">
      <c r="A236" s="12"/>
    </row>
    <row r="237" hidden="1">
      <c r="A237" s="12"/>
    </row>
    <row r="238" hidden="1">
      <c r="A238" s="12"/>
    </row>
    <row r="239" hidden="1">
      <c r="A239" s="12"/>
    </row>
    <row r="240" hidden="1">
      <c r="A240" s="12"/>
    </row>
    <row r="241" hidden="1">
      <c r="A241" s="12"/>
    </row>
    <row r="242" hidden="1">
      <c r="A242" s="12"/>
    </row>
    <row r="243" hidden="1">
      <c r="A243" s="12"/>
    </row>
    <row r="244" hidden="1">
      <c r="A244" s="12"/>
    </row>
    <row r="245" hidden="1">
      <c r="A245" s="12"/>
    </row>
    <row r="246" hidden="1">
      <c r="A246" s="12"/>
    </row>
    <row r="247" hidden="1">
      <c r="A247" s="12"/>
    </row>
    <row r="248" hidden="1">
      <c r="A248" s="12"/>
    </row>
    <row r="249" hidden="1">
      <c r="A249" s="12"/>
    </row>
    <row r="250" hidden="1">
      <c r="A250" s="12"/>
    </row>
    <row r="251" hidden="1">
      <c r="A251" s="12"/>
    </row>
    <row r="252" hidden="1">
      <c r="A252" s="12"/>
    </row>
    <row r="253" hidden="1">
      <c r="A253" s="12"/>
    </row>
    <row r="254" hidden="1">
      <c r="A254" s="12"/>
    </row>
    <row r="255" hidden="1">
      <c r="A255" s="12"/>
    </row>
    <row r="256" hidden="1">
      <c r="A256" s="12"/>
    </row>
    <row r="257" hidden="1">
      <c r="A257" s="12"/>
    </row>
    <row r="258" hidden="1">
      <c r="A258" s="12"/>
    </row>
    <row r="259" hidden="1">
      <c r="A259" s="12"/>
    </row>
    <row r="260" hidden="1">
      <c r="A260" s="12"/>
    </row>
    <row r="261" hidden="1">
      <c r="A261" s="12"/>
    </row>
    <row r="262" hidden="1">
      <c r="A262" s="12"/>
    </row>
    <row r="263" hidden="1">
      <c r="A263" s="12"/>
    </row>
    <row r="264" hidden="1">
      <c r="A264" s="12"/>
    </row>
    <row r="265" hidden="1">
      <c r="A265" s="12"/>
    </row>
    <row r="266" hidden="1">
      <c r="A266" s="12"/>
    </row>
    <row r="267" hidden="1">
      <c r="A267" s="12"/>
    </row>
    <row r="268" hidden="1">
      <c r="A268" s="12"/>
    </row>
    <row r="269" hidden="1">
      <c r="A269" s="12"/>
    </row>
    <row r="270" hidden="1">
      <c r="A270" s="12"/>
    </row>
    <row r="271" hidden="1">
      <c r="A271" s="12"/>
    </row>
    <row r="272" hidden="1">
      <c r="A272" s="12"/>
    </row>
    <row r="273" hidden="1">
      <c r="A273" s="12"/>
    </row>
    <row r="274" hidden="1">
      <c r="A274" s="12"/>
    </row>
    <row r="275" hidden="1">
      <c r="A275" s="12"/>
    </row>
    <row r="276" hidden="1">
      <c r="A276" s="12"/>
    </row>
    <row r="277" hidden="1">
      <c r="A277" s="12"/>
    </row>
    <row r="278" hidden="1">
      <c r="A278" s="12"/>
    </row>
    <row r="279" hidden="1">
      <c r="A279" s="12"/>
    </row>
    <row r="280" hidden="1">
      <c r="A280" s="12"/>
    </row>
    <row r="281" hidden="1">
      <c r="A281" s="12"/>
    </row>
    <row r="282" hidden="1">
      <c r="A282" s="12"/>
    </row>
    <row r="283" hidden="1">
      <c r="A283" s="12"/>
    </row>
    <row r="284" hidden="1">
      <c r="A284" s="12"/>
    </row>
    <row r="285" hidden="1">
      <c r="A285" s="12"/>
    </row>
    <row r="286" hidden="1">
      <c r="A286" s="12"/>
    </row>
    <row r="287" hidden="1">
      <c r="A287" s="12"/>
    </row>
    <row r="288" hidden="1">
      <c r="A288" s="12"/>
    </row>
    <row r="289" hidden="1">
      <c r="A289" s="12"/>
    </row>
    <row r="290" hidden="1">
      <c r="A290" s="12"/>
    </row>
    <row r="291" hidden="1">
      <c r="A291" s="12"/>
    </row>
    <row r="292" hidden="1">
      <c r="A292" s="12"/>
    </row>
    <row r="293" hidden="1">
      <c r="A293" s="12"/>
    </row>
    <row r="294" hidden="1">
      <c r="A294" s="12"/>
    </row>
    <row r="295" hidden="1">
      <c r="A295" s="12"/>
    </row>
    <row r="296" hidden="1">
      <c r="A296" s="12"/>
    </row>
    <row r="297" hidden="1">
      <c r="A297" s="12"/>
    </row>
    <row r="298" hidden="1">
      <c r="A298" s="12"/>
    </row>
    <row r="299" hidden="1">
      <c r="A299" s="12"/>
    </row>
    <row r="300" hidden="1">
      <c r="A300" s="12"/>
    </row>
    <row r="301" hidden="1">
      <c r="A301" s="12"/>
    </row>
    <row r="302" hidden="1">
      <c r="A302" s="12"/>
    </row>
    <row r="303" hidden="1">
      <c r="A303" s="12"/>
    </row>
    <row r="304" hidden="1">
      <c r="A304" s="12"/>
    </row>
    <row r="305" hidden="1">
      <c r="A305" s="12"/>
    </row>
    <row r="306" hidden="1">
      <c r="A306" s="12"/>
    </row>
    <row r="307" hidden="1">
      <c r="A307" s="12"/>
    </row>
    <row r="308" hidden="1">
      <c r="A308" s="12"/>
    </row>
    <row r="309" hidden="1">
      <c r="A309" s="12"/>
    </row>
    <row r="310" hidden="1">
      <c r="A310" s="12"/>
    </row>
    <row r="311" hidden="1">
      <c r="A311" s="12"/>
    </row>
    <row r="312" hidden="1">
      <c r="A312" s="12"/>
    </row>
    <row r="313" hidden="1">
      <c r="A313" s="12"/>
    </row>
    <row r="314" hidden="1">
      <c r="A314" s="12"/>
    </row>
    <row r="315" hidden="1">
      <c r="A315" s="12"/>
    </row>
    <row r="316" hidden="1">
      <c r="A316" s="12"/>
    </row>
    <row r="317" hidden="1">
      <c r="A317" s="12"/>
    </row>
    <row r="318" hidden="1">
      <c r="A318" s="12"/>
    </row>
    <row r="319" hidden="1">
      <c r="A319" s="12"/>
    </row>
    <row r="320" hidden="1">
      <c r="A320" s="12"/>
    </row>
    <row r="321" hidden="1">
      <c r="A321" s="12"/>
    </row>
    <row r="322" hidden="1">
      <c r="A322" s="12"/>
    </row>
    <row r="323" hidden="1">
      <c r="A323" s="12"/>
    </row>
    <row r="324" hidden="1">
      <c r="A324" s="12"/>
    </row>
    <row r="325" hidden="1">
      <c r="A325" s="12"/>
    </row>
    <row r="326" hidden="1">
      <c r="A326" s="12"/>
    </row>
    <row r="327" hidden="1">
      <c r="A327" s="12"/>
    </row>
    <row r="328" hidden="1">
      <c r="A328" s="12"/>
    </row>
    <row r="329" hidden="1">
      <c r="A329" s="12"/>
    </row>
    <row r="330" hidden="1">
      <c r="A330" s="12"/>
    </row>
    <row r="331" hidden="1">
      <c r="A331" s="12"/>
    </row>
    <row r="332" hidden="1">
      <c r="A332" s="12"/>
    </row>
    <row r="333" hidden="1">
      <c r="A333" s="12"/>
    </row>
    <row r="334" hidden="1">
      <c r="A334" s="12"/>
    </row>
    <row r="335" hidden="1">
      <c r="A335" s="12"/>
    </row>
    <row r="336" hidden="1">
      <c r="A336" s="12"/>
    </row>
    <row r="337" hidden="1">
      <c r="A337" s="12"/>
    </row>
    <row r="338" hidden="1">
      <c r="A338" s="12"/>
    </row>
    <row r="339" hidden="1">
      <c r="A339" s="12"/>
    </row>
    <row r="340" hidden="1">
      <c r="A340" s="12"/>
    </row>
    <row r="341" hidden="1">
      <c r="A341" s="12"/>
    </row>
    <row r="342" hidden="1">
      <c r="A342" s="12"/>
    </row>
    <row r="343" hidden="1">
      <c r="A343" s="12"/>
    </row>
    <row r="344" hidden="1">
      <c r="A344" s="12"/>
    </row>
    <row r="345" hidden="1">
      <c r="A345" s="12"/>
    </row>
    <row r="346" hidden="1">
      <c r="A346" s="12"/>
    </row>
    <row r="347" hidden="1">
      <c r="A347" s="12"/>
    </row>
    <row r="348" hidden="1">
      <c r="A348" s="12"/>
    </row>
    <row r="349" hidden="1">
      <c r="A349" s="12"/>
    </row>
    <row r="350" hidden="1">
      <c r="A350" s="12"/>
    </row>
    <row r="351" hidden="1">
      <c r="A351" s="12"/>
    </row>
    <row r="352" hidden="1">
      <c r="A352" s="12"/>
    </row>
    <row r="353" hidden="1">
      <c r="A353" s="12"/>
    </row>
    <row r="354" hidden="1">
      <c r="A354" s="12"/>
    </row>
    <row r="355" hidden="1">
      <c r="A355" s="12"/>
    </row>
    <row r="356" hidden="1">
      <c r="A356" s="12"/>
    </row>
    <row r="357" hidden="1">
      <c r="A357" s="12"/>
    </row>
    <row r="358" hidden="1">
      <c r="A358" s="12"/>
    </row>
    <row r="359" hidden="1">
      <c r="A359" s="12"/>
    </row>
    <row r="360" hidden="1">
      <c r="A360" s="12"/>
    </row>
    <row r="361" hidden="1">
      <c r="A361" s="12"/>
    </row>
    <row r="362" hidden="1">
      <c r="A362" s="12"/>
    </row>
    <row r="363" hidden="1">
      <c r="A363" s="12"/>
    </row>
    <row r="364" hidden="1">
      <c r="A364" s="12"/>
    </row>
    <row r="365" hidden="1">
      <c r="A365" s="12"/>
    </row>
    <row r="366" hidden="1">
      <c r="A366" s="12"/>
    </row>
    <row r="367" hidden="1">
      <c r="A367" s="12"/>
    </row>
    <row r="368" hidden="1">
      <c r="A368" s="12"/>
    </row>
    <row r="369" hidden="1">
      <c r="A369" s="12"/>
    </row>
    <row r="370" hidden="1">
      <c r="A370" s="12"/>
    </row>
    <row r="371" hidden="1">
      <c r="A371" s="12"/>
    </row>
    <row r="372" hidden="1">
      <c r="A372" s="12"/>
    </row>
    <row r="373" hidden="1">
      <c r="A373" s="12"/>
    </row>
    <row r="374" hidden="1">
      <c r="A374" s="12"/>
    </row>
    <row r="375" hidden="1">
      <c r="A375" s="12"/>
    </row>
    <row r="376" hidden="1">
      <c r="A376" s="12"/>
    </row>
    <row r="377" hidden="1">
      <c r="A377" s="12"/>
    </row>
    <row r="378" hidden="1">
      <c r="A378" s="12"/>
    </row>
    <row r="379" hidden="1">
      <c r="A379" s="12"/>
    </row>
    <row r="380" hidden="1">
      <c r="A380" s="12"/>
    </row>
    <row r="381" hidden="1">
      <c r="A381" s="12"/>
    </row>
    <row r="382" hidden="1">
      <c r="A382" s="12"/>
    </row>
    <row r="383" hidden="1">
      <c r="A383" s="12"/>
    </row>
    <row r="384" hidden="1">
      <c r="A384" s="12"/>
    </row>
    <row r="385" hidden="1">
      <c r="A385" s="12"/>
    </row>
    <row r="386" hidden="1">
      <c r="A386" s="12"/>
    </row>
    <row r="387" hidden="1">
      <c r="A387" s="12"/>
    </row>
    <row r="388" hidden="1">
      <c r="A388" s="12"/>
    </row>
    <row r="389" hidden="1">
      <c r="A389" s="12"/>
    </row>
    <row r="390" hidden="1">
      <c r="A390" s="12"/>
    </row>
    <row r="391" hidden="1">
      <c r="A391" s="12"/>
    </row>
    <row r="392" hidden="1">
      <c r="A392" s="12"/>
    </row>
    <row r="393" hidden="1">
      <c r="A393" s="12"/>
    </row>
    <row r="394" hidden="1">
      <c r="A394" s="12"/>
    </row>
    <row r="395" hidden="1">
      <c r="A395" s="12"/>
    </row>
    <row r="396" hidden="1">
      <c r="A396" s="12"/>
    </row>
    <row r="397" hidden="1">
      <c r="A397" s="12"/>
    </row>
    <row r="398" hidden="1">
      <c r="A398" s="12"/>
    </row>
    <row r="399" hidden="1">
      <c r="A399" s="12"/>
    </row>
    <row r="400" hidden="1">
      <c r="A400" s="12"/>
    </row>
    <row r="401" hidden="1">
      <c r="A401" s="12"/>
    </row>
    <row r="402" hidden="1">
      <c r="A402" s="12"/>
    </row>
    <row r="403" hidden="1">
      <c r="A403" s="12"/>
    </row>
    <row r="404" hidden="1">
      <c r="A404" s="12"/>
    </row>
    <row r="405" hidden="1">
      <c r="A405" s="12"/>
    </row>
    <row r="406" hidden="1">
      <c r="A406" s="12"/>
    </row>
    <row r="407" hidden="1">
      <c r="A407" s="12"/>
    </row>
    <row r="408" hidden="1">
      <c r="A408" s="12"/>
    </row>
    <row r="409" hidden="1">
      <c r="A409" s="12"/>
    </row>
    <row r="410" hidden="1">
      <c r="A410" s="12"/>
    </row>
    <row r="411" hidden="1">
      <c r="A411" s="12"/>
    </row>
    <row r="412" hidden="1">
      <c r="A412" s="12"/>
    </row>
    <row r="413" hidden="1">
      <c r="A413" s="12"/>
    </row>
    <row r="414" hidden="1">
      <c r="A414" s="12"/>
    </row>
    <row r="415" hidden="1">
      <c r="A415" s="12"/>
    </row>
    <row r="416" hidden="1">
      <c r="A416" s="12"/>
    </row>
    <row r="417" hidden="1">
      <c r="A417" s="12"/>
    </row>
    <row r="418" hidden="1">
      <c r="A418" s="12"/>
    </row>
    <row r="419" hidden="1">
      <c r="A419" s="12"/>
    </row>
    <row r="420" hidden="1">
      <c r="A420" s="12"/>
    </row>
    <row r="421" hidden="1">
      <c r="A421" s="12"/>
    </row>
    <row r="422" hidden="1">
      <c r="A422" s="12"/>
    </row>
    <row r="423" hidden="1">
      <c r="A423" s="12"/>
    </row>
    <row r="424" hidden="1">
      <c r="A424" s="12"/>
    </row>
    <row r="425" hidden="1">
      <c r="A425" s="12"/>
    </row>
    <row r="426" hidden="1">
      <c r="A426" s="12"/>
    </row>
    <row r="427" hidden="1">
      <c r="A427" s="12"/>
    </row>
    <row r="428" hidden="1">
      <c r="A428" s="12"/>
    </row>
    <row r="429" hidden="1">
      <c r="A429" s="12"/>
    </row>
    <row r="430" hidden="1">
      <c r="A430" s="12"/>
    </row>
    <row r="431" hidden="1">
      <c r="A431" s="12"/>
    </row>
    <row r="432" hidden="1">
      <c r="A432" s="12"/>
    </row>
    <row r="433" hidden="1">
      <c r="A433" s="12"/>
    </row>
    <row r="434" hidden="1">
      <c r="A434" s="12"/>
    </row>
    <row r="435" hidden="1">
      <c r="A435" s="12"/>
    </row>
    <row r="436" hidden="1">
      <c r="A436" s="12"/>
    </row>
    <row r="437" hidden="1">
      <c r="A437" s="12"/>
    </row>
    <row r="438" hidden="1">
      <c r="A438" s="12"/>
    </row>
    <row r="439" hidden="1">
      <c r="A439" s="12"/>
    </row>
    <row r="440" hidden="1">
      <c r="A440" s="12"/>
    </row>
    <row r="441" hidden="1">
      <c r="A441" s="12"/>
    </row>
    <row r="442" hidden="1">
      <c r="A442" s="12"/>
    </row>
    <row r="443" hidden="1">
      <c r="A443" s="12"/>
    </row>
    <row r="444" hidden="1">
      <c r="A444" s="12"/>
    </row>
    <row r="445" hidden="1">
      <c r="A445" s="12"/>
    </row>
    <row r="446" hidden="1">
      <c r="A446" s="12"/>
    </row>
    <row r="447" hidden="1">
      <c r="A447" s="12"/>
    </row>
    <row r="448" hidden="1">
      <c r="A448" s="12"/>
    </row>
    <row r="449" hidden="1">
      <c r="A449" s="12"/>
    </row>
    <row r="450" hidden="1">
      <c r="A450" s="12"/>
    </row>
    <row r="451" hidden="1">
      <c r="A451" s="12"/>
    </row>
    <row r="452" hidden="1">
      <c r="A452" s="12"/>
    </row>
    <row r="453" hidden="1">
      <c r="A453" s="12"/>
    </row>
    <row r="454" hidden="1">
      <c r="A454" s="12"/>
    </row>
    <row r="455" hidden="1">
      <c r="A455" s="12"/>
    </row>
    <row r="456" hidden="1">
      <c r="A456" s="12"/>
    </row>
    <row r="457" hidden="1">
      <c r="A457" s="12"/>
    </row>
    <row r="458" hidden="1">
      <c r="A458" s="12"/>
    </row>
    <row r="459" hidden="1">
      <c r="A459" s="12"/>
    </row>
    <row r="460" hidden="1">
      <c r="A460" s="12"/>
    </row>
    <row r="461" hidden="1">
      <c r="A461" s="12"/>
    </row>
    <row r="462" hidden="1">
      <c r="A462" s="12"/>
    </row>
    <row r="463" hidden="1">
      <c r="A463" s="12"/>
    </row>
    <row r="464" hidden="1">
      <c r="A464" s="12"/>
    </row>
    <row r="465" hidden="1">
      <c r="A465" s="12"/>
    </row>
    <row r="466" hidden="1">
      <c r="A466" s="12"/>
    </row>
    <row r="467" hidden="1">
      <c r="A467" s="12"/>
    </row>
    <row r="468" hidden="1">
      <c r="A468" s="12"/>
    </row>
    <row r="469" hidden="1">
      <c r="A469" s="12"/>
    </row>
    <row r="470" hidden="1">
      <c r="A470" s="12"/>
    </row>
    <row r="471" hidden="1">
      <c r="A471" s="12"/>
    </row>
    <row r="472" hidden="1">
      <c r="A472" s="12"/>
    </row>
    <row r="473" hidden="1">
      <c r="A473" s="12"/>
    </row>
    <row r="474" hidden="1">
      <c r="A474" s="12"/>
    </row>
    <row r="475" hidden="1">
      <c r="A475" s="12"/>
    </row>
    <row r="476" hidden="1">
      <c r="A476" s="12"/>
    </row>
    <row r="477" hidden="1">
      <c r="A477" s="12"/>
    </row>
    <row r="478" hidden="1">
      <c r="A478" s="12"/>
    </row>
    <row r="479" hidden="1">
      <c r="A479" s="12"/>
    </row>
    <row r="480" hidden="1">
      <c r="A480" s="12"/>
    </row>
    <row r="481" hidden="1">
      <c r="A481" s="12"/>
    </row>
    <row r="482" hidden="1">
      <c r="A482" s="12"/>
    </row>
    <row r="483" hidden="1">
      <c r="A483" s="12"/>
    </row>
    <row r="484" hidden="1">
      <c r="A484" s="12"/>
    </row>
    <row r="485" hidden="1">
      <c r="A485" s="12"/>
    </row>
    <row r="486" hidden="1">
      <c r="A486" s="12"/>
    </row>
    <row r="487" hidden="1">
      <c r="A487" s="12"/>
    </row>
    <row r="488" hidden="1">
      <c r="A488" s="12"/>
    </row>
    <row r="489" hidden="1">
      <c r="A489" s="12"/>
    </row>
    <row r="490" hidden="1">
      <c r="A490" s="12"/>
    </row>
    <row r="491" hidden="1">
      <c r="A491" s="12"/>
    </row>
    <row r="492" hidden="1">
      <c r="A492" s="12"/>
    </row>
    <row r="493" hidden="1">
      <c r="A493" s="12"/>
    </row>
    <row r="494" hidden="1">
      <c r="A494" s="12"/>
    </row>
    <row r="495" hidden="1">
      <c r="A495" s="12"/>
    </row>
    <row r="496" hidden="1">
      <c r="A496" s="12"/>
    </row>
    <row r="497" hidden="1">
      <c r="A497" s="12"/>
    </row>
    <row r="498" hidden="1">
      <c r="A498" s="12"/>
    </row>
    <row r="499" hidden="1">
      <c r="A499" s="12"/>
    </row>
    <row r="500" hidden="1">
      <c r="A500" s="12"/>
    </row>
    <row r="501" hidden="1">
      <c r="A501" s="12"/>
    </row>
    <row r="502" hidden="1">
      <c r="A502" s="12"/>
    </row>
    <row r="503" hidden="1">
      <c r="A503" s="12"/>
    </row>
    <row r="504" hidden="1">
      <c r="A504" s="12"/>
    </row>
    <row r="505" hidden="1">
      <c r="A505" s="12"/>
    </row>
    <row r="506" hidden="1">
      <c r="A506" s="12"/>
    </row>
    <row r="507" hidden="1">
      <c r="A507" s="12"/>
    </row>
    <row r="508" hidden="1">
      <c r="A508" s="12"/>
    </row>
    <row r="509" hidden="1">
      <c r="A509" s="12"/>
    </row>
    <row r="510" hidden="1">
      <c r="A510" s="12"/>
    </row>
    <row r="511" hidden="1">
      <c r="A511" s="12"/>
    </row>
    <row r="512" hidden="1">
      <c r="A512" s="12"/>
    </row>
    <row r="513" hidden="1">
      <c r="A513" s="12"/>
    </row>
    <row r="514" hidden="1">
      <c r="A514" s="12"/>
    </row>
    <row r="515" hidden="1">
      <c r="A515" s="12"/>
    </row>
    <row r="516" hidden="1">
      <c r="A516" s="12"/>
    </row>
    <row r="517" hidden="1">
      <c r="A517" s="12"/>
    </row>
    <row r="518" hidden="1">
      <c r="A518" s="12"/>
    </row>
    <row r="519" hidden="1">
      <c r="A519" s="12"/>
    </row>
    <row r="520" hidden="1">
      <c r="A520" s="12"/>
    </row>
    <row r="521" hidden="1">
      <c r="A521" s="12"/>
    </row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A$1000">
    <filterColumn colId="0">
      <filters>
        <filter val="CLOBSOL-MN CREAM"/>
        <filter val="ITRACHEM-F"/>
        <filter val="TERBICHEM-250"/>
        <filter val="MARINA CREAM"/>
        <filter val="ULTRA-SHINE SOAP"/>
        <filter val="FUSICHEM-M"/>
        <filter val="KETOLECHEM TAB"/>
        <filter val="TERBICHEM POWDER"/>
        <filter val="SWISSGLOW SOAP"/>
        <filter val="SHINE N BEAUTY SOAP"/>
        <filter val="SCABICHEM CREAM"/>
        <filter val="ULTRA SHINE FACEWASH"/>
        <filter val="SWISSGLOW-UV LOTION"/>
        <filter val="DOIN-20 SOFT GEL CAP"/>
        <filter val="EVIOCHEM SOFT"/>
        <filter val="FENOGRAS 120 TAB"/>
        <filter val="FUSICHEM CREAM"/>
        <filter val="SERTACHEM CREAM"/>
        <filter val="R'NUE FINE 1 TAB"/>
        <filter val="R'NUE ONION HAIR"/>
        <filter val="LULICHEM SOAP"/>
        <filter val="ITRACHEM-T cream"/>
        <filter val="AMORLCHEM CREAM"/>
        <filter val="FIT-UP-FOOT CREAM"/>
        <filter val="R'NUE FORTE HAIR GAIN"/>
        <filter val="CLOBSOL-S CREAM"/>
        <filter val="ULTRASHINE HALDI CHANDAN FACE WASH"/>
        <filter val="LULICHEM CREAM"/>
        <filter val="TERBICHEM-M"/>
        <filter val="CLOBSOL-F CREAM"/>
        <filter val="MOPIN CREAM"/>
        <filter val="CIPROCHEM-TC"/>
        <filter val="LULICHEM POWDER"/>
        <filter val="LULICHEM LOTION"/>
        <filter val="CLOBSOL-S LOTION"/>
        <filter val="SWISSDINE MS"/>
        <filter val="AZITHROMYCIN-500"/>
        <filter val="KETOLE POWDER"/>
        <filter val="GAMMACHEMLOTION"/>
        <filter val="EBEROSWISS CREAM"/>
        <filter val="TERBICHEM CREAM"/>
        <filter val="KETOLE-ZPTO SHAMPOO"/>
        <filter val="SCABICHEM LOTION"/>
        <filter val="IVERCHEM TAB"/>
        <filter val="ALOGLOW SOAP"/>
        <filter val="ULTRASHINE FAIRNESS CREAM"/>
        <filter val="SWISSDINE-TS"/>
        <filter val="KESHGAIN TABS"/>
        <filter val="SCABICHEM SOAP"/>
        <filter val="ULTRA SHINE GEL CREAM"/>
        <filter val="KETOLECHEM"/>
        <filter val="SHINE N BEAUTY CREAM"/>
        <filter val="ULTRA SHINE SUPER 3 IN ONE FACEWASH"/>
        <filter val="ANGLEGLOW MOISTURISING CREAM"/>
        <filter val="CETOCHEM LOTION"/>
        <filter val="ITRACHEM CREAM"/>
        <filter val="SWISSDERM CREAM"/>
        <filter val="SWISSDINE-MS"/>
        <filter val="ANGEL GLOW LOTION"/>
        <filter val="KETOLE CREAM"/>
        <filter val="BECOLITE-CN CREAM"/>
        <filter val="CALACHEM LOTION"/>
        <filter val="CLINTOL POWDER"/>
        <filter val="Eve-Wash"/>
        <filter val="KETOLESCAB"/>
        <filter val="CLEARLITE CREAM"/>
        <filter val="SWISSFLU POWDER"/>
        <filter val="MARINADERM-F CREAM"/>
        <filter val="ALENE-DUO GEL CREAM"/>
      </filters>
    </filterColumn>
  </autoFilter>
  <drawing r:id="rId1"/>
</worksheet>
</file>