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 File" sheetId="1" r:id="rId4"/>
    <sheet state="visible" name="MARG ERP 9+ Excel Report" sheetId="2" r:id="rId5"/>
    <sheet state="visible" name="Company Validation" sheetId="3" r:id="rId6"/>
  </sheets>
  <definedNames>
    <definedName hidden="1" localSheetId="0" name="_xlnm._FilterDatabase">'Work File'!$A$1:$I$426</definedName>
  </definedNames>
  <calcPr/>
  <extLst>
    <ext uri="GoogleSheetsCustomDataVersion2">
      <go:sheetsCustomData xmlns:go="http://customooxmlschemas.google.com/" r:id="rId7" roundtripDataChecksum="CzsKCMzUR6duMsz+CkyJusnaT0lDzTO0hXe/GMD5FQ4="/>
    </ext>
  </extLst>
</workbook>
</file>

<file path=xl/sharedStrings.xml><?xml version="1.0" encoding="utf-8"?>
<sst xmlns="http://schemas.openxmlformats.org/spreadsheetml/2006/main" count="1379" uniqueCount="900">
  <si>
    <t>Product Name</t>
  </si>
  <si>
    <t>Company Name</t>
  </si>
  <si>
    <t>Drug Name</t>
  </si>
  <si>
    <t>Form</t>
  </si>
  <si>
    <t>Pack Size</t>
  </si>
  <si>
    <t>Packing Type</t>
  </si>
  <si>
    <t>MRP</t>
  </si>
  <si>
    <t>Schedule</t>
  </si>
  <si>
    <t>Rate</t>
  </si>
  <si>
    <t>ACEBREL PLUS SYP</t>
  </si>
  <si>
    <t>CISTA MEDICORP</t>
  </si>
  <si>
    <t>ACEBREL 200 TABS</t>
  </si>
  <si>
    <t>ACEBREL FM TAB</t>
  </si>
  <si>
    <t>ACEBREL PLUS</t>
  </si>
  <si>
    <t>ACLINA 300 CAP</t>
  </si>
  <si>
    <t>ACLINA 600 INJ</t>
  </si>
  <si>
    <t>ACLINA A OINTMENT</t>
  </si>
  <si>
    <t>ALDOXYL LB CAP</t>
  </si>
  <si>
    <t>ALDOXYL C VIAL</t>
  </si>
  <si>
    <t>ALFLAZ 30 TAB</t>
  </si>
  <si>
    <t>ALFLAZ 6 TAB</t>
  </si>
  <si>
    <t>ALFLAZ 6 SUSP</t>
  </si>
  <si>
    <t>ALOXCID SYP</t>
  </si>
  <si>
    <t>ALREGA CAP</t>
  </si>
  <si>
    <t>ALREGA NT</t>
  </si>
  <si>
    <t>ALREGA NT PLUS TAB</t>
  </si>
  <si>
    <t>AMERIN LS 100 ML</t>
  </si>
  <si>
    <t>AMERIN SYP</t>
  </si>
  <si>
    <t>AMERIN DX TAB</t>
  </si>
  <si>
    <t>AMERIN LS(WS) SYP</t>
  </si>
  <si>
    <t>AMROXIL CV 228.5 DS</t>
  </si>
  <si>
    <t>AMROXIL CV 457 DS</t>
  </si>
  <si>
    <t>AMROXIL CV 625 LB TAB</t>
  </si>
  <si>
    <t>AMROXIL CV 375 TAB</t>
  </si>
  <si>
    <t>AMROXIL CV 625 TAB</t>
  </si>
  <si>
    <t>AMROXIL D CAPSULE</t>
  </si>
  <si>
    <t>ARFLEX R CAP</t>
  </si>
  <si>
    <t>ASIBLOC SYP</t>
  </si>
  <si>
    <t>ATETOR 10</t>
  </si>
  <si>
    <t>ATETOR 20</t>
  </si>
  <si>
    <t>AZIPRIL 100 SUSP</t>
  </si>
  <si>
    <t>AZIPRIL 200 SUSP</t>
  </si>
  <si>
    <t>AZIPRIL 500 TAB</t>
  </si>
  <si>
    <t>BEVORIN PLUS</t>
  </si>
  <si>
    <t>BILASKA SUSP</t>
  </si>
  <si>
    <t>BILASKA M TAB</t>
  </si>
  <si>
    <t>BIOTRIL SACHET (18%)</t>
  </si>
  <si>
    <t>BRIOR CAP</t>
  </si>
  <si>
    <t>BRIOTRIL SACHET</t>
  </si>
  <si>
    <t>C BOURENE INJ.</t>
  </si>
  <si>
    <t>C BOURNE PLUS</t>
  </si>
  <si>
    <t>CALA PRO LOTION</t>
  </si>
  <si>
    <t>CALACIS MZ TAB</t>
  </si>
  <si>
    <t>CALCILYF K27</t>
  </si>
  <si>
    <t>CALCILYF K27(DRUG)</t>
  </si>
  <si>
    <t>CALCIS D3 TAB</t>
  </si>
  <si>
    <t>CALLUM D3 DROP (MF)</t>
  </si>
  <si>
    <t>CALLUM D3 DROPS (BS)</t>
  </si>
  <si>
    <t>CALLUM D3 MAX S/G</t>
  </si>
  <si>
    <t>CALLUM D3 SACHET</t>
  </si>
  <si>
    <t>CALLUM D3 KID AQUA</t>
  </si>
  <si>
    <t>CALLUM D3 TAB</t>
  </si>
  <si>
    <t>CAMLOR PLUS TAB</t>
  </si>
  <si>
    <t>CEPOLEX 250DT TAB</t>
  </si>
  <si>
    <t>CEPOLEX 500 CAPS</t>
  </si>
  <si>
    <t>CIFLOBACT TZ</t>
  </si>
  <si>
    <t>CILACAST IM</t>
  </si>
  <si>
    <t>CILWAX (EAR DROP)</t>
  </si>
  <si>
    <t>CITICAM PLUS TABLET</t>
  </si>
  <si>
    <t>CITRADIL SYP</t>
  </si>
  <si>
    <t>CLAROFF 500 TAB</t>
  </si>
  <si>
    <t>CLAROFF D/S</t>
  </si>
  <si>
    <t>CLAROFF 250 TABS</t>
  </si>
  <si>
    <t>CO LYF S/G</t>
  </si>
  <si>
    <t>CONMIST TABS</t>
  </si>
  <si>
    <t>CORACIS S/G</t>
  </si>
  <si>
    <t>CORACIS SOFT CAP</t>
  </si>
  <si>
    <t>DEOHEP 300</t>
  </si>
  <si>
    <t>DEOLIV 300 TAB</t>
  </si>
  <si>
    <t>DICLOVEL GEL</t>
  </si>
  <si>
    <t>DICOVEL MR TABS</t>
  </si>
  <si>
    <t>DICOVEL SP TAB</t>
  </si>
  <si>
    <t>DOXOFLY M TAB</t>
  </si>
  <si>
    <t>DOXYRIDE TAB</t>
  </si>
  <si>
    <t>DUPANTA 40 INJ</t>
  </si>
  <si>
    <t>DUPANTA 40 TAB</t>
  </si>
  <si>
    <t>DUPANTA D TAB</t>
  </si>
  <si>
    <t>DUPANTA DSR CAP</t>
  </si>
  <si>
    <t>DUPANTA HP KIT</t>
  </si>
  <si>
    <t>DUPANTA LS CAP</t>
  </si>
  <si>
    <t>ELQUIX 500 TAB</t>
  </si>
  <si>
    <t>ENFRIO TAB</t>
  </si>
  <si>
    <t>ESCINIX CZ TAB</t>
  </si>
  <si>
    <t>ESOROL 40 TAB</t>
  </si>
  <si>
    <t>ETOMIGHT 400 ER</t>
  </si>
  <si>
    <t>ETOMIGHT 600 ER</t>
  </si>
  <si>
    <t>FAROHIT 200 TABLET</t>
  </si>
  <si>
    <t>FENALIN 200 SR TAB</t>
  </si>
  <si>
    <t>FENALIN GEL</t>
  </si>
  <si>
    <t>FENALIN PLUS SUSP</t>
  </si>
  <si>
    <t>FENALIN PLUS TAB</t>
  </si>
  <si>
    <t>FENALIN SP TAB</t>
  </si>
  <si>
    <t>FEXOPIL M TAB</t>
  </si>
  <si>
    <t>FIXIP 100DT TAB</t>
  </si>
  <si>
    <t>FIXIP DS LB</t>
  </si>
  <si>
    <t>FIXIP 100 LB (DS)</t>
  </si>
  <si>
    <t>FIXIP 200 DT TAB</t>
  </si>
  <si>
    <t>FIXIP CV TAB</t>
  </si>
  <si>
    <t>FIXIP O TAB</t>
  </si>
  <si>
    <t>FLOVIX 200 TAB</t>
  </si>
  <si>
    <t>FLOVIX MS SUSP</t>
  </si>
  <si>
    <t>FLOVIX OZ TAB</t>
  </si>
  <si>
    <t>FLUTRON F</t>
  </si>
  <si>
    <t>FUROTIN SR TAB</t>
  </si>
  <si>
    <t>FUTEX 125 D/S</t>
  </si>
  <si>
    <t>FUTEX 250</t>
  </si>
  <si>
    <t>GLIMIGHTY M1 TAB</t>
  </si>
  <si>
    <t>GLIMIGHTY M2 TAB</t>
  </si>
  <si>
    <t>GLUTROX</t>
  </si>
  <si>
    <t>GLUVOG 0.3 TAB</t>
  </si>
  <si>
    <t>GLUVOG M 0.3 TAB</t>
  </si>
  <si>
    <t>GROSSVIT 12G</t>
  </si>
  <si>
    <t>GROSSVIT 4G CAP</t>
  </si>
  <si>
    <t>IBUREIGN P SUSP</t>
  </si>
  <si>
    <t>IMIPOD CV DS EXTRA</t>
  </si>
  <si>
    <t>IMIPOD 100 TAB</t>
  </si>
  <si>
    <t>IMIPOD CV TAB</t>
  </si>
  <si>
    <t>IMIPOD O TAB</t>
  </si>
  <si>
    <t>ISORON 20 CAP</t>
  </si>
  <si>
    <t>IVAZOLE 12 TAB</t>
  </si>
  <si>
    <t>IVAZOLE A TAB</t>
  </si>
  <si>
    <t>KETOMIZE 10DT</t>
  </si>
  <si>
    <t>KYLIN PLUS TAB</t>
  </si>
  <si>
    <t>KYLIN TAB</t>
  </si>
  <si>
    <t>KYLIN D TAB</t>
  </si>
  <si>
    <t>LAIZAL SYP</t>
  </si>
  <si>
    <t>LAIZAL 5 TAB</t>
  </si>
  <si>
    <t>LAIZAL DX SYP</t>
  </si>
  <si>
    <t>LAIZAL M 60ML</t>
  </si>
  <si>
    <t>LAIZAL M KID TAB</t>
  </si>
  <si>
    <t>LAIZAL M TABS</t>
  </si>
  <si>
    <t>LAIZAL PLUS TAB</t>
  </si>
  <si>
    <t>LAXOPRESS</t>
  </si>
  <si>
    <t>LETGUL TABLET</t>
  </si>
  <si>
    <t>LOGITOP 50 ER</t>
  </si>
  <si>
    <t>LOZICON 20 GM</t>
  </si>
  <si>
    <t>LYCOXIL SOFTGEL</t>
  </si>
  <si>
    <t>MEFADOL DUO(TAB)</t>
  </si>
  <si>
    <t>MEFADOL P TAB</t>
  </si>
  <si>
    <t>MERVIN 1 GM</t>
  </si>
  <si>
    <t>METAQUIN CREAM</t>
  </si>
  <si>
    <t>METOLET XL 50</t>
  </si>
  <si>
    <t>MIGHTY LIV CAP</t>
  </si>
  <si>
    <t>MIGHTY LIV SUSP</t>
  </si>
  <si>
    <t>MOLCIS D</t>
  </si>
  <si>
    <t>MOVILOX TABLET</t>
  </si>
  <si>
    <t>MUCOTEL 3D TABLET</t>
  </si>
  <si>
    <t>NAPRONIC D TAB</t>
  </si>
  <si>
    <t>NUALIN ALIVE TAB</t>
  </si>
  <si>
    <t>NUALIN SP TAB</t>
  </si>
  <si>
    <t>NUROTAL PG</t>
  </si>
  <si>
    <t>NUROTAL PLUS S/G CAP</t>
  </si>
  <si>
    <t>NUROTAL SOFT</t>
  </si>
  <si>
    <t>NUROTAL PG SR PLUS</t>
  </si>
  <si>
    <t>NYRIS S NAZAL SPRAY</t>
  </si>
  <si>
    <t>NYRIZ NASAL DROP</t>
  </si>
  <si>
    <t>NYRIZ S NAZAL DROP</t>
  </si>
  <si>
    <t>NYRIZ P NASAL DROP</t>
  </si>
  <si>
    <t>OLMECIL TRIO TAB</t>
  </si>
  <si>
    <t>OREFLO PLUS TABLET</t>
  </si>
  <si>
    <t>OREFLO 0.4 TABLET</t>
  </si>
  <si>
    <t>OTIVION EAR DROPS</t>
  </si>
  <si>
    <t>OVERIL PACE TABS</t>
  </si>
  <si>
    <t>OZEROL D CAP</t>
  </si>
  <si>
    <t>PENTEON NT TAB</t>
  </si>
  <si>
    <t>PICOFIN SYP</t>
  </si>
  <si>
    <t>PIREXIL TAB</t>
  </si>
  <si>
    <t>PIVOLACT SYP</t>
  </si>
  <si>
    <t>PORIUM SYRUP</t>
  </si>
  <si>
    <t>PREDLITE 40 MG INJ</t>
  </si>
  <si>
    <t>PREDLITE 80 MG INJ</t>
  </si>
  <si>
    <t>PREDLITE 16 TAB</t>
  </si>
  <si>
    <t>PREDLITE 4 TAB</t>
  </si>
  <si>
    <t>PREDLITE 8 TAB</t>
  </si>
  <si>
    <t>PROTAQ POW</t>
  </si>
  <si>
    <t>PURADEX SYRUP</t>
  </si>
  <si>
    <t>RABAMIN 20 TAB</t>
  </si>
  <si>
    <t>RABAMIN D TAB</t>
  </si>
  <si>
    <t>RABAMIN DSR CAP</t>
  </si>
  <si>
    <t>RACTUM 4.5 GM</t>
  </si>
  <si>
    <t>RATICON 100 SB CAPSULE</t>
  </si>
  <si>
    <t>RATICON 50 SB CAPSULE</t>
  </si>
  <si>
    <t>REROSE F TABLET</t>
  </si>
  <si>
    <t>REROSE 10 TABS</t>
  </si>
  <si>
    <t>RESPILIFT CAP</t>
  </si>
  <si>
    <t>RIFAXUM 400 TAB</t>
  </si>
  <si>
    <t>ROOSNIL CLEAR SOAP</t>
  </si>
  <si>
    <t>ROSIPEP S/G</t>
  </si>
  <si>
    <t>SERRALIN D TAB</t>
  </si>
  <si>
    <t>SILODYNE 8 CAPSULE</t>
  </si>
  <si>
    <t>SILODYNE D8 CAPSULE</t>
  </si>
  <si>
    <t>SLUSH MOUTHWASH</t>
  </si>
  <si>
    <t>SLUSH TOOTH GEL</t>
  </si>
  <si>
    <t>SPURON TAB</t>
  </si>
  <si>
    <t>SUCRADIL O 100ML</t>
  </si>
  <si>
    <t>SUCRADIL O SYP</t>
  </si>
  <si>
    <t>TALMIDOZ TRIO TAB</t>
  </si>
  <si>
    <t>TALMIDOZ 40 TAB</t>
  </si>
  <si>
    <t>TALMIDOZ A TAB</t>
  </si>
  <si>
    <t>TAURIB 90 TAB</t>
  </si>
  <si>
    <t>TAURIB MR TAB</t>
  </si>
  <si>
    <t>TAURIB 120 TABS</t>
  </si>
  <si>
    <t>TAURIB MR8 TAB</t>
  </si>
  <si>
    <t>TAURIB PG 60/75</t>
  </si>
  <si>
    <t>TAURIB PLUS TAB</t>
  </si>
  <si>
    <t>TEAR GO E/D</t>
  </si>
  <si>
    <t>TELEFORD AM</t>
  </si>
  <si>
    <t>TELMIBIT 40</t>
  </si>
  <si>
    <t>TOSSNIC SYP</t>
  </si>
  <si>
    <t>TRUQUIL SYP</t>
  </si>
  <si>
    <t>TRUQUIL TAB</t>
  </si>
  <si>
    <t>URIDOC O TABLET</t>
  </si>
  <si>
    <t>UROZOSIN 10 TABLET</t>
  </si>
  <si>
    <t>UTIDOZ CAPSULE</t>
  </si>
  <si>
    <t>VERTIBIN 16 TAB</t>
  </si>
  <si>
    <t>VILGAID DP 100/10</t>
  </si>
  <si>
    <t>VITRION 200ML</t>
  </si>
  <si>
    <t>VOXLIN DRY SYP</t>
  </si>
  <si>
    <t>VOXLIN 600</t>
  </si>
  <si>
    <t>X DUPANTA 40 TAB</t>
  </si>
  <si>
    <t>XYMOR(F) SYP</t>
  </si>
  <si>
    <t>ALOVERA GEL</t>
  </si>
  <si>
    <t>GETRON PHARMACEUTICAL</t>
  </si>
  <si>
    <t>AZMY 200 SYP</t>
  </si>
  <si>
    <t>Beneral tab</t>
  </si>
  <si>
    <t>CALCIGET D3 NANO SHOT</t>
  </si>
  <si>
    <t>CALCIGET SYP</t>
  </si>
  <si>
    <t>CALCIGET TAB</t>
  </si>
  <si>
    <t>CALCIGET D3 SACHET</t>
  </si>
  <si>
    <t>CAMA CAP</t>
  </si>
  <si>
    <t>CAMA OIL</t>
  </si>
  <si>
    <t>CAMA PLUS CAP</t>
  </si>
  <si>
    <t>CEFICO 100 W/W</t>
  </si>
  <si>
    <t>Cefico 50 w/w</t>
  </si>
  <si>
    <t>CEFICO AZ TAB</t>
  </si>
  <si>
    <t>CEFIMOD 50 DRY SYP</t>
  </si>
  <si>
    <t>CITIRON 5 TAB</t>
  </si>
  <si>
    <t>CITIRON M KID TAB</t>
  </si>
  <si>
    <t>COGET PLUS TAB</t>
  </si>
  <si>
    <t>DERMOCLIV TAB</t>
  </si>
  <si>
    <t>DICRON SP TAB</t>
  </si>
  <si>
    <t>DXL CAPS</t>
  </si>
  <si>
    <t>ESKOGET DSR</t>
  </si>
  <si>
    <t>F2TOP SYP</t>
  </si>
  <si>
    <t>FABILIZER CAP COMBO</t>
  </si>
  <si>
    <t>FABILIZER SYP COMBO</t>
  </si>
  <si>
    <t>FIZAMP AZ TAB</t>
  </si>
  <si>
    <t>G GESIC AT TAB</t>
  </si>
  <si>
    <t>G CLEAR</t>
  </si>
  <si>
    <t>G FRESH BALM</t>
  </si>
  <si>
    <t>G FRESH CREAM</t>
  </si>
  <si>
    <t>G VOSH</t>
  </si>
  <si>
    <t>GETCORT 6 TABLET</t>
  </si>
  <si>
    <t>GETERBI 250 TABLET</t>
  </si>
  <si>
    <t>GETPOD 50 D/S W/W</t>
  </si>
  <si>
    <t>GETPOD 100 D/S</t>
  </si>
  <si>
    <t>Getvastin 10 tab</t>
  </si>
  <si>
    <t>Getvastin 20 tab</t>
  </si>
  <si>
    <t>GETVM CAP</t>
  </si>
  <si>
    <t>GETVM 4G CAP</t>
  </si>
  <si>
    <t>GILOY TULSI SYP</t>
  </si>
  <si>
    <t>GIVERTIN 16 TAB</t>
  </si>
  <si>
    <t>GLIMCARE M1 TAB</t>
  </si>
  <si>
    <t>Glimcare m2</t>
  </si>
  <si>
    <t>HIMDARSH OIL</t>
  </si>
  <si>
    <t>IVERSUNG 12 TAB</t>
  </si>
  <si>
    <t>LYCOGET CAP</t>
  </si>
  <si>
    <t>LYCOGET M SOFT GEL</t>
  </si>
  <si>
    <t>MOXIPLY DS SYP</t>
  </si>
  <si>
    <t>MOXIPLY DX CAP</t>
  </si>
  <si>
    <t>NO DAAG CAP</t>
  </si>
  <si>
    <t>P FREE CAP</t>
  </si>
  <si>
    <t>RAAHAT CREAM</t>
  </si>
  <si>
    <t>ROOP SOFT CREAM</t>
  </si>
  <si>
    <t>TULSI DROP</t>
  </si>
  <si>
    <t>UTRIWELL CAPSULE</t>
  </si>
  <si>
    <t>VIKALP POWDER</t>
  </si>
  <si>
    <t>ZINREDRO TAB</t>
  </si>
  <si>
    <t>ZYMGET DROPS</t>
  </si>
  <si>
    <t>ZZ.BB GROW LOTION</t>
  </si>
  <si>
    <t>AZIKEM 250</t>
  </si>
  <si>
    <t>KINESIS BIOCARE</t>
  </si>
  <si>
    <t>AZIKEM 500</t>
  </si>
  <si>
    <t>AZIKEX 250 TAB</t>
  </si>
  <si>
    <t>AZIKEX 500 TAB</t>
  </si>
  <si>
    <t>AZIKIS 250 TAB</t>
  </si>
  <si>
    <t>AZIKIS 500 TAB</t>
  </si>
  <si>
    <t>CALKIN D3 TAB</t>
  </si>
  <si>
    <t>CALKIN PLUS (B)</t>
  </si>
  <si>
    <t>CALKIN PLUS TAB</t>
  </si>
  <si>
    <t>CEFKIN 100 TAB</t>
  </si>
  <si>
    <t>CEFKIN 200 TAB</t>
  </si>
  <si>
    <t>DICLOSIS MR TAB</t>
  </si>
  <si>
    <t>DICLOSIS P TAB</t>
  </si>
  <si>
    <t>DICLOSIS SP TAB</t>
  </si>
  <si>
    <t>DOCTOR CARE STEAMER</t>
  </si>
  <si>
    <t>ENZYKIN SYP</t>
  </si>
  <si>
    <t>FERICIS XT SYP</t>
  </si>
  <si>
    <t>FIXAMP AZ</t>
  </si>
  <si>
    <t>FLUKIN 150 TAB</t>
  </si>
  <si>
    <t>GABASIS PLUS TAB</t>
  </si>
  <si>
    <t>GLIVN PM2</t>
  </si>
  <si>
    <t>HEPAKIN</t>
  </si>
  <si>
    <t>KINCORT 6 TAB</t>
  </si>
  <si>
    <t>KINECOLD DROP</t>
  </si>
  <si>
    <t>KINECOLD SUSP</t>
  </si>
  <si>
    <t>KINEFLAM MR TAB</t>
  </si>
  <si>
    <t>KINEFLAM NP TAB</t>
  </si>
  <si>
    <t>KINEFLAM P TAB</t>
  </si>
  <si>
    <t>KINEFLAM SP TAB</t>
  </si>
  <si>
    <t>KINEFRESH</t>
  </si>
  <si>
    <t>KINEPOD 100 D/S</t>
  </si>
  <si>
    <t>KINEPOD 50</t>
  </si>
  <si>
    <t>KINOF 200</t>
  </si>
  <si>
    <t>KINOF OZ TAB</t>
  </si>
  <si>
    <t>KINTEL TAB</t>
  </si>
  <si>
    <t>KINTOR 90 TAB</t>
  </si>
  <si>
    <t>KINTOR MR</t>
  </si>
  <si>
    <t>KINTRA 100 TAB</t>
  </si>
  <si>
    <t>KINTRA 200 TAB</t>
  </si>
  <si>
    <t>KIROX BR SYP</t>
  </si>
  <si>
    <t>KIROX DX SYP</t>
  </si>
  <si>
    <t>KITCHEN SAFE</t>
  </si>
  <si>
    <t>LEVOZINE FX TAB</t>
  </si>
  <si>
    <t>LEVOZINE M TAB</t>
  </si>
  <si>
    <t>LEVOZINE 5 TAB</t>
  </si>
  <si>
    <t>MAQ Q10</t>
  </si>
  <si>
    <t>MEFSIS D TAB</t>
  </si>
  <si>
    <t>MOXCIS CL CAP</t>
  </si>
  <si>
    <t>MOXCIS CV 625 LB</t>
  </si>
  <si>
    <t>MOXCIS CV 625 TAB</t>
  </si>
  <si>
    <t>MOXCIS CV FORTE</t>
  </si>
  <si>
    <t>OMEKIN 20 CAP</t>
  </si>
  <si>
    <t>OMEKIN D CAP</t>
  </si>
  <si>
    <t>ONDENSIS 4</t>
  </si>
  <si>
    <t>PANKIS DSR CAP</t>
  </si>
  <si>
    <t>PARAKIN 650 TAB</t>
  </si>
  <si>
    <t>PARAKIN DROP</t>
  </si>
  <si>
    <t>PROTIRICH SYP</t>
  </si>
  <si>
    <t>RABESIS DSR CAP</t>
  </si>
  <si>
    <t>VITKIN DROPS</t>
  </si>
  <si>
    <t>VITKIN M</t>
  </si>
  <si>
    <t>VITKIN PLUS TAB</t>
  </si>
  <si>
    <t>VITKIN TAB</t>
  </si>
  <si>
    <t>VITKIN L SYP</t>
  </si>
  <si>
    <t>ALBIS IV</t>
  </si>
  <si>
    <t>SATYAM REMEDIES</t>
  </si>
  <si>
    <t>AXOCLAV 228.5 TAB</t>
  </si>
  <si>
    <t>AXOCLAV DRY SYRUP</t>
  </si>
  <si>
    <t>AXOCLAV DS SYP</t>
  </si>
  <si>
    <t>B2 WELL FD TAB</t>
  </si>
  <si>
    <t>B2 WELL TAB</t>
  </si>
  <si>
    <t>BLOOMCOLD TAB</t>
  </si>
  <si>
    <t>CALCIFILL DROPS</t>
  </si>
  <si>
    <t>CALCIFILL FORTE TAB</t>
  </si>
  <si>
    <t>CALSOVIT TAB</t>
  </si>
  <si>
    <t>CAPSIDAC GEL</t>
  </si>
  <si>
    <t>CEDOMAX 100 DT TAB</t>
  </si>
  <si>
    <t>CEDOMAX 200 TAB</t>
  </si>
  <si>
    <t>COLIVID DROPS</t>
  </si>
  <si>
    <t>CYFLOW T SYRUP</t>
  </si>
  <si>
    <t>DEFU SUSP</t>
  </si>
  <si>
    <t>ESOSTRIC DSR CAP</t>
  </si>
  <si>
    <t>FEMICARE CHOCOLATE</t>
  </si>
  <si>
    <t>FEMICARE VANILA</t>
  </si>
  <si>
    <t>FOLISPY PLUS TAB</t>
  </si>
  <si>
    <t>IBUSAT P SUSP</t>
  </si>
  <si>
    <t>KETOSPY SOAP</t>
  </si>
  <si>
    <t>MEFU DS SUS</t>
  </si>
  <si>
    <t>MEFU P SUSP</t>
  </si>
  <si>
    <t>MYCET LMK</t>
  </si>
  <si>
    <t>MYVITAL CAP</t>
  </si>
  <si>
    <t>OFRINE O EAR DROPS</t>
  </si>
  <si>
    <t>OFRINE OZ TAB</t>
  </si>
  <si>
    <t>ORTHOPRO POWDER</t>
  </si>
  <si>
    <t>OXARIL P TAB</t>
  </si>
  <si>
    <t>PROZU 200 TAB</t>
  </si>
  <si>
    <t>RESIPILEX SYP</t>
  </si>
  <si>
    <t>RESIPLEX D SYP</t>
  </si>
  <si>
    <t>RESPILEX SYRUP</t>
  </si>
  <si>
    <t>RESPILEX XL SYP</t>
  </si>
  <si>
    <t>RESPILEX D</t>
  </si>
  <si>
    <t>RESPILEX D XL SYP</t>
  </si>
  <si>
    <t>SATMOL 650 TAB</t>
  </si>
  <si>
    <t>SCABAR SOAP</t>
  </si>
  <si>
    <t>TERACOLD TAB</t>
  </si>
  <si>
    <t>XECLONE GEL</t>
  </si>
  <si>
    <t>XERODASE D TAB</t>
  </si>
  <si>
    <t>ZIPCEF 200 TAB</t>
  </si>
  <si>
    <t>ZIPCEF AZ TAB</t>
  </si>
  <si>
    <t>ZIPCEF LB TAB</t>
  </si>
  <si>
    <t>ALLYCARE</t>
  </si>
  <si>
    <t>SHE BIOLOGICALS</t>
  </si>
  <si>
    <t>BONEMAC XT TABLET</t>
  </si>
  <si>
    <t>CABERSOL 0.5 TAB</t>
  </si>
  <si>
    <t>CANDLE</t>
  </si>
  <si>
    <t>CLOMIPREG 50 TAB</t>
  </si>
  <si>
    <t>CLOMIPREG Q50 TAB</t>
  </si>
  <si>
    <t>COOKWARE SET 4 PCS</t>
  </si>
  <si>
    <t>DIMILITE CREAM</t>
  </si>
  <si>
    <t>DOXYLAC P TAB</t>
  </si>
  <si>
    <t>DUROCAL M</t>
  </si>
  <si>
    <t>FEMOSTAT TX</t>
  </si>
  <si>
    <t>FENTIFIL CAPSULE</t>
  </si>
  <si>
    <t>FLUZEST AS KIT</t>
  </si>
  <si>
    <t>FOLIDATE PLUS TAB</t>
  </si>
  <si>
    <t>FOLIDATE M TAB</t>
  </si>
  <si>
    <t>INTIMA VAGINAL WASH</t>
  </si>
  <si>
    <t>ISOREST 40SR TAB</t>
  </si>
  <si>
    <t>LETROGEST 2.5MG TAB</t>
  </si>
  <si>
    <t>LETROGEST 5MG TAB</t>
  </si>
  <si>
    <t>LYCOZIP SYP</t>
  </si>
  <si>
    <t>M GEST TAB</t>
  </si>
  <si>
    <t>MICOSET DHA CAP</t>
  </si>
  <si>
    <t>MILK BOOM TAB</t>
  </si>
  <si>
    <t>NORMONE 5</t>
  </si>
  <si>
    <t>NORMONE 5 TAB</t>
  </si>
  <si>
    <t>OVATRIG TAB</t>
  </si>
  <si>
    <t>PANKRELAX TABLET</t>
  </si>
  <si>
    <t>PREFOLE TAB</t>
  </si>
  <si>
    <t>PREGAFIRM L</t>
  </si>
  <si>
    <t>PREGAFIRM TAB</t>
  </si>
  <si>
    <t>SPERBOOST TAB</t>
  </si>
  <si>
    <t>SUREGEST 200 INJ</t>
  </si>
  <si>
    <t>SUREGEST 200SR TAB</t>
  </si>
  <si>
    <t>SUREGEST 200 TAB</t>
  </si>
  <si>
    <t>TEXACARE MF TAB</t>
  </si>
  <si>
    <t>URIGUT 100SR TAB</t>
  </si>
  <si>
    <t>VAGILYTE CAP</t>
  </si>
  <si>
    <t xml:space="preserve">                            KRISHNADEV ENTERPRISES</t>
  </si>
  <si>
    <t xml:space="preserve">            LG-173-A,DAWA BAZAR,13-14 RNT MARG,INDORE INDORE (M.P)</t>
  </si>
  <si>
    <t xml:space="preserve"> Phone : 8989064571,7773889973,8718888688 E-Mail : dheerajbhurani28@gmail.com</t>
  </si>
  <si>
    <t xml:space="preserve">                            GSTIN : 23AAVFK0576G1Z4</t>
  </si>
  <si>
    <t/>
  </si>
  <si>
    <t xml:space="preserve">                                   PRICE LIST</t>
  </si>
  <si>
    <t>S.NO.</t>
  </si>
  <si>
    <t>ITEM DESCRIPTION</t>
  </si>
  <si>
    <t>RATE</t>
  </si>
  <si>
    <t>ACEBREL PLUS SYP                          100ML</t>
  </si>
  <si>
    <t>ACEBREL-200 TABS                          1*10 TAB</t>
  </si>
  <si>
    <t>ACEBREL-FM TAB                            10TAB</t>
  </si>
  <si>
    <t>ACEBREL-PLUS                              1*10 TAB</t>
  </si>
  <si>
    <t>ACLINA 300 CAP                            1*10</t>
  </si>
  <si>
    <t>ACLINA 600 INJ                            4 ML</t>
  </si>
  <si>
    <t>ACLINA-A OINTMENT                         15GM</t>
  </si>
  <si>
    <t>ALDOXYL LB CAP                            1X10</t>
  </si>
  <si>
    <t>ALDOXYL-C VIAL                            100 MG</t>
  </si>
  <si>
    <t>ALFLAZ 30 TAB                             1X10</t>
  </si>
  <si>
    <t>ALFLAZ 6 TAB                              1X10</t>
  </si>
  <si>
    <t>ALFLAZ-6 SUSP                             30ML</t>
  </si>
  <si>
    <t>ALOXCID SYP                               170ML</t>
  </si>
  <si>
    <t>ALREGA CAP                                1*10</t>
  </si>
  <si>
    <t>ALREGA-NT                                 10TAB</t>
  </si>
  <si>
    <t>ALREGA-NT PLUS TAB                        10X10</t>
  </si>
  <si>
    <t>AMERIN LS 100 ML                          100 ML</t>
  </si>
  <si>
    <t>AMERIN SYP                                100 ML</t>
  </si>
  <si>
    <t>AMERIN-DX TAB                             1*10 TAB</t>
  </si>
  <si>
    <t>AMERIN-LS(WS) SYP                         100 ML</t>
  </si>
  <si>
    <t>AMERIN-LS(WS) SYP                         60ML</t>
  </si>
  <si>
    <t>AMROXIL CV 228.5 DS                       X30ML</t>
  </si>
  <si>
    <t>AMROXIL CV 457 DS                         30 ML</t>
  </si>
  <si>
    <t>AMROXIL CV 625 LB TAB                     1*10</t>
  </si>
  <si>
    <t>AMROXIL CV-375 TAB                        1X6</t>
  </si>
  <si>
    <t>AMROXIL CV-625 TAB                        1X6</t>
  </si>
  <si>
    <t>AMROXIL-CV 625 LB TAB                     10X1X6</t>
  </si>
  <si>
    <t>AMROXIL-D CAPSULE                         10 CAP</t>
  </si>
  <si>
    <t>ARFLEX-R CAP                              10*</t>
  </si>
  <si>
    <t>ASIBLOC SYP                               100ML</t>
  </si>
  <si>
    <t>ATETOR-10                                 10</t>
  </si>
  <si>
    <t>ATETOR-20                                 10</t>
  </si>
  <si>
    <t>AZIPRIL 100 SUSP                          30 ML</t>
  </si>
  <si>
    <t>AZIPRIL 200 SUSP                          30ML</t>
  </si>
  <si>
    <t>AZIPRIL 500 TAB                           1*3</t>
  </si>
  <si>
    <t>AZIPRIL 500 TAB                           1*5</t>
  </si>
  <si>
    <t>BEVORIN-PLUS                              10 TAB</t>
  </si>
  <si>
    <t>BILASKA SUSP                              60ML</t>
  </si>
  <si>
    <t>BILASKA-M TAB                             *10</t>
  </si>
  <si>
    <t>BIOTRIL SACHET   (18%)                    1SACHET</t>
  </si>
  <si>
    <t>BRIOR CAP                                 1*10</t>
  </si>
  <si>
    <t>BRIOR CAP                                 10 CAP</t>
  </si>
  <si>
    <t>C-BOURENE INJ.                            6ML</t>
  </si>
  <si>
    <t>C-BOURNE PLUS                             1X15</t>
  </si>
  <si>
    <t>CALA-PRO LOTION                           100ML</t>
  </si>
  <si>
    <t>CALACIS MZ TAB                            1*15</t>
  </si>
  <si>
    <t>CALCILYF K27                              10 TAB</t>
  </si>
  <si>
    <t>CALCILYF K27(DRUG)                        10</t>
  </si>
  <si>
    <t>CALCIS-D3 TAB                             1*30</t>
  </si>
  <si>
    <t>CALLUM D3 DROP (MF)                       4*5ML</t>
  </si>
  <si>
    <t>CALLUM D3 DROPS (BS)                      4*5ML</t>
  </si>
  <si>
    <t>CALLUM D3 MAX S/G                         1*10</t>
  </si>
  <si>
    <t>CALLUM D3 SACHET                          1GM</t>
  </si>
  <si>
    <t>Continued..2</t>
  </si>
  <si>
    <t>KRISHNADEV ENTERPRISES</t>
  </si>
  <si>
    <t>PRICE</t>
  </si>
  <si>
    <t>LIST                                                          Page</t>
  </si>
  <si>
    <t>No..2</t>
  </si>
  <si>
    <t>CALLUM-D3 KID AQUA                        X5ML</t>
  </si>
  <si>
    <t>CALLUM-D3 TAB                             1*4TAB</t>
  </si>
  <si>
    <t>CAMLOR PLUS TAB                           1*10</t>
  </si>
  <si>
    <t>CEPOLEX-250DT TAB                         1*10 TAB</t>
  </si>
  <si>
    <t>CEPOLEX-500 CAPS                          1*10</t>
  </si>
  <si>
    <t>CIFLOBACT-TZ                              1*10</t>
  </si>
  <si>
    <t>CILACAST IM                               1 GM</t>
  </si>
  <si>
    <t>CILWAX (EAR DROP)                         X10ML</t>
  </si>
  <si>
    <t>CITICAM PLUS TABLET                       10 TAB</t>
  </si>
  <si>
    <t>CITRADIL SYP                              100ML</t>
  </si>
  <si>
    <t>CLAROFF 500 TAB                           1X6</t>
  </si>
  <si>
    <t>CLAROFF D/S                               30ML</t>
  </si>
  <si>
    <t>CLAROFF-250 TABS                          1*4</t>
  </si>
  <si>
    <t>CO-LYF S/G                                1*10</t>
  </si>
  <si>
    <t>CONMIST TABS                              4 TAB</t>
  </si>
  <si>
    <t>CORACIS S/G                               10</t>
  </si>
  <si>
    <t>CORACIS SOFT CAP                          10X1X10</t>
  </si>
  <si>
    <t>DEOLIV 300 TAB                            1X10</t>
  </si>
  <si>
    <t>DICLOVEL-GEL                              30GM</t>
  </si>
  <si>
    <t>DICOVEL MR TABS                           10 TAB</t>
  </si>
  <si>
    <t>DICOVEL-SP TAB                            1*10TAB</t>
  </si>
  <si>
    <t>DOXOFLY-M TAB                             1*10</t>
  </si>
  <si>
    <t>DOXYRIDE TAB                              1*10</t>
  </si>
  <si>
    <t>DUPANTA 40 INJ                            VIAL</t>
  </si>
  <si>
    <t>DUPANTA-40 TAB                            15 TABS</t>
  </si>
  <si>
    <t>DUPANTA-D TAB                             1*10</t>
  </si>
  <si>
    <t>DUPANTA-DSR CAP                           10X10</t>
  </si>
  <si>
    <t>DUPANTA-HP KIT                            1*10</t>
  </si>
  <si>
    <t>DUPANTA-LS CAP                            X10CAP</t>
  </si>
  <si>
    <t>ELQUIX 500 TAB                            1X5 TAB</t>
  </si>
  <si>
    <t>ENFRIO TAB                                10 TAB</t>
  </si>
  <si>
    <t>ESCINIX-CZ TAB                            *10</t>
  </si>
  <si>
    <t>ESOROL-40 TAB                             1*10TAB</t>
  </si>
  <si>
    <t>ETOMIGHT 400 ER                           1X10</t>
  </si>
  <si>
    <t>ETOMIGHT-600 ER                           1*10</t>
  </si>
  <si>
    <t>FAROHIT 200 TABLET                        6 TAB</t>
  </si>
  <si>
    <t>FENALIN-200 SR TAB                        1*10 TAB</t>
  </si>
  <si>
    <t>FENALIN-GEL                               X30GM</t>
  </si>
  <si>
    <t>FENALIN-PLUS SUSP                         X60ML</t>
  </si>
  <si>
    <t>FENALIN-PLUS TAB                          1*10TAB</t>
  </si>
  <si>
    <t>FENALIN-SP TAB                            1X10</t>
  </si>
  <si>
    <t>FEXOPIL-M TAB                             1*10TAB</t>
  </si>
  <si>
    <t>FIXIP 100DT TAB                           1*10</t>
  </si>
  <si>
    <t>FIXIP DS LB                               30 ML</t>
  </si>
  <si>
    <t>FIXIP-100 LB (DS)                         X30ML</t>
  </si>
  <si>
    <t>FIXIP-200 DT TAB                          1X10</t>
  </si>
  <si>
    <t>FIXIP-CV TAB                              '6 TAB</t>
  </si>
  <si>
    <t>FIXIP-O TAB                               1*103</t>
  </si>
  <si>
    <t>FLOVIX 200 TAB                            1X10</t>
  </si>
  <si>
    <t>FLOVIX-MS SUSP                            60ML</t>
  </si>
  <si>
    <t>FLOVIX-OZ TAB                             1*10</t>
  </si>
  <si>
    <t>FLUTRON F                                 6GM</t>
  </si>
  <si>
    <t>FUROTIN-SR TAB                            10 TAB</t>
  </si>
  <si>
    <t>FUTEX-125 D/S                             X30ML</t>
  </si>
  <si>
    <t>FUTEX-250                                 *10</t>
  </si>
  <si>
    <t>GLIMIGHTY M1 TAB                          1*10</t>
  </si>
  <si>
    <t>GLIMIGHTY M2 TAB                          1*10</t>
  </si>
  <si>
    <t>GLUTROX                                   10</t>
  </si>
  <si>
    <t>GLUVOG 0.3 TAB                            10 TAB</t>
  </si>
  <si>
    <t>GLUVOG M 0.3 TAB                          10 TAB</t>
  </si>
  <si>
    <t>Continued..3</t>
  </si>
  <si>
    <t>No..3</t>
  </si>
  <si>
    <t>GROSSVIT 12G                              1*10</t>
  </si>
  <si>
    <t>GROSSVIT-4G CAP                           10X1X10</t>
  </si>
  <si>
    <t>IBUREIGN-P SUSP                           X60ML</t>
  </si>
  <si>
    <t>IMIPOD CV DS EXTRA                        30ML</t>
  </si>
  <si>
    <t>IMIPOD-100  TAB                           1*10 TAB</t>
  </si>
  <si>
    <t>IMIPOD-CV TAB                             1*6</t>
  </si>
  <si>
    <t>IMIPOD-O TAB                              1*10 TAB</t>
  </si>
  <si>
    <t>ISORON 20 CAP                             1X10</t>
  </si>
  <si>
    <t>IVAZOLE-12 TAB                            10X10</t>
  </si>
  <si>
    <t>IVAZOLE-A TAB                             1 TAB</t>
  </si>
  <si>
    <t>KETOMIZE-10DT                             10*15</t>
  </si>
  <si>
    <t>KYLIN PLUS TAB                            10X10</t>
  </si>
  <si>
    <t>KYLIN TAB                                 1*10</t>
  </si>
  <si>
    <t>KYLIN-D TAB                               10X10</t>
  </si>
  <si>
    <t>LAIZAL SYP                                60ML</t>
  </si>
  <si>
    <t>LAIZAL-5 TAB                              20X10</t>
  </si>
  <si>
    <t>LAIZAL-DX SYP                             100 ML</t>
  </si>
  <si>
    <t>LAIZAL-M 60ML                             60 ML</t>
  </si>
  <si>
    <t>LAIZAL-M KID TAB                          10*10</t>
  </si>
  <si>
    <t>LAIZAL-M TABS                             1*10</t>
  </si>
  <si>
    <t>LAIZAL-PLUS TAB                           1X10</t>
  </si>
  <si>
    <t>LAXOPRESS                                 90 GM</t>
  </si>
  <si>
    <t>LETGUL TABLET                             10 TAB</t>
  </si>
  <si>
    <t>LOGITOP 50 ER                             10 TABS</t>
  </si>
  <si>
    <t>LOZICON 20 GM                             20 GM</t>
  </si>
  <si>
    <t>LYCOXIL SOFTGEL                           1X10</t>
  </si>
  <si>
    <t>MEFADOL-DUO(TAB)                          1*10TAB</t>
  </si>
  <si>
    <t>MEFADOL-P TAB                             1*10TAB</t>
  </si>
  <si>
    <t>MERVIN 1 GM                               VIAL</t>
  </si>
  <si>
    <t>METAQUIN CREAM                            20 GM</t>
  </si>
  <si>
    <t>METOLET-XL 50                             1*10</t>
  </si>
  <si>
    <t>MIGHTY-LIV CAP                            1*10</t>
  </si>
  <si>
    <t>MIGHTY-LIV SUSP                           X200ML</t>
  </si>
  <si>
    <t>MOLCIS-D                                  10</t>
  </si>
  <si>
    <t>MOVILOX TABLET                            1X5 TAB</t>
  </si>
  <si>
    <t>MUCOTEL-3D TABLET                         10 TAB</t>
  </si>
  <si>
    <t>NAPRONIC-D TAB                            1*10</t>
  </si>
  <si>
    <t>NUALIN ALIVE TAB                          1*10</t>
  </si>
  <si>
    <t>NUALIN-SP TAB                             10*10</t>
  </si>
  <si>
    <t>NUROTAL PG                                10</t>
  </si>
  <si>
    <t>NUROTAL PLUS S/G CAP                      10*1</t>
  </si>
  <si>
    <t>NUROTAL SOFT                              1X10</t>
  </si>
  <si>
    <t>NUROTAL-PG-SR-PLUS                        10</t>
  </si>
  <si>
    <t>NYRIS-S NAZAL SPRAY                       10 ML</t>
  </si>
  <si>
    <t>NYRIZ NASAL DROP                          10ML</t>
  </si>
  <si>
    <t>NYRIZ S NAZAL DROP                        10 ML</t>
  </si>
  <si>
    <t>NYRIZ-P NASAL DROP                        10ML</t>
  </si>
  <si>
    <t>OLMECIL-TRIO TAB                          1*10 TAB</t>
  </si>
  <si>
    <t>OREFLO PLUS TABLET                        10 TAB</t>
  </si>
  <si>
    <t>OREFLO-0.4 TABLET                         10 TAB</t>
  </si>
  <si>
    <t>OTIVION EAR DROPS                         5 ML</t>
  </si>
  <si>
    <t>OVERIL PACE TABS                          10 TAB</t>
  </si>
  <si>
    <t>OZEROL-D CAP                              *10</t>
  </si>
  <si>
    <t>PENTEON NT TAB                            15 TAB</t>
  </si>
  <si>
    <t>PENTEON NT TAB                            1X15</t>
  </si>
  <si>
    <t>PICOFIN SYP                               100ML</t>
  </si>
  <si>
    <t>PIREXIL TAB                               *10</t>
  </si>
  <si>
    <t>PIVOLACT SYP                              200ML</t>
  </si>
  <si>
    <t>PORIUM SYRUP                              60 ML</t>
  </si>
  <si>
    <t>PREDLITE 40 MG INJ                        1 ML</t>
  </si>
  <si>
    <t>PREDLITE 80 MG INJ                        2ML</t>
  </si>
  <si>
    <t>Continued..4</t>
  </si>
  <si>
    <t>No..4</t>
  </si>
  <si>
    <t>PREDLITE-16 TAB                           1X10</t>
  </si>
  <si>
    <t>PREDLITE-4 TAB                            10X10</t>
  </si>
  <si>
    <t>PREDLITE-8 TAB                            1*10</t>
  </si>
  <si>
    <t>PRODUCT DEVOLOPMENT CHARGES</t>
  </si>
  <si>
    <t>PROTAQ POW                                X200GM</t>
  </si>
  <si>
    <t>PURADEX SYRUP                             100 ML</t>
  </si>
  <si>
    <t>PURCHASE 12%</t>
  </si>
  <si>
    <t>RABAMIN 20 TAB                            *10</t>
  </si>
  <si>
    <t>RABAMIN D TAB                             1*10</t>
  </si>
  <si>
    <t>RABAMIN-DSR CAP                           1X10 CAP</t>
  </si>
  <si>
    <t>RACTUM 4.5 GM                             VIAL</t>
  </si>
  <si>
    <t>RATICON 100 SB CAPSULE                    10 CAP</t>
  </si>
  <si>
    <t>RATICON 50 SB CAPSULE                     10 CAP</t>
  </si>
  <si>
    <t>REROSE F TABLET                           10 TAB</t>
  </si>
  <si>
    <t>REROSE-10 TABS                            10 TABS</t>
  </si>
  <si>
    <t>RESPILIFT CAP                             1*10</t>
  </si>
  <si>
    <t>RIFAXUM-400 TAB                           1X10TAB</t>
  </si>
  <si>
    <t>ROOSNIL CLEAR SOAP                        75N GM</t>
  </si>
  <si>
    <t>ROSIPEP S/G                               1*10</t>
  </si>
  <si>
    <t>SERRALIN-D TAB                            1*10TAB</t>
  </si>
  <si>
    <t>SILODYNE-8 CAPSULE                        10 CAP</t>
  </si>
  <si>
    <t>SILODYNE-D8 CAPSULE                       10 CAP</t>
  </si>
  <si>
    <t>SLUSH MOUTHWASH                           100ML</t>
  </si>
  <si>
    <t>SLUSH TOOTH GEL                           X50GM</t>
  </si>
  <si>
    <t>SPURON TAB                                1X10</t>
  </si>
  <si>
    <t>SUCRADIL-O 100ML                          100ML</t>
  </si>
  <si>
    <t>SUCRADIL-O SYP                            200 ML</t>
  </si>
  <si>
    <t>TALMIDOZ TRIO TAB                         1*10</t>
  </si>
  <si>
    <t>TALMIDOZ-40 TAB                           20X10</t>
  </si>
  <si>
    <t>TALMIDOZ-A TAB                            10X10</t>
  </si>
  <si>
    <t>TAURIB 90 TAB                             1X10</t>
  </si>
  <si>
    <t>TAURIB MR TAB                             1X10</t>
  </si>
  <si>
    <t>TAURIB-120 TABS                           1*10TAB</t>
  </si>
  <si>
    <t>TAURIB-MR TAB                             10 TAB</t>
  </si>
  <si>
    <t>TAURIB-MR8 TAB                            *10</t>
  </si>
  <si>
    <t>TAURIB-PG 60/75                           10</t>
  </si>
  <si>
    <t>TAURIB-PLUS TAB                           *10</t>
  </si>
  <si>
    <t>TEAR GO E/D                               10 ML</t>
  </si>
  <si>
    <t>TELEFORD-AM                               1*10</t>
  </si>
  <si>
    <t>TELMIBIT 40                               1*0</t>
  </si>
  <si>
    <t>TOSSNIC SYP                               60ML</t>
  </si>
  <si>
    <t>TRUQUIL SYP                               100ML</t>
  </si>
  <si>
    <t>TRUQUIL TAB                               10 TAB</t>
  </si>
  <si>
    <t>URIDOC-O TABLET                           10 TAB</t>
  </si>
  <si>
    <t>UROZOSIN-10 TABLET                        10 TAB</t>
  </si>
  <si>
    <t>UTIDOZ CAPSULE                            10 CAP</t>
  </si>
  <si>
    <t>VERTIBIN-16 TAB                           *10</t>
  </si>
  <si>
    <t>VILGAID-DP 100/10                         10</t>
  </si>
  <si>
    <t>VITRION-200ML                             200ML</t>
  </si>
  <si>
    <t>VOXLIN DRY SYP                            30ML</t>
  </si>
  <si>
    <t>VOXLIN-600                                1*6</t>
  </si>
  <si>
    <t>X DUPANTA-40 TAB                          1*10</t>
  </si>
  <si>
    <t>XYMOR(F) SYP                              X200ML</t>
  </si>
  <si>
    <t>ZZZ</t>
  </si>
  <si>
    <t>GETRON PHARMACEUTICALS</t>
  </si>
  <si>
    <t>ALOVERA GEL                               100GM</t>
  </si>
  <si>
    <t>AZMY 200 SYP                              15 ML</t>
  </si>
  <si>
    <t>Beneral tab                               x10</t>
  </si>
  <si>
    <t>CALCIGET D3 NANO SHOT                     1X4X5ML</t>
  </si>
  <si>
    <t>CALCIGET SYP                              200ML</t>
  </si>
  <si>
    <t>Continued..5</t>
  </si>
  <si>
    <t>No..5</t>
  </si>
  <si>
    <t>CALCIGET TAB                              10X15</t>
  </si>
  <si>
    <t>CALCIGET-D3 SACHET                        1X20</t>
  </si>
  <si>
    <t>CAMA CAP                                  10X10</t>
  </si>
  <si>
    <t>CAMA OIL                                  15ML</t>
  </si>
  <si>
    <t>CAMA PLUS CAP                             10X1X10</t>
  </si>
  <si>
    <t>CEFICO-100 W/W                            100ML</t>
  </si>
  <si>
    <t>Cefico-50 w/w                             x30ml</t>
  </si>
  <si>
    <t>CEFICO-AZ TAB                             10X10</t>
  </si>
  <si>
    <t>CITIRON 5 TAB                             1X10</t>
  </si>
  <si>
    <t>CITIRON M KID TAB                         1X10</t>
  </si>
  <si>
    <t>COGET PLUS TAB                            1*10</t>
  </si>
  <si>
    <t>DERMOCLIV TAB                             1X10</t>
  </si>
  <si>
    <t>DICRON SP TAB                             1X10</t>
  </si>
  <si>
    <t>DXL CAPS                                  1X10</t>
  </si>
  <si>
    <t>ESKOGET-DSR                               1X10CAP</t>
  </si>
  <si>
    <t>F2TOP SYP                                 200ML</t>
  </si>
  <si>
    <t>FABILIZER CAP COMBO                       1X20</t>
  </si>
  <si>
    <t>FABILIZER SYP COMBO                       200ML</t>
  </si>
  <si>
    <t>FIZAMP-AZ TAB                             1*10</t>
  </si>
  <si>
    <t>G GESIC AT TAB                            1X10</t>
  </si>
  <si>
    <t>G-CLEAR                                   100GM</t>
  </si>
  <si>
    <t>G-FRESH BALM                              25GM</t>
  </si>
  <si>
    <t>G-FRESH CREAM                             X50GM</t>
  </si>
  <si>
    <t>G-VOSH                                    100 ML</t>
  </si>
  <si>
    <t>GETCORT 6 TABLET                          1X10</t>
  </si>
  <si>
    <t>GETERBI 250 TABLET                        1X7</t>
  </si>
  <si>
    <t>GETPOD 50 D/S W/W                         30 ML</t>
  </si>
  <si>
    <t>GETPOD-100 D/S                            X30ML</t>
  </si>
  <si>
    <t>Getvastin 10 tab                          x10</t>
  </si>
  <si>
    <t>Getvastin 20 tab                          x10</t>
  </si>
  <si>
    <t>GETVM CAP                                 X10CAP</t>
  </si>
  <si>
    <t>GETVM-4G CAP                              10X1X10</t>
  </si>
  <si>
    <t>GILOY TULSI SYP                           X200ML</t>
  </si>
  <si>
    <t>GIVERTIN 16 TAB                           1X10</t>
  </si>
  <si>
    <t>GLIMCARE M1 TAB                           x10</t>
  </si>
  <si>
    <t>Glimcare-m2                               x10</t>
  </si>
  <si>
    <t>HIMDARSH OIL                              100 ML</t>
  </si>
  <si>
    <t>IVERSUNG 12 TAB                           1X10</t>
  </si>
  <si>
    <t>LYCOGET CAP                               X10CAP</t>
  </si>
  <si>
    <t>LYCOGET-M SOFT GEL                        X10CAP</t>
  </si>
  <si>
    <t>MOXIPLY DS SYP                            30ML</t>
  </si>
  <si>
    <t>MOXIPLY-DX CAP                            10X10</t>
  </si>
  <si>
    <t>NO DAAG CAP                               30CAP</t>
  </si>
  <si>
    <t>P-FREE CAP                                1X30</t>
  </si>
  <si>
    <t>RAAHAT CREAM                              30GM</t>
  </si>
  <si>
    <t>ROOP SOFT CREAM                           15 GM</t>
  </si>
  <si>
    <t>TULSI DROP                                30ML</t>
  </si>
  <si>
    <t>UTRIWELL CAPSULE                          4 TAB</t>
  </si>
  <si>
    <t>VIKALP POWDER                             100GM</t>
  </si>
  <si>
    <t>ZINREDRO TAB                              1X10</t>
  </si>
  <si>
    <t>ZYMGET DROPS                              30 ML</t>
  </si>
  <si>
    <t>ZZ.BB-GROW LOTION                         100ML</t>
  </si>
  <si>
    <t>AZIKEM 250                                1X6</t>
  </si>
  <si>
    <t>AZIKEM 500                                1X3</t>
  </si>
  <si>
    <t>AZIKEX-250 TAB                            1*6</t>
  </si>
  <si>
    <t>AZIKEX-500 TAB                            1X3</t>
  </si>
  <si>
    <t>AZIKIS 250 TAB                            1X6</t>
  </si>
  <si>
    <t>AZIKIS 500 TAB                            1X3</t>
  </si>
  <si>
    <t>Continued..6</t>
  </si>
  <si>
    <t>No..6</t>
  </si>
  <si>
    <t>CALKIN D3 TAB                             X10</t>
  </si>
  <si>
    <t>CALKIN PLUS (B)                           X 10TAB</t>
  </si>
  <si>
    <t>CALKIN PLUS TAB                           1*10</t>
  </si>
  <si>
    <t>CEFKIN 100 TAB                            1X10</t>
  </si>
  <si>
    <t>CEFKIN 200 TAB                            1X10</t>
  </si>
  <si>
    <t>DICLOSIS MR TAB                           1X10</t>
  </si>
  <si>
    <t>DICLOSIS P TAB                            X10</t>
  </si>
  <si>
    <t>DICLOSIS SP TAB                           1X10</t>
  </si>
  <si>
    <t>DOCTOR CARE STEAMER                       3+1</t>
  </si>
  <si>
    <t>ENZYKIN SYP                               200 ML</t>
  </si>
  <si>
    <t>FERICIS XT SYP                            200 ML</t>
  </si>
  <si>
    <t>FIXAMP-AZ                                 1*10</t>
  </si>
  <si>
    <t>FLUKIN 150 TAB                            1*1</t>
  </si>
  <si>
    <t>GABASIS PLUS TAB                          1X10</t>
  </si>
  <si>
    <t>GLIVN-PM2                                 1*10</t>
  </si>
  <si>
    <t>HEPAKIN                                   200 ML</t>
  </si>
  <si>
    <t>KINCORT-6 TAB                             X10</t>
  </si>
  <si>
    <t>KINECOLD DROP                             15 ML</t>
  </si>
  <si>
    <t>KINECOLD SUSP                             60 ML</t>
  </si>
  <si>
    <t>KINEFLAM MR TAB                           X10</t>
  </si>
  <si>
    <t>KINEFLAM NP TAB                           X10</t>
  </si>
  <si>
    <t>KINEFLAM P TAB                            1*10</t>
  </si>
  <si>
    <t>KINEFLAM SP TAB                           1X10</t>
  </si>
  <si>
    <t>KINEFRESH                                 100 ML</t>
  </si>
  <si>
    <t>KINEPOD 100 D/S                           30 ML</t>
  </si>
  <si>
    <t>KINEPOD 50                                30 ML</t>
  </si>
  <si>
    <t>KINOF 200                                 X10</t>
  </si>
  <si>
    <t>KINOF OZ TAB                              1X10</t>
  </si>
  <si>
    <t>KINTEL TAB                                20*1</t>
  </si>
  <si>
    <t>KINTOR 90 TAB                             10X10</t>
  </si>
  <si>
    <t>KINTOR MR                                 X10</t>
  </si>
  <si>
    <t>KINTRA 100 TAB                            X10</t>
  </si>
  <si>
    <t>KINTRA 200 TAB                            X4</t>
  </si>
  <si>
    <t>Kintra-100 TAB                            x10</t>
  </si>
  <si>
    <t>KIROX BR SYP                              100 ML</t>
  </si>
  <si>
    <t>KIROX DX SYP                              100 ML</t>
  </si>
  <si>
    <t>KITCHEN SAFE                              1*500ML</t>
  </si>
  <si>
    <t>LEVOZINE FX TAB                           1X10</t>
  </si>
  <si>
    <t>LEVOZINE M TAB                            1X10</t>
  </si>
  <si>
    <t>LEVOZINE-5 TAB                            *10</t>
  </si>
  <si>
    <t>MAQ-Q10                                   10</t>
  </si>
  <si>
    <t>MEFSIS D TAB                              1*10</t>
  </si>
  <si>
    <t>MOXCIS CL CAP                             X10</t>
  </si>
  <si>
    <t>MOXCIS CV 625 LB                          1*10 TAB</t>
  </si>
  <si>
    <t>MOXCIS CV 625 TAB                         1X6</t>
  </si>
  <si>
    <t>MOXCIS CV FORTE                           30 ML</t>
  </si>
  <si>
    <t>OMEKIN 20 CAP                             X10</t>
  </si>
  <si>
    <t>OMEKIN D CAP                              X10</t>
  </si>
  <si>
    <t>ONDENSIS 4                                X10</t>
  </si>
  <si>
    <t>PANKIS DSR CAP                            X10</t>
  </si>
  <si>
    <t>PARAKIN 650 TAB                           1X10</t>
  </si>
  <si>
    <t>PARAKIN DROP                              15 ML</t>
  </si>
  <si>
    <t>PROTIRICH SYP                             200 ML</t>
  </si>
  <si>
    <t>RABESIS DSR CAP                           X10</t>
  </si>
  <si>
    <t>VITKIN DROPS                              30 ML</t>
  </si>
  <si>
    <t>VITKIN M                                  1X10</t>
  </si>
  <si>
    <t>VITKIN PLUS TAB                           1X10</t>
  </si>
  <si>
    <t>VITKIN TAB                                X10</t>
  </si>
  <si>
    <t>VITKIN-L SYP                              200ML</t>
  </si>
  <si>
    <t>ALBIS-IV                                  10ML</t>
  </si>
  <si>
    <t>Continued..7</t>
  </si>
  <si>
    <t>No..7</t>
  </si>
  <si>
    <t>AXOCLAV 228.5 TAB                         1X10</t>
  </si>
  <si>
    <t>AXOCLAV DRY SYRUP                         30 ML</t>
  </si>
  <si>
    <t>AXOCLAV DS SYP                            30 ML</t>
  </si>
  <si>
    <t>B2-WELL FD TAB                            30TAB</t>
  </si>
  <si>
    <t>B2-WELL TAB                               1X10</t>
  </si>
  <si>
    <t>BLOOMCOLD TAB                             1X10</t>
  </si>
  <si>
    <t>CALCIFILL DROPS                           30 ML</t>
  </si>
  <si>
    <t>CALCIFILL FORTE TAB                       1X10</t>
  </si>
  <si>
    <t>CALSOVIT TAB                              1X10</t>
  </si>
  <si>
    <t>CAPSIDAC GEL                              30 GM</t>
  </si>
  <si>
    <t>CEDOMAX 100 DT TAB                        1X10</t>
  </si>
  <si>
    <t>CEDOMAX 200 TAB                           1X10</t>
  </si>
  <si>
    <t>COLIVID DROPS                             X15ML</t>
  </si>
  <si>
    <t>CYFLOW-T SYRUP                            200 ML</t>
  </si>
  <si>
    <t>DEFU SUSP                                 30ML</t>
  </si>
  <si>
    <t>ESOSTRIC DSR CAP                          1X10</t>
  </si>
  <si>
    <t>FEMICARE CHOCOLATE                        200 GM</t>
  </si>
  <si>
    <t>FEMICARE VANILA                           X200GM</t>
  </si>
  <si>
    <t>FOLISPY PLUS TAB                          1X10</t>
  </si>
  <si>
    <t>IBUSAT P SUSP                             60 ML</t>
  </si>
  <si>
    <t>KETOSPY SOAP                              75 GM</t>
  </si>
  <si>
    <t>MEFU DS SUS                               60 ML</t>
  </si>
  <si>
    <t>MEFU P SUSP                               60 ML</t>
  </si>
  <si>
    <t>MYCET LMK                                 1X10</t>
  </si>
  <si>
    <t>MYVITAL CAP                               1X10</t>
  </si>
  <si>
    <t>OFRINE O EAR DROPS                        5 ML</t>
  </si>
  <si>
    <t>OFRINE OZ TAB                             1X10</t>
  </si>
  <si>
    <t>ORTHOPRO POWDER                           200 GM</t>
  </si>
  <si>
    <t>OXARIL P TAB                              1X10</t>
  </si>
  <si>
    <t>PROZU 200 TAB                             1X10</t>
  </si>
  <si>
    <t>RESIPILEX SYP                             60 ML</t>
  </si>
  <si>
    <t>RESIPLEX D SYP                            60 ML</t>
  </si>
  <si>
    <t>RESPILEX SYRUP                            60 ML</t>
  </si>
  <si>
    <t>RESPILEX XL SYP                           60ML</t>
  </si>
  <si>
    <t>RESPILEX-D                                100ML</t>
  </si>
  <si>
    <t>RESPILEX-D XL SYP                         100ML</t>
  </si>
  <si>
    <t>RESPILEX-D XL SYP                         60ML</t>
  </si>
  <si>
    <t>SATMOL-650 TAB                            1X15</t>
  </si>
  <si>
    <t>SCABAR SOAP                               75 GM</t>
  </si>
  <si>
    <t>TERACOLD TAB                              1X10</t>
  </si>
  <si>
    <t>XECLONE GEL                               30 GM</t>
  </si>
  <si>
    <t>XERODASE D TAB                            1X10</t>
  </si>
  <si>
    <t>ZIPCEF 200 TAB                            1X10</t>
  </si>
  <si>
    <t>ZIPCEF AZ TAB                             1X10</t>
  </si>
  <si>
    <t>ZIPCEF LB TAB                             1X10</t>
  </si>
  <si>
    <t>ALLYCARE                                  1X10</t>
  </si>
  <si>
    <t>BONEMAC-XT TABLET                         10 TAB</t>
  </si>
  <si>
    <t>CABERSOL 0.5 TAB                          1X4</t>
  </si>
  <si>
    <t>CLOMIPREG 50 TAB                          10 TABS</t>
  </si>
  <si>
    <t>CLOMIPREG Q50 TAB                         1X5</t>
  </si>
  <si>
    <t>DIMILITE CREAM                            30GM</t>
  </si>
  <si>
    <t>DOXYLAC-P TAB                             1X10</t>
  </si>
  <si>
    <t>DUROCAL-M                                 1*10</t>
  </si>
  <si>
    <t>FEMOSTAT TX                               1X10</t>
  </si>
  <si>
    <t>FENTIFIL CAPSULE                          10 CAP</t>
  </si>
  <si>
    <t>FLUZEST AS KIT                            1 KIT</t>
  </si>
  <si>
    <t>FOLIDATE PLUS TAB                         1X10</t>
  </si>
  <si>
    <t>Continued..8</t>
  </si>
  <si>
    <t>No..8</t>
  </si>
  <si>
    <t>FOLIDATE-M TAB                            1X10</t>
  </si>
  <si>
    <t>INTIMA VAGINAL WASH                       100ML</t>
  </si>
  <si>
    <t>ISOREST 40SR TAB                          1X10</t>
  </si>
  <si>
    <t>LETROGEST 2.5MG TAB                       1X5</t>
  </si>
  <si>
    <t>LETROGEST 5MG TAB                         1*10</t>
  </si>
  <si>
    <t>LYCOZIP SYP                               200ML</t>
  </si>
  <si>
    <t>M GEST TAB                                1X10</t>
  </si>
  <si>
    <t>MICOSET-DHA CAP                           10X10</t>
  </si>
  <si>
    <t>MILK BOOM TAB                             1X10</t>
  </si>
  <si>
    <t>NORMONE 5                                 1X10</t>
  </si>
  <si>
    <t>NORMONE 5 TAB                             10X10</t>
  </si>
  <si>
    <t>OVATRIG TAB                               1*10</t>
  </si>
  <si>
    <t>PANKRELAX TABLET                          10 TAB</t>
  </si>
  <si>
    <t>PREFOLE TAB                               10X10</t>
  </si>
  <si>
    <t>PREGAFIRM L                               1X10</t>
  </si>
  <si>
    <t>PREGAFIRM TAB                             1*10</t>
  </si>
  <si>
    <t>PRESTIGE HOME MAGIC MOP</t>
  </si>
  <si>
    <t>SPERBOOST TAB                             1*10</t>
  </si>
  <si>
    <t>SUREGEST 200 INJ.                         2ML</t>
  </si>
  <si>
    <t>SUREGEST 200SR TAB                        10X1X1</t>
  </si>
  <si>
    <t>SUREGEST-200 TAB                          1*10</t>
  </si>
  <si>
    <t>TEXACARE MF TAB                           1X10</t>
  </si>
  <si>
    <t>URIGUT 100SR TAB                          1X10</t>
  </si>
  <si>
    <t>VAGILYTE CAP                              1X3</t>
  </si>
  <si>
    <t>Our Software MARG Erp 9301090609,07314030609,07314249456</t>
  </si>
  <si>
    <t>COUNTA of Company Name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</si>
</sst>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color theme="1"/>
      <name val="Calibri"/>
      <scheme val="minor"/>
    </font>
    <font>
      <b/>
      <sz val="12.0"/>
      <color theme="1"/>
      <name val="Arial"/>
    </font>
    <font>
      <sz val="8.0"/>
      <color theme="1"/>
      <name val="Arial"/>
    </font>
    <font>
      <b/>
      <sz val="10.0"/>
      <color theme="1"/>
      <name val="Arial"/>
    </font>
    <font>
      <sz val="11.0"/>
      <color theme="1"/>
      <name val="Calibri"/>
    </font>
    <font/>
    <font>
      <b/>
      <sz val="11.0"/>
      <color theme="1"/>
      <name val="Arial"/>
    </font>
    <font>
      <sz val="10.0"/>
      <color theme="1"/>
      <name val="Arial"/>
    </font>
    <font>
      <sz val="10.0"/>
      <color theme="1"/>
      <name val="Courier New"/>
    </font>
    <font>
      <i/>
      <sz val="8.0"/>
      <color theme="1"/>
      <name val="Arial Narrow"/>
    </font>
  </fonts>
  <fills count="3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49" xfId="0" applyAlignment="1" applyBorder="1" applyFont="1" applyNumberFormat="1">
      <alignment horizontal="left" shrinkToFit="0" wrapText="0"/>
    </xf>
    <xf borderId="1" fillId="0" fontId="1" numFmtId="0" xfId="0" applyAlignment="1" applyBorder="1" applyFont="1">
      <alignment horizontal="left" shrinkToFit="0" wrapText="0"/>
    </xf>
    <xf borderId="1" fillId="0" fontId="1" numFmtId="0" xfId="0" applyAlignment="1" applyBorder="1" applyFont="1">
      <alignment horizontal="left" shrinkToFit="0" wrapText="0"/>
    </xf>
    <xf borderId="1" fillId="0" fontId="1" numFmtId="49" xfId="0" applyAlignment="1" applyBorder="1" applyFont="1" applyNumberFormat="1">
      <alignment horizontal="left" readingOrder="0" shrinkToFit="0" wrapText="0"/>
    </xf>
    <xf borderId="0" fillId="0" fontId="2" numFmtId="49" xfId="0" applyAlignment="1" applyFont="1" applyNumberFormat="1">
      <alignment horizontal="center" shrinkToFit="0" vertical="top" wrapText="0"/>
    </xf>
    <xf borderId="0" fillId="0" fontId="3" numFmtId="49" xfId="0" applyAlignment="1" applyFont="1" applyNumberFormat="1">
      <alignment horizontal="center" shrinkToFit="0" vertical="top" wrapText="0"/>
    </xf>
    <xf borderId="0" fillId="0" fontId="4" numFmtId="49" xfId="0" applyAlignment="1" applyFont="1" applyNumberFormat="1">
      <alignment horizontal="center" shrinkToFit="0" vertical="top" wrapText="0"/>
    </xf>
    <xf borderId="1" fillId="2" fontId="4" numFmtId="49" xfId="0" applyAlignment="1" applyBorder="1" applyFill="1" applyFont="1" applyNumberFormat="1">
      <alignment horizontal="center" shrinkToFit="0" vertical="top" wrapText="0"/>
    </xf>
    <xf borderId="2" fillId="0" fontId="5" numFmtId="0" xfId="0" applyAlignment="1" applyBorder="1" applyFont="1">
      <alignment shrinkToFit="0" vertical="bottom" wrapText="0"/>
    </xf>
    <xf borderId="3" fillId="0" fontId="6" numFmtId="0" xfId="0" applyBorder="1" applyFont="1"/>
    <xf borderId="4" fillId="0" fontId="6" numFmtId="0" xfId="0" applyBorder="1" applyFont="1"/>
    <xf borderId="5" fillId="0" fontId="7" numFmtId="49" xfId="0" applyAlignment="1" applyBorder="1" applyFont="1" applyNumberFormat="1">
      <alignment horizontal="left" shrinkToFit="0" vertical="top" wrapText="0"/>
    </xf>
    <xf borderId="5" fillId="0" fontId="6" numFmtId="0" xfId="0" applyBorder="1" applyFont="1"/>
    <xf borderId="1" fillId="0" fontId="8" numFmtId="1" xfId="0" applyAlignment="1" applyBorder="1" applyFont="1" applyNumberFormat="1">
      <alignment shrinkToFit="0" vertical="bottom" wrapText="0"/>
    </xf>
    <xf borderId="1" fillId="0" fontId="9" numFmtId="49" xfId="0" applyAlignment="1" applyBorder="1" applyFont="1" applyNumberFormat="1">
      <alignment shrinkToFit="0" vertical="bottom" wrapText="0"/>
    </xf>
    <xf borderId="1" fillId="0" fontId="8" numFmtId="2" xfId="0" applyAlignment="1" applyBorder="1" applyFont="1" applyNumberFormat="1">
      <alignment shrinkToFit="0" vertical="bottom" wrapText="0"/>
    </xf>
    <xf borderId="1" fillId="0" fontId="8" numFmtId="49" xfId="0" applyAlignment="1" applyBorder="1" applyFont="1" applyNumberFormat="1">
      <alignment shrinkToFit="0" vertical="bottom" wrapText="0"/>
    </xf>
    <xf borderId="5" fillId="0" fontId="10" numFmtId="0" xfId="0" applyAlignment="1" applyBorder="1" applyFont="1">
      <alignment horizontal="left" shrinkToFit="0" vertical="top" wrapText="0"/>
    </xf>
    <xf borderId="0" fillId="0" fontId="1" numFmtId="0" xfId="0" applyFont="1"/>
    <xf borderId="0" fillId="0" fontId="1" numFmtId="49" xfId="0" applyFont="1" applyNumberForma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0"/>
    <col customWidth="1" min="2" max="2" width="24.86"/>
    <col customWidth="1" min="3" max="3" width="13.86"/>
    <col customWidth="1" min="4" max="4" width="8.57"/>
    <col customWidth="1" min="5" max="5" width="11.86"/>
    <col customWidth="1" min="6" max="6" width="15.29"/>
    <col customWidth="1" min="7" max="7" width="8.14"/>
    <col customWidth="1" min="8" max="8" width="11.86"/>
    <col customWidth="1" min="9" max="9" width="8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>
      <c r="A2" s="1" t="s">
        <v>9</v>
      </c>
      <c r="B2" s="3" t="s">
        <v>10</v>
      </c>
      <c r="C2" s="3"/>
      <c r="D2" s="3"/>
      <c r="E2" s="3"/>
      <c r="F2" s="3"/>
      <c r="G2" s="3"/>
      <c r="H2" s="3"/>
      <c r="I2" s="3"/>
    </row>
    <row r="3">
      <c r="A3" s="1" t="s">
        <v>11</v>
      </c>
      <c r="B3" s="3" t="s">
        <v>10</v>
      </c>
      <c r="C3" s="3"/>
      <c r="D3" s="3"/>
      <c r="E3" s="3"/>
      <c r="F3" s="3"/>
      <c r="G3" s="3"/>
      <c r="H3" s="3"/>
      <c r="I3" s="3"/>
    </row>
    <row r="4">
      <c r="A4" s="1" t="s">
        <v>12</v>
      </c>
      <c r="B4" s="3" t="s">
        <v>10</v>
      </c>
      <c r="C4" s="3"/>
      <c r="D4" s="3"/>
      <c r="E4" s="3"/>
      <c r="F4" s="3"/>
      <c r="G4" s="3"/>
      <c r="H4" s="3"/>
      <c r="I4" s="3"/>
    </row>
    <row r="5">
      <c r="A5" s="1" t="s">
        <v>13</v>
      </c>
      <c r="B5" s="3" t="s">
        <v>10</v>
      </c>
      <c r="C5" s="3"/>
      <c r="D5" s="3"/>
      <c r="E5" s="3"/>
      <c r="F5" s="3"/>
      <c r="G5" s="3"/>
      <c r="H5" s="3"/>
      <c r="I5" s="3"/>
    </row>
    <row r="6">
      <c r="A6" s="1" t="s">
        <v>14</v>
      </c>
      <c r="B6" s="3" t="s">
        <v>10</v>
      </c>
      <c r="C6" s="3"/>
      <c r="D6" s="3"/>
      <c r="E6" s="3"/>
      <c r="F6" s="3"/>
      <c r="G6" s="3"/>
      <c r="H6" s="3"/>
      <c r="I6" s="3"/>
    </row>
    <row r="7">
      <c r="A7" s="1" t="s">
        <v>15</v>
      </c>
      <c r="B7" s="3" t="s">
        <v>10</v>
      </c>
      <c r="C7" s="3"/>
      <c r="D7" s="3"/>
      <c r="E7" s="3"/>
      <c r="F7" s="3"/>
      <c r="G7" s="3"/>
      <c r="H7" s="3"/>
      <c r="I7" s="3"/>
    </row>
    <row r="8">
      <c r="A8" s="1" t="s">
        <v>16</v>
      </c>
      <c r="B8" s="3" t="s">
        <v>10</v>
      </c>
      <c r="C8" s="3"/>
      <c r="D8" s="3"/>
      <c r="E8" s="3"/>
      <c r="F8" s="3"/>
      <c r="G8" s="3"/>
      <c r="H8" s="3"/>
      <c r="I8" s="3"/>
    </row>
    <row r="9">
      <c r="A9" s="1" t="s">
        <v>17</v>
      </c>
      <c r="B9" s="3" t="s">
        <v>10</v>
      </c>
      <c r="C9" s="3"/>
      <c r="D9" s="3"/>
      <c r="E9" s="3"/>
      <c r="F9" s="3"/>
      <c r="G9" s="3"/>
      <c r="H9" s="3"/>
      <c r="I9" s="3"/>
    </row>
    <row r="10">
      <c r="A10" s="1" t="s">
        <v>18</v>
      </c>
      <c r="B10" s="3" t="s">
        <v>10</v>
      </c>
      <c r="C10" s="3"/>
      <c r="D10" s="3"/>
      <c r="E10" s="3"/>
      <c r="F10" s="3"/>
      <c r="G10" s="3"/>
      <c r="H10" s="3"/>
      <c r="I10" s="3"/>
    </row>
    <row r="11">
      <c r="A11" s="1" t="s">
        <v>19</v>
      </c>
      <c r="B11" s="3" t="s">
        <v>10</v>
      </c>
      <c r="C11" s="3"/>
      <c r="D11" s="3"/>
      <c r="E11" s="3"/>
      <c r="F11" s="3"/>
      <c r="G11" s="3"/>
      <c r="H11" s="3"/>
      <c r="I11" s="3"/>
    </row>
    <row r="12">
      <c r="A12" s="1" t="s">
        <v>20</v>
      </c>
      <c r="B12" s="3" t="s">
        <v>10</v>
      </c>
      <c r="C12" s="3"/>
      <c r="D12" s="3"/>
      <c r="E12" s="3"/>
      <c r="F12" s="3"/>
      <c r="G12" s="3"/>
      <c r="H12" s="3"/>
      <c r="I12" s="3"/>
    </row>
    <row r="13" ht="15.75" customHeight="1">
      <c r="A13" s="1" t="s">
        <v>21</v>
      </c>
      <c r="B13" s="3" t="s">
        <v>10</v>
      </c>
      <c r="C13" s="3"/>
      <c r="D13" s="3"/>
      <c r="E13" s="3"/>
      <c r="F13" s="3"/>
      <c r="G13" s="3"/>
      <c r="H13" s="3"/>
      <c r="I13" s="3"/>
    </row>
    <row r="14" ht="15.75" customHeight="1">
      <c r="A14" s="1" t="s">
        <v>22</v>
      </c>
      <c r="B14" s="3" t="s">
        <v>10</v>
      </c>
      <c r="C14" s="3"/>
      <c r="D14" s="3"/>
      <c r="E14" s="3"/>
      <c r="F14" s="3"/>
      <c r="G14" s="3"/>
      <c r="H14" s="3"/>
      <c r="I14" s="3"/>
    </row>
    <row r="15" ht="15.75" customHeight="1">
      <c r="A15" s="1" t="s">
        <v>23</v>
      </c>
      <c r="B15" s="3" t="s">
        <v>10</v>
      </c>
      <c r="C15" s="3"/>
      <c r="D15" s="3"/>
      <c r="E15" s="3"/>
      <c r="F15" s="3"/>
      <c r="G15" s="3"/>
      <c r="H15" s="3"/>
      <c r="I15" s="3"/>
    </row>
    <row r="16" ht="15.75" customHeight="1">
      <c r="A16" s="1" t="s">
        <v>24</v>
      </c>
      <c r="B16" s="3" t="s">
        <v>10</v>
      </c>
      <c r="C16" s="3"/>
      <c r="D16" s="3"/>
      <c r="E16" s="3"/>
      <c r="F16" s="3"/>
      <c r="G16" s="3"/>
      <c r="H16" s="3"/>
      <c r="I16" s="3"/>
    </row>
    <row r="17" ht="15.75" customHeight="1">
      <c r="A17" s="1" t="s">
        <v>25</v>
      </c>
      <c r="B17" s="3" t="s">
        <v>10</v>
      </c>
      <c r="C17" s="3"/>
      <c r="D17" s="3"/>
      <c r="E17" s="3"/>
      <c r="F17" s="3"/>
      <c r="G17" s="3"/>
      <c r="H17" s="3"/>
      <c r="I17" s="3"/>
    </row>
    <row r="18" ht="15.75" customHeight="1">
      <c r="A18" s="1" t="s">
        <v>26</v>
      </c>
      <c r="B18" s="3" t="s">
        <v>10</v>
      </c>
      <c r="C18" s="3"/>
      <c r="D18" s="3"/>
      <c r="E18" s="3"/>
      <c r="F18" s="3"/>
      <c r="G18" s="3"/>
      <c r="H18" s="3"/>
      <c r="I18" s="3"/>
    </row>
    <row r="19" ht="15.75" customHeight="1">
      <c r="A19" s="1" t="s">
        <v>27</v>
      </c>
      <c r="B19" s="3" t="s">
        <v>10</v>
      </c>
      <c r="C19" s="3"/>
      <c r="D19" s="3"/>
      <c r="E19" s="3"/>
      <c r="F19" s="3"/>
      <c r="G19" s="3"/>
      <c r="H19" s="3"/>
      <c r="I19" s="3"/>
    </row>
    <row r="20" ht="15.75" customHeight="1">
      <c r="A20" s="1" t="s">
        <v>28</v>
      </c>
      <c r="B20" s="3" t="s">
        <v>10</v>
      </c>
      <c r="C20" s="3"/>
      <c r="D20" s="3"/>
      <c r="E20" s="3"/>
      <c r="F20" s="3"/>
      <c r="G20" s="3"/>
      <c r="H20" s="3"/>
      <c r="I20" s="3"/>
    </row>
    <row r="21" ht="15.75" customHeight="1">
      <c r="A21" s="1" t="s">
        <v>29</v>
      </c>
      <c r="B21" s="3" t="s">
        <v>10</v>
      </c>
      <c r="C21" s="3"/>
      <c r="D21" s="3"/>
      <c r="E21" s="3"/>
      <c r="F21" s="3"/>
      <c r="G21" s="3"/>
      <c r="H21" s="3"/>
      <c r="I21" s="3"/>
    </row>
    <row r="22" ht="15.75" customHeight="1">
      <c r="A22" s="1" t="s">
        <v>30</v>
      </c>
      <c r="B22" s="3" t="s">
        <v>10</v>
      </c>
      <c r="C22" s="3"/>
      <c r="D22" s="3"/>
      <c r="E22" s="3"/>
      <c r="F22" s="3"/>
      <c r="G22" s="3"/>
      <c r="H22" s="3"/>
      <c r="I22" s="3"/>
    </row>
    <row r="23" ht="15.75" customHeight="1">
      <c r="A23" s="1" t="s">
        <v>31</v>
      </c>
      <c r="B23" s="3" t="s">
        <v>10</v>
      </c>
      <c r="C23" s="3"/>
      <c r="D23" s="3"/>
      <c r="E23" s="3"/>
      <c r="F23" s="3"/>
      <c r="G23" s="3"/>
      <c r="H23" s="3"/>
      <c r="I23" s="3"/>
    </row>
    <row r="24" ht="15.75" customHeight="1">
      <c r="A24" s="1" t="s">
        <v>32</v>
      </c>
      <c r="B24" s="3" t="s">
        <v>10</v>
      </c>
      <c r="C24" s="3"/>
      <c r="D24" s="3"/>
      <c r="E24" s="3"/>
      <c r="F24" s="3"/>
      <c r="G24" s="3"/>
      <c r="H24" s="3"/>
      <c r="I24" s="3"/>
    </row>
    <row r="25" ht="15.75" customHeight="1">
      <c r="A25" s="1" t="s">
        <v>33</v>
      </c>
      <c r="B25" s="3" t="s">
        <v>10</v>
      </c>
      <c r="C25" s="3"/>
      <c r="D25" s="3"/>
      <c r="E25" s="3"/>
      <c r="F25" s="3"/>
      <c r="G25" s="3"/>
      <c r="H25" s="3"/>
      <c r="I25" s="3"/>
    </row>
    <row r="26" ht="15.75" customHeight="1">
      <c r="A26" s="1" t="s">
        <v>34</v>
      </c>
      <c r="B26" s="3" t="s">
        <v>10</v>
      </c>
      <c r="C26" s="3"/>
      <c r="D26" s="3"/>
      <c r="E26" s="3"/>
      <c r="F26" s="3"/>
      <c r="G26" s="3"/>
      <c r="H26" s="3"/>
      <c r="I26" s="3"/>
    </row>
    <row r="27" ht="15.75" customHeight="1">
      <c r="A27" s="1" t="s">
        <v>35</v>
      </c>
      <c r="B27" s="3" t="s">
        <v>10</v>
      </c>
      <c r="C27" s="3"/>
      <c r="D27" s="3"/>
      <c r="E27" s="3"/>
      <c r="F27" s="3"/>
      <c r="G27" s="3"/>
      <c r="H27" s="3"/>
      <c r="I27" s="3"/>
    </row>
    <row r="28" ht="15.75" customHeight="1">
      <c r="A28" s="1" t="s">
        <v>36</v>
      </c>
      <c r="B28" s="3" t="s">
        <v>10</v>
      </c>
      <c r="C28" s="3"/>
      <c r="D28" s="3"/>
      <c r="E28" s="3"/>
      <c r="F28" s="3"/>
      <c r="G28" s="3"/>
      <c r="H28" s="3"/>
      <c r="I28" s="3"/>
    </row>
    <row r="29" ht="15.75" customHeight="1">
      <c r="A29" s="1" t="s">
        <v>37</v>
      </c>
      <c r="B29" s="3" t="s">
        <v>10</v>
      </c>
      <c r="C29" s="3"/>
      <c r="D29" s="3"/>
      <c r="E29" s="3"/>
      <c r="F29" s="3"/>
      <c r="G29" s="3"/>
      <c r="H29" s="3"/>
      <c r="I29" s="3"/>
    </row>
    <row r="30" ht="15.75" customHeight="1">
      <c r="A30" s="1" t="s">
        <v>38</v>
      </c>
      <c r="B30" s="3" t="s">
        <v>10</v>
      </c>
      <c r="C30" s="3"/>
      <c r="D30" s="3"/>
      <c r="E30" s="3"/>
      <c r="F30" s="3"/>
      <c r="G30" s="3"/>
      <c r="H30" s="3"/>
      <c r="I30" s="3"/>
    </row>
    <row r="31" ht="15.75" customHeight="1">
      <c r="A31" s="1" t="s">
        <v>39</v>
      </c>
      <c r="B31" s="3" t="s">
        <v>10</v>
      </c>
      <c r="C31" s="3"/>
      <c r="D31" s="3"/>
      <c r="E31" s="3"/>
      <c r="F31" s="3"/>
      <c r="G31" s="3"/>
      <c r="H31" s="3"/>
      <c r="I31" s="3"/>
    </row>
    <row r="32" ht="15.75" customHeight="1">
      <c r="A32" s="1" t="s">
        <v>40</v>
      </c>
      <c r="B32" s="3" t="s">
        <v>10</v>
      </c>
      <c r="C32" s="3"/>
      <c r="D32" s="3"/>
      <c r="E32" s="3"/>
      <c r="F32" s="3"/>
      <c r="G32" s="3"/>
      <c r="H32" s="3"/>
      <c r="I32" s="3"/>
    </row>
    <row r="33" ht="15.75" customHeight="1">
      <c r="A33" s="1" t="s">
        <v>41</v>
      </c>
      <c r="B33" s="3" t="s">
        <v>10</v>
      </c>
      <c r="C33" s="3"/>
      <c r="D33" s="3"/>
      <c r="E33" s="3"/>
      <c r="F33" s="3"/>
      <c r="G33" s="3"/>
      <c r="H33" s="3"/>
      <c r="I33" s="3"/>
    </row>
    <row r="34" ht="15.75" customHeight="1">
      <c r="A34" s="1" t="s">
        <v>42</v>
      </c>
      <c r="B34" s="3" t="s">
        <v>10</v>
      </c>
      <c r="C34" s="3"/>
      <c r="D34" s="3"/>
      <c r="E34" s="3"/>
      <c r="F34" s="3"/>
      <c r="G34" s="3"/>
      <c r="H34" s="3"/>
      <c r="I34" s="3"/>
    </row>
    <row r="35" ht="15.75" customHeight="1">
      <c r="A35" s="1" t="s">
        <v>43</v>
      </c>
      <c r="B35" s="3" t="s">
        <v>10</v>
      </c>
      <c r="C35" s="3"/>
      <c r="D35" s="3"/>
      <c r="E35" s="3"/>
      <c r="F35" s="3"/>
      <c r="G35" s="3"/>
      <c r="H35" s="3"/>
      <c r="I35" s="3"/>
    </row>
    <row r="36" ht="15.75" customHeight="1">
      <c r="A36" s="1" t="s">
        <v>44</v>
      </c>
      <c r="B36" s="3" t="s">
        <v>10</v>
      </c>
      <c r="C36" s="3"/>
      <c r="D36" s="3"/>
      <c r="E36" s="3"/>
      <c r="F36" s="3"/>
      <c r="G36" s="3"/>
      <c r="H36" s="3"/>
      <c r="I36" s="3"/>
    </row>
    <row r="37" ht="15.75" customHeight="1">
      <c r="A37" s="1" t="s">
        <v>45</v>
      </c>
      <c r="B37" s="3" t="s">
        <v>10</v>
      </c>
      <c r="C37" s="3"/>
      <c r="D37" s="3"/>
      <c r="E37" s="3"/>
      <c r="F37" s="3"/>
      <c r="G37" s="3"/>
      <c r="H37" s="3"/>
      <c r="I37" s="3"/>
    </row>
    <row r="38" ht="15.75" customHeight="1">
      <c r="A38" s="1" t="s">
        <v>46</v>
      </c>
      <c r="B38" s="3" t="s">
        <v>10</v>
      </c>
      <c r="C38" s="3"/>
      <c r="D38" s="3"/>
      <c r="E38" s="3"/>
      <c r="F38" s="3"/>
      <c r="G38" s="3"/>
      <c r="H38" s="3"/>
      <c r="I38" s="3"/>
    </row>
    <row r="39" ht="15.75" customHeight="1">
      <c r="A39" s="1" t="s">
        <v>47</v>
      </c>
      <c r="B39" s="3" t="s">
        <v>10</v>
      </c>
      <c r="C39" s="3"/>
      <c r="D39" s="3"/>
      <c r="E39" s="3"/>
      <c r="F39" s="3"/>
      <c r="G39" s="3"/>
      <c r="H39" s="3"/>
      <c r="I39" s="3"/>
    </row>
    <row r="40" ht="15.75" customHeight="1">
      <c r="A40" s="1" t="s">
        <v>48</v>
      </c>
      <c r="B40" s="3" t="s">
        <v>10</v>
      </c>
      <c r="C40" s="3"/>
      <c r="D40" s="3"/>
      <c r="E40" s="3"/>
      <c r="F40" s="3"/>
      <c r="G40" s="3"/>
      <c r="H40" s="3"/>
      <c r="I40" s="3"/>
    </row>
    <row r="41" ht="15.75" customHeight="1">
      <c r="A41" s="1" t="s">
        <v>49</v>
      </c>
      <c r="B41" s="3" t="s">
        <v>10</v>
      </c>
      <c r="C41" s="3"/>
      <c r="D41" s="3"/>
      <c r="E41" s="3"/>
      <c r="F41" s="3"/>
      <c r="G41" s="3"/>
      <c r="H41" s="3"/>
      <c r="I41" s="3"/>
    </row>
    <row r="42" ht="15.75" customHeight="1">
      <c r="A42" s="1" t="s">
        <v>50</v>
      </c>
      <c r="B42" s="3" t="s">
        <v>10</v>
      </c>
      <c r="C42" s="3"/>
      <c r="D42" s="3"/>
      <c r="E42" s="3"/>
      <c r="F42" s="3"/>
      <c r="G42" s="3"/>
      <c r="H42" s="3"/>
      <c r="I42" s="3"/>
    </row>
    <row r="43" ht="15.75" customHeight="1">
      <c r="A43" s="1" t="s">
        <v>51</v>
      </c>
      <c r="B43" s="3" t="s">
        <v>10</v>
      </c>
      <c r="C43" s="3"/>
      <c r="D43" s="3"/>
      <c r="E43" s="3"/>
      <c r="F43" s="3"/>
      <c r="G43" s="3"/>
      <c r="H43" s="3"/>
      <c r="I43" s="3"/>
    </row>
    <row r="44" ht="15.75" customHeight="1">
      <c r="A44" s="1" t="s">
        <v>52</v>
      </c>
      <c r="B44" s="3" t="s">
        <v>10</v>
      </c>
      <c r="C44" s="3"/>
      <c r="D44" s="3"/>
      <c r="E44" s="3"/>
      <c r="F44" s="3"/>
      <c r="G44" s="3"/>
      <c r="H44" s="3"/>
      <c r="I44" s="3"/>
    </row>
    <row r="45" ht="15.75" customHeight="1">
      <c r="A45" s="1" t="s">
        <v>53</v>
      </c>
      <c r="B45" s="3" t="s">
        <v>10</v>
      </c>
      <c r="C45" s="3"/>
      <c r="D45" s="3"/>
      <c r="E45" s="3"/>
      <c r="F45" s="3"/>
      <c r="G45" s="3"/>
      <c r="H45" s="3"/>
      <c r="I45" s="3"/>
    </row>
    <row r="46" ht="15.75" customHeight="1">
      <c r="A46" s="1" t="s">
        <v>54</v>
      </c>
      <c r="B46" s="3" t="s">
        <v>10</v>
      </c>
      <c r="C46" s="3"/>
      <c r="D46" s="3"/>
      <c r="E46" s="3"/>
      <c r="F46" s="3"/>
      <c r="G46" s="3"/>
      <c r="H46" s="3"/>
      <c r="I46" s="3"/>
    </row>
    <row r="47" ht="15.75" customHeight="1">
      <c r="A47" s="1" t="s">
        <v>55</v>
      </c>
      <c r="B47" s="3" t="s">
        <v>10</v>
      </c>
      <c r="C47" s="3"/>
      <c r="D47" s="3"/>
      <c r="E47" s="3"/>
      <c r="F47" s="3"/>
      <c r="G47" s="3"/>
      <c r="H47" s="3"/>
      <c r="I47" s="3"/>
    </row>
    <row r="48" ht="15.75" customHeight="1">
      <c r="A48" s="1" t="s">
        <v>56</v>
      </c>
      <c r="B48" s="3" t="s">
        <v>10</v>
      </c>
      <c r="C48" s="3"/>
      <c r="D48" s="3"/>
      <c r="E48" s="3"/>
      <c r="F48" s="3"/>
      <c r="G48" s="3"/>
      <c r="H48" s="3"/>
      <c r="I48" s="3"/>
    </row>
    <row r="49" ht="15.75" customHeight="1">
      <c r="A49" s="1" t="s">
        <v>57</v>
      </c>
      <c r="B49" s="3" t="s">
        <v>10</v>
      </c>
      <c r="C49" s="3"/>
      <c r="D49" s="3"/>
      <c r="E49" s="3"/>
      <c r="F49" s="3"/>
      <c r="G49" s="3"/>
      <c r="H49" s="3"/>
      <c r="I49" s="3"/>
    </row>
    <row r="50" ht="15.75" customHeight="1">
      <c r="A50" s="1" t="s">
        <v>58</v>
      </c>
      <c r="B50" s="3" t="s">
        <v>10</v>
      </c>
      <c r="C50" s="3"/>
      <c r="D50" s="3"/>
      <c r="E50" s="3"/>
      <c r="F50" s="3"/>
      <c r="G50" s="3"/>
      <c r="H50" s="3"/>
      <c r="I50" s="3"/>
    </row>
    <row r="51" ht="15.75" customHeight="1">
      <c r="A51" s="1" t="s">
        <v>59</v>
      </c>
      <c r="B51" s="3" t="s">
        <v>10</v>
      </c>
      <c r="C51" s="3"/>
      <c r="D51" s="3"/>
      <c r="E51" s="3"/>
      <c r="F51" s="3"/>
      <c r="G51" s="3"/>
      <c r="H51" s="3"/>
      <c r="I51" s="3"/>
    </row>
    <row r="52" ht="15.75" customHeight="1">
      <c r="A52" s="1" t="s">
        <v>60</v>
      </c>
      <c r="B52" s="3" t="s">
        <v>10</v>
      </c>
      <c r="C52" s="3"/>
      <c r="D52" s="3"/>
      <c r="E52" s="3"/>
      <c r="F52" s="3"/>
      <c r="G52" s="3"/>
      <c r="H52" s="3"/>
      <c r="I52" s="3"/>
    </row>
    <row r="53" ht="15.75" customHeight="1">
      <c r="A53" s="1" t="s">
        <v>61</v>
      </c>
      <c r="B53" s="3" t="s">
        <v>10</v>
      </c>
      <c r="C53" s="3"/>
      <c r="D53" s="3"/>
      <c r="E53" s="3"/>
      <c r="F53" s="3"/>
      <c r="G53" s="3"/>
      <c r="H53" s="3"/>
      <c r="I53" s="3"/>
    </row>
    <row r="54" ht="15.75" customHeight="1">
      <c r="A54" s="1" t="s">
        <v>62</v>
      </c>
      <c r="B54" s="3" t="s">
        <v>10</v>
      </c>
      <c r="C54" s="3"/>
      <c r="D54" s="3"/>
      <c r="E54" s="3"/>
      <c r="F54" s="3"/>
      <c r="G54" s="3"/>
      <c r="H54" s="3"/>
      <c r="I54" s="3"/>
    </row>
    <row r="55" ht="15.75" customHeight="1">
      <c r="A55" s="1" t="s">
        <v>63</v>
      </c>
      <c r="B55" s="3" t="s">
        <v>10</v>
      </c>
      <c r="C55" s="3"/>
      <c r="D55" s="3"/>
      <c r="E55" s="3"/>
      <c r="F55" s="3"/>
      <c r="G55" s="3"/>
      <c r="H55" s="3"/>
      <c r="I55" s="3"/>
    </row>
    <row r="56" ht="15.75" customHeight="1">
      <c r="A56" s="1" t="s">
        <v>64</v>
      </c>
      <c r="B56" s="3" t="s">
        <v>10</v>
      </c>
      <c r="C56" s="3"/>
      <c r="D56" s="3"/>
      <c r="E56" s="3"/>
      <c r="F56" s="3"/>
      <c r="G56" s="3"/>
      <c r="H56" s="3"/>
      <c r="I56" s="3"/>
    </row>
    <row r="57" ht="15.75" customHeight="1">
      <c r="A57" s="1" t="s">
        <v>65</v>
      </c>
      <c r="B57" s="3" t="s">
        <v>10</v>
      </c>
      <c r="C57" s="3"/>
      <c r="D57" s="3"/>
      <c r="E57" s="3"/>
      <c r="F57" s="3"/>
      <c r="G57" s="3"/>
      <c r="H57" s="3"/>
      <c r="I57" s="3"/>
    </row>
    <row r="58" ht="15.75" customHeight="1">
      <c r="A58" s="1" t="s">
        <v>66</v>
      </c>
      <c r="B58" s="3" t="s">
        <v>10</v>
      </c>
      <c r="C58" s="3"/>
      <c r="D58" s="3"/>
      <c r="E58" s="3"/>
      <c r="F58" s="3"/>
      <c r="G58" s="3"/>
      <c r="H58" s="3"/>
      <c r="I58" s="3"/>
    </row>
    <row r="59" ht="15.75" customHeight="1">
      <c r="A59" s="1" t="s">
        <v>67</v>
      </c>
      <c r="B59" s="3" t="s">
        <v>10</v>
      </c>
      <c r="C59" s="3"/>
      <c r="D59" s="3"/>
      <c r="E59" s="3"/>
      <c r="F59" s="3"/>
      <c r="G59" s="3"/>
      <c r="H59" s="3"/>
      <c r="I59" s="3"/>
    </row>
    <row r="60" ht="15.75" customHeight="1">
      <c r="A60" s="1" t="s">
        <v>68</v>
      </c>
      <c r="B60" s="3" t="s">
        <v>10</v>
      </c>
      <c r="C60" s="3"/>
      <c r="D60" s="3"/>
      <c r="E60" s="3"/>
      <c r="F60" s="3"/>
      <c r="G60" s="3"/>
      <c r="H60" s="3"/>
      <c r="I60" s="3"/>
    </row>
    <row r="61" ht="15.75" customHeight="1">
      <c r="A61" s="1" t="s">
        <v>69</v>
      </c>
      <c r="B61" s="3" t="s">
        <v>10</v>
      </c>
      <c r="C61" s="3"/>
      <c r="D61" s="3"/>
      <c r="E61" s="3"/>
      <c r="F61" s="3"/>
      <c r="G61" s="3"/>
      <c r="H61" s="3"/>
      <c r="I61" s="3"/>
    </row>
    <row r="62" ht="15.75" customHeight="1">
      <c r="A62" s="1" t="s">
        <v>70</v>
      </c>
      <c r="B62" s="3" t="s">
        <v>10</v>
      </c>
      <c r="C62" s="3"/>
      <c r="D62" s="3"/>
      <c r="E62" s="3"/>
      <c r="F62" s="3"/>
      <c r="G62" s="3"/>
      <c r="H62" s="3"/>
      <c r="I62" s="3"/>
    </row>
    <row r="63" ht="15.75" customHeight="1">
      <c r="A63" s="1" t="s">
        <v>71</v>
      </c>
      <c r="B63" s="3" t="s">
        <v>10</v>
      </c>
      <c r="C63" s="3"/>
      <c r="D63" s="3"/>
      <c r="E63" s="3"/>
      <c r="F63" s="3"/>
      <c r="G63" s="3"/>
      <c r="H63" s="3"/>
      <c r="I63" s="3"/>
    </row>
    <row r="64" ht="15.75" customHeight="1">
      <c r="A64" s="1" t="s">
        <v>72</v>
      </c>
      <c r="B64" s="3" t="s">
        <v>10</v>
      </c>
      <c r="C64" s="3"/>
      <c r="D64" s="3"/>
      <c r="E64" s="3"/>
      <c r="F64" s="3"/>
      <c r="G64" s="3"/>
      <c r="H64" s="3"/>
      <c r="I64" s="3"/>
    </row>
    <row r="65" ht="15.75" customHeight="1">
      <c r="A65" s="1" t="s">
        <v>73</v>
      </c>
      <c r="B65" s="3" t="s">
        <v>10</v>
      </c>
      <c r="C65" s="3"/>
      <c r="D65" s="3"/>
      <c r="E65" s="3"/>
      <c r="F65" s="3"/>
      <c r="G65" s="3"/>
      <c r="H65" s="3"/>
      <c r="I65" s="3"/>
    </row>
    <row r="66" ht="15.75" customHeight="1">
      <c r="A66" s="1" t="s">
        <v>74</v>
      </c>
      <c r="B66" s="3" t="s">
        <v>10</v>
      </c>
      <c r="C66" s="3"/>
      <c r="D66" s="3"/>
      <c r="E66" s="3"/>
      <c r="F66" s="3"/>
      <c r="G66" s="3"/>
      <c r="H66" s="3"/>
      <c r="I66" s="3"/>
    </row>
    <row r="67" ht="15.75" customHeight="1">
      <c r="A67" s="1" t="s">
        <v>75</v>
      </c>
      <c r="B67" s="3" t="s">
        <v>10</v>
      </c>
      <c r="C67" s="3"/>
      <c r="D67" s="3"/>
      <c r="E67" s="3"/>
      <c r="F67" s="3"/>
      <c r="G67" s="3"/>
      <c r="H67" s="3"/>
      <c r="I67" s="3"/>
    </row>
    <row r="68" ht="15.75" customHeight="1">
      <c r="A68" s="1" t="s">
        <v>76</v>
      </c>
      <c r="B68" s="3" t="s">
        <v>10</v>
      </c>
      <c r="C68" s="3"/>
      <c r="D68" s="3"/>
      <c r="E68" s="3"/>
      <c r="F68" s="3"/>
      <c r="G68" s="3"/>
      <c r="H68" s="3"/>
      <c r="I68" s="3"/>
    </row>
    <row r="69" ht="15.75" customHeight="1">
      <c r="A69" s="1" t="s">
        <v>77</v>
      </c>
      <c r="B69" s="3" t="s">
        <v>10</v>
      </c>
      <c r="C69" s="3"/>
      <c r="D69" s="3"/>
      <c r="E69" s="3"/>
      <c r="F69" s="3"/>
      <c r="G69" s="3"/>
      <c r="H69" s="3"/>
      <c r="I69" s="3"/>
    </row>
    <row r="70" ht="15.75" customHeight="1">
      <c r="A70" s="1" t="s">
        <v>78</v>
      </c>
      <c r="B70" s="3" t="s">
        <v>10</v>
      </c>
      <c r="C70" s="3"/>
      <c r="D70" s="3"/>
      <c r="E70" s="3"/>
      <c r="F70" s="3"/>
      <c r="G70" s="3"/>
      <c r="H70" s="3"/>
      <c r="I70" s="3"/>
    </row>
    <row r="71" ht="15.75" customHeight="1">
      <c r="A71" s="1" t="s">
        <v>79</v>
      </c>
      <c r="B71" s="3" t="s">
        <v>10</v>
      </c>
      <c r="C71" s="3"/>
      <c r="D71" s="3"/>
      <c r="E71" s="3"/>
      <c r="F71" s="3"/>
      <c r="G71" s="3"/>
      <c r="H71" s="3"/>
      <c r="I71" s="3"/>
    </row>
    <row r="72" ht="15.75" customHeight="1">
      <c r="A72" s="1" t="s">
        <v>80</v>
      </c>
      <c r="B72" s="3" t="s">
        <v>10</v>
      </c>
      <c r="C72" s="3"/>
      <c r="D72" s="3"/>
      <c r="E72" s="3"/>
      <c r="F72" s="3"/>
      <c r="G72" s="3"/>
      <c r="H72" s="3"/>
      <c r="I72" s="3"/>
    </row>
    <row r="73" ht="15.75" customHeight="1">
      <c r="A73" s="1" t="s">
        <v>81</v>
      </c>
      <c r="B73" s="3" t="s">
        <v>10</v>
      </c>
      <c r="C73" s="3"/>
      <c r="D73" s="3"/>
      <c r="E73" s="3"/>
      <c r="F73" s="3"/>
      <c r="G73" s="3"/>
      <c r="H73" s="3"/>
      <c r="I73" s="3"/>
    </row>
    <row r="74" ht="15.75" customHeight="1">
      <c r="A74" s="1" t="s">
        <v>82</v>
      </c>
      <c r="B74" s="3" t="s">
        <v>10</v>
      </c>
      <c r="C74" s="3"/>
      <c r="D74" s="3"/>
      <c r="E74" s="3"/>
      <c r="F74" s="3"/>
      <c r="G74" s="3"/>
      <c r="H74" s="3"/>
      <c r="I74" s="3"/>
    </row>
    <row r="75" ht="15.75" customHeight="1">
      <c r="A75" s="1" t="s">
        <v>83</v>
      </c>
      <c r="B75" s="3" t="s">
        <v>10</v>
      </c>
      <c r="C75" s="3"/>
      <c r="D75" s="3"/>
      <c r="E75" s="3"/>
      <c r="F75" s="3"/>
      <c r="G75" s="3"/>
      <c r="H75" s="3"/>
      <c r="I75" s="3"/>
    </row>
    <row r="76" ht="15.75" customHeight="1">
      <c r="A76" s="1" t="s">
        <v>84</v>
      </c>
      <c r="B76" s="3" t="s">
        <v>10</v>
      </c>
      <c r="C76" s="3"/>
      <c r="D76" s="3"/>
      <c r="E76" s="3"/>
      <c r="F76" s="3"/>
      <c r="G76" s="3"/>
      <c r="H76" s="3"/>
      <c r="I76" s="3"/>
    </row>
    <row r="77" ht="15.75" customHeight="1">
      <c r="A77" s="1" t="s">
        <v>85</v>
      </c>
      <c r="B77" s="3" t="s">
        <v>10</v>
      </c>
      <c r="C77" s="3"/>
      <c r="D77" s="3"/>
      <c r="E77" s="3"/>
      <c r="F77" s="3"/>
      <c r="G77" s="3"/>
      <c r="H77" s="3"/>
      <c r="I77" s="3"/>
    </row>
    <row r="78" ht="15.75" customHeight="1">
      <c r="A78" s="1" t="s">
        <v>86</v>
      </c>
      <c r="B78" s="3" t="s">
        <v>10</v>
      </c>
      <c r="C78" s="3"/>
      <c r="D78" s="3"/>
      <c r="E78" s="3"/>
      <c r="F78" s="3"/>
      <c r="G78" s="3"/>
      <c r="H78" s="3"/>
      <c r="I78" s="3"/>
    </row>
    <row r="79" ht="15.75" customHeight="1">
      <c r="A79" s="1" t="s">
        <v>87</v>
      </c>
      <c r="B79" s="3" t="s">
        <v>10</v>
      </c>
      <c r="C79" s="3"/>
      <c r="D79" s="3"/>
      <c r="E79" s="3"/>
      <c r="F79" s="3"/>
      <c r="G79" s="3"/>
      <c r="H79" s="3"/>
      <c r="I79" s="3"/>
    </row>
    <row r="80" ht="15.75" customHeight="1">
      <c r="A80" s="1" t="s">
        <v>88</v>
      </c>
      <c r="B80" s="3" t="s">
        <v>10</v>
      </c>
      <c r="C80" s="3"/>
      <c r="D80" s="3"/>
      <c r="E80" s="3"/>
      <c r="F80" s="3"/>
      <c r="G80" s="3"/>
      <c r="H80" s="3"/>
      <c r="I80" s="3"/>
    </row>
    <row r="81" ht="15.75" customHeight="1">
      <c r="A81" s="1" t="s">
        <v>89</v>
      </c>
      <c r="B81" s="3" t="s">
        <v>10</v>
      </c>
      <c r="C81" s="3"/>
      <c r="D81" s="3"/>
      <c r="E81" s="3"/>
      <c r="F81" s="3"/>
      <c r="G81" s="3"/>
      <c r="H81" s="3"/>
      <c r="I81" s="3"/>
    </row>
    <row r="82" ht="15.75" customHeight="1">
      <c r="A82" s="1" t="s">
        <v>90</v>
      </c>
      <c r="B82" s="3" t="s">
        <v>10</v>
      </c>
      <c r="C82" s="3"/>
      <c r="D82" s="3"/>
      <c r="E82" s="3"/>
      <c r="F82" s="3"/>
      <c r="G82" s="3"/>
      <c r="H82" s="3"/>
      <c r="I82" s="3"/>
    </row>
    <row r="83" ht="15.75" customHeight="1">
      <c r="A83" s="1" t="s">
        <v>91</v>
      </c>
      <c r="B83" s="3" t="s">
        <v>10</v>
      </c>
      <c r="C83" s="3"/>
      <c r="D83" s="3"/>
      <c r="E83" s="3"/>
      <c r="F83" s="3"/>
      <c r="G83" s="3"/>
      <c r="H83" s="3"/>
      <c r="I83" s="3"/>
    </row>
    <row r="84" ht="15.75" customHeight="1">
      <c r="A84" s="1" t="s">
        <v>92</v>
      </c>
      <c r="B84" s="3" t="s">
        <v>10</v>
      </c>
      <c r="C84" s="3"/>
      <c r="D84" s="3"/>
      <c r="E84" s="3"/>
      <c r="F84" s="3"/>
      <c r="G84" s="3"/>
      <c r="H84" s="3"/>
      <c r="I84" s="3"/>
    </row>
    <row r="85" ht="15.75" customHeight="1">
      <c r="A85" s="1" t="s">
        <v>93</v>
      </c>
      <c r="B85" s="3" t="s">
        <v>10</v>
      </c>
      <c r="C85" s="3"/>
      <c r="D85" s="3"/>
      <c r="E85" s="3"/>
      <c r="F85" s="3"/>
      <c r="G85" s="3"/>
      <c r="H85" s="3"/>
      <c r="I85" s="3"/>
    </row>
    <row r="86" ht="15.75" customHeight="1">
      <c r="A86" s="1" t="s">
        <v>94</v>
      </c>
      <c r="B86" s="3" t="s">
        <v>10</v>
      </c>
      <c r="C86" s="3"/>
      <c r="D86" s="3"/>
      <c r="E86" s="3"/>
      <c r="F86" s="3"/>
      <c r="G86" s="3"/>
      <c r="H86" s="3"/>
      <c r="I86" s="3"/>
    </row>
    <row r="87" ht="15.75" customHeight="1">
      <c r="A87" s="1" t="s">
        <v>95</v>
      </c>
      <c r="B87" s="3" t="s">
        <v>10</v>
      </c>
      <c r="C87" s="3"/>
      <c r="D87" s="3"/>
      <c r="E87" s="3"/>
      <c r="F87" s="3"/>
      <c r="G87" s="3"/>
      <c r="H87" s="3"/>
      <c r="I87" s="3"/>
    </row>
    <row r="88" ht="15.75" customHeight="1">
      <c r="A88" s="1" t="s">
        <v>96</v>
      </c>
      <c r="B88" s="3" t="s">
        <v>10</v>
      </c>
      <c r="C88" s="3"/>
      <c r="D88" s="3"/>
      <c r="E88" s="3"/>
      <c r="F88" s="3"/>
      <c r="G88" s="3"/>
      <c r="H88" s="3"/>
      <c r="I88" s="3"/>
    </row>
    <row r="89" ht="15.75" customHeight="1">
      <c r="A89" s="1" t="s">
        <v>97</v>
      </c>
      <c r="B89" s="3" t="s">
        <v>10</v>
      </c>
      <c r="C89" s="3"/>
      <c r="D89" s="3"/>
      <c r="E89" s="3"/>
      <c r="F89" s="3"/>
      <c r="G89" s="3"/>
      <c r="H89" s="3"/>
      <c r="I89" s="3"/>
    </row>
    <row r="90" ht="15.75" customHeight="1">
      <c r="A90" s="1" t="s">
        <v>98</v>
      </c>
      <c r="B90" s="3" t="s">
        <v>10</v>
      </c>
      <c r="C90" s="3"/>
      <c r="D90" s="3"/>
      <c r="E90" s="3"/>
      <c r="F90" s="3"/>
      <c r="G90" s="3"/>
      <c r="H90" s="3"/>
      <c r="I90" s="3"/>
    </row>
    <row r="91" ht="15.75" customHeight="1">
      <c r="A91" s="1" t="s">
        <v>99</v>
      </c>
      <c r="B91" s="3" t="s">
        <v>10</v>
      </c>
      <c r="C91" s="3"/>
      <c r="D91" s="3"/>
      <c r="E91" s="3"/>
      <c r="F91" s="3"/>
      <c r="G91" s="3"/>
      <c r="H91" s="3"/>
      <c r="I91" s="3"/>
    </row>
    <row r="92" ht="15.75" customHeight="1">
      <c r="A92" s="1" t="s">
        <v>100</v>
      </c>
      <c r="B92" s="3" t="s">
        <v>10</v>
      </c>
      <c r="C92" s="3"/>
      <c r="D92" s="3"/>
      <c r="E92" s="3"/>
      <c r="F92" s="3"/>
      <c r="G92" s="3"/>
      <c r="H92" s="3"/>
      <c r="I92" s="3"/>
    </row>
    <row r="93" ht="15.75" customHeight="1">
      <c r="A93" s="1" t="s">
        <v>101</v>
      </c>
      <c r="B93" s="3" t="s">
        <v>10</v>
      </c>
      <c r="C93" s="3"/>
      <c r="D93" s="3"/>
      <c r="E93" s="3"/>
      <c r="F93" s="3"/>
      <c r="G93" s="3"/>
      <c r="H93" s="3"/>
      <c r="I93" s="3"/>
    </row>
    <row r="94" ht="15.75" customHeight="1">
      <c r="A94" s="1" t="s">
        <v>102</v>
      </c>
      <c r="B94" s="3" t="s">
        <v>10</v>
      </c>
      <c r="C94" s="3"/>
      <c r="D94" s="3"/>
      <c r="E94" s="3"/>
      <c r="F94" s="3"/>
      <c r="G94" s="3"/>
      <c r="H94" s="3"/>
      <c r="I94" s="3"/>
    </row>
    <row r="95" ht="15.75" customHeight="1">
      <c r="A95" s="1" t="s">
        <v>103</v>
      </c>
      <c r="B95" s="3" t="s">
        <v>10</v>
      </c>
      <c r="C95" s="3"/>
      <c r="D95" s="3"/>
      <c r="E95" s="3"/>
      <c r="F95" s="3"/>
      <c r="G95" s="3"/>
      <c r="H95" s="3"/>
      <c r="I95" s="3"/>
    </row>
    <row r="96" ht="15.75" customHeight="1">
      <c r="A96" s="1" t="s">
        <v>104</v>
      </c>
      <c r="B96" s="3" t="s">
        <v>10</v>
      </c>
      <c r="C96" s="3"/>
      <c r="D96" s="3"/>
      <c r="E96" s="3"/>
      <c r="F96" s="3"/>
      <c r="G96" s="3"/>
      <c r="H96" s="3"/>
      <c r="I96" s="3"/>
    </row>
    <row r="97" ht="15.75" customHeight="1">
      <c r="A97" s="1" t="s">
        <v>105</v>
      </c>
      <c r="B97" s="3" t="s">
        <v>10</v>
      </c>
      <c r="C97" s="3"/>
      <c r="D97" s="3"/>
      <c r="E97" s="3"/>
      <c r="F97" s="3"/>
      <c r="G97" s="3"/>
      <c r="H97" s="3"/>
      <c r="I97" s="3"/>
    </row>
    <row r="98" ht="15.75" customHeight="1">
      <c r="A98" s="1" t="s">
        <v>106</v>
      </c>
      <c r="B98" s="3" t="s">
        <v>10</v>
      </c>
      <c r="C98" s="3"/>
      <c r="D98" s="3"/>
      <c r="E98" s="3"/>
      <c r="F98" s="3"/>
      <c r="G98" s="3"/>
      <c r="H98" s="3"/>
      <c r="I98" s="3"/>
    </row>
    <row r="99" ht="15.75" customHeight="1">
      <c r="A99" s="1" t="s">
        <v>107</v>
      </c>
      <c r="B99" s="3" t="s">
        <v>10</v>
      </c>
      <c r="C99" s="3"/>
      <c r="D99" s="3"/>
      <c r="E99" s="3"/>
      <c r="F99" s="3"/>
      <c r="G99" s="3"/>
      <c r="H99" s="3"/>
      <c r="I99" s="3"/>
    </row>
    <row r="100" ht="15.75" customHeight="1">
      <c r="A100" s="1" t="s">
        <v>108</v>
      </c>
      <c r="B100" s="3" t="s">
        <v>10</v>
      </c>
      <c r="C100" s="3"/>
      <c r="D100" s="3"/>
      <c r="E100" s="3"/>
      <c r="F100" s="3"/>
      <c r="G100" s="3"/>
      <c r="H100" s="3"/>
      <c r="I100" s="3"/>
    </row>
    <row r="101" ht="15.75" customHeight="1">
      <c r="A101" s="1" t="s">
        <v>109</v>
      </c>
      <c r="B101" s="3" t="s">
        <v>10</v>
      </c>
      <c r="C101" s="3"/>
      <c r="D101" s="3"/>
      <c r="E101" s="3"/>
      <c r="F101" s="3"/>
      <c r="G101" s="3"/>
      <c r="H101" s="3"/>
      <c r="I101" s="3"/>
    </row>
    <row r="102" ht="15.75" customHeight="1">
      <c r="A102" s="1" t="s">
        <v>110</v>
      </c>
      <c r="B102" s="3" t="s">
        <v>10</v>
      </c>
      <c r="C102" s="3"/>
      <c r="D102" s="3"/>
      <c r="E102" s="3"/>
      <c r="F102" s="3"/>
      <c r="G102" s="3"/>
      <c r="H102" s="3"/>
      <c r="I102" s="3"/>
    </row>
    <row r="103" ht="15.75" customHeight="1">
      <c r="A103" s="1" t="s">
        <v>111</v>
      </c>
      <c r="B103" s="3" t="s">
        <v>10</v>
      </c>
      <c r="C103" s="3"/>
      <c r="D103" s="3"/>
      <c r="E103" s="3"/>
      <c r="F103" s="3"/>
      <c r="G103" s="3"/>
      <c r="H103" s="3"/>
      <c r="I103" s="3"/>
    </row>
    <row r="104" ht="15.75" customHeight="1">
      <c r="A104" s="1" t="s">
        <v>112</v>
      </c>
      <c r="B104" s="3" t="s">
        <v>10</v>
      </c>
      <c r="C104" s="3"/>
      <c r="D104" s="3"/>
      <c r="E104" s="3"/>
      <c r="F104" s="3"/>
      <c r="G104" s="3"/>
      <c r="H104" s="3"/>
      <c r="I104" s="3"/>
    </row>
    <row r="105" ht="15.75" customHeight="1">
      <c r="A105" s="1" t="s">
        <v>113</v>
      </c>
      <c r="B105" s="3" t="s">
        <v>10</v>
      </c>
      <c r="C105" s="3"/>
      <c r="D105" s="3"/>
      <c r="E105" s="3"/>
      <c r="F105" s="3"/>
      <c r="G105" s="3"/>
      <c r="H105" s="3"/>
      <c r="I105" s="3"/>
    </row>
    <row r="106" ht="15.75" customHeight="1">
      <c r="A106" s="1" t="s">
        <v>114</v>
      </c>
      <c r="B106" s="3" t="s">
        <v>10</v>
      </c>
      <c r="C106" s="3"/>
      <c r="D106" s="3"/>
      <c r="E106" s="3"/>
      <c r="F106" s="3"/>
      <c r="G106" s="3"/>
      <c r="H106" s="3"/>
      <c r="I106" s="3"/>
    </row>
    <row r="107" ht="15.75" customHeight="1">
      <c r="A107" s="1" t="s">
        <v>115</v>
      </c>
      <c r="B107" s="3" t="s">
        <v>10</v>
      </c>
      <c r="C107" s="3"/>
      <c r="D107" s="3"/>
      <c r="E107" s="3"/>
      <c r="F107" s="3"/>
      <c r="G107" s="3"/>
      <c r="H107" s="3"/>
      <c r="I107" s="3"/>
    </row>
    <row r="108" ht="15.75" customHeight="1">
      <c r="A108" s="1" t="s">
        <v>116</v>
      </c>
      <c r="B108" s="3" t="s">
        <v>10</v>
      </c>
      <c r="C108" s="3"/>
      <c r="D108" s="3"/>
      <c r="E108" s="3"/>
      <c r="F108" s="3"/>
      <c r="G108" s="3"/>
      <c r="H108" s="3"/>
      <c r="I108" s="3"/>
    </row>
    <row r="109" ht="15.75" customHeight="1">
      <c r="A109" s="1" t="s">
        <v>117</v>
      </c>
      <c r="B109" s="3" t="s">
        <v>10</v>
      </c>
      <c r="C109" s="3"/>
      <c r="D109" s="3"/>
      <c r="E109" s="3"/>
      <c r="F109" s="3"/>
      <c r="G109" s="3"/>
      <c r="H109" s="3"/>
      <c r="I109" s="3"/>
    </row>
    <row r="110" ht="15.75" customHeight="1">
      <c r="A110" s="1" t="s">
        <v>118</v>
      </c>
      <c r="B110" s="3" t="s">
        <v>10</v>
      </c>
      <c r="C110" s="3"/>
      <c r="D110" s="3"/>
      <c r="E110" s="3"/>
      <c r="F110" s="3"/>
      <c r="G110" s="3"/>
      <c r="H110" s="3"/>
      <c r="I110" s="3"/>
    </row>
    <row r="111" ht="15.75" customHeight="1">
      <c r="A111" s="1" t="s">
        <v>119</v>
      </c>
      <c r="B111" s="3" t="s">
        <v>10</v>
      </c>
      <c r="C111" s="3"/>
      <c r="D111" s="3"/>
      <c r="E111" s="3"/>
      <c r="F111" s="3"/>
      <c r="G111" s="3"/>
      <c r="H111" s="3"/>
      <c r="I111" s="3"/>
    </row>
    <row r="112" ht="15.75" customHeight="1">
      <c r="A112" s="1" t="s">
        <v>120</v>
      </c>
      <c r="B112" s="3" t="s">
        <v>10</v>
      </c>
      <c r="C112" s="3"/>
      <c r="D112" s="3"/>
      <c r="E112" s="3"/>
      <c r="F112" s="3"/>
      <c r="G112" s="3"/>
      <c r="H112" s="3"/>
      <c r="I112" s="3"/>
    </row>
    <row r="113" ht="15.75" customHeight="1">
      <c r="A113" s="1" t="s">
        <v>121</v>
      </c>
      <c r="B113" s="3" t="s">
        <v>10</v>
      </c>
      <c r="C113" s="3"/>
      <c r="D113" s="3"/>
      <c r="E113" s="3"/>
      <c r="F113" s="3"/>
      <c r="G113" s="3"/>
      <c r="H113" s="3"/>
      <c r="I113" s="3"/>
    </row>
    <row r="114" ht="15.75" customHeight="1">
      <c r="A114" s="1" t="s">
        <v>122</v>
      </c>
      <c r="B114" s="3" t="s">
        <v>10</v>
      </c>
      <c r="C114" s="3"/>
      <c r="D114" s="3"/>
      <c r="E114" s="3"/>
      <c r="F114" s="3"/>
      <c r="G114" s="3"/>
      <c r="H114" s="3"/>
      <c r="I114" s="3"/>
    </row>
    <row r="115" ht="15.75" customHeight="1">
      <c r="A115" s="1" t="s">
        <v>123</v>
      </c>
      <c r="B115" s="3" t="s">
        <v>10</v>
      </c>
      <c r="C115" s="3"/>
      <c r="D115" s="3"/>
      <c r="E115" s="3"/>
      <c r="F115" s="3"/>
      <c r="G115" s="3"/>
      <c r="H115" s="3"/>
      <c r="I115" s="3"/>
    </row>
    <row r="116" ht="15.75" customHeight="1">
      <c r="A116" s="1" t="s">
        <v>124</v>
      </c>
      <c r="B116" s="3" t="s">
        <v>10</v>
      </c>
      <c r="C116" s="3"/>
      <c r="D116" s="3"/>
      <c r="E116" s="3"/>
      <c r="F116" s="3"/>
      <c r="G116" s="3"/>
      <c r="H116" s="3"/>
      <c r="I116" s="3"/>
    </row>
    <row r="117" ht="15.75" customHeight="1">
      <c r="A117" s="1" t="s">
        <v>125</v>
      </c>
      <c r="B117" s="3" t="s">
        <v>10</v>
      </c>
      <c r="C117" s="3"/>
      <c r="D117" s="3"/>
      <c r="E117" s="3"/>
      <c r="F117" s="3"/>
      <c r="G117" s="3"/>
      <c r="H117" s="3"/>
      <c r="I117" s="3"/>
    </row>
    <row r="118" ht="15.75" customHeight="1">
      <c r="A118" s="1" t="s">
        <v>126</v>
      </c>
      <c r="B118" s="3" t="s">
        <v>10</v>
      </c>
      <c r="C118" s="3"/>
      <c r="D118" s="3"/>
      <c r="E118" s="3"/>
      <c r="F118" s="3"/>
      <c r="G118" s="3"/>
      <c r="H118" s="3"/>
      <c r="I118" s="3"/>
    </row>
    <row r="119" ht="15.75" customHeight="1">
      <c r="A119" s="1" t="s">
        <v>127</v>
      </c>
      <c r="B119" s="3" t="s">
        <v>10</v>
      </c>
      <c r="C119" s="3"/>
      <c r="D119" s="3"/>
      <c r="E119" s="3"/>
      <c r="F119" s="3"/>
      <c r="G119" s="3"/>
      <c r="H119" s="3"/>
      <c r="I119" s="3"/>
    </row>
    <row r="120" ht="15.75" customHeight="1">
      <c r="A120" s="1" t="s">
        <v>128</v>
      </c>
      <c r="B120" s="3" t="s">
        <v>10</v>
      </c>
      <c r="C120" s="3"/>
      <c r="D120" s="3"/>
      <c r="E120" s="3"/>
      <c r="F120" s="3"/>
      <c r="G120" s="3"/>
      <c r="H120" s="3"/>
      <c r="I120" s="3"/>
    </row>
    <row r="121" ht="15.75" customHeight="1">
      <c r="A121" s="1" t="s">
        <v>129</v>
      </c>
      <c r="B121" s="3" t="s">
        <v>10</v>
      </c>
      <c r="C121" s="3"/>
      <c r="D121" s="3"/>
      <c r="E121" s="3"/>
      <c r="F121" s="3"/>
      <c r="G121" s="3"/>
      <c r="H121" s="3"/>
      <c r="I121" s="3"/>
    </row>
    <row r="122" ht="15.75" customHeight="1">
      <c r="A122" s="1" t="s">
        <v>130</v>
      </c>
      <c r="B122" s="3" t="s">
        <v>10</v>
      </c>
      <c r="C122" s="3"/>
      <c r="D122" s="3"/>
      <c r="E122" s="3"/>
      <c r="F122" s="3"/>
      <c r="G122" s="3"/>
      <c r="H122" s="3"/>
      <c r="I122" s="3"/>
    </row>
    <row r="123" ht="15.75" customHeight="1">
      <c r="A123" s="1" t="s">
        <v>131</v>
      </c>
      <c r="B123" s="3" t="s">
        <v>10</v>
      </c>
      <c r="C123" s="3"/>
      <c r="D123" s="3"/>
      <c r="E123" s="3"/>
      <c r="F123" s="3"/>
      <c r="G123" s="3"/>
      <c r="H123" s="3"/>
      <c r="I123" s="3"/>
    </row>
    <row r="124" ht="15.75" customHeight="1">
      <c r="A124" s="1" t="s">
        <v>132</v>
      </c>
      <c r="B124" s="3" t="s">
        <v>10</v>
      </c>
      <c r="C124" s="3"/>
      <c r="D124" s="3"/>
      <c r="E124" s="3"/>
      <c r="F124" s="3"/>
      <c r="G124" s="3"/>
      <c r="H124" s="3"/>
      <c r="I124" s="3"/>
    </row>
    <row r="125" ht="15.75" customHeight="1">
      <c r="A125" s="1" t="s">
        <v>133</v>
      </c>
      <c r="B125" s="3" t="s">
        <v>10</v>
      </c>
      <c r="C125" s="3"/>
      <c r="D125" s="3"/>
      <c r="E125" s="3"/>
      <c r="F125" s="3"/>
      <c r="G125" s="3"/>
      <c r="H125" s="3"/>
      <c r="I125" s="3"/>
    </row>
    <row r="126" ht="15.75" customHeight="1">
      <c r="A126" s="1" t="s">
        <v>134</v>
      </c>
      <c r="B126" s="3" t="s">
        <v>10</v>
      </c>
      <c r="C126" s="3"/>
      <c r="D126" s="3"/>
      <c r="E126" s="3"/>
      <c r="F126" s="3"/>
      <c r="G126" s="3"/>
      <c r="H126" s="3"/>
      <c r="I126" s="3"/>
    </row>
    <row r="127" ht="15.75" customHeight="1">
      <c r="A127" s="1" t="s">
        <v>135</v>
      </c>
      <c r="B127" s="3" t="s">
        <v>10</v>
      </c>
      <c r="C127" s="3"/>
      <c r="D127" s="3"/>
      <c r="E127" s="3"/>
      <c r="F127" s="3"/>
      <c r="G127" s="3"/>
      <c r="H127" s="3"/>
      <c r="I127" s="3"/>
    </row>
    <row r="128" ht="15.75" customHeight="1">
      <c r="A128" s="1" t="s">
        <v>136</v>
      </c>
      <c r="B128" s="3" t="s">
        <v>10</v>
      </c>
      <c r="C128" s="3"/>
      <c r="D128" s="3"/>
      <c r="E128" s="3"/>
      <c r="F128" s="3"/>
      <c r="G128" s="3"/>
      <c r="H128" s="3"/>
      <c r="I128" s="3"/>
    </row>
    <row r="129" ht="15.75" customHeight="1">
      <c r="A129" s="1" t="s">
        <v>137</v>
      </c>
      <c r="B129" s="3" t="s">
        <v>10</v>
      </c>
      <c r="C129" s="3"/>
      <c r="D129" s="3"/>
      <c r="E129" s="3"/>
      <c r="F129" s="3"/>
      <c r="G129" s="3"/>
      <c r="H129" s="3"/>
      <c r="I129" s="3"/>
    </row>
    <row r="130" ht="15.75" customHeight="1">
      <c r="A130" s="1" t="s">
        <v>138</v>
      </c>
      <c r="B130" s="3" t="s">
        <v>10</v>
      </c>
      <c r="C130" s="3"/>
      <c r="D130" s="3"/>
      <c r="E130" s="3"/>
      <c r="F130" s="3"/>
      <c r="G130" s="3"/>
      <c r="H130" s="3"/>
      <c r="I130" s="3"/>
    </row>
    <row r="131" ht="15.75" customHeight="1">
      <c r="A131" s="1" t="s">
        <v>139</v>
      </c>
      <c r="B131" s="3" t="s">
        <v>10</v>
      </c>
      <c r="C131" s="3"/>
      <c r="D131" s="3"/>
      <c r="E131" s="3"/>
      <c r="F131" s="3"/>
      <c r="G131" s="3"/>
      <c r="H131" s="3"/>
      <c r="I131" s="3"/>
    </row>
    <row r="132" ht="15.75" customHeight="1">
      <c r="A132" s="1" t="s">
        <v>140</v>
      </c>
      <c r="B132" s="3" t="s">
        <v>10</v>
      </c>
      <c r="C132" s="3"/>
      <c r="D132" s="3"/>
      <c r="E132" s="3"/>
      <c r="F132" s="3"/>
      <c r="G132" s="3"/>
      <c r="H132" s="3"/>
      <c r="I132" s="3"/>
    </row>
    <row r="133" ht="15.75" customHeight="1">
      <c r="A133" s="1" t="s">
        <v>141</v>
      </c>
      <c r="B133" s="3" t="s">
        <v>10</v>
      </c>
      <c r="C133" s="3"/>
      <c r="D133" s="3"/>
      <c r="E133" s="3"/>
      <c r="F133" s="3"/>
      <c r="G133" s="3"/>
      <c r="H133" s="3"/>
      <c r="I133" s="3"/>
    </row>
    <row r="134" ht="15.75" customHeight="1">
      <c r="A134" s="1" t="s">
        <v>142</v>
      </c>
      <c r="B134" s="3" t="s">
        <v>10</v>
      </c>
      <c r="C134" s="3"/>
      <c r="D134" s="3"/>
      <c r="E134" s="3"/>
      <c r="F134" s="3"/>
      <c r="G134" s="3"/>
      <c r="H134" s="3"/>
      <c r="I134" s="3"/>
    </row>
    <row r="135" ht="15.75" customHeight="1">
      <c r="A135" s="1" t="s">
        <v>143</v>
      </c>
      <c r="B135" s="3" t="s">
        <v>10</v>
      </c>
      <c r="C135" s="3"/>
      <c r="D135" s="3"/>
      <c r="E135" s="3"/>
      <c r="F135" s="3"/>
      <c r="G135" s="3"/>
      <c r="H135" s="3"/>
      <c r="I135" s="3"/>
    </row>
    <row r="136" ht="15.75" customHeight="1">
      <c r="A136" s="1" t="s">
        <v>144</v>
      </c>
      <c r="B136" s="3" t="s">
        <v>10</v>
      </c>
      <c r="C136" s="3"/>
      <c r="D136" s="3"/>
      <c r="E136" s="3"/>
      <c r="F136" s="3"/>
      <c r="G136" s="3"/>
      <c r="H136" s="3"/>
      <c r="I136" s="3"/>
    </row>
    <row r="137" ht="15.75" customHeight="1">
      <c r="A137" s="1" t="s">
        <v>145</v>
      </c>
      <c r="B137" s="3" t="s">
        <v>10</v>
      </c>
      <c r="C137" s="3"/>
      <c r="D137" s="3"/>
      <c r="E137" s="3"/>
      <c r="F137" s="3"/>
      <c r="G137" s="3"/>
      <c r="H137" s="3"/>
      <c r="I137" s="3"/>
    </row>
    <row r="138" ht="15.75" customHeight="1">
      <c r="A138" s="1" t="s">
        <v>146</v>
      </c>
      <c r="B138" s="3" t="s">
        <v>10</v>
      </c>
      <c r="C138" s="3"/>
      <c r="D138" s="3"/>
      <c r="E138" s="3"/>
      <c r="F138" s="3"/>
      <c r="G138" s="3"/>
      <c r="H138" s="3"/>
      <c r="I138" s="3"/>
    </row>
    <row r="139" ht="15.75" customHeight="1">
      <c r="A139" s="1" t="s">
        <v>147</v>
      </c>
      <c r="B139" s="3" t="s">
        <v>10</v>
      </c>
      <c r="C139" s="3"/>
      <c r="D139" s="3"/>
      <c r="E139" s="3"/>
      <c r="F139" s="3"/>
      <c r="G139" s="3"/>
      <c r="H139" s="3"/>
      <c r="I139" s="3"/>
    </row>
    <row r="140" ht="15.75" customHeight="1">
      <c r="A140" s="1" t="s">
        <v>148</v>
      </c>
      <c r="B140" s="3" t="s">
        <v>10</v>
      </c>
      <c r="C140" s="3"/>
      <c r="D140" s="3"/>
      <c r="E140" s="3"/>
      <c r="F140" s="3"/>
      <c r="G140" s="3"/>
      <c r="H140" s="3"/>
      <c r="I140" s="3"/>
    </row>
    <row r="141" ht="15.75" customHeight="1">
      <c r="A141" s="1" t="s">
        <v>149</v>
      </c>
      <c r="B141" s="3" t="s">
        <v>10</v>
      </c>
      <c r="C141" s="3"/>
      <c r="D141" s="3"/>
      <c r="E141" s="3"/>
      <c r="F141" s="3"/>
      <c r="G141" s="3"/>
      <c r="H141" s="3"/>
      <c r="I141" s="3"/>
    </row>
    <row r="142" ht="15.75" customHeight="1">
      <c r="A142" s="1" t="s">
        <v>150</v>
      </c>
      <c r="B142" s="3" t="s">
        <v>10</v>
      </c>
      <c r="C142" s="3"/>
      <c r="D142" s="3"/>
      <c r="E142" s="3"/>
      <c r="F142" s="3"/>
      <c r="G142" s="3"/>
      <c r="H142" s="3"/>
      <c r="I142" s="3"/>
    </row>
    <row r="143" ht="15.75" customHeight="1">
      <c r="A143" s="1" t="s">
        <v>151</v>
      </c>
      <c r="B143" s="3" t="s">
        <v>10</v>
      </c>
      <c r="C143" s="3"/>
      <c r="D143" s="3"/>
      <c r="E143" s="3"/>
      <c r="F143" s="3"/>
      <c r="G143" s="3"/>
      <c r="H143" s="3"/>
      <c r="I143" s="3"/>
    </row>
    <row r="144" ht="15.75" customHeight="1">
      <c r="A144" s="1" t="s">
        <v>152</v>
      </c>
      <c r="B144" s="3" t="s">
        <v>10</v>
      </c>
      <c r="C144" s="3"/>
      <c r="D144" s="3"/>
      <c r="E144" s="3"/>
      <c r="F144" s="3"/>
      <c r="G144" s="3"/>
      <c r="H144" s="3"/>
      <c r="I144" s="3"/>
    </row>
    <row r="145" ht="15.75" customHeight="1">
      <c r="A145" s="1" t="s">
        <v>153</v>
      </c>
      <c r="B145" s="3" t="s">
        <v>10</v>
      </c>
      <c r="C145" s="3"/>
      <c r="D145" s="3"/>
      <c r="E145" s="3"/>
      <c r="F145" s="3"/>
      <c r="G145" s="3"/>
      <c r="H145" s="3"/>
      <c r="I145" s="3"/>
    </row>
    <row r="146" ht="15.75" customHeight="1">
      <c r="A146" s="1" t="s">
        <v>154</v>
      </c>
      <c r="B146" s="3" t="s">
        <v>10</v>
      </c>
      <c r="C146" s="3"/>
      <c r="D146" s="3"/>
      <c r="E146" s="3"/>
      <c r="F146" s="3"/>
      <c r="G146" s="3"/>
      <c r="H146" s="3"/>
      <c r="I146" s="3"/>
    </row>
    <row r="147" ht="15.75" customHeight="1">
      <c r="A147" s="1" t="s">
        <v>155</v>
      </c>
      <c r="B147" s="3" t="s">
        <v>10</v>
      </c>
      <c r="C147" s="3"/>
      <c r="D147" s="3"/>
      <c r="E147" s="3"/>
      <c r="F147" s="3"/>
      <c r="G147" s="3"/>
      <c r="H147" s="3"/>
      <c r="I147" s="3"/>
    </row>
    <row r="148" ht="15.75" customHeight="1">
      <c r="A148" s="1" t="s">
        <v>156</v>
      </c>
      <c r="B148" s="3" t="s">
        <v>10</v>
      </c>
      <c r="C148" s="3"/>
      <c r="D148" s="3"/>
      <c r="E148" s="3"/>
      <c r="F148" s="3"/>
      <c r="G148" s="3"/>
      <c r="H148" s="3"/>
      <c r="I148" s="3"/>
    </row>
    <row r="149" ht="15.75" customHeight="1">
      <c r="A149" s="1" t="s">
        <v>157</v>
      </c>
      <c r="B149" s="3" t="s">
        <v>10</v>
      </c>
      <c r="C149" s="3"/>
      <c r="D149" s="3"/>
      <c r="E149" s="3"/>
      <c r="F149" s="3"/>
      <c r="G149" s="3"/>
      <c r="H149" s="3"/>
      <c r="I149" s="3"/>
    </row>
    <row r="150" ht="15.75" customHeight="1">
      <c r="A150" s="1" t="s">
        <v>158</v>
      </c>
      <c r="B150" s="3" t="s">
        <v>10</v>
      </c>
      <c r="C150" s="3"/>
      <c r="D150" s="3"/>
      <c r="E150" s="3"/>
      <c r="F150" s="3"/>
      <c r="G150" s="3"/>
      <c r="H150" s="3"/>
      <c r="I150" s="3"/>
    </row>
    <row r="151" ht="15.75" customHeight="1">
      <c r="A151" s="1" t="s">
        <v>159</v>
      </c>
      <c r="B151" s="3" t="s">
        <v>10</v>
      </c>
      <c r="C151" s="3"/>
      <c r="D151" s="3"/>
      <c r="E151" s="3"/>
      <c r="F151" s="3"/>
      <c r="G151" s="3"/>
      <c r="H151" s="3"/>
      <c r="I151" s="3"/>
    </row>
    <row r="152" ht="15.75" customHeight="1">
      <c r="A152" s="1" t="s">
        <v>160</v>
      </c>
      <c r="B152" s="3" t="s">
        <v>10</v>
      </c>
      <c r="C152" s="3"/>
      <c r="D152" s="3"/>
      <c r="E152" s="3"/>
      <c r="F152" s="3"/>
      <c r="G152" s="3"/>
      <c r="H152" s="3"/>
      <c r="I152" s="3"/>
    </row>
    <row r="153" ht="15.75" customHeight="1">
      <c r="A153" s="1" t="s">
        <v>161</v>
      </c>
      <c r="B153" s="3" t="s">
        <v>10</v>
      </c>
      <c r="C153" s="3"/>
      <c r="D153" s="3"/>
      <c r="E153" s="3"/>
      <c r="F153" s="3"/>
      <c r="G153" s="3"/>
      <c r="H153" s="3"/>
      <c r="I153" s="3"/>
    </row>
    <row r="154" ht="15.75" customHeight="1">
      <c r="A154" s="1" t="s">
        <v>162</v>
      </c>
      <c r="B154" s="3" t="s">
        <v>10</v>
      </c>
      <c r="C154" s="3"/>
      <c r="D154" s="3"/>
      <c r="E154" s="3"/>
      <c r="F154" s="3"/>
      <c r="G154" s="3"/>
      <c r="H154" s="3"/>
      <c r="I154" s="3"/>
    </row>
    <row r="155" ht="15.75" customHeight="1">
      <c r="A155" s="1" t="s">
        <v>163</v>
      </c>
      <c r="B155" s="3" t="s">
        <v>10</v>
      </c>
      <c r="C155" s="3"/>
      <c r="D155" s="3"/>
      <c r="E155" s="3"/>
      <c r="F155" s="3"/>
      <c r="G155" s="3"/>
      <c r="H155" s="3"/>
      <c r="I155" s="3"/>
    </row>
    <row r="156" ht="15.75" customHeight="1">
      <c r="A156" s="1" t="s">
        <v>164</v>
      </c>
      <c r="B156" s="3" t="s">
        <v>10</v>
      </c>
      <c r="C156" s="3"/>
      <c r="D156" s="3"/>
      <c r="E156" s="3"/>
      <c r="F156" s="3"/>
      <c r="G156" s="3"/>
      <c r="H156" s="3"/>
      <c r="I156" s="3"/>
    </row>
    <row r="157" ht="15.75" customHeight="1">
      <c r="A157" s="1" t="s">
        <v>165</v>
      </c>
      <c r="B157" s="3" t="s">
        <v>10</v>
      </c>
      <c r="C157" s="3"/>
      <c r="D157" s="3"/>
      <c r="E157" s="3"/>
      <c r="F157" s="3"/>
      <c r="G157" s="3"/>
      <c r="H157" s="3"/>
      <c r="I157" s="3"/>
    </row>
    <row r="158" ht="15.75" customHeight="1">
      <c r="A158" s="1" t="s">
        <v>166</v>
      </c>
      <c r="B158" s="3" t="s">
        <v>10</v>
      </c>
      <c r="C158" s="3"/>
      <c r="D158" s="3"/>
      <c r="E158" s="3"/>
      <c r="F158" s="3"/>
      <c r="G158" s="3"/>
      <c r="H158" s="3"/>
      <c r="I158" s="3"/>
    </row>
    <row r="159" ht="15.75" customHeight="1">
      <c r="A159" s="1" t="s">
        <v>167</v>
      </c>
      <c r="B159" s="3" t="s">
        <v>10</v>
      </c>
      <c r="C159" s="3"/>
      <c r="D159" s="3"/>
      <c r="E159" s="3"/>
      <c r="F159" s="3"/>
      <c r="G159" s="3"/>
      <c r="H159" s="3"/>
      <c r="I159" s="3"/>
    </row>
    <row r="160" ht="15.75" customHeight="1">
      <c r="A160" s="1" t="s">
        <v>168</v>
      </c>
      <c r="B160" s="3" t="s">
        <v>10</v>
      </c>
      <c r="C160" s="3"/>
      <c r="D160" s="3"/>
      <c r="E160" s="3"/>
      <c r="F160" s="3"/>
      <c r="G160" s="3"/>
      <c r="H160" s="3"/>
      <c r="I160" s="3"/>
    </row>
    <row r="161" ht="15.75" customHeight="1">
      <c r="A161" s="1" t="s">
        <v>169</v>
      </c>
      <c r="B161" s="3" t="s">
        <v>10</v>
      </c>
      <c r="C161" s="3"/>
      <c r="D161" s="3"/>
      <c r="E161" s="3"/>
      <c r="F161" s="3"/>
      <c r="G161" s="3"/>
      <c r="H161" s="3"/>
      <c r="I161" s="3"/>
    </row>
    <row r="162" ht="15.75" customHeight="1">
      <c r="A162" s="1" t="s">
        <v>170</v>
      </c>
      <c r="B162" s="3" t="s">
        <v>10</v>
      </c>
      <c r="C162" s="3"/>
      <c r="D162" s="3"/>
      <c r="E162" s="3"/>
      <c r="F162" s="3"/>
      <c r="G162" s="3"/>
      <c r="H162" s="3"/>
      <c r="I162" s="3"/>
    </row>
    <row r="163" ht="15.75" customHeight="1">
      <c r="A163" s="1" t="s">
        <v>171</v>
      </c>
      <c r="B163" s="3" t="s">
        <v>10</v>
      </c>
      <c r="C163" s="3"/>
      <c r="D163" s="3"/>
      <c r="E163" s="3"/>
      <c r="F163" s="3"/>
      <c r="G163" s="3"/>
      <c r="H163" s="3"/>
      <c r="I163" s="3"/>
    </row>
    <row r="164" ht="15.75" customHeight="1">
      <c r="A164" s="1" t="s">
        <v>172</v>
      </c>
      <c r="B164" s="3" t="s">
        <v>10</v>
      </c>
      <c r="C164" s="3"/>
      <c r="D164" s="3"/>
      <c r="E164" s="3"/>
      <c r="F164" s="3"/>
      <c r="G164" s="3"/>
      <c r="H164" s="3"/>
      <c r="I164" s="3"/>
    </row>
    <row r="165" ht="15.75" customHeight="1">
      <c r="A165" s="1" t="s">
        <v>173</v>
      </c>
      <c r="B165" s="3" t="s">
        <v>10</v>
      </c>
      <c r="C165" s="3"/>
      <c r="D165" s="3"/>
      <c r="E165" s="3"/>
      <c r="F165" s="3"/>
      <c r="G165" s="3"/>
      <c r="H165" s="3"/>
      <c r="I165" s="3"/>
    </row>
    <row r="166" ht="15.75" customHeight="1">
      <c r="A166" s="1" t="s">
        <v>174</v>
      </c>
      <c r="B166" s="3" t="s">
        <v>10</v>
      </c>
      <c r="C166" s="3"/>
      <c r="D166" s="3"/>
      <c r="E166" s="3"/>
      <c r="F166" s="3"/>
      <c r="G166" s="3"/>
      <c r="H166" s="3"/>
      <c r="I166" s="3"/>
    </row>
    <row r="167" ht="15.75" customHeight="1">
      <c r="A167" s="1" t="s">
        <v>175</v>
      </c>
      <c r="B167" s="3" t="s">
        <v>10</v>
      </c>
      <c r="C167" s="3"/>
      <c r="D167" s="3"/>
      <c r="E167" s="3"/>
      <c r="F167" s="3"/>
      <c r="G167" s="3"/>
      <c r="H167" s="3"/>
      <c r="I167" s="3"/>
    </row>
    <row r="168" ht="15.75" customHeight="1">
      <c r="A168" s="1" t="s">
        <v>176</v>
      </c>
      <c r="B168" s="3" t="s">
        <v>10</v>
      </c>
      <c r="C168" s="3"/>
      <c r="D168" s="3"/>
      <c r="E168" s="3"/>
      <c r="F168" s="3"/>
      <c r="G168" s="3"/>
      <c r="H168" s="3"/>
      <c r="I168" s="3"/>
    </row>
    <row r="169" ht="15.75" customHeight="1">
      <c r="A169" s="1" t="s">
        <v>177</v>
      </c>
      <c r="B169" s="3" t="s">
        <v>10</v>
      </c>
      <c r="C169" s="3"/>
      <c r="D169" s="3"/>
      <c r="E169" s="3"/>
      <c r="F169" s="3"/>
      <c r="G169" s="3"/>
      <c r="H169" s="3"/>
      <c r="I169" s="3"/>
    </row>
    <row r="170" ht="15.75" customHeight="1">
      <c r="A170" s="1" t="s">
        <v>178</v>
      </c>
      <c r="B170" s="3" t="s">
        <v>10</v>
      </c>
      <c r="C170" s="3"/>
      <c r="D170" s="3"/>
      <c r="E170" s="3"/>
      <c r="F170" s="3"/>
      <c r="G170" s="3"/>
      <c r="H170" s="3"/>
      <c r="I170" s="3"/>
    </row>
    <row r="171" ht="15.75" customHeight="1">
      <c r="A171" s="1" t="s">
        <v>179</v>
      </c>
      <c r="B171" s="3" t="s">
        <v>10</v>
      </c>
      <c r="C171" s="3"/>
      <c r="D171" s="3"/>
      <c r="E171" s="3"/>
      <c r="F171" s="3"/>
      <c r="G171" s="3"/>
      <c r="H171" s="3"/>
      <c r="I171" s="3"/>
    </row>
    <row r="172" ht="15.75" customHeight="1">
      <c r="A172" s="1" t="s">
        <v>180</v>
      </c>
      <c r="B172" s="3" t="s">
        <v>10</v>
      </c>
      <c r="C172" s="3"/>
      <c r="D172" s="3"/>
      <c r="E172" s="3"/>
      <c r="F172" s="3"/>
      <c r="G172" s="3"/>
      <c r="H172" s="3"/>
      <c r="I172" s="3"/>
    </row>
    <row r="173" ht="15.75" customHeight="1">
      <c r="A173" s="1" t="s">
        <v>181</v>
      </c>
      <c r="B173" s="3" t="s">
        <v>10</v>
      </c>
      <c r="C173" s="3"/>
      <c r="D173" s="3"/>
      <c r="E173" s="3"/>
      <c r="F173" s="3"/>
      <c r="G173" s="3"/>
      <c r="H173" s="3"/>
      <c r="I173" s="3"/>
    </row>
    <row r="174" ht="15.75" customHeight="1">
      <c r="A174" s="1" t="s">
        <v>182</v>
      </c>
      <c r="B174" s="3" t="s">
        <v>10</v>
      </c>
      <c r="C174" s="3"/>
      <c r="D174" s="3"/>
      <c r="E174" s="3"/>
      <c r="F174" s="3"/>
      <c r="G174" s="3"/>
      <c r="H174" s="3"/>
      <c r="I174" s="3"/>
    </row>
    <row r="175" ht="15.75" customHeight="1">
      <c r="A175" s="1" t="s">
        <v>183</v>
      </c>
      <c r="B175" s="3" t="s">
        <v>10</v>
      </c>
      <c r="C175" s="3"/>
      <c r="D175" s="3"/>
      <c r="E175" s="3"/>
      <c r="F175" s="3"/>
      <c r="G175" s="3"/>
      <c r="H175" s="3"/>
      <c r="I175" s="3"/>
    </row>
    <row r="176" ht="15.75" customHeight="1">
      <c r="A176" s="1" t="s">
        <v>184</v>
      </c>
      <c r="B176" s="3" t="s">
        <v>10</v>
      </c>
      <c r="C176" s="3"/>
      <c r="D176" s="3"/>
      <c r="E176" s="3"/>
      <c r="F176" s="3"/>
      <c r="G176" s="3"/>
      <c r="H176" s="3"/>
      <c r="I176" s="3"/>
    </row>
    <row r="177" ht="15.75" customHeight="1">
      <c r="A177" s="1" t="s">
        <v>185</v>
      </c>
      <c r="B177" s="3" t="s">
        <v>10</v>
      </c>
      <c r="C177" s="3"/>
      <c r="D177" s="3"/>
      <c r="E177" s="3"/>
      <c r="F177" s="3"/>
      <c r="G177" s="3"/>
      <c r="H177" s="3"/>
      <c r="I177" s="3"/>
    </row>
    <row r="178" ht="15.75" customHeight="1">
      <c r="A178" s="1" t="s">
        <v>186</v>
      </c>
      <c r="B178" s="3" t="s">
        <v>10</v>
      </c>
      <c r="C178" s="3"/>
      <c r="D178" s="3"/>
      <c r="E178" s="3"/>
      <c r="F178" s="3"/>
      <c r="G178" s="3"/>
      <c r="H178" s="3"/>
      <c r="I178" s="3"/>
    </row>
    <row r="179" ht="15.75" customHeight="1">
      <c r="A179" s="1" t="s">
        <v>187</v>
      </c>
      <c r="B179" s="3" t="s">
        <v>10</v>
      </c>
      <c r="C179" s="3"/>
      <c r="D179" s="3"/>
      <c r="E179" s="3"/>
      <c r="F179" s="3"/>
      <c r="G179" s="3"/>
      <c r="H179" s="3"/>
      <c r="I179" s="3"/>
    </row>
    <row r="180" ht="15.75" customHeight="1">
      <c r="A180" s="1" t="s">
        <v>188</v>
      </c>
      <c r="B180" s="3" t="s">
        <v>10</v>
      </c>
      <c r="C180" s="3"/>
      <c r="D180" s="3"/>
      <c r="E180" s="3"/>
      <c r="F180" s="3"/>
      <c r="G180" s="3"/>
      <c r="H180" s="3"/>
      <c r="I180" s="3"/>
    </row>
    <row r="181" ht="15.75" customHeight="1">
      <c r="A181" s="1" t="s">
        <v>189</v>
      </c>
      <c r="B181" s="3" t="s">
        <v>10</v>
      </c>
      <c r="C181" s="3"/>
      <c r="D181" s="3"/>
      <c r="E181" s="3"/>
      <c r="F181" s="3"/>
      <c r="G181" s="3"/>
      <c r="H181" s="3"/>
      <c r="I181" s="3"/>
    </row>
    <row r="182" ht="15.75" customHeight="1">
      <c r="A182" s="1" t="s">
        <v>190</v>
      </c>
      <c r="B182" s="3" t="s">
        <v>10</v>
      </c>
      <c r="C182" s="3"/>
      <c r="D182" s="3"/>
      <c r="E182" s="3"/>
      <c r="F182" s="3"/>
      <c r="G182" s="3"/>
      <c r="H182" s="3"/>
      <c r="I182" s="3"/>
    </row>
    <row r="183" ht="15.75" customHeight="1">
      <c r="A183" s="1" t="s">
        <v>191</v>
      </c>
      <c r="B183" s="3" t="s">
        <v>10</v>
      </c>
      <c r="C183" s="3"/>
      <c r="D183" s="3"/>
      <c r="E183" s="3"/>
      <c r="F183" s="3"/>
      <c r="G183" s="3"/>
      <c r="H183" s="3"/>
      <c r="I183" s="3"/>
    </row>
    <row r="184" ht="15.75" customHeight="1">
      <c r="A184" s="1" t="s">
        <v>192</v>
      </c>
      <c r="B184" s="3" t="s">
        <v>10</v>
      </c>
      <c r="C184" s="3"/>
      <c r="D184" s="3"/>
      <c r="E184" s="3"/>
      <c r="F184" s="3"/>
      <c r="G184" s="3"/>
      <c r="H184" s="3"/>
      <c r="I184" s="3"/>
    </row>
    <row r="185" ht="15.75" customHeight="1">
      <c r="A185" s="1" t="s">
        <v>193</v>
      </c>
      <c r="B185" s="3" t="s">
        <v>10</v>
      </c>
      <c r="C185" s="3"/>
      <c r="D185" s="3"/>
      <c r="E185" s="3"/>
      <c r="F185" s="3"/>
      <c r="G185" s="3"/>
      <c r="H185" s="3"/>
      <c r="I185" s="3"/>
    </row>
    <row r="186" ht="15.75" customHeight="1">
      <c r="A186" s="1" t="s">
        <v>194</v>
      </c>
      <c r="B186" s="3" t="s">
        <v>10</v>
      </c>
      <c r="C186" s="3"/>
      <c r="D186" s="3"/>
      <c r="E186" s="3"/>
      <c r="F186" s="3"/>
      <c r="G186" s="3"/>
      <c r="H186" s="3"/>
      <c r="I186" s="3"/>
    </row>
    <row r="187" ht="15.75" customHeight="1">
      <c r="A187" s="1" t="s">
        <v>195</v>
      </c>
      <c r="B187" s="3" t="s">
        <v>10</v>
      </c>
      <c r="C187" s="3"/>
      <c r="D187" s="3"/>
      <c r="E187" s="3"/>
      <c r="F187" s="3"/>
      <c r="G187" s="3"/>
      <c r="H187" s="3"/>
      <c r="I187" s="3"/>
    </row>
    <row r="188" ht="15.75" customHeight="1">
      <c r="A188" s="1" t="s">
        <v>196</v>
      </c>
      <c r="B188" s="3" t="s">
        <v>10</v>
      </c>
      <c r="C188" s="3"/>
      <c r="D188" s="3"/>
      <c r="E188" s="3"/>
      <c r="F188" s="3"/>
      <c r="G188" s="3"/>
      <c r="H188" s="3"/>
      <c r="I188" s="3"/>
    </row>
    <row r="189" ht="15.75" customHeight="1">
      <c r="A189" s="1" t="s">
        <v>197</v>
      </c>
      <c r="B189" s="3" t="s">
        <v>10</v>
      </c>
      <c r="C189" s="3"/>
      <c r="D189" s="3"/>
      <c r="E189" s="3"/>
      <c r="F189" s="3"/>
      <c r="G189" s="3"/>
      <c r="H189" s="3"/>
      <c r="I189" s="3"/>
    </row>
    <row r="190" ht="15.75" customHeight="1">
      <c r="A190" s="1" t="s">
        <v>198</v>
      </c>
      <c r="B190" s="3" t="s">
        <v>10</v>
      </c>
      <c r="C190" s="3"/>
      <c r="D190" s="3"/>
      <c r="E190" s="3"/>
      <c r="F190" s="3"/>
      <c r="G190" s="3"/>
      <c r="H190" s="3"/>
      <c r="I190" s="3"/>
    </row>
    <row r="191" ht="15.75" customHeight="1">
      <c r="A191" s="1" t="s">
        <v>199</v>
      </c>
      <c r="B191" s="3" t="s">
        <v>10</v>
      </c>
      <c r="C191" s="3"/>
      <c r="D191" s="3"/>
      <c r="E191" s="3"/>
      <c r="F191" s="3"/>
      <c r="G191" s="3"/>
      <c r="H191" s="3"/>
      <c r="I191" s="3"/>
    </row>
    <row r="192" ht="15.75" customHeight="1">
      <c r="A192" s="1" t="s">
        <v>200</v>
      </c>
      <c r="B192" s="3" t="s">
        <v>10</v>
      </c>
      <c r="C192" s="3"/>
      <c r="D192" s="3"/>
      <c r="E192" s="3"/>
      <c r="F192" s="3"/>
      <c r="G192" s="3"/>
      <c r="H192" s="3"/>
      <c r="I192" s="3"/>
    </row>
    <row r="193" ht="15.75" customHeight="1">
      <c r="A193" s="1" t="s">
        <v>201</v>
      </c>
      <c r="B193" s="3" t="s">
        <v>10</v>
      </c>
      <c r="C193" s="3"/>
      <c r="D193" s="3"/>
      <c r="E193" s="3"/>
      <c r="F193" s="3"/>
      <c r="G193" s="3"/>
      <c r="H193" s="3"/>
      <c r="I193" s="3"/>
    </row>
    <row r="194" ht="15.75" customHeight="1">
      <c r="A194" s="1" t="s">
        <v>202</v>
      </c>
      <c r="B194" s="3" t="s">
        <v>10</v>
      </c>
      <c r="C194" s="3"/>
      <c r="D194" s="3"/>
      <c r="E194" s="3"/>
      <c r="F194" s="3"/>
      <c r="G194" s="3"/>
      <c r="H194" s="3"/>
      <c r="I194" s="3"/>
    </row>
    <row r="195" ht="15.75" customHeight="1">
      <c r="A195" s="1" t="s">
        <v>203</v>
      </c>
      <c r="B195" s="3" t="s">
        <v>10</v>
      </c>
      <c r="C195" s="3"/>
      <c r="D195" s="3"/>
      <c r="E195" s="3"/>
      <c r="F195" s="3"/>
      <c r="G195" s="3"/>
      <c r="H195" s="3"/>
      <c r="I195" s="3"/>
    </row>
    <row r="196" ht="15.75" customHeight="1">
      <c r="A196" s="1" t="s">
        <v>204</v>
      </c>
      <c r="B196" s="3" t="s">
        <v>10</v>
      </c>
      <c r="C196" s="3"/>
      <c r="D196" s="3"/>
      <c r="E196" s="3"/>
      <c r="F196" s="3"/>
      <c r="G196" s="3"/>
      <c r="H196" s="3"/>
      <c r="I196" s="3"/>
    </row>
    <row r="197" ht="15.75" customHeight="1">
      <c r="A197" s="1" t="s">
        <v>205</v>
      </c>
      <c r="B197" s="3" t="s">
        <v>10</v>
      </c>
      <c r="C197" s="3"/>
      <c r="D197" s="3"/>
      <c r="E197" s="3"/>
      <c r="F197" s="3"/>
      <c r="G197" s="3"/>
      <c r="H197" s="3"/>
      <c r="I197" s="3"/>
    </row>
    <row r="198" ht="15.75" customHeight="1">
      <c r="A198" s="1" t="s">
        <v>206</v>
      </c>
      <c r="B198" s="3" t="s">
        <v>10</v>
      </c>
      <c r="C198" s="3"/>
      <c r="D198" s="3"/>
      <c r="E198" s="3"/>
      <c r="F198" s="3"/>
      <c r="G198" s="3"/>
      <c r="H198" s="3"/>
      <c r="I198" s="3"/>
    </row>
    <row r="199" ht="15.75" customHeight="1">
      <c r="A199" s="1" t="s">
        <v>207</v>
      </c>
      <c r="B199" s="3" t="s">
        <v>10</v>
      </c>
      <c r="C199" s="3"/>
      <c r="D199" s="3"/>
      <c r="E199" s="3"/>
      <c r="F199" s="3"/>
      <c r="G199" s="3"/>
      <c r="H199" s="3"/>
      <c r="I199" s="3"/>
    </row>
    <row r="200" ht="15.75" customHeight="1">
      <c r="A200" s="1" t="s">
        <v>208</v>
      </c>
      <c r="B200" s="3" t="s">
        <v>10</v>
      </c>
      <c r="C200" s="3"/>
      <c r="D200" s="3"/>
      <c r="E200" s="3"/>
      <c r="F200" s="3"/>
      <c r="G200" s="3"/>
      <c r="H200" s="3"/>
      <c r="I200" s="3"/>
    </row>
    <row r="201" ht="15.75" customHeight="1">
      <c r="A201" s="1" t="s">
        <v>209</v>
      </c>
      <c r="B201" s="3" t="s">
        <v>10</v>
      </c>
      <c r="C201" s="3"/>
      <c r="D201" s="3"/>
      <c r="E201" s="3"/>
      <c r="F201" s="3"/>
      <c r="G201" s="3"/>
      <c r="H201" s="3"/>
      <c r="I201" s="3"/>
    </row>
    <row r="202" ht="15.75" customHeight="1">
      <c r="A202" s="1" t="s">
        <v>210</v>
      </c>
      <c r="B202" s="3" t="s">
        <v>10</v>
      </c>
      <c r="C202" s="3"/>
      <c r="D202" s="3"/>
      <c r="E202" s="3"/>
      <c r="F202" s="3"/>
      <c r="G202" s="3"/>
      <c r="H202" s="3"/>
      <c r="I202" s="3"/>
    </row>
    <row r="203" ht="15.75" customHeight="1">
      <c r="A203" s="1" t="s">
        <v>211</v>
      </c>
      <c r="B203" s="3" t="s">
        <v>10</v>
      </c>
      <c r="C203" s="3"/>
      <c r="D203" s="3"/>
      <c r="E203" s="3"/>
      <c r="F203" s="3"/>
      <c r="G203" s="3"/>
      <c r="H203" s="3"/>
      <c r="I203" s="3"/>
    </row>
    <row r="204" ht="15.75" customHeight="1">
      <c r="A204" s="1" t="s">
        <v>212</v>
      </c>
      <c r="B204" s="3" t="s">
        <v>10</v>
      </c>
      <c r="C204" s="3"/>
      <c r="D204" s="3"/>
      <c r="E204" s="3"/>
      <c r="F204" s="3"/>
      <c r="G204" s="3"/>
      <c r="H204" s="3"/>
      <c r="I204" s="3"/>
    </row>
    <row r="205" ht="15.75" customHeight="1">
      <c r="A205" s="1" t="s">
        <v>213</v>
      </c>
      <c r="B205" s="3" t="s">
        <v>10</v>
      </c>
      <c r="C205" s="3"/>
      <c r="D205" s="3"/>
      <c r="E205" s="3"/>
      <c r="F205" s="3"/>
      <c r="G205" s="3"/>
      <c r="H205" s="3"/>
      <c r="I205" s="3"/>
    </row>
    <row r="206" ht="15.75" customHeight="1">
      <c r="A206" s="1" t="s">
        <v>214</v>
      </c>
      <c r="B206" s="3" t="s">
        <v>10</v>
      </c>
      <c r="C206" s="3"/>
      <c r="D206" s="3"/>
      <c r="E206" s="3"/>
      <c r="F206" s="3"/>
      <c r="G206" s="3"/>
      <c r="H206" s="3"/>
      <c r="I206" s="3"/>
    </row>
    <row r="207" ht="15.75" customHeight="1">
      <c r="A207" s="1" t="s">
        <v>215</v>
      </c>
      <c r="B207" s="3" t="s">
        <v>10</v>
      </c>
      <c r="C207" s="3"/>
      <c r="D207" s="3"/>
      <c r="E207" s="3"/>
      <c r="F207" s="3"/>
      <c r="G207" s="3"/>
      <c r="H207" s="3"/>
      <c r="I207" s="3"/>
    </row>
    <row r="208" ht="15.75" customHeight="1">
      <c r="A208" s="1" t="s">
        <v>216</v>
      </c>
      <c r="B208" s="3" t="s">
        <v>10</v>
      </c>
      <c r="C208" s="3"/>
      <c r="D208" s="3"/>
      <c r="E208" s="3"/>
      <c r="F208" s="3"/>
      <c r="G208" s="3"/>
      <c r="H208" s="3"/>
      <c r="I208" s="3"/>
    </row>
    <row r="209" ht="15.75" customHeight="1">
      <c r="A209" s="1" t="s">
        <v>217</v>
      </c>
      <c r="B209" s="3" t="s">
        <v>10</v>
      </c>
      <c r="C209" s="3"/>
      <c r="D209" s="3"/>
      <c r="E209" s="3"/>
      <c r="F209" s="3"/>
      <c r="G209" s="3"/>
      <c r="H209" s="3"/>
      <c r="I209" s="3"/>
    </row>
    <row r="210" ht="15.75" customHeight="1">
      <c r="A210" s="1" t="s">
        <v>218</v>
      </c>
      <c r="B210" s="3" t="s">
        <v>10</v>
      </c>
      <c r="C210" s="3"/>
      <c r="D210" s="3"/>
      <c r="E210" s="3"/>
      <c r="F210" s="3"/>
      <c r="G210" s="3"/>
      <c r="H210" s="3"/>
      <c r="I210" s="3"/>
    </row>
    <row r="211" ht="15.75" customHeight="1">
      <c r="A211" s="1" t="s">
        <v>219</v>
      </c>
      <c r="B211" s="3" t="s">
        <v>10</v>
      </c>
      <c r="C211" s="3"/>
      <c r="D211" s="3"/>
      <c r="E211" s="3"/>
      <c r="F211" s="3"/>
      <c r="G211" s="3"/>
      <c r="H211" s="3"/>
      <c r="I211" s="3"/>
    </row>
    <row r="212" ht="15.75" customHeight="1">
      <c r="A212" s="1" t="s">
        <v>220</v>
      </c>
      <c r="B212" s="3" t="s">
        <v>10</v>
      </c>
      <c r="C212" s="3"/>
      <c r="D212" s="3"/>
      <c r="E212" s="3"/>
      <c r="F212" s="3"/>
      <c r="G212" s="3"/>
      <c r="H212" s="3"/>
      <c r="I212" s="3"/>
    </row>
    <row r="213" ht="15.75" customHeight="1">
      <c r="A213" s="1" t="s">
        <v>221</v>
      </c>
      <c r="B213" s="3" t="s">
        <v>10</v>
      </c>
      <c r="C213" s="3"/>
      <c r="D213" s="3"/>
      <c r="E213" s="3"/>
      <c r="F213" s="3"/>
      <c r="G213" s="3"/>
      <c r="H213" s="3"/>
      <c r="I213" s="3"/>
    </row>
    <row r="214" ht="15.75" customHeight="1">
      <c r="A214" s="1" t="s">
        <v>222</v>
      </c>
      <c r="B214" s="3" t="s">
        <v>10</v>
      </c>
      <c r="C214" s="3"/>
      <c r="D214" s="3"/>
      <c r="E214" s="3"/>
      <c r="F214" s="3"/>
      <c r="G214" s="3"/>
      <c r="H214" s="3"/>
      <c r="I214" s="3"/>
    </row>
    <row r="215" ht="15.75" customHeight="1">
      <c r="A215" s="1" t="s">
        <v>223</v>
      </c>
      <c r="B215" s="3" t="s">
        <v>10</v>
      </c>
      <c r="C215" s="3"/>
      <c r="D215" s="3"/>
      <c r="E215" s="3"/>
      <c r="F215" s="3"/>
      <c r="G215" s="3"/>
      <c r="H215" s="3"/>
      <c r="I215" s="3"/>
    </row>
    <row r="216" ht="15.75" customHeight="1">
      <c r="A216" s="1" t="s">
        <v>224</v>
      </c>
      <c r="B216" s="3" t="s">
        <v>10</v>
      </c>
      <c r="C216" s="3"/>
      <c r="D216" s="3"/>
      <c r="E216" s="3"/>
      <c r="F216" s="3"/>
      <c r="G216" s="3"/>
      <c r="H216" s="3"/>
      <c r="I216" s="3"/>
    </row>
    <row r="217" ht="15.75" customHeight="1">
      <c r="A217" s="1" t="s">
        <v>225</v>
      </c>
      <c r="B217" s="3" t="s">
        <v>10</v>
      </c>
      <c r="C217" s="3"/>
      <c r="D217" s="3"/>
      <c r="E217" s="3"/>
      <c r="F217" s="3"/>
      <c r="G217" s="3"/>
      <c r="H217" s="3"/>
      <c r="I217" s="3"/>
    </row>
    <row r="218" ht="15.75" customHeight="1">
      <c r="A218" s="1" t="s">
        <v>226</v>
      </c>
      <c r="B218" s="3" t="s">
        <v>10</v>
      </c>
      <c r="C218" s="3"/>
      <c r="D218" s="3"/>
      <c r="E218" s="3"/>
      <c r="F218" s="3"/>
      <c r="G218" s="3"/>
      <c r="H218" s="3"/>
      <c r="I218" s="3"/>
    </row>
    <row r="219" ht="15.75" customHeight="1">
      <c r="A219" s="1" t="s">
        <v>227</v>
      </c>
      <c r="B219" s="3" t="s">
        <v>10</v>
      </c>
      <c r="C219" s="3"/>
      <c r="D219" s="3"/>
      <c r="E219" s="3"/>
      <c r="F219" s="3"/>
      <c r="G219" s="3"/>
      <c r="H219" s="3"/>
      <c r="I219" s="3"/>
    </row>
    <row r="220" ht="15.75" customHeight="1">
      <c r="A220" s="1" t="s">
        <v>228</v>
      </c>
      <c r="B220" s="3" t="s">
        <v>10</v>
      </c>
      <c r="C220" s="3"/>
      <c r="D220" s="3"/>
      <c r="E220" s="3"/>
      <c r="F220" s="3"/>
      <c r="G220" s="3"/>
      <c r="H220" s="3"/>
      <c r="I220" s="3"/>
    </row>
    <row r="221" ht="15.75" customHeight="1">
      <c r="A221" s="1" t="s">
        <v>229</v>
      </c>
      <c r="B221" s="3" t="s">
        <v>10</v>
      </c>
      <c r="C221" s="3"/>
      <c r="D221" s="3"/>
      <c r="E221" s="3"/>
      <c r="F221" s="3"/>
      <c r="G221" s="3"/>
      <c r="H221" s="3"/>
      <c r="I221" s="3"/>
    </row>
    <row r="222" ht="15.75" customHeight="1">
      <c r="A222" s="1" t="s">
        <v>230</v>
      </c>
      <c r="B222" s="3" t="s">
        <v>10</v>
      </c>
      <c r="C222" s="3"/>
      <c r="D222" s="3"/>
      <c r="E222" s="3"/>
      <c r="F222" s="3"/>
      <c r="G222" s="3"/>
      <c r="H222" s="3"/>
      <c r="I222" s="3"/>
    </row>
    <row r="223" ht="15.75" customHeight="1">
      <c r="A223" s="1" t="s">
        <v>231</v>
      </c>
      <c r="B223" s="3" t="s">
        <v>232</v>
      </c>
      <c r="C223" s="3"/>
      <c r="D223" s="3"/>
      <c r="E223" s="3"/>
      <c r="F223" s="3"/>
      <c r="G223" s="3"/>
      <c r="H223" s="3"/>
      <c r="I223" s="3"/>
    </row>
    <row r="224" ht="15.75" customHeight="1">
      <c r="A224" s="1" t="s">
        <v>233</v>
      </c>
      <c r="B224" s="3" t="s">
        <v>232</v>
      </c>
      <c r="C224" s="3"/>
      <c r="D224" s="3"/>
      <c r="E224" s="3"/>
      <c r="F224" s="3"/>
      <c r="G224" s="3"/>
      <c r="H224" s="3"/>
      <c r="I224" s="3"/>
    </row>
    <row r="225" ht="15.75" customHeight="1">
      <c r="A225" s="1" t="s">
        <v>234</v>
      </c>
      <c r="B225" s="3" t="s">
        <v>232</v>
      </c>
      <c r="C225" s="3"/>
      <c r="D225" s="3"/>
      <c r="E225" s="3"/>
      <c r="F225" s="3"/>
      <c r="G225" s="3"/>
      <c r="H225" s="3"/>
      <c r="I225" s="3"/>
    </row>
    <row r="226" ht="15.75" customHeight="1">
      <c r="A226" s="1" t="s">
        <v>235</v>
      </c>
      <c r="B226" s="3" t="s">
        <v>232</v>
      </c>
      <c r="C226" s="3"/>
      <c r="D226" s="3"/>
      <c r="E226" s="3"/>
      <c r="F226" s="3"/>
      <c r="G226" s="3"/>
      <c r="H226" s="3"/>
      <c r="I226" s="3"/>
    </row>
    <row r="227" ht="15.75" customHeight="1">
      <c r="A227" s="1" t="s">
        <v>236</v>
      </c>
      <c r="B227" s="3" t="s">
        <v>232</v>
      </c>
      <c r="C227" s="3"/>
      <c r="D227" s="3"/>
      <c r="E227" s="3"/>
      <c r="F227" s="3"/>
      <c r="G227" s="3"/>
      <c r="H227" s="3"/>
      <c r="I227" s="3"/>
    </row>
    <row r="228" ht="15.75" customHeight="1">
      <c r="A228" s="1" t="s">
        <v>237</v>
      </c>
      <c r="B228" s="3" t="s">
        <v>232</v>
      </c>
      <c r="C228" s="3"/>
      <c r="D228" s="3"/>
      <c r="E228" s="3"/>
      <c r="F228" s="3"/>
      <c r="G228" s="3"/>
      <c r="H228" s="3"/>
      <c r="I228" s="3"/>
    </row>
    <row r="229" ht="15.75" customHeight="1">
      <c r="A229" s="1" t="s">
        <v>238</v>
      </c>
      <c r="B229" s="3" t="s">
        <v>232</v>
      </c>
      <c r="C229" s="3"/>
      <c r="D229" s="3"/>
      <c r="E229" s="3"/>
      <c r="F229" s="3"/>
      <c r="G229" s="3"/>
      <c r="H229" s="3"/>
      <c r="I229" s="3"/>
    </row>
    <row r="230" ht="15.75" customHeight="1">
      <c r="A230" s="1" t="s">
        <v>239</v>
      </c>
      <c r="B230" s="3" t="s">
        <v>232</v>
      </c>
      <c r="C230" s="3"/>
      <c r="D230" s="3"/>
      <c r="E230" s="3"/>
      <c r="F230" s="3"/>
      <c r="G230" s="3"/>
      <c r="H230" s="3"/>
      <c r="I230" s="3"/>
    </row>
    <row r="231" ht="15.75" customHeight="1">
      <c r="A231" s="1" t="s">
        <v>240</v>
      </c>
      <c r="B231" s="3" t="s">
        <v>232</v>
      </c>
      <c r="C231" s="3"/>
      <c r="D231" s="3"/>
      <c r="E231" s="3"/>
      <c r="F231" s="3"/>
      <c r="G231" s="3"/>
      <c r="H231" s="3"/>
      <c r="I231" s="3"/>
    </row>
    <row r="232" ht="15.75" customHeight="1">
      <c r="A232" s="1" t="s">
        <v>241</v>
      </c>
      <c r="B232" s="3" t="s">
        <v>232</v>
      </c>
      <c r="C232" s="3"/>
      <c r="D232" s="3"/>
      <c r="E232" s="3"/>
      <c r="F232" s="3"/>
      <c r="G232" s="3"/>
      <c r="H232" s="3"/>
      <c r="I232" s="3"/>
    </row>
    <row r="233" ht="15.75" customHeight="1">
      <c r="A233" s="1" t="s">
        <v>242</v>
      </c>
      <c r="B233" s="3" t="s">
        <v>232</v>
      </c>
      <c r="C233" s="3"/>
      <c r="D233" s="3"/>
      <c r="E233" s="3"/>
      <c r="F233" s="3"/>
      <c r="G233" s="3"/>
      <c r="H233" s="3"/>
      <c r="I233" s="3"/>
    </row>
    <row r="234" ht="15.75" customHeight="1">
      <c r="A234" s="1" t="s">
        <v>243</v>
      </c>
      <c r="B234" s="3" t="s">
        <v>232</v>
      </c>
      <c r="C234" s="3"/>
      <c r="D234" s="3"/>
      <c r="E234" s="3"/>
      <c r="F234" s="3"/>
      <c r="G234" s="3"/>
      <c r="H234" s="3"/>
      <c r="I234" s="3"/>
    </row>
    <row r="235" ht="15.75" customHeight="1">
      <c r="A235" s="1" t="s">
        <v>244</v>
      </c>
      <c r="B235" s="3" t="s">
        <v>232</v>
      </c>
      <c r="C235" s="3"/>
      <c r="D235" s="3"/>
      <c r="E235" s="3"/>
      <c r="F235" s="3"/>
      <c r="G235" s="3"/>
      <c r="H235" s="3"/>
      <c r="I235" s="3"/>
    </row>
    <row r="236" ht="15.75" customHeight="1">
      <c r="A236" s="1" t="s">
        <v>245</v>
      </c>
      <c r="B236" s="3" t="s">
        <v>232</v>
      </c>
      <c r="C236" s="3"/>
      <c r="D236" s="3"/>
      <c r="E236" s="3"/>
      <c r="F236" s="3"/>
      <c r="G236" s="3"/>
      <c r="H236" s="3"/>
      <c r="I236" s="3"/>
    </row>
    <row r="237" ht="15.75" customHeight="1">
      <c r="A237" s="1" t="s">
        <v>246</v>
      </c>
      <c r="B237" s="3" t="s">
        <v>232</v>
      </c>
      <c r="C237" s="3"/>
      <c r="D237" s="3"/>
      <c r="E237" s="3"/>
      <c r="F237" s="3"/>
      <c r="G237" s="3"/>
      <c r="H237" s="3"/>
      <c r="I237" s="3"/>
    </row>
    <row r="238" ht="15.75" customHeight="1">
      <c r="A238" s="1" t="s">
        <v>247</v>
      </c>
      <c r="B238" s="3" t="s">
        <v>232</v>
      </c>
      <c r="C238" s="3"/>
      <c r="D238" s="3"/>
      <c r="E238" s="3"/>
      <c r="F238" s="3"/>
      <c r="G238" s="3"/>
      <c r="H238" s="3"/>
      <c r="I238" s="3"/>
    </row>
    <row r="239" ht="15.75" customHeight="1">
      <c r="A239" s="1" t="s">
        <v>248</v>
      </c>
      <c r="B239" s="3" t="s">
        <v>232</v>
      </c>
      <c r="C239" s="3"/>
      <c r="D239" s="3"/>
      <c r="E239" s="3"/>
      <c r="F239" s="3"/>
      <c r="G239" s="3"/>
      <c r="H239" s="3"/>
      <c r="I239" s="3"/>
    </row>
    <row r="240" ht="15.75" customHeight="1">
      <c r="A240" s="1" t="s">
        <v>249</v>
      </c>
      <c r="B240" s="3" t="s">
        <v>232</v>
      </c>
      <c r="C240" s="3"/>
      <c r="D240" s="3"/>
      <c r="E240" s="3"/>
      <c r="F240" s="3"/>
      <c r="G240" s="3"/>
      <c r="H240" s="3"/>
      <c r="I240" s="3"/>
    </row>
    <row r="241" ht="15.75" customHeight="1">
      <c r="A241" s="1" t="s">
        <v>250</v>
      </c>
      <c r="B241" s="3" t="s">
        <v>232</v>
      </c>
      <c r="C241" s="3"/>
      <c r="D241" s="3"/>
      <c r="E241" s="3"/>
      <c r="F241" s="3"/>
      <c r="G241" s="3"/>
      <c r="H241" s="3"/>
      <c r="I241" s="3"/>
    </row>
    <row r="242" ht="15.75" customHeight="1">
      <c r="A242" s="1" t="s">
        <v>251</v>
      </c>
      <c r="B242" s="3" t="s">
        <v>232</v>
      </c>
      <c r="C242" s="3"/>
      <c r="D242" s="3"/>
      <c r="E242" s="3"/>
      <c r="F242" s="3"/>
      <c r="G242" s="3"/>
      <c r="H242" s="3"/>
      <c r="I242" s="3"/>
    </row>
    <row r="243" ht="15.75" customHeight="1">
      <c r="A243" s="1" t="s">
        <v>252</v>
      </c>
      <c r="B243" s="3" t="s">
        <v>232</v>
      </c>
      <c r="C243" s="3"/>
      <c r="D243" s="3"/>
      <c r="E243" s="3"/>
      <c r="F243" s="3"/>
      <c r="G243" s="3"/>
      <c r="H243" s="3"/>
      <c r="I243" s="3"/>
    </row>
    <row r="244" ht="15.75" customHeight="1">
      <c r="A244" s="1" t="s">
        <v>253</v>
      </c>
      <c r="B244" s="3" t="s">
        <v>232</v>
      </c>
      <c r="C244" s="3"/>
      <c r="D244" s="3"/>
      <c r="E244" s="3"/>
      <c r="F244" s="3"/>
      <c r="G244" s="3"/>
      <c r="H244" s="3"/>
      <c r="I244" s="3"/>
    </row>
    <row r="245" ht="15.75" customHeight="1">
      <c r="A245" s="1" t="s">
        <v>254</v>
      </c>
      <c r="B245" s="3" t="s">
        <v>232</v>
      </c>
      <c r="C245" s="3"/>
      <c r="D245" s="3"/>
      <c r="E245" s="3"/>
      <c r="F245" s="3"/>
      <c r="G245" s="3"/>
      <c r="H245" s="3"/>
      <c r="I245" s="3"/>
    </row>
    <row r="246" ht="15.75" customHeight="1">
      <c r="A246" s="1" t="s">
        <v>255</v>
      </c>
      <c r="B246" s="3" t="s">
        <v>232</v>
      </c>
      <c r="C246" s="3"/>
      <c r="D246" s="3"/>
      <c r="E246" s="3"/>
      <c r="F246" s="3"/>
      <c r="G246" s="3"/>
      <c r="H246" s="3"/>
      <c r="I246" s="3"/>
    </row>
    <row r="247" ht="15.75" customHeight="1">
      <c r="A247" s="1" t="s">
        <v>256</v>
      </c>
      <c r="B247" s="3" t="s">
        <v>232</v>
      </c>
      <c r="C247" s="3"/>
      <c r="D247" s="3"/>
      <c r="E247" s="3"/>
      <c r="F247" s="3"/>
      <c r="G247" s="3"/>
      <c r="H247" s="3"/>
      <c r="I247" s="3"/>
    </row>
    <row r="248" ht="15.75" customHeight="1">
      <c r="A248" s="1" t="s">
        <v>257</v>
      </c>
      <c r="B248" s="3" t="s">
        <v>232</v>
      </c>
      <c r="C248" s="3"/>
      <c r="D248" s="3"/>
      <c r="E248" s="3"/>
      <c r="F248" s="3"/>
      <c r="G248" s="3"/>
      <c r="H248" s="3"/>
      <c r="I248" s="3"/>
    </row>
    <row r="249" ht="15.75" customHeight="1">
      <c r="A249" s="1" t="s">
        <v>258</v>
      </c>
      <c r="B249" s="3" t="s">
        <v>232</v>
      </c>
      <c r="C249" s="3"/>
      <c r="D249" s="3"/>
      <c r="E249" s="3"/>
      <c r="F249" s="3"/>
      <c r="G249" s="3"/>
      <c r="H249" s="3"/>
      <c r="I249" s="3"/>
    </row>
    <row r="250" ht="15.75" customHeight="1">
      <c r="A250" s="1" t="s">
        <v>259</v>
      </c>
      <c r="B250" s="3" t="s">
        <v>232</v>
      </c>
      <c r="C250" s="3"/>
      <c r="D250" s="3"/>
      <c r="E250" s="3"/>
      <c r="F250" s="3"/>
      <c r="G250" s="3"/>
      <c r="H250" s="3"/>
      <c r="I250" s="3"/>
    </row>
    <row r="251" ht="15.75" customHeight="1">
      <c r="A251" s="1" t="s">
        <v>260</v>
      </c>
      <c r="B251" s="3" t="s">
        <v>232</v>
      </c>
      <c r="C251" s="3"/>
      <c r="D251" s="3"/>
      <c r="E251" s="3"/>
      <c r="F251" s="3"/>
      <c r="G251" s="3"/>
      <c r="H251" s="3"/>
      <c r="I251" s="3"/>
    </row>
    <row r="252" ht="15.75" customHeight="1">
      <c r="A252" s="1" t="s">
        <v>261</v>
      </c>
      <c r="B252" s="3" t="s">
        <v>232</v>
      </c>
      <c r="C252" s="3"/>
      <c r="D252" s="3"/>
      <c r="E252" s="3"/>
      <c r="F252" s="3"/>
      <c r="G252" s="3"/>
      <c r="H252" s="3"/>
      <c r="I252" s="3"/>
    </row>
    <row r="253" ht="15.75" customHeight="1">
      <c r="A253" s="1" t="s">
        <v>262</v>
      </c>
      <c r="B253" s="3" t="s">
        <v>232</v>
      </c>
      <c r="C253" s="3"/>
      <c r="D253" s="3"/>
      <c r="E253" s="3"/>
      <c r="F253" s="3"/>
      <c r="G253" s="3"/>
      <c r="H253" s="3"/>
      <c r="I253" s="3"/>
    </row>
    <row r="254" ht="15.75" customHeight="1">
      <c r="A254" s="1" t="s">
        <v>263</v>
      </c>
      <c r="B254" s="3" t="s">
        <v>232</v>
      </c>
      <c r="C254" s="3"/>
      <c r="D254" s="3"/>
      <c r="E254" s="3"/>
      <c r="F254" s="3"/>
      <c r="G254" s="3"/>
      <c r="H254" s="3"/>
      <c r="I254" s="3"/>
    </row>
    <row r="255" ht="15.75" customHeight="1">
      <c r="A255" s="1" t="s">
        <v>264</v>
      </c>
      <c r="B255" s="3" t="s">
        <v>232</v>
      </c>
      <c r="C255" s="3"/>
      <c r="D255" s="3"/>
      <c r="E255" s="3"/>
      <c r="F255" s="3"/>
      <c r="G255" s="3"/>
      <c r="H255" s="3"/>
      <c r="I255" s="3"/>
    </row>
    <row r="256" ht="15.75" customHeight="1">
      <c r="A256" s="1" t="s">
        <v>265</v>
      </c>
      <c r="B256" s="3" t="s">
        <v>232</v>
      </c>
      <c r="C256" s="3"/>
      <c r="D256" s="3"/>
      <c r="E256" s="3"/>
      <c r="F256" s="3"/>
      <c r="G256" s="3"/>
      <c r="H256" s="3"/>
      <c r="I256" s="3"/>
    </row>
    <row r="257" ht="15.75" customHeight="1">
      <c r="A257" s="1" t="s">
        <v>266</v>
      </c>
      <c r="B257" s="3" t="s">
        <v>232</v>
      </c>
      <c r="C257" s="3"/>
      <c r="D257" s="3"/>
      <c r="E257" s="3"/>
      <c r="F257" s="3"/>
      <c r="G257" s="3"/>
      <c r="H257" s="3"/>
      <c r="I257" s="3"/>
    </row>
    <row r="258" ht="15.75" customHeight="1">
      <c r="A258" s="1" t="s">
        <v>267</v>
      </c>
      <c r="B258" s="3" t="s">
        <v>232</v>
      </c>
      <c r="C258" s="3"/>
      <c r="D258" s="3"/>
      <c r="E258" s="3"/>
      <c r="F258" s="3"/>
      <c r="G258" s="3"/>
      <c r="H258" s="3"/>
      <c r="I258" s="3"/>
    </row>
    <row r="259" ht="15.75" customHeight="1">
      <c r="A259" s="1" t="s">
        <v>268</v>
      </c>
      <c r="B259" s="3" t="s">
        <v>232</v>
      </c>
      <c r="C259" s="3"/>
      <c r="D259" s="3"/>
      <c r="E259" s="3"/>
      <c r="F259" s="3"/>
      <c r="G259" s="3"/>
      <c r="H259" s="3"/>
      <c r="I259" s="3"/>
    </row>
    <row r="260" ht="15.75" customHeight="1">
      <c r="A260" s="1" t="s">
        <v>269</v>
      </c>
      <c r="B260" s="3" t="s">
        <v>232</v>
      </c>
      <c r="C260" s="3"/>
      <c r="D260" s="3"/>
      <c r="E260" s="3"/>
      <c r="F260" s="3"/>
      <c r="G260" s="3"/>
      <c r="H260" s="3"/>
      <c r="I260" s="3"/>
    </row>
    <row r="261" ht="15.75" customHeight="1">
      <c r="A261" s="1" t="s">
        <v>270</v>
      </c>
      <c r="B261" s="3" t="s">
        <v>232</v>
      </c>
      <c r="C261" s="3"/>
      <c r="D261" s="3"/>
      <c r="E261" s="3"/>
      <c r="F261" s="3"/>
      <c r="G261" s="3"/>
      <c r="H261" s="3"/>
      <c r="I261" s="3"/>
    </row>
    <row r="262" ht="15.75" customHeight="1">
      <c r="A262" s="1" t="s">
        <v>271</v>
      </c>
      <c r="B262" s="3" t="s">
        <v>232</v>
      </c>
      <c r="C262" s="3"/>
      <c r="D262" s="3"/>
      <c r="E262" s="3"/>
      <c r="F262" s="3"/>
      <c r="G262" s="3"/>
      <c r="H262" s="3"/>
      <c r="I262" s="3"/>
    </row>
    <row r="263" ht="15.75" customHeight="1">
      <c r="A263" s="1" t="s">
        <v>272</v>
      </c>
      <c r="B263" s="3" t="s">
        <v>232</v>
      </c>
      <c r="C263" s="3"/>
      <c r="D263" s="3"/>
      <c r="E263" s="3"/>
      <c r="F263" s="3"/>
      <c r="G263" s="3"/>
      <c r="H263" s="3"/>
      <c r="I263" s="3"/>
    </row>
    <row r="264" ht="15.75" customHeight="1">
      <c r="A264" s="1" t="s">
        <v>273</v>
      </c>
      <c r="B264" s="3" t="s">
        <v>232</v>
      </c>
      <c r="C264" s="3"/>
      <c r="D264" s="3"/>
      <c r="E264" s="3"/>
      <c r="F264" s="3"/>
      <c r="G264" s="3"/>
      <c r="H264" s="3"/>
      <c r="I264" s="3"/>
    </row>
    <row r="265" ht="15.75" customHeight="1">
      <c r="A265" s="1" t="s">
        <v>274</v>
      </c>
      <c r="B265" s="3" t="s">
        <v>232</v>
      </c>
      <c r="C265" s="3"/>
      <c r="D265" s="3"/>
      <c r="E265" s="3"/>
      <c r="F265" s="3"/>
      <c r="G265" s="3"/>
      <c r="H265" s="3"/>
      <c r="I265" s="3"/>
    </row>
    <row r="266" ht="15.75" customHeight="1">
      <c r="A266" s="1" t="s">
        <v>275</v>
      </c>
      <c r="B266" s="3" t="s">
        <v>232</v>
      </c>
      <c r="C266" s="3"/>
      <c r="D266" s="3"/>
      <c r="E266" s="3"/>
      <c r="F266" s="3"/>
      <c r="G266" s="3"/>
      <c r="H266" s="3"/>
      <c r="I266" s="3"/>
    </row>
    <row r="267" ht="15.75" customHeight="1">
      <c r="A267" s="1" t="s">
        <v>276</v>
      </c>
      <c r="B267" s="3" t="s">
        <v>232</v>
      </c>
      <c r="C267" s="3"/>
      <c r="D267" s="3"/>
      <c r="E267" s="3"/>
      <c r="F267" s="3"/>
      <c r="G267" s="3"/>
      <c r="H267" s="3"/>
      <c r="I267" s="3"/>
    </row>
    <row r="268" ht="15.75" customHeight="1">
      <c r="A268" s="1" t="s">
        <v>277</v>
      </c>
      <c r="B268" s="3" t="s">
        <v>232</v>
      </c>
      <c r="C268" s="3"/>
      <c r="D268" s="3"/>
      <c r="E268" s="3"/>
      <c r="F268" s="3"/>
      <c r="G268" s="3"/>
      <c r="H268" s="3"/>
      <c r="I268" s="3"/>
    </row>
    <row r="269" ht="15.75" customHeight="1">
      <c r="A269" s="1" t="s">
        <v>278</v>
      </c>
      <c r="B269" s="3" t="s">
        <v>232</v>
      </c>
      <c r="C269" s="3"/>
      <c r="D269" s="3"/>
      <c r="E269" s="3"/>
      <c r="F269" s="3"/>
      <c r="G269" s="3"/>
      <c r="H269" s="3"/>
      <c r="I269" s="3"/>
    </row>
    <row r="270" ht="15.75" customHeight="1">
      <c r="A270" s="1" t="s">
        <v>279</v>
      </c>
      <c r="B270" s="3" t="s">
        <v>232</v>
      </c>
      <c r="C270" s="3"/>
      <c r="D270" s="3"/>
      <c r="E270" s="3"/>
      <c r="F270" s="3"/>
      <c r="G270" s="3"/>
      <c r="H270" s="3"/>
      <c r="I270" s="3"/>
    </row>
    <row r="271" ht="15.75" customHeight="1">
      <c r="A271" s="1" t="s">
        <v>280</v>
      </c>
      <c r="B271" s="3" t="s">
        <v>232</v>
      </c>
      <c r="C271" s="3"/>
      <c r="D271" s="3"/>
      <c r="E271" s="3"/>
      <c r="F271" s="3"/>
      <c r="G271" s="3"/>
      <c r="H271" s="3"/>
      <c r="I271" s="3"/>
    </row>
    <row r="272" ht="15.75" customHeight="1">
      <c r="A272" s="1" t="s">
        <v>281</v>
      </c>
      <c r="B272" s="3" t="s">
        <v>232</v>
      </c>
      <c r="C272" s="3"/>
      <c r="D272" s="3"/>
      <c r="E272" s="3"/>
      <c r="F272" s="3"/>
      <c r="G272" s="3"/>
      <c r="H272" s="3"/>
      <c r="I272" s="3"/>
    </row>
    <row r="273" ht="15.75" customHeight="1">
      <c r="A273" s="1" t="s">
        <v>282</v>
      </c>
      <c r="B273" s="3" t="s">
        <v>232</v>
      </c>
      <c r="C273" s="3"/>
      <c r="D273" s="3"/>
      <c r="E273" s="3"/>
      <c r="F273" s="3"/>
      <c r="G273" s="3"/>
      <c r="H273" s="3"/>
      <c r="I273" s="3"/>
    </row>
    <row r="274" ht="15.75" customHeight="1">
      <c r="A274" s="1" t="s">
        <v>283</v>
      </c>
      <c r="B274" s="3" t="s">
        <v>232</v>
      </c>
      <c r="C274" s="3"/>
      <c r="D274" s="3"/>
      <c r="E274" s="3"/>
      <c r="F274" s="3"/>
      <c r="G274" s="3"/>
      <c r="H274" s="3"/>
      <c r="I274" s="3"/>
    </row>
    <row r="275" ht="15.75" customHeight="1">
      <c r="A275" s="1" t="s">
        <v>284</v>
      </c>
      <c r="B275" s="3" t="s">
        <v>232</v>
      </c>
      <c r="C275" s="3"/>
      <c r="D275" s="3"/>
      <c r="E275" s="3"/>
      <c r="F275" s="3"/>
      <c r="G275" s="3"/>
      <c r="H275" s="3"/>
      <c r="I275" s="3"/>
    </row>
    <row r="276" ht="15.75" customHeight="1">
      <c r="A276" s="1" t="s">
        <v>285</v>
      </c>
      <c r="B276" s="3" t="s">
        <v>232</v>
      </c>
      <c r="C276" s="3"/>
      <c r="D276" s="3"/>
      <c r="E276" s="3"/>
      <c r="F276" s="3"/>
      <c r="G276" s="3"/>
      <c r="H276" s="3"/>
      <c r="I276" s="3"/>
    </row>
    <row r="277" ht="15.75" customHeight="1">
      <c r="A277" s="1" t="s">
        <v>286</v>
      </c>
      <c r="B277" s="3" t="s">
        <v>232</v>
      </c>
      <c r="C277" s="3"/>
      <c r="D277" s="3"/>
      <c r="E277" s="3"/>
      <c r="F277" s="3"/>
      <c r="G277" s="3"/>
      <c r="H277" s="3"/>
      <c r="I277" s="3"/>
    </row>
    <row r="278" ht="15.75" customHeight="1">
      <c r="A278" s="1" t="s">
        <v>287</v>
      </c>
      <c r="B278" s="3" t="s">
        <v>232</v>
      </c>
      <c r="C278" s="3"/>
      <c r="D278" s="3"/>
      <c r="E278" s="3"/>
      <c r="F278" s="3"/>
      <c r="G278" s="3"/>
      <c r="H278" s="3"/>
      <c r="I278" s="3"/>
    </row>
    <row r="279" ht="15.75" customHeight="1">
      <c r="A279" s="1" t="s">
        <v>288</v>
      </c>
      <c r="B279" s="3" t="s">
        <v>232</v>
      </c>
      <c r="C279" s="3"/>
      <c r="D279" s="3"/>
      <c r="E279" s="3"/>
      <c r="F279" s="3"/>
      <c r="G279" s="3"/>
      <c r="H279" s="3"/>
      <c r="I279" s="3"/>
    </row>
    <row r="280" ht="15.75" customHeight="1">
      <c r="A280" s="1" t="s">
        <v>289</v>
      </c>
      <c r="B280" s="3" t="s">
        <v>232</v>
      </c>
      <c r="C280" s="3"/>
      <c r="D280" s="3"/>
      <c r="E280" s="3"/>
      <c r="F280" s="3"/>
      <c r="G280" s="3"/>
      <c r="H280" s="3"/>
      <c r="I280" s="3"/>
    </row>
    <row r="281" ht="15.75" customHeight="1">
      <c r="A281" s="1" t="s">
        <v>290</v>
      </c>
      <c r="B281" s="3" t="s">
        <v>291</v>
      </c>
      <c r="C281" s="3"/>
      <c r="D281" s="3"/>
      <c r="E281" s="3"/>
      <c r="F281" s="3"/>
      <c r="G281" s="3"/>
      <c r="H281" s="3"/>
      <c r="I281" s="3"/>
    </row>
    <row r="282" ht="15.75" customHeight="1">
      <c r="A282" s="1" t="s">
        <v>292</v>
      </c>
      <c r="B282" s="3" t="s">
        <v>291</v>
      </c>
      <c r="C282" s="3"/>
      <c r="D282" s="3"/>
      <c r="E282" s="3"/>
      <c r="F282" s="3"/>
      <c r="G282" s="3"/>
      <c r="H282" s="3"/>
      <c r="I282" s="3"/>
    </row>
    <row r="283" ht="15.75" customHeight="1">
      <c r="A283" s="1" t="s">
        <v>293</v>
      </c>
      <c r="B283" s="3" t="s">
        <v>291</v>
      </c>
      <c r="C283" s="3"/>
      <c r="D283" s="3"/>
      <c r="E283" s="3"/>
      <c r="F283" s="3"/>
      <c r="G283" s="3"/>
      <c r="H283" s="3"/>
      <c r="I283" s="3"/>
    </row>
    <row r="284" ht="15.75" customHeight="1">
      <c r="A284" s="1" t="s">
        <v>294</v>
      </c>
      <c r="B284" s="3" t="s">
        <v>291</v>
      </c>
      <c r="C284" s="3"/>
      <c r="D284" s="3"/>
      <c r="E284" s="3"/>
      <c r="F284" s="3"/>
      <c r="G284" s="3"/>
      <c r="H284" s="3"/>
      <c r="I284" s="3"/>
    </row>
    <row r="285" ht="15.75" customHeight="1">
      <c r="A285" s="1" t="s">
        <v>295</v>
      </c>
      <c r="B285" s="3" t="s">
        <v>291</v>
      </c>
      <c r="C285" s="3"/>
      <c r="D285" s="3"/>
      <c r="E285" s="3"/>
      <c r="F285" s="3"/>
      <c r="G285" s="3"/>
      <c r="H285" s="3"/>
      <c r="I285" s="3"/>
    </row>
    <row r="286" ht="15.75" customHeight="1">
      <c r="A286" s="1" t="s">
        <v>296</v>
      </c>
      <c r="B286" s="3" t="s">
        <v>291</v>
      </c>
      <c r="C286" s="3"/>
      <c r="D286" s="3"/>
      <c r="E286" s="3"/>
      <c r="F286" s="3"/>
      <c r="G286" s="3"/>
      <c r="H286" s="3"/>
      <c r="I286" s="3"/>
    </row>
    <row r="287" ht="15.75" customHeight="1">
      <c r="A287" s="1" t="s">
        <v>297</v>
      </c>
      <c r="B287" s="3" t="s">
        <v>291</v>
      </c>
      <c r="C287" s="3"/>
      <c r="D287" s="3"/>
      <c r="E287" s="3"/>
      <c r="F287" s="3"/>
      <c r="G287" s="3"/>
      <c r="H287" s="3"/>
      <c r="I287" s="3"/>
    </row>
    <row r="288" ht="15.75" customHeight="1">
      <c r="A288" s="1" t="s">
        <v>298</v>
      </c>
      <c r="B288" s="3" t="s">
        <v>291</v>
      </c>
      <c r="C288" s="3"/>
      <c r="D288" s="3"/>
      <c r="E288" s="3"/>
      <c r="F288" s="3"/>
      <c r="G288" s="3"/>
      <c r="H288" s="3"/>
      <c r="I288" s="3"/>
    </row>
    <row r="289" ht="15.75" customHeight="1">
      <c r="A289" s="1" t="s">
        <v>299</v>
      </c>
      <c r="B289" s="3" t="s">
        <v>291</v>
      </c>
      <c r="C289" s="3"/>
      <c r="D289" s="3"/>
      <c r="E289" s="3"/>
      <c r="F289" s="3"/>
      <c r="G289" s="3"/>
      <c r="H289" s="3"/>
      <c r="I289" s="3"/>
    </row>
    <row r="290" ht="15.75" customHeight="1">
      <c r="A290" s="1" t="s">
        <v>300</v>
      </c>
      <c r="B290" s="3" t="s">
        <v>291</v>
      </c>
      <c r="C290" s="3"/>
      <c r="D290" s="3"/>
      <c r="E290" s="3"/>
      <c r="F290" s="3"/>
      <c r="G290" s="3"/>
      <c r="H290" s="3"/>
      <c r="I290" s="3"/>
    </row>
    <row r="291" ht="15.75" customHeight="1">
      <c r="A291" s="1" t="s">
        <v>301</v>
      </c>
      <c r="B291" s="3" t="s">
        <v>291</v>
      </c>
      <c r="C291" s="3"/>
      <c r="D291" s="3"/>
      <c r="E291" s="3"/>
      <c r="F291" s="3"/>
      <c r="G291" s="3"/>
      <c r="H291" s="3"/>
      <c r="I291" s="3"/>
    </row>
    <row r="292" ht="15.75" customHeight="1">
      <c r="A292" s="1" t="s">
        <v>302</v>
      </c>
      <c r="B292" s="3" t="s">
        <v>291</v>
      </c>
      <c r="C292" s="3"/>
      <c r="D292" s="3"/>
      <c r="E292" s="3"/>
      <c r="F292" s="3"/>
      <c r="G292" s="3"/>
      <c r="H292" s="3"/>
      <c r="I292" s="3"/>
    </row>
    <row r="293" ht="15.75" customHeight="1">
      <c r="A293" s="1" t="s">
        <v>303</v>
      </c>
      <c r="B293" s="3" t="s">
        <v>291</v>
      </c>
      <c r="C293" s="3"/>
      <c r="D293" s="3"/>
      <c r="E293" s="3"/>
      <c r="F293" s="3"/>
      <c r="G293" s="3"/>
      <c r="H293" s="3"/>
      <c r="I293" s="3"/>
    </row>
    <row r="294" ht="15.75" customHeight="1">
      <c r="A294" s="1" t="s">
        <v>304</v>
      </c>
      <c r="B294" s="3" t="s">
        <v>291</v>
      </c>
      <c r="C294" s="3"/>
      <c r="D294" s="3"/>
      <c r="E294" s="3"/>
      <c r="F294" s="3"/>
      <c r="G294" s="3"/>
      <c r="H294" s="3"/>
      <c r="I294" s="3"/>
    </row>
    <row r="295" ht="15.75" customHeight="1">
      <c r="A295" s="1" t="s">
        <v>305</v>
      </c>
      <c r="B295" s="3" t="s">
        <v>291</v>
      </c>
      <c r="C295" s="3"/>
      <c r="D295" s="3"/>
      <c r="E295" s="3"/>
      <c r="F295" s="3"/>
      <c r="G295" s="3"/>
      <c r="H295" s="3"/>
      <c r="I295" s="3"/>
    </row>
    <row r="296" ht="15.75" customHeight="1">
      <c r="A296" s="1" t="s">
        <v>306</v>
      </c>
      <c r="B296" s="3" t="s">
        <v>291</v>
      </c>
      <c r="C296" s="3"/>
      <c r="D296" s="3"/>
      <c r="E296" s="3"/>
      <c r="F296" s="3"/>
      <c r="G296" s="3"/>
      <c r="H296" s="3"/>
      <c r="I296" s="3"/>
    </row>
    <row r="297" ht="15.75" customHeight="1">
      <c r="A297" s="1" t="s">
        <v>307</v>
      </c>
      <c r="B297" s="3" t="s">
        <v>291</v>
      </c>
      <c r="C297" s="3"/>
      <c r="D297" s="3"/>
      <c r="E297" s="3"/>
      <c r="F297" s="3"/>
      <c r="G297" s="3"/>
      <c r="H297" s="3"/>
      <c r="I297" s="3"/>
    </row>
    <row r="298" ht="15.75" customHeight="1">
      <c r="A298" s="1" t="s">
        <v>308</v>
      </c>
      <c r="B298" s="3" t="s">
        <v>291</v>
      </c>
      <c r="C298" s="3"/>
      <c r="D298" s="3"/>
      <c r="E298" s="3"/>
      <c r="F298" s="3"/>
      <c r="G298" s="3"/>
      <c r="H298" s="3"/>
      <c r="I298" s="3"/>
    </row>
    <row r="299" ht="15.75" customHeight="1">
      <c r="A299" s="1" t="s">
        <v>309</v>
      </c>
      <c r="B299" s="3" t="s">
        <v>291</v>
      </c>
      <c r="C299" s="3"/>
      <c r="D299" s="3"/>
      <c r="E299" s="3"/>
      <c r="F299" s="3"/>
      <c r="G299" s="3"/>
      <c r="H299" s="3"/>
      <c r="I299" s="3"/>
    </row>
    <row r="300" ht="15.75" customHeight="1">
      <c r="A300" s="1" t="s">
        <v>310</v>
      </c>
      <c r="B300" s="3" t="s">
        <v>291</v>
      </c>
      <c r="C300" s="3"/>
      <c r="D300" s="3"/>
      <c r="E300" s="3"/>
      <c r="F300" s="3"/>
      <c r="G300" s="3"/>
      <c r="H300" s="3"/>
      <c r="I300" s="3"/>
    </row>
    <row r="301" ht="15.75" customHeight="1">
      <c r="A301" s="1" t="s">
        <v>311</v>
      </c>
      <c r="B301" s="3" t="s">
        <v>291</v>
      </c>
      <c r="C301" s="3"/>
      <c r="D301" s="3"/>
      <c r="E301" s="3"/>
      <c r="F301" s="3"/>
      <c r="G301" s="3"/>
      <c r="H301" s="3"/>
      <c r="I301" s="3"/>
    </row>
    <row r="302" ht="15.75" customHeight="1">
      <c r="A302" s="1" t="s">
        <v>312</v>
      </c>
      <c r="B302" s="3" t="s">
        <v>291</v>
      </c>
      <c r="C302" s="3"/>
      <c r="D302" s="3"/>
      <c r="E302" s="3"/>
      <c r="F302" s="3"/>
      <c r="G302" s="3"/>
      <c r="H302" s="3"/>
      <c r="I302" s="3"/>
    </row>
    <row r="303" ht="15.75" customHeight="1">
      <c r="A303" s="1" t="s">
        <v>313</v>
      </c>
      <c r="B303" s="3" t="s">
        <v>291</v>
      </c>
      <c r="C303" s="3"/>
      <c r="D303" s="3"/>
      <c r="E303" s="3"/>
      <c r="F303" s="3"/>
      <c r="G303" s="3"/>
      <c r="H303" s="3"/>
      <c r="I303" s="3"/>
    </row>
    <row r="304" ht="15.75" customHeight="1">
      <c r="A304" s="1" t="s">
        <v>314</v>
      </c>
      <c r="B304" s="3" t="s">
        <v>291</v>
      </c>
      <c r="C304" s="3"/>
      <c r="D304" s="3"/>
      <c r="E304" s="3"/>
      <c r="F304" s="3"/>
      <c r="G304" s="3"/>
      <c r="H304" s="3"/>
      <c r="I304" s="3"/>
    </row>
    <row r="305" ht="15.75" customHeight="1">
      <c r="A305" s="1" t="s">
        <v>315</v>
      </c>
      <c r="B305" s="3" t="s">
        <v>291</v>
      </c>
      <c r="C305" s="3"/>
      <c r="D305" s="3"/>
      <c r="E305" s="3"/>
      <c r="F305" s="3"/>
      <c r="G305" s="3"/>
      <c r="H305" s="3"/>
      <c r="I305" s="3"/>
    </row>
    <row r="306" ht="15.75" customHeight="1">
      <c r="A306" s="1" t="s">
        <v>316</v>
      </c>
      <c r="B306" s="3" t="s">
        <v>291</v>
      </c>
      <c r="C306" s="3"/>
      <c r="D306" s="3"/>
      <c r="E306" s="3"/>
      <c r="F306" s="3"/>
      <c r="G306" s="3"/>
      <c r="H306" s="3"/>
      <c r="I306" s="3"/>
    </row>
    <row r="307" ht="15.75" customHeight="1">
      <c r="A307" s="1" t="s">
        <v>317</v>
      </c>
      <c r="B307" s="3" t="s">
        <v>291</v>
      </c>
      <c r="C307" s="3"/>
      <c r="D307" s="3"/>
      <c r="E307" s="3"/>
      <c r="F307" s="3"/>
      <c r="G307" s="3"/>
      <c r="H307" s="3"/>
      <c r="I307" s="3"/>
    </row>
    <row r="308" ht="15.75" customHeight="1">
      <c r="A308" s="1" t="s">
        <v>318</v>
      </c>
      <c r="B308" s="3" t="s">
        <v>291</v>
      </c>
      <c r="C308" s="3"/>
      <c r="D308" s="3"/>
      <c r="E308" s="3"/>
      <c r="F308" s="3"/>
      <c r="G308" s="3"/>
      <c r="H308" s="3"/>
      <c r="I308" s="3"/>
    </row>
    <row r="309" ht="15.75" customHeight="1">
      <c r="A309" s="1" t="s">
        <v>319</v>
      </c>
      <c r="B309" s="3" t="s">
        <v>291</v>
      </c>
      <c r="C309" s="3"/>
      <c r="D309" s="3"/>
      <c r="E309" s="3"/>
      <c r="F309" s="3"/>
      <c r="G309" s="3"/>
      <c r="H309" s="3"/>
      <c r="I309" s="3"/>
    </row>
    <row r="310" ht="15.75" customHeight="1">
      <c r="A310" s="1" t="s">
        <v>320</v>
      </c>
      <c r="B310" s="3" t="s">
        <v>291</v>
      </c>
      <c r="C310" s="3"/>
      <c r="D310" s="3"/>
      <c r="E310" s="3"/>
      <c r="F310" s="3"/>
      <c r="G310" s="3"/>
      <c r="H310" s="3"/>
      <c r="I310" s="3"/>
    </row>
    <row r="311" ht="15.75" customHeight="1">
      <c r="A311" s="1" t="s">
        <v>321</v>
      </c>
      <c r="B311" s="3" t="s">
        <v>291</v>
      </c>
      <c r="C311" s="3"/>
      <c r="D311" s="3"/>
      <c r="E311" s="3"/>
      <c r="F311" s="3"/>
      <c r="G311" s="3"/>
      <c r="H311" s="3"/>
      <c r="I311" s="3"/>
    </row>
    <row r="312" ht="15.75" customHeight="1">
      <c r="A312" s="1" t="s">
        <v>322</v>
      </c>
      <c r="B312" s="3" t="s">
        <v>291</v>
      </c>
      <c r="C312" s="3"/>
      <c r="D312" s="3"/>
      <c r="E312" s="3"/>
      <c r="F312" s="3"/>
      <c r="G312" s="3"/>
      <c r="H312" s="3"/>
      <c r="I312" s="3"/>
    </row>
    <row r="313" ht="15.75" customHeight="1">
      <c r="A313" s="1" t="s">
        <v>323</v>
      </c>
      <c r="B313" s="3" t="s">
        <v>291</v>
      </c>
      <c r="C313" s="3"/>
      <c r="D313" s="3"/>
      <c r="E313" s="3"/>
      <c r="F313" s="3"/>
      <c r="G313" s="3"/>
      <c r="H313" s="3"/>
      <c r="I313" s="3"/>
    </row>
    <row r="314" ht="15.75" customHeight="1">
      <c r="A314" s="1" t="s">
        <v>324</v>
      </c>
      <c r="B314" s="3" t="s">
        <v>291</v>
      </c>
      <c r="C314" s="3"/>
      <c r="D314" s="3"/>
      <c r="E314" s="3"/>
      <c r="F314" s="3"/>
      <c r="G314" s="3"/>
      <c r="H314" s="3"/>
      <c r="I314" s="3"/>
    </row>
    <row r="315" ht="15.75" customHeight="1">
      <c r="A315" s="1" t="s">
        <v>325</v>
      </c>
      <c r="B315" s="3" t="s">
        <v>291</v>
      </c>
      <c r="C315" s="3"/>
      <c r="D315" s="3"/>
      <c r="E315" s="3"/>
      <c r="F315" s="3"/>
      <c r="G315" s="3"/>
      <c r="H315" s="3"/>
      <c r="I315" s="3"/>
    </row>
    <row r="316" ht="15.75" customHeight="1">
      <c r="A316" s="1" t="s">
        <v>326</v>
      </c>
      <c r="B316" s="3" t="s">
        <v>291</v>
      </c>
      <c r="C316" s="3"/>
      <c r="D316" s="3"/>
      <c r="E316" s="3"/>
      <c r="F316" s="3"/>
      <c r="G316" s="3"/>
      <c r="H316" s="3"/>
      <c r="I316" s="3"/>
    </row>
    <row r="317" ht="15.75" customHeight="1">
      <c r="A317" s="1" t="s">
        <v>327</v>
      </c>
      <c r="B317" s="3" t="s">
        <v>291</v>
      </c>
      <c r="C317" s="3"/>
      <c r="D317" s="3"/>
      <c r="E317" s="3"/>
      <c r="F317" s="3"/>
      <c r="G317" s="3"/>
      <c r="H317" s="3"/>
      <c r="I317" s="3"/>
    </row>
    <row r="318" ht="15.75" customHeight="1">
      <c r="A318" s="1" t="s">
        <v>328</v>
      </c>
      <c r="B318" s="3" t="s">
        <v>291</v>
      </c>
      <c r="C318" s="3"/>
      <c r="D318" s="3"/>
      <c r="E318" s="3"/>
      <c r="F318" s="3"/>
      <c r="G318" s="3"/>
      <c r="H318" s="3"/>
      <c r="I318" s="3"/>
    </row>
    <row r="319" ht="15.75" customHeight="1">
      <c r="A319" s="1" t="s">
        <v>329</v>
      </c>
      <c r="B319" s="3" t="s">
        <v>291</v>
      </c>
      <c r="C319" s="3"/>
      <c r="D319" s="3"/>
      <c r="E319" s="3"/>
      <c r="F319" s="3"/>
      <c r="G319" s="3"/>
      <c r="H319" s="3"/>
      <c r="I319" s="3"/>
    </row>
    <row r="320" ht="15.75" customHeight="1">
      <c r="A320" s="1" t="s">
        <v>330</v>
      </c>
      <c r="B320" s="3" t="s">
        <v>291</v>
      </c>
      <c r="C320" s="3"/>
      <c r="D320" s="3"/>
      <c r="E320" s="3"/>
      <c r="F320" s="3"/>
      <c r="G320" s="3"/>
      <c r="H320" s="3"/>
      <c r="I320" s="3"/>
    </row>
    <row r="321" ht="15.75" customHeight="1">
      <c r="A321" s="1" t="s">
        <v>331</v>
      </c>
      <c r="B321" s="3" t="s">
        <v>291</v>
      </c>
      <c r="C321" s="3"/>
      <c r="D321" s="3"/>
      <c r="E321" s="3"/>
      <c r="F321" s="3"/>
      <c r="G321" s="3"/>
      <c r="H321" s="3"/>
      <c r="I321" s="3"/>
    </row>
    <row r="322" ht="15.75" customHeight="1">
      <c r="A322" s="1" t="s">
        <v>332</v>
      </c>
      <c r="B322" s="3" t="s">
        <v>291</v>
      </c>
      <c r="C322" s="3"/>
      <c r="D322" s="3"/>
      <c r="E322" s="3"/>
      <c r="F322" s="3"/>
      <c r="G322" s="3"/>
      <c r="H322" s="3"/>
      <c r="I322" s="3"/>
    </row>
    <row r="323" ht="15.75" customHeight="1">
      <c r="A323" s="1" t="s">
        <v>333</v>
      </c>
      <c r="B323" s="3" t="s">
        <v>291</v>
      </c>
      <c r="C323" s="3"/>
      <c r="D323" s="3"/>
      <c r="E323" s="3"/>
      <c r="F323" s="3"/>
      <c r="G323" s="3"/>
      <c r="H323" s="3"/>
      <c r="I323" s="3"/>
    </row>
    <row r="324" ht="15.75" customHeight="1">
      <c r="A324" s="1" t="s">
        <v>334</v>
      </c>
      <c r="B324" s="3" t="s">
        <v>291</v>
      </c>
      <c r="C324" s="3"/>
      <c r="D324" s="3"/>
      <c r="E324" s="3"/>
      <c r="F324" s="3"/>
      <c r="G324" s="3"/>
      <c r="H324" s="3"/>
      <c r="I324" s="3"/>
    </row>
    <row r="325" ht="15.75" customHeight="1">
      <c r="A325" s="1" t="s">
        <v>335</v>
      </c>
      <c r="B325" s="3" t="s">
        <v>291</v>
      </c>
      <c r="C325" s="3"/>
      <c r="D325" s="3"/>
      <c r="E325" s="3"/>
      <c r="F325" s="3"/>
      <c r="G325" s="3"/>
      <c r="H325" s="3"/>
      <c r="I325" s="3"/>
    </row>
    <row r="326" ht="15.75" customHeight="1">
      <c r="A326" s="1" t="s">
        <v>336</v>
      </c>
      <c r="B326" s="3" t="s">
        <v>291</v>
      </c>
      <c r="C326" s="3"/>
      <c r="D326" s="3"/>
      <c r="E326" s="3"/>
      <c r="F326" s="3"/>
      <c r="G326" s="3"/>
      <c r="H326" s="3"/>
      <c r="I326" s="3"/>
    </row>
    <row r="327" ht="15.75" customHeight="1">
      <c r="A327" s="1" t="s">
        <v>337</v>
      </c>
      <c r="B327" s="3" t="s">
        <v>291</v>
      </c>
      <c r="C327" s="3"/>
      <c r="D327" s="3"/>
      <c r="E327" s="3"/>
      <c r="F327" s="3"/>
      <c r="G327" s="3"/>
      <c r="H327" s="3"/>
      <c r="I327" s="3"/>
    </row>
    <row r="328" ht="15.75" customHeight="1">
      <c r="A328" s="1" t="s">
        <v>338</v>
      </c>
      <c r="B328" s="3" t="s">
        <v>291</v>
      </c>
      <c r="C328" s="3"/>
      <c r="D328" s="3"/>
      <c r="E328" s="3"/>
      <c r="F328" s="3"/>
      <c r="G328" s="3"/>
      <c r="H328" s="3"/>
      <c r="I328" s="3"/>
    </row>
    <row r="329" ht="15.75" customHeight="1">
      <c r="A329" s="1" t="s">
        <v>339</v>
      </c>
      <c r="B329" s="3" t="s">
        <v>291</v>
      </c>
      <c r="C329" s="3"/>
      <c r="D329" s="3"/>
      <c r="E329" s="3"/>
      <c r="F329" s="3"/>
      <c r="G329" s="3"/>
      <c r="H329" s="3"/>
      <c r="I329" s="3"/>
    </row>
    <row r="330" ht="15.75" customHeight="1">
      <c r="A330" s="1" t="s">
        <v>340</v>
      </c>
      <c r="B330" s="3" t="s">
        <v>291</v>
      </c>
      <c r="C330" s="3"/>
      <c r="D330" s="3"/>
      <c r="E330" s="3"/>
      <c r="F330" s="3"/>
      <c r="G330" s="3"/>
      <c r="H330" s="3"/>
      <c r="I330" s="3"/>
    </row>
    <row r="331" ht="15.75" customHeight="1">
      <c r="A331" s="1" t="s">
        <v>341</v>
      </c>
      <c r="B331" s="3" t="s">
        <v>291</v>
      </c>
      <c r="C331" s="3"/>
      <c r="D331" s="3"/>
      <c r="E331" s="3"/>
      <c r="F331" s="3"/>
      <c r="G331" s="3"/>
      <c r="H331" s="3"/>
      <c r="I331" s="3"/>
    </row>
    <row r="332" ht="15.75" customHeight="1">
      <c r="A332" s="1" t="s">
        <v>342</v>
      </c>
      <c r="B332" s="3" t="s">
        <v>291</v>
      </c>
      <c r="C332" s="3"/>
      <c r="D332" s="3"/>
      <c r="E332" s="3"/>
      <c r="F332" s="3"/>
      <c r="G332" s="3"/>
      <c r="H332" s="3"/>
      <c r="I332" s="3"/>
    </row>
    <row r="333" ht="15.75" customHeight="1">
      <c r="A333" s="1" t="s">
        <v>343</v>
      </c>
      <c r="B333" s="3" t="s">
        <v>291</v>
      </c>
      <c r="C333" s="3"/>
      <c r="D333" s="3"/>
      <c r="E333" s="3"/>
      <c r="F333" s="3"/>
      <c r="G333" s="3"/>
      <c r="H333" s="3"/>
      <c r="I333" s="3"/>
    </row>
    <row r="334" ht="15.75" customHeight="1">
      <c r="A334" s="1" t="s">
        <v>344</v>
      </c>
      <c r="B334" s="3" t="s">
        <v>291</v>
      </c>
      <c r="C334" s="3"/>
      <c r="D334" s="3"/>
      <c r="E334" s="3"/>
      <c r="F334" s="3"/>
      <c r="G334" s="3"/>
      <c r="H334" s="3"/>
      <c r="I334" s="3"/>
    </row>
    <row r="335" ht="15.75" customHeight="1">
      <c r="A335" s="1" t="s">
        <v>345</v>
      </c>
      <c r="B335" s="3" t="s">
        <v>291</v>
      </c>
      <c r="C335" s="3"/>
      <c r="D335" s="3"/>
      <c r="E335" s="3"/>
      <c r="F335" s="3"/>
      <c r="G335" s="3"/>
      <c r="H335" s="3"/>
      <c r="I335" s="3"/>
    </row>
    <row r="336" ht="15.75" customHeight="1">
      <c r="A336" s="1" t="s">
        <v>346</v>
      </c>
      <c r="B336" s="3" t="s">
        <v>291</v>
      </c>
      <c r="C336" s="3"/>
      <c r="D336" s="3"/>
      <c r="E336" s="3"/>
      <c r="F336" s="3"/>
      <c r="G336" s="3"/>
      <c r="H336" s="3"/>
      <c r="I336" s="3"/>
    </row>
    <row r="337" ht="15.75" customHeight="1">
      <c r="A337" s="1" t="s">
        <v>347</v>
      </c>
      <c r="B337" s="3" t="s">
        <v>291</v>
      </c>
      <c r="C337" s="3"/>
      <c r="D337" s="3"/>
      <c r="E337" s="3"/>
      <c r="F337" s="3"/>
      <c r="G337" s="3"/>
      <c r="H337" s="3"/>
      <c r="I337" s="3"/>
    </row>
    <row r="338" ht="15.75" customHeight="1">
      <c r="A338" s="1" t="s">
        <v>348</v>
      </c>
      <c r="B338" s="3" t="s">
        <v>291</v>
      </c>
      <c r="C338" s="3"/>
      <c r="D338" s="3"/>
      <c r="E338" s="3"/>
      <c r="F338" s="3"/>
      <c r="G338" s="3"/>
      <c r="H338" s="3"/>
      <c r="I338" s="3"/>
    </row>
    <row r="339" ht="15.75" customHeight="1">
      <c r="A339" s="1" t="s">
        <v>349</v>
      </c>
      <c r="B339" s="3" t="s">
        <v>291</v>
      </c>
      <c r="C339" s="3"/>
      <c r="D339" s="3"/>
      <c r="E339" s="3"/>
      <c r="F339" s="3"/>
      <c r="G339" s="3"/>
      <c r="H339" s="3"/>
      <c r="I339" s="3"/>
    </row>
    <row r="340" ht="15.75" customHeight="1">
      <c r="A340" s="1" t="s">
        <v>350</v>
      </c>
      <c r="B340" s="3" t="s">
        <v>291</v>
      </c>
      <c r="C340" s="3"/>
      <c r="D340" s="3"/>
      <c r="E340" s="3"/>
      <c r="F340" s="3"/>
      <c r="G340" s="3"/>
      <c r="H340" s="3"/>
      <c r="I340" s="3"/>
    </row>
    <row r="341" ht="15.75" customHeight="1">
      <c r="A341" s="1" t="s">
        <v>351</v>
      </c>
      <c r="B341" s="3" t="s">
        <v>291</v>
      </c>
      <c r="C341" s="3"/>
      <c r="D341" s="3"/>
      <c r="E341" s="3"/>
      <c r="F341" s="3"/>
      <c r="G341" s="3"/>
      <c r="H341" s="3"/>
      <c r="I341" s="3"/>
    </row>
    <row r="342" ht="15.75" customHeight="1">
      <c r="A342" s="1" t="s">
        <v>352</v>
      </c>
      <c r="B342" s="3" t="s">
        <v>291</v>
      </c>
      <c r="C342" s="3"/>
      <c r="D342" s="3"/>
      <c r="E342" s="3"/>
      <c r="F342" s="3"/>
      <c r="G342" s="3"/>
      <c r="H342" s="3"/>
      <c r="I342" s="3"/>
    </row>
    <row r="343" ht="15.75" customHeight="1">
      <c r="A343" s="1" t="s">
        <v>353</v>
      </c>
      <c r="B343" s="3" t="s">
        <v>291</v>
      </c>
      <c r="C343" s="3"/>
      <c r="D343" s="3"/>
      <c r="E343" s="3"/>
      <c r="F343" s="3"/>
      <c r="G343" s="3"/>
      <c r="H343" s="3"/>
      <c r="I343" s="3"/>
    </row>
    <row r="344" ht="15.75" customHeight="1">
      <c r="A344" s="1" t="s">
        <v>354</v>
      </c>
      <c r="B344" s="3" t="s">
        <v>291</v>
      </c>
      <c r="C344" s="3"/>
      <c r="D344" s="3"/>
      <c r="E344" s="3"/>
      <c r="F344" s="3"/>
      <c r="G344" s="3"/>
      <c r="H344" s="3"/>
      <c r="I344" s="3"/>
    </row>
    <row r="345" ht="15.75" customHeight="1">
      <c r="A345" s="1" t="s">
        <v>355</v>
      </c>
      <c r="B345" s="3" t="s">
        <v>356</v>
      </c>
      <c r="C345" s="3"/>
      <c r="D345" s="3"/>
      <c r="E345" s="3"/>
      <c r="F345" s="3"/>
      <c r="G345" s="3"/>
      <c r="H345" s="3"/>
      <c r="I345" s="3"/>
    </row>
    <row r="346" ht="15.75" customHeight="1">
      <c r="A346" s="1" t="s">
        <v>357</v>
      </c>
      <c r="B346" s="3" t="s">
        <v>356</v>
      </c>
      <c r="C346" s="3"/>
      <c r="D346" s="3"/>
      <c r="E346" s="3"/>
      <c r="F346" s="3"/>
      <c r="G346" s="3"/>
      <c r="H346" s="3"/>
      <c r="I346" s="3"/>
    </row>
    <row r="347" ht="15.75" customHeight="1">
      <c r="A347" s="1" t="s">
        <v>358</v>
      </c>
      <c r="B347" s="3" t="s">
        <v>356</v>
      </c>
      <c r="C347" s="3"/>
      <c r="D347" s="3"/>
      <c r="E347" s="3"/>
      <c r="F347" s="3"/>
      <c r="G347" s="3"/>
      <c r="H347" s="3"/>
      <c r="I347" s="3"/>
    </row>
    <row r="348" ht="15.75" customHeight="1">
      <c r="A348" s="1" t="s">
        <v>359</v>
      </c>
      <c r="B348" s="3" t="s">
        <v>356</v>
      </c>
      <c r="C348" s="3"/>
      <c r="D348" s="3"/>
      <c r="E348" s="3"/>
      <c r="F348" s="3"/>
      <c r="G348" s="3"/>
      <c r="H348" s="3"/>
      <c r="I348" s="3"/>
    </row>
    <row r="349" ht="15.75" customHeight="1">
      <c r="A349" s="1" t="s">
        <v>360</v>
      </c>
      <c r="B349" s="3" t="s">
        <v>356</v>
      </c>
      <c r="C349" s="3"/>
      <c r="D349" s="3"/>
      <c r="E349" s="3"/>
      <c r="F349" s="3"/>
      <c r="G349" s="3"/>
      <c r="H349" s="3"/>
      <c r="I349" s="3"/>
    </row>
    <row r="350" ht="15.75" customHeight="1">
      <c r="A350" s="1" t="s">
        <v>361</v>
      </c>
      <c r="B350" s="3" t="s">
        <v>356</v>
      </c>
      <c r="C350" s="3"/>
      <c r="D350" s="3"/>
      <c r="E350" s="3"/>
      <c r="F350" s="3"/>
      <c r="G350" s="3"/>
      <c r="H350" s="3"/>
      <c r="I350" s="3"/>
    </row>
    <row r="351" ht="15.75" customHeight="1">
      <c r="A351" s="1" t="s">
        <v>362</v>
      </c>
      <c r="B351" s="3" t="s">
        <v>356</v>
      </c>
      <c r="C351" s="3"/>
      <c r="D351" s="3"/>
      <c r="E351" s="3"/>
      <c r="F351" s="3"/>
      <c r="G351" s="3"/>
      <c r="H351" s="3"/>
      <c r="I351" s="3"/>
    </row>
    <row r="352" ht="15.75" customHeight="1">
      <c r="A352" s="1" t="s">
        <v>363</v>
      </c>
      <c r="B352" s="3" t="s">
        <v>356</v>
      </c>
      <c r="C352" s="3"/>
      <c r="D352" s="3"/>
      <c r="E352" s="3"/>
      <c r="F352" s="3"/>
      <c r="G352" s="3"/>
      <c r="H352" s="3"/>
      <c r="I352" s="3"/>
    </row>
    <row r="353" ht="15.75" customHeight="1">
      <c r="A353" s="1" t="s">
        <v>364</v>
      </c>
      <c r="B353" s="3" t="s">
        <v>356</v>
      </c>
      <c r="C353" s="3"/>
      <c r="D353" s="3"/>
      <c r="E353" s="3"/>
      <c r="F353" s="3"/>
      <c r="G353" s="3"/>
      <c r="H353" s="3"/>
      <c r="I353" s="3"/>
    </row>
    <row r="354" ht="15.75" customHeight="1">
      <c r="A354" s="1" t="s">
        <v>365</v>
      </c>
      <c r="B354" s="3" t="s">
        <v>356</v>
      </c>
      <c r="C354" s="3"/>
      <c r="D354" s="3"/>
      <c r="E354" s="3"/>
      <c r="F354" s="3"/>
      <c r="G354" s="3"/>
      <c r="H354" s="3"/>
      <c r="I354" s="3"/>
    </row>
    <row r="355" ht="15.75" customHeight="1">
      <c r="A355" s="1" t="s">
        <v>366</v>
      </c>
      <c r="B355" s="3" t="s">
        <v>356</v>
      </c>
      <c r="C355" s="3"/>
      <c r="D355" s="3"/>
      <c r="E355" s="3"/>
      <c r="F355" s="3"/>
      <c r="G355" s="3"/>
      <c r="H355" s="3"/>
      <c r="I355" s="3"/>
    </row>
    <row r="356" ht="15.75" customHeight="1">
      <c r="A356" s="1" t="s">
        <v>367</v>
      </c>
      <c r="B356" s="3" t="s">
        <v>356</v>
      </c>
      <c r="C356" s="3"/>
      <c r="D356" s="3"/>
      <c r="E356" s="3"/>
      <c r="F356" s="3"/>
      <c r="G356" s="3"/>
      <c r="H356" s="3"/>
      <c r="I356" s="3"/>
    </row>
    <row r="357" ht="15.75" customHeight="1">
      <c r="A357" s="1" t="s">
        <v>368</v>
      </c>
      <c r="B357" s="3" t="s">
        <v>356</v>
      </c>
      <c r="C357" s="3"/>
      <c r="D357" s="3"/>
      <c r="E357" s="3"/>
      <c r="F357" s="3"/>
      <c r="G357" s="3"/>
      <c r="H357" s="3"/>
      <c r="I357" s="3"/>
    </row>
    <row r="358" ht="15.75" customHeight="1">
      <c r="A358" s="1" t="s">
        <v>369</v>
      </c>
      <c r="B358" s="3" t="s">
        <v>356</v>
      </c>
      <c r="C358" s="3"/>
      <c r="D358" s="3"/>
      <c r="E358" s="3"/>
      <c r="F358" s="3"/>
      <c r="G358" s="3"/>
      <c r="H358" s="3"/>
      <c r="I358" s="3"/>
    </row>
    <row r="359" ht="15.75" customHeight="1">
      <c r="A359" s="1" t="s">
        <v>370</v>
      </c>
      <c r="B359" s="3" t="s">
        <v>356</v>
      </c>
      <c r="C359" s="3"/>
      <c r="D359" s="3"/>
      <c r="E359" s="3"/>
      <c r="F359" s="3"/>
      <c r="G359" s="3"/>
      <c r="H359" s="3"/>
      <c r="I359" s="3"/>
    </row>
    <row r="360" ht="15.75" customHeight="1">
      <c r="A360" s="1" t="s">
        <v>371</v>
      </c>
      <c r="B360" s="3" t="s">
        <v>356</v>
      </c>
      <c r="C360" s="3"/>
      <c r="D360" s="3"/>
      <c r="E360" s="3"/>
      <c r="F360" s="3"/>
      <c r="G360" s="3"/>
      <c r="H360" s="3"/>
      <c r="I360" s="3"/>
    </row>
    <row r="361" ht="15.75" customHeight="1">
      <c r="A361" s="1" t="s">
        <v>372</v>
      </c>
      <c r="B361" s="3" t="s">
        <v>356</v>
      </c>
      <c r="C361" s="3"/>
      <c r="D361" s="3"/>
      <c r="E361" s="3"/>
      <c r="F361" s="3"/>
      <c r="G361" s="3"/>
      <c r="H361" s="3"/>
      <c r="I361" s="3"/>
    </row>
    <row r="362" ht="15.75" customHeight="1">
      <c r="A362" s="1" t="s">
        <v>373</v>
      </c>
      <c r="B362" s="3" t="s">
        <v>356</v>
      </c>
      <c r="C362" s="3"/>
      <c r="D362" s="3"/>
      <c r="E362" s="3"/>
      <c r="F362" s="3"/>
      <c r="G362" s="3"/>
      <c r="H362" s="3"/>
      <c r="I362" s="3"/>
    </row>
    <row r="363" ht="15.75" customHeight="1">
      <c r="A363" s="1" t="s">
        <v>374</v>
      </c>
      <c r="B363" s="3" t="s">
        <v>356</v>
      </c>
      <c r="C363" s="3"/>
      <c r="D363" s="3"/>
      <c r="E363" s="3"/>
      <c r="F363" s="3"/>
      <c r="G363" s="3"/>
      <c r="H363" s="3"/>
      <c r="I363" s="3"/>
    </row>
    <row r="364" ht="15.75" customHeight="1">
      <c r="A364" s="1" t="s">
        <v>375</v>
      </c>
      <c r="B364" s="3" t="s">
        <v>356</v>
      </c>
      <c r="C364" s="3"/>
      <c r="D364" s="3"/>
      <c r="E364" s="3"/>
      <c r="F364" s="3"/>
      <c r="G364" s="3"/>
      <c r="H364" s="3"/>
      <c r="I364" s="3"/>
    </row>
    <row r="365" ht="15.75" customHeight="1">
      <c r="A365" s="1" t="s">
        <v>376</v>
      </c>
      <c r="B365" s="3" t="s">
        <v>356</v>
      </c>
      <c r="C365" s="3"/>
      <c r="D365" s="3"/>
      <c r="E365" s="3"/>
      <c r="F365" s="3"/>
      <c r="G365" s="3"/>
      <c r="H365" s="3"/>
      <c r="I365" s="3"/>
    </row>
    <row r="366" ht="15.75" customHeight="1">
      <c r="A366" s="1" t="s">
        <v>377</v>
      </c>
      <c r="B366" s="3" t="s">
        <v>356</v>
      </c>
      <c r="C366" s="3"/>
      <c r="D366" s="3"/>
      <c r="E366" s="3"/>
      <c r="F366" s="3"/>
      <c r="G366" s="3"/>
      <c r="H366" s="3"/>
      <c r="I366" s="3"/>
    </row>
    <row r="367" ht="15.75" customHeight="1">
      <c r="A367" s="1" t="s">
        <v>378</v>
      </c>
      <c r="B367" s="3" t="s">
        <v>356</v>
      </c>
      <c r="C367" s="3"/>
      <c r="D367" s="3"/>
      <c r="E367" s="3"/>
      <c r="F367" s="3"/>
      <c r="G367" s="3"/>
      <c r="H367" s="3"/>
      <c r="I367" s="3"/>
    </row>
    <row r="368" ht="15.75" customHeight="1">
      <c r="A368" s="1" t="s">
        <v>379</v>
      </c>
      <c r="B368" s="3" t="s">
        <v>356</v>
      </c>
      <c r="C368" s="3"/>
      <c r="D368" s="3"/>
      <c r="E368" s="3"/>
      <c r="F368" s="3"/>
      <c r="G368" s="3"/>
      <c r="H368" s="3"/>
      <c r="I368" s="3"/>
    </row>
    <row r="369" ht="15.75" customHeight="1">
      <c r="A369" s="1" t="s">
        <v>380</v>
      </c>
      <c r="B369" s="3" t="s">
        <v>356</v>
      </c>
      <c r="C369" s="3"/>
      <c r="D369" s="3"/>
      <c r="E369" s="3"/>
      <c r="F369" s="3"/>
      <c r="G369" s="3"/>
      <c r="H369" s="3"/>
      <c r="I369" s="3"/>
    </row>
    <row r="370" ht="15.75" customHeight="1">
      <c r="A370" s="1" t="s">
        <v>381</v>
      </c>
      <c r="B370" s="3" t="s">
        <v>356</v>
      </c>
      <c r="C370" s="3"/>
      <c r="D370" s="3"/>
      <c r="E370" s="3"/>
      <c r="F370" s="3"/>
      <c r="G370" s="3"/>
      <c r="H370" s="3"/>
      <c r="I370" s="3"/>
    </row>
    <row r="371" ht="15.75" customHeight="1">
      <c r="A371" s="1" t="s">
        <v>382</v>
      </c>
      <c r="B371" s="3" t="s">
        <v>356</v>
      </c>
      <c r="C371" s="3"/>
      <c r="D371" s="3"/>
      <c r="E371" s="3"/>
      <c r="F371" s="3"/>
      <c r="G371" s="3"/>
      <c r="H371" s="3"/>
      <c r="I371" s="3"/>
    </row>
    <row r="372" ht="15.75" customHeight="1">
      <c r="A372" s="1" t="s">
        <v>383</v>
      </c>
      <c r="B372" s="3" t="s">
        <v>356</v>
      </c>
      <c r="C372" s="3"/>
      <c r="D372" s="3"/>
      <c r="E372" s="3"/>
      <c r="F372" s="3"/>
      <c r="G372" s="3"/>
      <c r="H372" s="3"/>
      <c r="I372" s="3"/>
    </row>
    <row r="373" ht="15.75" customHeight="1">
      <c r="A373" s="1" t="s">
        <v>384</v>
      </c>
      <c r="B373" s="3" t="s">
        <v>356</v>
      </c>
      <c r="C373" s="3"/>
      <c r="D373" s="3"/>
      <c r="E373" s="3"/>
      <c r="F373" s="3"/>
      <c r="G373" s="3"/>
      <c r="H373" s="3"/>
      <c r="I373" s="3"/>
    </row>
    <row r="374" ht="15.75" customHeight="1">
      <c r="A374" s="1" t="s">
        <v>385</v>
      </c>
      <c r="B374" s="3" t="s">
        <v>356</v>
      </c>
      <c r="C374" s="3"/>
      <c r="D374" s="3"/>
      <c r="E374" s="3"/>
      <c r="F374" s="3"/>
      <c r="G374" s="3"/>
      <c r="H374" s="3"/>
      <c r="I374" s="3"/>
    </row>
    <row r="375" ht="15.75" customHeight="1">
      <c r="A375" s="1" t="s">
        <v>386</v>
      </c>
      <c r="B375" s="3" t="s">
        <v>356</v>
      </c>
      <c r="C375" s="3"/>
      <c r="D375" s="3"/>
      <c r="E375" s="3"/>
      <c r="F375" s="3"/>
      <c r="G375" s="3"/>
      <c r="H375" s="3"/>
      <c r="I375" s="3"/>
    </row>
    <row r="376" ht="15.75" customHeight="1">
      <c r="A376" s="1" t="s">
        <v>387</v>
      </c>
      <c r="B376" s="3" t="s">
        <v>356</v>
      </c>
      <c r="C376" s="3"/>
      <c r="D376" s="3"/>
      <c r="E376" s="3"/>
      <c r="F376" s="3"/>
      <c r="G376" s="3"/>
      <c r="H376" s="3"/>
      <c r="I376" s="3"/>
    </row>
    <row r="377" ht="15.75" customHeight="1">
      <c r="A377" s="1" t="s">
        <v>388</v>
      </c>
      <c r="B377" s="3" t="s">
        <v>356</v>
      </c>
      <c r="C377" s="3"/>
      <c r="D377" s="3"/>
      <c r="E377" s="3"/>
      <c r="F377" s="3"/>
      <c r="G377" s="3"/>
      <c r="H377" s="3"/>
      <c r="I377" s="3"/>
    </row>
    <row r="378" ht="15.75" customHeight="1">
      <c r="A378" s="1" t="s">
        <v>389</v>
      </c>
      <c r="B378" s="3" t="s">
        <v>356</v>
      </c>
      <c r="C378" s="3"/>
      <c r="D378" s="3"/>
      <c r="E378" s="3"/>
      <c r="F378" s="3"/>
      <c r="G378" s="3"/>
      <c r="H378" s="3"/>
      <c r="I378" s="3"/>
    </row>
    <row r="379" ht="15.75" customHeight="1">
      <c r="A379" s="1" t="s">
        <v>390</v>
      </c>
      <c r="B379" s="3" t="s">
        <v>356</v>
      </c>
      <c r="C379" s="3"/>
      <c r="D379" s="3"/>
      <c r="E379" s="3"/>
      <c r="F379" s="3"/>
      <c r="G379" s="3"/>
      <c r="H379" s="3"/>
      <c r="I379" s="3"/>
    </row>
    <row r="380" ht="15.75" customHeight="1">
      <c r="A380" s="1" t="s">
        <v>391</v>
      </c>
      <c r="B380" s="3" t="s">
        <v>356</v>
      </c>
      <c r="C380" s="3"/>
      <c r="D380" s="3"/>
      <c r="E380" s="3"/>
      <c r="F380" s="3"/>
      <c r="G380" s="3"/>
      <c r="H380" s="3"/>
      <c r="I380" s="3"/>
    </row>
    <row r="381" ht="15.75" customHeight="1">
      <c r="A381" s="1" t="s">
        <v>392</v>
      </c>
      <c r="B381" s="3" t="s">
        <v>356</v>
      </c>
      <c r="C381" s="3"/>
      <c r="D381" s="3"/>
      <c r="E381" s="3"/>
      <c r="F381" s="3"/>
      <c r="G381" s="3"/>
      <c r="H381" s="3"/>
      <c r="I381" s="3"/>
    </row>
    <row r="382" ht="15.75" customHeight="1">
      <c r="A382" s="1" t="s">
        <v>393</v>
      </c>
      <c r="B382" s="3" t="s">
        <v>356</v>
      </c>
      <c r="C382" s="3"/>
      <c r="D382" s="3"/>
      <c r="E382" s="3"/>
      <c r="F382" s="3"/>
      <c r="G382" s="3"/>
      <c r="H382" s="3"/>
      <c r="I382" s="3"/>
    </row>
    <row r="383" ht="15.75" customHeight="1">
      <c r="A383" s="1" t="s">
        <v>394</v>
      </c>
      <c r="B383" s="3" t="s">
        <v>356</v>
      </c>
      <c r="C383" s="3"/>
      <c r="D383" s="3"/>
      <c r="E383" s="3"/>
      <c r="F383" s="3"/>
      <c r="G383" s="3"/>
      <c r="H383" s="3"/>
      <c r="I383" s="3"/>
    </row>
    <row r="384" ht="15.75" customHeight="1">
      <c r="A384" s="1" t="s">
        <v>395</v>
      </c>
      <c r="B384" s="3" t="s">
        <v>356</v>
      </c>
      <c r="C384" s="3"/>
      <c r="D384" s="3"/>
      <c r="E384" s="3"/>
      <c r="F384" s="3"/>
      <c r="G384" s="3"/>
      <c r="H384" s="3"/>
      <c r="I384" s="3"/>
    </row>
    <row r="385" ht="15.75" customHeight="1">
      <c r="A385" s="1" t="s">
        <v>396</v>
      </c>
      <c r="B385" s="3" t="s">
        <v>356</v>
      </c>
      <c r="C385" s="3"/>
      <c r="D385" s="3"/>
      <c r="E385" s="3"/>
      <c r="F385" s="3"/>
      <c r="G385" s="3"/>
      <c r="H385" s="3"/>
      <c r="I385" s="3"/>
    </row>
    <row r="386" ht="15.75" customHeight="1">
      <c r="A386" s="1" t="s">
        <v>397</v>
      </c>
      <c r="B386" s="3" t="s">
        <v>356</v>
      </c>
      <c r="C386" s="3"/>
      <c r="D386" s="3"/>
      <c r="E386" s="3"/>
      <c r="F386" s="3"/>
      <c r="G386" s="3"/>
      <c r="H386" s="3"/>
      <c r="I386" s="3"/>
    </row>
    <row r="387" ht="15.75" customHeight="1">
      <c r="A387" s="1" t="s">
        <v>398</v>
      </c>
      <c r="B387" s="3" t="s">
        <v>356</v>
      </c>
      <c r="C387" s="3"/>
      <c r="D387" s="3"/>
      <c r="E387" s="3"/>
      <c r="F387" s="3"/>
      <c r="G387" s="3"/>
      <c r="H387" s="3"/>
      <c r="I387" s="3"/>
    </row>
    <row r="388" ht="15.75" customHeight="1">
      <c r="A388" s="1" t="s">
        <v>399</v>
      </c>
      <c r="B388" s="3" t="s">
        <v>356</v>
      </c>
      <c r="C388" s="3"/>
      <c r="D388" s="3"/>
      <c r="E388" s="3"/>
      <c r="F388" s="3"/>
      <c r="G388" s="3"/>
      <c r="H388" s="3"/>
      <c r="I388" s="3"/>
    </row>
    <row r="389" ht="15.75" customHeight="1">
      <c r="A389" s="1" t="s">
        <v>400</v>
      </c>
      <c r="B389" s="3" t="s">
        <v>356</v>
      </c>
      <c r="C389" s="3"/>
      <c r="D389" s="3"/>
      <c r="E389" s="3"/>
      <c r="F389" s="3"/>
      <c r="G389" s="3"/>
      <c r="H389" s="3"/>
      <c r="I389" s="3"/>
    </row>
    <row r="390" ht="15.75" customHeight="1">
      <c r="A390" s="1" t="s">
        <v>401</v>
      </c>
      <c r="B390" s="3" t="s">
        <v>402</v>
      </c>
      <c r="C390" s="3"/>
      <c r="D390" s="3"/>
      <c r="E390" s="3"/>
      <c r="F390" s="3"/>
      <c r="G390" s="3"/>
      <c r="H390" s="3"/>
      <c r="I390" s="3"/>
    </row>
    <row r="391" ht="15.75" customHeight="1">
      <c r="A391" s="1" t="s">
        <v>403</v>
      </c>
      <c r="B391" s="3" t="s">
        <v>402</v>
      </c>
      <c r="C391" s="3"/>
      <c r="D391" s="3"/>
      <c r="E391" s="3"/>
      <c r="F391" s="3"/>
      <c r="G391" s="3"/>
      <c r="H391" s="3"/>
      <c r="I391" s="3"/>
    </row>
    <row r="392" ht="15.75" customHeight="1">
      <c r="A392" s="1" t="s">
        <v>404</v>
      </c>
      <c r="B392" s="3" t="s">
        <v>402</v>
      </c>
      <c r="C392" s="3"/>
      <c r="D392" s="3"/>
      <c r="E392" s="3"/>
      <c r="F392" s="3"/>
      <c r="G392" s="3"/>
      <c r="H392" s="3"/>
      <c r="I392" s="3"/>
    </row>
    <row r="393" ht="15.75" customHeight="1">
      <c r="A393" s="1" t="s">
        <v>405</v>
      </c>
      <c r="B393" s="3" t="s">
        <v>402</v>
      </c>
      <c r="C393" s="3"/>
      <c r="D393" s="3"/>
      <c r="E393" s="3"/>
      <c r="F393" s="3"/>
      <c r="G393" s="3"/>
      <c r="H393" s="3"/>
      <c r="I393" s="3"/>
    </row>
    <row r="394" ht="15.75" customHeight="1">
      <c r="A394" s="1" t="s">
        <v>406</v>
      </c>
      <c r="B394" s="3" t="s">
        <v>402</v>
      </c>
      <c r="C394" s="3"/>
      <c r="D394" s="3"/>
      <c r="E394" s="3"/>
      <c r="F394" s="3"/>
      <c r="G394" s="3"/>
      <c r="H394" s="3"/>
      <c r="I394" s="3"/>
    </row>
    <row r="395" ht="15.75" customHeight="1">
      <c r="A395" s="1" t="s">
        <v>407</v>
      </c>
      <c r="B395" s="3" t="s">
        <v>402</v>
      </c>
      <c r="C395" s="3"/>
      <c r="D395" s="3"/>
      <c r="E395" s="3"/>
      <c r="F395" s="3"/>
      <c r="G395" s="3"/>
      <c r="H395" s="3"/>
      <c r="I395" s="3"/>
    </row>
    <row r="396" ht="15.75" customHeight="1">
      <c r="A396" s="1" t="s">
        <v>408</v>
      </c>
      <c r="B396" s="3" t="s">
        <v>402</v>
      </c>
      <c r="C396" s="3"/>
      <c r="D396" s="3"/>
      <c r="E396" s="3"/>
      <c r="F396" s="3"/>
      <c r="G396" s="3"/>
      <c r="H396" s="3"/>
      <c r="I396" s="3"/>
    </row>
    <row r="397" ht="15.75" customHeight="1">
      <c r="A397" s="1" t="s">
        <v>409</v>
      </c>
      <c r="B397" s="3" t="s">
        <v>402</v>
      </c>
      <c r="C397" s="3"/>
      <c r="D397" s="3"/>
      <c r="E397" s="3"/>
      <c r="F397" s="3"/>
      <c r="G397" s="3"/>
      <c r="H397" s="3"/>
      <c r="I397" s="3"/>
    </row>
    <row r="398" ht="15.75" customHeight="1">
      <c r="A398" s="1" t="s">
        <v>410</v>
      </c>
      <c r="B398" s="3" t="s">
        <v>402</v>
      </c>
      <c r="C398" s="3"/>
      <c r="D398" s="3"/>
      <c r="E398" s="3"/>
      <c r="F398" s="3"/>
      <c r="G398" s="3"/>
      <c r="H398" s="3"/>
      <c r="I398" s="3"/>
    </row>
    <row r="399" ht="15.75" customHeight="1">
      <c r="A399" s="1" t="s">
        <v>411</v>
      </c>
      <c r="B399" s="3" t="s">
        <v>402</v>
      </c>
      <c r="C399" s="3"/>
      <c r="D399" s="3"/>
      <c r="E399" s="3"/>
      <c r="F399" s="3"/>
      <c r="G399" s="3"/>
      <c r="H399" s="3"/>
      <c r="I399" s="3"/>
    </row>
    <row r="400" ht="15.75" customHeight="1">
      <c r="A400" s="1" t="s">
        <v>412</v>
      </c>
      <c r="B400" s="3" t="s">
        <v>402</v>
      </c>
      <c r="C400" s="3"/>
      <c r="D400" s="3"/>
      <c r="E400" s="3"/>
      <c r="F400" s="3"/>
      <c r="G400" s="3"/>
      <c r="H400" s="3"/>
      <c r="I400" s="3"/>
    </row>
    <row r="401" ht="15.75" customHeight="1">
      <c r="A401" s="1" t="s">
        <v>413</v>
      </c>
      <c r="B401" s="3" t="s">
        <v>402</v>
      </c>
      <c r="C401" s="3"/>
      <c r="D401" s="3"/>
      <c r="E401" s="3"/>
      <c r="F401" s="3"/>
      <c r="G401" s="3"/>
      <c r="H401" s="3"/>
      <c r="I401" s="3"/>
    </row>
    <row r="402" ht="15.75" customHeight="1">
      <c r="A402" s="1" t="s">
        <v>414</v>
      </c>
      <c r="B402" s="3" t="s">
        <v>402</v>
      </c>
      <c r="C402" s="3"/>
      <c r="D402" s="3"/>
      <c r="E402" s="3"/>
      <c r="F402" s="3"/>
      <c r="G402" s="3"/>
      <c r="H402" s="3"/>
      <c r="I402" s="3"/>
    </row>
    <row r="403" ht="15.75" customHeight="1">
      <c r="A403" s="1" t="s">
        <v>415</v>
      </c>
      <c r="B403" s="3" t="s">
        <v>402</v>
      </c>
      <c r="C403" s="3"/>
      <c r="D403" s="3"/>
      <c r="E403" s="3"/>
      <c r="F403" s="3"/>
      <c r="G403" s="3"/>
      <c r="H403" s="3"/>
      <c r="I403" s="3"/>
    </row>
    <row r="404" ht="15.75" customHeight="1">
      <c r="A404" s="1" t="s">
        <v>416</v>
      </c>
      <c r="B404" s="3" t="s">
        <v>402</v>
      </c>
      <c r="C404" s="3"/>
      <c r="D404" s="3"/>
      <c r="E404" s="3"/>
      <c r="F404" s="3"/>
      <c r="G404" s="3"/>
      <c r="H404" s="3"/>
      <c r="I404" s="3"/>
    </row>
    <row r="405" ht="15.75" customHeight="1">
      <c r="A405" s="1" t="s">
        <v>417</v>
      </c>
      <c r="B405" s="3" t="s">
        <v>402</v>
      </c>
      <c r="C405" s="3"/>
      <c r="D405" s="3"/>
      <c r="E405" s="3"/>
      <c r="F405" s="3"/>
      <c r="G405" s="3"/>
      <c r="H405" s="3"/>
      <c r="I405" s="3"/>
    </row>
    <row r="406" ht="15.75" customHeight="1">
      <c r="A406" s="1" t="s">
        <v>418</v>
      </c>
      <c r="B406" s="3" t="s">
        <v>402</v>
      </c>
      <c r="C406" s="3"/>
      <c r="D406" s="3"/>
      <c r="E406" s="3"/>
      <c r="F406" s="3"/>
      <c r="G406" s="3"/>
      <c r="H406" s="3"/>
      <c r="I406" s="3"/>
    </row>
    <row r="407" ht="15.75" customHeight="1">
      <c r="A407" s="1" t="s">
        <v>419</v>
      </c>
      <c r="B407" s="3" t="s">
        <v>402</v>
      </c>
      <c r="C407" s="3"/>
      <c r="D407" s="3"/>
      <c r="E407" s="3"/>
      <c r="F407" s="3"/>
      <c r="G407" s="3"/>
      <c r="H407" s="3"/>
      <c r="I407" s="3"/>
    </row>
    <row r="408" ht="15.75" customHeight="1">
      <c r="A408" s="1" t="s">
        <v>420</v>
      </c>
      <c r="B408" s="3" t="s">
        <v>402</v>
      </c>
      <c r="C408" s="3"/>
      <c r="D408" s="3"/>
      <c r="E408" s="3"/>
      <c r="F408" s="3"/>
      <c r="G408" s="3"/>
      <c r="H408" s="3"/>
      <c r="I408" s="3"/>
    </row>
    <row r="409" ht="15.75" customHeight="1">
      <c r="A409" s="1" t="s">
        <v>421</v>
      </c>
      <c r="B409" s="3" t="s">
        <v>402</v>
      </c>
      <c r="C409" s="3"/>
      <c r="D409" s="3"/>
      <c r="E409" s="3"/>
      <c r="F409" s="3"/>
      <c r="G409" s="3"/>
      <c r="H409" s="3"/>
      <c r="I409" s="3"/>
    </row>
    <row r="410" ht="15.75" customHeight="1">
      <c r="A410" s="1" t="s">
        <v>422</v>
      </c>
      <c r="B410" s="3" t="s">
        <v>402</v>
      </c>
      <c r="C410" s="3"/>
      <c r="D410" s="3"/>
      <c r="E410" s="3"/>
      <c r="F410" s="3"/>
      <c r="G410" s="3"/>
      <c r="H410" s="3"/>
      <c r="I410" s="3"/>
    </row>
    <row r="411" ht="15.75" customHeight="1">
      <c r="A411" s="1" t="s">
        <v>423</v>
      </c>
      <c r="B411" s="3" t="s">
        <v>402</v>
      </c>
      <c r="C411" s="3"/>
      <c r="D411" s="3"/>
      <c r="E411" s="3"/>
      <c r="F411" s="3"/>
      <c r="G411" s="3"/>
      <c r="H411" s="3"/>
      <c r="I411" s="3"/>
    </row>
    <row r="412" ht="15.75" customHeight="1">
      <c r="A412" s="1" t="s">
        <v>424</v>
      </c>
      <c r="B412" s="3" t="s">
        <v>402</v>
      </c>
      <c r="C412" s="3"/>
      <c r="D412" s="3"/>
      <c r="E412" s="3"/>
      <c r="F412" s="3"/>
      <c r="G412" s="3"/>
      <c r="H412" s="3"/>
      <c r="I412" s="3"/>
    </row>
    <row r="413" ht="15.75" customHeight="1">
      <c r="A413" s="1" t="s">
        <v>425</v>
      </c>
      <c r="B413" s="3" t="s">
        <v>402</v>
      </c>
      <c r="C413" s="3"/>
      <c r="D413" s="3"/>
      <c r="E413" s="3"/>
      <c r="F413" s="3"/>
      <c r="G413" s="3"/>
      <c r="H413" s="3"/>
      <c r="I413" s="3"/>
    </row>
    <row r="414" ht="15.75" customHeight="1">
      <c r="A414" s="1" t="s">
        <v>426</v>
      </c>
      <c r="B414" s="3" t="s">
        <v>402</v>
      </c>
      <c r="C414" s="3"/>
      <c r="D414" s="3"/>
      <c r="E414" s="3"/>
      <c r="F414" s="3"/>
      <c r="G414" s="3"/>
      <c r="H414" s="3"/>
      <c r="I414" s="3"/>
    </row>
    <row r="415" ht="15.75" customHeight="1">
      <c r="A415" s="1" t="s">
        <v>427</v>
      </c>
      <c r="B415" s="3" t="s">
        <v>402</v>
      </c>
      <c r="C415" s="3"/>
      <c r="D415" s="3"/>
      <c r="E415" s="3"/>
      <c r="F415" s="3"/>
      <c r="G415" s="3"/>
      <c r="H415" s="3"/>
      <c r="I415" s="3"/>
    </row>
    <row r="416" ht="15.75" customHeight="1">
      <c r="A416" s="1" t="s">
        <v>428</v>
      </c>
      <c r="B416" s="3" t="s">
        <v>402</v>
      </c>
      <c r="C416" s="3"/>
      <c r="D416" s="3"/>
      <c r="E416" s="3"/>
      <c r="F416" s="3"/>
      <c r="G416" s="3"/>
      <c r="H416" s="3"/>
      <c r="I416" s="3"/>
    </row>
    <row r="417" ht="15.75" customHeight="1">
      <c r="A417" s="1" t="s">
        <v>429</v>
      </c>
      <c r="B417" s="3" t="s">
        <v>402</v>
      </c>
      <c r="C417" s="3"/>
      <c r="D417" s="3"/>
      <c r="E417" s="3"/>
      <c r="F417" s="3"/>
      <c r="G417" s="3"/>
      <c r="H417" s="3"/>
      <c r="I417" s="3"/>
    </row>
    <row r="418" ht="15.75" customHeight="1">
      <c r="A418" s="1" t="s">
        <v>430</v>
      </c>
      <c r="B418" s="3" t="s">
        <v>402</v>
      </c>
      <c r="C418" s="3"/>
      <c r="D418" s="3"/>
      <c r="E418" s="3"/>
      <c r="F418" s="3"/>
      <c r="G418" s="3"/>
      <c r="H418" s="3"/>
      <c r="I418" s="3"/>
    </row>
    <row r="419" ht="15.75" customHeight="1">
      <c r="A419" s="1" t="s">
        <v>431</v>
      </c>
      <c r="B419" s="3" t="s">
        <v>402</v>
      </c>
      <c r="C419" s="3"/>
      <c r="D419" s="3"/>
      <c r="E419" s="3"/>
      <c r="F419" s="3"/>
      <c r="G419" s="3"/>
      <c r="H419" s="3"/>
      <c r="I419" s="3"/>
    </row>
    <row r="420" ht="15.75" customHeight="1">
      <c r="A420" s="1" t="s">
        <v>432</v>
      </c>
      <c r="B420" s="3" t="s">
        <v>402</v>
      </c>
      <c r="C420" s="3"/>
      <c r="D420" s="3"/>
      <c r="E420" s="3"/>
      <c r="F420" s="3"/>
      <c r="G420" s="3"/>
      <c r="H420" s="3"/>
      <c r="I420" s="3"/>
    </row>
    <row r="421" ht="15.75" customHeight="1">
      <c r="A421" s="4" t="s">
        <v>433</v>
      </c>
      <c r="B421" s="3" t="s">
        <v>402</v>
      </c>
      <c r="C421" s="3"/>
      <c r="D421" s="3"/>
      <c r="E421" s="3"/>
      <c r="F421" s="3"/>
      <c r="G421" s="3"/>
      <c r="H421" s="3"/>
      <c r="I421" s="3"/>
    </row>
    <row r="422" ht="15.75" customHeight="1">
      <c r="A422" s="1" t="s">
        <v>434</v>
      </c>
      <c r="B422" s="3" t="s">
        <v>402</v>
      </c>
      <c r="C422" s="3"/>
      <c r="D422" s="3"/>
      <c r="E422" s="3"/>
      <c r="F422" s="3"/>
      <c r="G422" s="3"/>
      <c r="H422" s="3"/>
      <c r="I422" s="3"/>
    </row>
    <row r="423" ht="15.75" customHeight="1">
      <c r="A423" s="1" t="s">
        <v>435</v>
      </c>
      <c r="B423" s="3" t="s">
        <v>402</v>
      </c>
      <c r="C423" s="3"/>
      <c r="D423" s="3"/>
      <c r="E423" s="3"/>
      <c r="F423" s="3"/>
      <c r="G423" s="3"/>
      <c r="H423" s="3"/>
      <c r="I423" s="3"/>
    </row>
    <row r="424" ht="15.75" customHeight="1">
      <c r="A424" s="1" t="s">
        <v>436</v>
      </c>
      <c r="B424" s="3" t="s">
        <v>402</v>
      </c>
      <c r="C424" s="3"/>
      <c r="D424" s="3"/>
      <c r="E424" s="3"/>
      <c r="F424" s="3"/>
      <c r="G424" s="3"/>
      <c r="H424" s="3"/>
      <c r="I424" s="3"/>
    </row>
    <row r="425" ht="15.75" customHeight="1">
      <c r="A425" s="1" t="s">
        <v>437</v>
      </c>
      <c r="B425" s="3" t="s">
        <v>402</v>
      </c>
      <c r="C425" s="3"/>
      <c r="D425" s="3"/>
      <c r="E425" s="3"/>
      <c r="F425" s="3"/>
      <c r="G425" s="3"/>
      <c r="H425" s="3"/>
      <c r="I425" s="3"/>
    </row>
    <row r="426" ht="15.75" customHeight="1">
      <c r="A426" s="1" t="s">
        <v>438</v>
      </c>
      <c r="B426" s="3" t="s">
        <v>402</v>
      </c>
      <c r="C426" s="3"/>
      <c r="D426" s="3"/>
      <c r="E426" s="3"/>
      <c r="F426" s="3"/>
      <c r="G426" s="3"/>
      <c r="H426" s="3"/>
      <c r="I426" s="3"/>
    </row>
  </sheetData>
  <autoFilter ref="$A$1:$I$426">
    <sortState ref="A1:I426">
      <sortCondition ref="B1:B426"/>
    </sortState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54.29"/>
    <col customWidth="1" min="3" max="3" width="11.43"/>
    <col customWidth="1" min="4" max="26" width="8.0"/>
  </cols>
  <sheetData>
    <row r="1" ht="15.75" customHeight="1">
      <c r="A1" s="5" t="s">
        <v>439</v>
      </c>
    </row>
    <row r="2">
      <c r="A2" s="6" t="s">
        <v>440</v>
      </c>
    </row>
    <row r="3">
      <c r="A3" s="6" t="s">
        <v>441</v>
      </c>
    </row>
    <row r="4">
      <c r="A4" s="6" t="s">
        <v>442</v>
      </c>
    </row>
    <row r="5">
      <c r="A5" s="6" t="s">
        <v>443</v>
      </c>
    </row>
    <row r="6">
      <c r="A6" s="7" t="s">
        <v>444</v>
      </c>
    </row>
    <row r="7">
      <c r="A7" s="8" t="s">
        <v>445</v>
      </c>
      <c r="B7" s="8" t="s">
        <v>446</v>
      </c>
      <c r="C7" s="8" t="s">
        <v>447</v>
      </c>
    </row>
    <row r="8">
      <c r="A8" s="9"/>
      <c r="B8" s="10"/>
      <c r="C8" s="11"/>
    </row>
    <row r="9">
      <c r="A9" s="12" t="s">
        <v>10</v>
      </c>
      <c r="B9" s="13"/>
      <c r="C9" s="13"/>
    </row>
    <row r="10">
      <c r="A10" s="14">
        <v>1.0</v>
      </c>
      <c r="B10" s="15" t="s">
        <v>448</v>
      </c>
      <c r="C10" s="16">
        <v>0.0</v>
      </c>
    </row>
    <row r="11">
      <c r="A11" s="14">
        <v>2.0</v>
      </c>
      <c r="B11" s="15" t="s">
        <v>449</v>
      </c>
      <c r="C11" s="16">
        <v>0.0</v>
      </c>
    </row>
    <row r="12">
      <c r="A12" s="14">
        <v>3.0</v>
      </c>
      <c r="B12" s="15" t="s">
        <v>450</v>
      </c>
      <c r="C12" s="16">
        <v>0.0</v>
      </c>
    </row>
    <row r="13">
      <c r="A13" s="14">
        <v>4.0</v>
      </c>
      <c r="B13" s="15" t="s">
        <v>451</v>
      </c>
      <c r="C13" s="16">
        <v>0.0</v>
      </c>
    </row>
    <row r="14">
      <c r="A14" s="14">
        <v>5.0</v>
      </c>
      <c r="B14" s="15" t="s">
        <v>452</v>
      </c>
      <c r="C14" s="16">
        <v>0.0</v>
      </c>
    </row>
    <row r="15">
      <c r="A15" s="14">
        <v>6.0</v>
      </c>
      <c r="B15" s="15" t="s">
        <v>453</v>
      </c>
      <c r="C15" s="16">
        <v>0.0</v>
      </c>
    </row>
    <row r="16">
      <c r="A16" s="14">
        <v>7.0</v>
      </c>
      <c r="B16" s="15" t="s">
        <v>454</v>
      </c>
      <c r="C16" s="16">
        <v>0.0</v>
      </c>
    </row>
    <row r="17">
      <c r="A17" s="14">
        <v>8.0</v>
      </c>
      <c r="B17" s="15" t="s">
        <v>455</v>
      </c>
      <c r="C17" s="16">
        <v>0.0</v>
      </c>
    </row>
    <row r="18">
      <c r="A18" s="14">
        <v>9.0</v>
      </c>
      <c r="B18" s="15" t="s">
        <v>456</v>
      </c>
      <c r="C18" s="16">
        <v>0.0</v>
      </c>
    </row>
    <row r="19">
      <c r="A19" s="14">
        <v>10.0</v>
      </c>
      <c r="B19" s="15" t="s">
        <v>457</v>
      </c>
      <c r="C19" s="16">
        <v>0.0</v>
      </c>
    </row>
    <row r="20">
      <c r="A20" s="14">
        <v>11.0</v>
      </c>
      <c r="B20" s="15" t="s">
        <v>458</v>
      </c>
      <c r="C20" s="16">
        <v>0.0</v>
      </c>
    </row>
    <row r="21" ht="15.75" customHeight="1">
      <c r="A21" s="14">
        <v>12.0</v>
      </c>
      <c r="B21" s="15" t="s">
        <v>459</v>
      </c>
      <c r="C21" s="16">
        <v>0.0</v>
      </c>
    </row>
    <row r="22" ht="15.75" customHeight="1">
      <c r="A22" s="14">
        <v>13.0</v>
      </c>
      <c r="B22" s="15" t="s">
        <v>460</v>
      </c>
      <c r="C22" s="16">
        <v>0.0</v>
      </c>
    </row>
    <row r="23" ht="15.75" customHeight="1">
      <c r="A23" s="14">
        <v>14.0</v>
      </c>
      <c r="B23" s="15" t="s">
        <v>461</v>
      </c>
      <c r="C23" s="16">
        <v>0.0</v>
      </c>
    </row>
    <row r="24" ht="15.75" customHeight="1">
      <c r="A24" s="14">
        <v>15.0</v>
      </c>
      <c r="B24" s="15" t="s">
        <v>462</v>
      </c>
      <c r="C24" s="16">
        <v>0.0</v>
      </c>
    </row>
    <row r="25" ht="15.75" customHeight="1">
      <c r="A25" s="14">
        <v>16.0</v>
      </c>
      <c r="B25" s="15" t="s">
        <v>463</v>
      </c>
      <c r="C25" s="16">
        <v>0.0</v>
      </c>
    </row>
    <row r="26" ht="15.75" customHeight="1">
      <c r="A26" s="14">
        <v>17.0</v>
      </c>
      <c r="B26" s="15" t="s">
        <v>464</v>
      </c>
      <c r="C26" s="16">
        <v>0.0</v>
      </c>
    </row>
    <row r="27" ht="15.75" customHeight="1">
      <c r="A27" s="14">
        <v>18.0</v>
      </c>
      <c r="B27" s="15" t="s">
        <v>465</v>
      </c>
      <c r="C27" s="16">
        <v>0.0</v>
      </c>
    </row>
    <row r="28" ht="15.75" customHeight="1">
      <c r="A28" s="14">
        <v>19.0</v>
      </c>
      <c r="B28" s="15" t="s">
        <v>466</v>
      </c>
      <c r="C28" s="16">
        <v>0.0</v>
      </c>
    </row>
    <row r="29" ht="15.75" customHeight="1">
      <c r="A29" s="14">
        <v>20.0</v>
      </c>
      <c r="B29" s="15" t="s">
        <v>467</v>
      </c>
      <c r="C29" s="16">
        <v>0.0</v>
      </c>
    </row>
    <row r="30" ht="15.75" customHeight="1">
      <c r="A30" s="14">
        <v>21.0</v>
      </c>
      <c r="B30" s="15" t="s">
        <v>468</v>
      </c>
      <c r="C30" s="16">
        <v>0.0</v>
      </c>
    </row>
    <row r="31" ht="15.75" customHeight="1">
      <c r="A31" s="14">
        <v>22.0</v>
      </c>
      <c r="B31" s="15" t="s">
        <v>469</v>
      </c>
      <c r="C31" s="16">
        <v>0.0</v>
      </c>
    </row>
    <row r="32" ht="15.75" customHeight="1">
      <c r="A32" s="14">
        <v>23.0</v>
      </c>
      <c r="B32" s="15" t="s">
        <v>470</v>
      </c>
      <c r="C32" s="16">
        <v>0.0</v>
      </c>
    </row>
    <row r="33" ht="15.75" customHeight="1">
      <c r="A33" s="14">
        <v>24.0</v>
      </c>
      <c r="B33" s="15" t="s">
        <v>471</v>
      </c>
      <c r="C33" s="16">
        <v>0.0</v>
      </c>
    </row>
    <row r="34" ht="15.75" customHeight="1">
      <c r="A34" s="14">
        <v>25.0</v>
      </c>
      <c r="B34" s="15" t="s">
        <v>472</v>
      </c>
      <c r="C34" s="16">
        <v>0.0</v>
      </c>
    </row>
    <row r="35" ht="15.75" customHeight="1">
      <c r="A35" s="14">
        <v>26.0</v>
      </c>
      <c r="B35" s="15" t="s">
        <v>473</v>
      </c>
      <c r="C35" s="16">
        <v>0.0</v>
      </c>
    </row>
    <row r="36" ht="15.75" customHeight="1">
      <c r="A36" s="14">
        <v>27.0</v>
      </c>
      <c r="B36" s="15" t="s">
        <v>474</v>
      </c>
      <c r="C36" s="16">
        <v>0.0</v>
      </c>
    </row>
    <row r="37" ht="15.75" customHeight="1">
      <c r="A37" s="14">
        <v>28.0</v>
      </c>
      <c r="B37" s="15" t="s">
        <v>475</v>
      </c>
      <c r="C37" s="16">
        <v>0.0</v>
      </c>
    </row>
    <row r="38" ht="15.75" customHeight="1">
      <c r="A38" s="14">
        <v>29.0</v>
      </c>
      <c r="B38" s="15" t="s">
        <v>476</v>
      </c>
      <c r="C38" s="16">
        <v>0.0</v>
      </c>
    </row>
    <row r="39" ht="15.75" customHeight="1">
      <c r="A39" s="14">
        <v>30.0</v>
      </c>
      <c r="B39" s="15" t="s">
        <v>477</v>
      </c>
      <c r="C39" s="16">
        <v>0.0</v>
      </c>
    </row>
    <row r="40" ht="15.75" customHeight="1">
      <c r="A40" s="14">
        <v>31.0</v>
      </c>
      <c r="B40" s="15" t="s">
        <v>478</v>
      </c>
      <c r="C40" s="16">
        <v>0.0</v>
      </c>
    </row>
    <row r="41" ht="15.75" customHeight="1">
      <c r="A41" s="14">
        <v>32.0</v>
      </c>
      <c r="B41" s="15" t="s">
        <v>479</v>
      </c>
      <c r="C41" s="16">
        <v>0.0</v>
      </c>
    </row>
    <row r="42" ht="15.75" customHeight="1">
      <c r="A42" s="14">
        <v>33.0</v>
      </c>
      <c r="B42" s="15" t="s">
        <v>480</v>
      </c>
      <c r="C42" s="16">
        <v>0.0</v>
      </c>
    </row>
    <row r="43" ht="15.75" customHeight="1">
      <c r="A43" s="14">
        <v>34.0</v>
      </c>
      <c r="B43" s="15" t="s">
        <v>481</v>
      </c>
      <c r="C43" s="16">
        <v>0.0</v>
      </c>
    </row>
    <row r="44" ht="15.75" customHeight="1">
      <c r="A44" s="14">
        <v>35.0</v>
      </c>
      <c r="B44" s="15" t="s">
        <v>482</v>
      </c>
      <c r="C44" s="16">
        <v>0.0</v>
      </c>
    </row>
    <row r="45" ht="15.75" customHeight="1">
      <c r="A45" s="14">
        <v>36.0</v>
      </c>
      <c r="B45" s="15" t="s">
        <v>483</v>
      </c>
      <c r="C45" s="16">
        <v>0.0</v>
      </c>
    </row>
    <row r="46" ht="15.75" customHeight="1">
      <c r="A46" s="14">
        <v>37.0</v>
      </c>
      <c r="B46" s="15" t="s">
        <v>484</v>
      </c>
      <c r="C46" s="16">
        <v>0.0</v>
      </c>
    </row>
    <row r="47" ht="15.75" customHeight="1">
      <c r="A47" s="14">
        <v>38.0</v>
      </c>
      <c r="B47" s="15" t="s">
        <v>485</v>
      </c>
      <c r="C47" s="16">
        <v>0.0</v>
      </c>
    </row>
    <row r="48" ht="15.75" customHeight="1">
      <c r="A48" s="14">
        <v>39.0</v>
      </c>
      <c r="B48" s="15" t="s">
        <v>486</v>
      </c>
      <c r="C48" s="16">
        <v>0.0</v>
      </c>
    </row>
    <row r="49" ht="15.75" customHeight="1">
      <c r="A49" s="14">
        <v>40.0</v>
      </c>
      <c r="B49" s="15" t="s">
        <v>487</v>
      </c>
      <c r="C49" s="16">
        <v>0.0</v>
      </c>
    </row>
    <row r="50" ht="15.75" customHeight="1">
      <c r="A50" s="14">
        <v>41.0</v>
      </c>
      <c r="B50" s="15" t="s">
        <v>488</v>
      </c>
      <c r="C50" s="16">
        <v>0.0</v>
      </c>
    </row>
    <row r="51" ht="15.75" customHeight="1">
      <c r="A51" s="14">
        <v>42.0</v>
      </c>
      <c r="B51" s="15" t="s">
        <v>489</v>
      </c>
      <c r="C51" s="16">
        <v>0.0</v>
      </c>
    </row>
    <row r="52" ht="15.75" customHeight="1">
      <c r="A52" s="14">
        <v>43.0</v>
      </c>
      <c r="B52" s="17" t="s">
        <v>48</v>
      </c>
      <c r="C52" s="16">
        <v>0.0</v>
      </c>
    </row>
    <row r="53" ht="15.75" customHeight="1">
      <c r="A53" s="14">
        <v>44.0</v>
      </c>
      <c r="B53" s="15" t="s">
        <v>490</v>
      </c>
      <c r="C53" s="16">
        <v>0.0</v>
      </c>
    </row>
    <row r="54" ht="15.75" customHeight="1">
      <c r="A54" s="14">
        <v>45.0</v>
      </c>
      <c r="B54" s="15" t="s">
        <v>491</v>
      </c>
      <c r="C54" s="16">
        <v>0.0</v>
      </c>
    </row>
    <row r="55" ht="15.75" customHeight="1">
      <c r="A55" s="14">
        <v>46.0</v>
      </c>
      <c r="B55" s="15" t="s">
        <v>492</v>
      </c>
      <c r="C55" s="16">
        <v>0.0</v>
      </c>
    </row>
    <row r="56" ht="15.75" customHeight="1">
      <c r="A56" s="14">
        <v>47.0</v>
      </c>
      <c r="B56" s="15" t="s">
        <v>493</v>
      </c>
      <c r="C56" s="16">
        <v>0.0</v>
      </c>
    </row>
    <row r="57" ht="15.75" customHeight="1">
      <c r="A57" s="14">
        <v>48.0</v>
      </c>
      <c r="B57" s="15" t="s">
        <v>494</v>
      </c>
      <c r="C57" s="16">
        <v>0.0</v>
      </c>
    </row>
    <row r="58" ht="15.75" customHeight="1">
      <c r="A58" s="14">
        <v>49.0</v>
      </c>
      <c r="B58" s="15" t="s">
        <v>495</v>
      </c>
      <c r="C58" s="16">
        <v>0.0</v>
      </c>
    </row>
    <row r="59" ht="15.75" customHeight="1">
      <c r="A59" s="14">
        <v>50.0</v>
      </c>
      <c r="B59" s="15" t="s">
        <v>496</v>
      </c>
      <c r="C59" s="16">
        <v>0.0</v>
      </c>
    </row>
    <row r="60" ht="15.75" customHeight="1">
      <c r="A60" s="14">
        <v>51.0</v>
      </c>
      <c r="B60" s="15" t="s">
        <v>497</v>
      </c>
      <c r="C60" s="16">
        <v>0.0</v>
      </c>
    </row>
    <row r="61" ht="15.75" customHeight="1">
      <c r="A61" s="14">
        <v>52.0</v>
      </c>
      <c r="B61" s="15" t="s">
        <v>498</v>
      </c>
      <c r="C61" s="16">
        <v>0.0</v>
      </c>
    </row>
    <row r="62" ht="15.75" customHeight="1">
      <c r="A62" s="14">
        <v>53.0</v>
      </c>
      <c r="B62" s="15" t="s">
        <v>499</v>
      </c>
      <c r="C62" s="16">
        <v>0.0</v>
      </c>
    </row>
    <row r="63" ht="15.75" customHeight="1">
      <c r="A63" s="14">
        <v>54.0</v>
      </c>
      <c r="B63" s="15" t="s">
        <v>500</v>
      </c>
      <c r="C63" s="16">
        <v>0.0</v>
      </c>
    </row>
    <row r="64" ht="15.75" customHeight="1">
      <c r="A64" s="9"/>
      <c r="B64" s="11"/>
      <c r="C64" s="17" t="s">
        <v>501</v>
      </c>
    </row>
    <row r="65" ht="15.75" customHeight="1">
      <c r="A65" s="9"/>
      <c r="B65" s="10"/>
      <c r="C65" s="11"/>
    </row>
    <row r="66" ht="15.75" customHeight="1">
      <c r="A66" s="9"/>
      <c r="B66" s="10"/>
      <c r="C66" s="11"/>
    </row>
    <row r="67" ht="15.75" customHeight="1">
      <c r="A67" s="9"/>
      <c r="B67" s="10"/>
      <c r="C67" s="11"/>
    </row>
    <row r="68" ht="15.75" customHeight="1">
      <c r="A68" s="9"/>
      <c r="B68" s="10"/>
      <c r="C68" s="11"/>
    </row>
    <row r="69" ht="15.75" customHeight="1">
      <c r="A69" s="12" t="s">
        <v>502</v>
      </c>
      <c r="B69" s="13"/>
      <c r="C69" s="13"/>
    </row>
    <row r="70" ht="15.75" customHeight="1">
      <c r="A70" s="17" t="s">
        <v>503</v>
      </c>
      <c r="B70" s="15" t="s">
        <v>504</v>
      </c>
      <c r="C70" s="17" t="s">
        <v>505</v>
      </c>
    </row>
    <row r="71" ht="15.75" customHeight="1">
      <c r="A71" s="17" t="s">
        <v>445</v>
      </c>
      <c r="B71" s="17" t="s">
        <v>446</v>
      </c>
      <c r="C71" s="17" t="s">
        <v>447</v>
      </c>
    </row>
    <row r="72" ht="15.75" customHeight="1">
      <c r="A72" s="14">
        <v>55.0</v>
      </c>
      <c r="B72" s="15" t="s">
        <v>506</v>
      </c>
      <c r="C72" s="16">
        <v>0.0</v>
      </c>
    </row>
    <row r="73" ht="15.75" customHeight="1">
      <c r="A73" s="14">
        <v>56.0</v>
      </c>
      <c r="B73" s="15" t="s">
        <v>507</v>
      </c>
      <c r="C73" s="16">
        <v>0.0</v>
      </c>
    </row>
    <row r="74" ht="15.75" customHeight="1">
      <c r="A74" s="14">
        <v>57.0</v>
      </c>
      <c r="B74" s="15" t="s">
        <v>508</v>
      </c>
      <c r="C74" s="16">
        <v>0.0</v>
      </c>
    </row>
    <row r="75" ht="15.75" customHeight="1">
      <c r="A75" s="14">
        <v>58.0</v>
      </c>
      <c r="B75" s="15" t="s">
        <v>509</v>
      </c>
      <c r="C75" s="16">
        <v>0.0</v>
      </c>
    </row>
    <row r="76" ht="15.75" customHeight="1">
      <c r="A76" s="14">
        <v>59.0</v>
      </c>
      <c r="B76" s="15" t="s">
        <v>510</v>
      </c>
      <c r="C76" s="16">
        <v>0.0</v>
      </c>
    </row>
    <row r="77" ht="15.75" customHeight="1">
      <c r="A77" s="14">
        <v>60.0</v>
      </c>
      <c r="B77" s="15" t="s">
        <v>511</v>
      </c>
      <c r="C77" s="16">
        <v>0.0</v>
      </c>
    </row>
    <row r="78" ht="15.75" customHeight="1">
      <c r="A78" s="14">
        <v>61.0</v>
      </c>
      <c r="B78" s="15" t="s">
        <v>512</v>
      </c>
      <c r="C78" s="16">
        <v>0.0</v>
      </c>
    </row>
    <row r="79" ht="15.75" customHeight="1">
      <c r="A79" s="14">
        <v>62.0</v>
      </c>
      <c r="B79" s="15" t="s">
        <v>513</v>
      </c>
      <c r="C79" s="16">
        <v>0.0</v>
      </c>
    </row>
    <row r="80" ht="15.75" customHeight="1">
      <c r="A80" s="14">
        <v>63.0</v>
      </c>
      <c r="B80" s="15" t="s">
        <v>514</v>
      </c>
      <c r="C80" s="16">
        <v>0.0</v>
      </c>
    </row>
    <row r="81" ht="15.75" customHeight="1">
      <c r="A81" s="14">
        <v>64.0</v>
      </c>
      <c r="B81" s="15" t="s">
        <v>515</v>
      </c>
      <c r="C81" s="16">
        <v>0.0</v>
      </c>
    </row>
    <row r="82" ht="15.75" customHeight="1">
      <c r="A82" s="14">
        <v>65.0</v>
      </c>
      <c r="B82" s="15" t="s">
        <v>516</v>
      </c>
      <c r="C82" s="16">
        <v>0.0</v>
      </c>
    </row>
    <row r="83" ht="15.75" customHeight="1">
      <c r="A83" s="14">
        <v>66.0</v>
      </c>
      <c r="B83" s="15" t="s">
        <v>517</v>
      </c>
      <c r="C83" s="16">
        <v>0.0</v>
      </c>
    </row>
    <row r="84" ht="15.75" customHeight="1">
      <c r="A84" s="14">
        <v>67.0</v>
      </c>
      <c r="B84" s="15" t="s">
        <v>518</v>
      </c>
      <c r="C84" s="16">
        <v>0.0</v>
      </c>
    </row>
    <row r="85" ht="15.75" customHeight="1">
      <c r="A85" s="14">
        <v>68.0</v>
      </c>
      <c r="B85" s="15" t="s">
        <v>519</v>
      </c>
      <c r="C85" s="16">
        <v>0.0</v>
      </c>
    </row>
    <row r="86" ht="15.75" customHeight="1">
      <c r="A86" s="14">
        <v>69.0</v>
      </c>
      <c r="B86" s="15" t="s">
        <v>520</v>
      </c>
      <c r="C86" s="16">
        <v>0.0</v>
      </c>
    </row>
    <row r="87" ht="15.75" customHeight="1">
      <c r="A87" s="14">
        <v>70.0</v>
      </c>
      <c r="B87" s="15" t="s">
        <v>521</v>
      </c>
      <c r="C87" s="16">
        <v>0.0</v>
      </c>
    </row>
    <row r="88" ht="15.75" customHeight="1">
      <c r="A88" s="14">
        <v>71.0</v>
      </c>
      <c r="B88" s="15" t="s">
        <v>522</v>
      </c>
      <c r="C88" s="16">
        <v>0.0</v>
      </c>
    </row>
    <row r="89" ht="15.75" customHeight="1">
      <c r="A89" s="14">
        <v>72.0</v>
      </c>
      <c r="B89" s="17" t="s">
        <v>77</v>
      </c>
      <c r="C89" s="16">
        <v>0.0</v>
      </c>
    </row>
    <row r="90" ht="15.75" customHeight="1">
      <c r="A90" s="14">
        <v>73.0</v>
      </c>
      <c r="B90" s="15" t="s">
        <v>523</v>
      </c>
      <c r="C90" s="16">
        <v>0.0</v>
      </c>
    </row>
    <row r="91" ht="15.75" customHeight="1">
      <c r="A91" s="14">
        <v>74.0</v>
      </c>
      <c r="B91" s="15" t="s">
        <v>524</v>
      </c>
      <c r="C91" s="16">
        <v>0.0</v>
      </c>
    </row>
    <row r="92" ht="15.75" customHeight="1">
      <c r="A92" s="14">
        <v>75.0</v>
      </c>
      <c r="B92" s="15" t="s">
        <v>525</v>
      </c>
      <c r="C92" s="16">
        <v>0.0</v>
      </c>
    </row>
    <row r="93" ht="15.75" customHeight="1">
      <c r="A93" s="14">
        <v>76.0</v>
      </c>
      <c r="B93" s="15" t="s">
        <v>526</v>
      </c>
      <c r="C93" s="16">
        <v>0.0</v>
      </c>
    </row>
    <row r="94" ht="15.75" customHeight="1">
      <c r="A94" s="14">
        <v>77.0</v>
      </c>
      <c r="B94" s="15" t="s">
        <v>527</v>
      </c>
      <c r="C94" s="16">
        <v>0.0</v>
      </c>
    </row>
    <row r="95" ht="15.75" customHeight="1">
      <c r="A95" s="14">
        <v>78.0</v>
      </c>
      <c r="B95" s="15" t="s">
        <v>528</v>
      </c>
      <c r="C95" s="16">
        <v>0.0</v>
      </c>
    </row>
    <row r="96" ht="15.75" customHeight="1">
      <c r="A96" s="14">
        <v>79.0</v>
      </c>
      <c r="B96" s="15" t="s">
        <v>529</v>
      </c>
      <c r="C96" s="16">
        <v>0.0</v>
      </c>
    </row>
    <row r="97" ht="15.75" customHeight="1">
      <c r="A97" s="14">
        <v>80.0</v>
      </c>
      <c r="B97" s="15" t="s">
        <v>530</v>
      </c>
      <c r="C97" s="16">
        <v>0.0</v>
      </c>
    </row>
    <row r="98" ht="15.75" customHeight="1">
      <c r="A98" s="14">
        <v>81.0</v>
      </c>
      <c r="B98" s="15" t="s">
        <v>531</v>
      </c>
      <c r="C98" s="16">
        <v>0.0</v>
      </c>
    </row>
    <row r="99" ht="15.75" customHeight="1">
      <c r="A99" s="14">
        <v>82.0</v>
      </c>
      <c r="B99" s="15" t="s">
        <v>532</v>
      </c>
      <c r="C99" s="16">
        <v>0.0</v>
      </c>
    </row>
    <row r="100" ht="15.75" customHeight="1">
      <c r="A100" s="14">
        <v>83.0</v>
      </c>
      <c r="B100" s="15" t="s">
        <v>533</v>
      </c>
      <c r="C100" s="16">
        <v>0.0</v>
      </c>
    </row>
    <row r="101" ht="15.75" customHeight="1">
      <c r="A101" s="14">
        <v>84.0</v>
      </c>
      <c r="B101" s="15" t="s">
        <v>534</v>
      </c>
      <c r="C101" s="16">
        <v>0.0</v>
      </c>
    </row>
    <row r="102" ht="15.75" customHeight="1">
      <c r="A102" s="14">
        <v>85.0</v>
      </c>
      <c r="B102" s="15" t="s">
        <v>535</v>
      </c>
      <c r="C102" s="16">
        <v>0.0</v>
      </c>
    </row>
    <row r="103" ht="15.75" customHeight="1">
      <c r="A103" s="14">
        <v>86.0</v>
      </c>
      <c r="B103" s="15" t="s">
        <v>536</v>
      </c>
      <c r="C103" s="16">
        <v>0.0</v>
      </c>
    </row>
    <row r="104" ht="15.75" customHeight="1">
      <c r="A104" s="14">
        <v>87.0</v>
      </c>
      <c r="B104" s="15" t="s">
        <v>537</v>
      </c>
      <c r="C104" s="16">
        <v>0.0</v>
      </c>
    </row>
    <row r="105" ht="15.75" customHeight="1">
      <c r="A105" s="14">
        <v>88.0</v>
      </c>
      <c r="B105" s="15" t="s">
        <v>538</v>
      </c>
      <c r="C105" s="16">
        <v>0.0</v>
      </c>
    </row>
    <row r="106" ht="15.75" customHeight="1">
      <c r="A106" s="14">
        <v>89.0</v>
      </c>
      <c r="B106" s="15" t="s">
        <v>539</v>
      </c>
      <c r="C106" s="16">
        <v>0.0</v>
      </c>
    </row>
    <row r="107" ht="15.75" customHeight="1">
      <c r="A107" s="14">
        <v>90.0</v>
      </c>
      <c r="B107" s="15" t="s">
        <v>540</v>
      </c>
      <c r="C107" s="16">
        <v>0.0</v>
      </c>
    </row>
    <row r="108" ht="15.75" customHeight="1">
      <c r="A108" s="14">
        <v>91.0</v>
      </c>
      <c r="B108" s="15" t="s">
        <v>541</v>
      </c>
      <c r="C108" s="16">
        <v>0.0</v>
      </c>
    </row>
    <row r="109" ht="15.75" customHeight="1">
      <c r="A109" s="14">
        <v>92.0</v>
      </c>
      <c r="B109" s="15" t="s">
        <v>542</v>
      </c>
      <c r="C109" s="16">
        <v>0.0</v>
      </c>
    </row>
    <row r="110" ht="15.75" customHeight="1">
      <c r="A110" s="14">
        <v>93.0</v>
      </c>
      <c r="B110" s="15" t="s">
        <v>543</v>
      </c>
      <c r="C110" s="16">
        <v>0.0</v>
      </c>
    </row>
    <row r="111" ht="15.75" customHeight="1">
      <c r="A111" s="14">
        <v>94.0</v>
      </c>
      <c r="B111" s="15" t="s">
        <v>544</v>
      </c>
      <c r="C111" s="16">
        <v>0.0</v>
      </c>
    </row>
    <row r="112" ht="15.75" customHeight="1">
      <c r="A112" s="14">
        <v>95.0</v>
      </c>
      <c r="B112" s="15" t="s">
        <v>545</v>
      </c>
      <c r="C112" s="16">
        <v>0.0</v>
      </c>
    </row>
    <row r="113" ht="15.75" customHeight="1">
      <c r="A113" s="14">
        <v>96.0</v>
      </c>
      <c r="B113" s="15" t="s">
        <v>546</v>
      </c>
      <c r="C113" s="16">
        <v>0.0</v>
      </c>
    </row>
    <row r="114" ht="15.75" customHeight="1">
      <c r="A114" s="14">
        <v>97.0</v>
      </c>
      <c r="B114" s="15" t="s">
        <v>547</v>
      </c>
      <c r="C114" s="16">
        <v>0.0</v>
      </c>
    </row>
    <row r="115" ht="15.75" customHeight="1">
      <c r="A115" s="14">
        <v>98.0</v>
      </c>
      <c r="B115" s="15" t="s">
        <v>548</v>
      </c>
      <c r="C115" s="16">
        <v>0.0</v>
      </c>
    </row>
    <row r="116" ht="15.75" customHeight="1">
      <c r="A116" s="14">
        <v>99.0</v>
      </c>
      <c r="B116" s="15" t="s">
        <v>549</v>
      </c>
      <c r="C116" s="16">
        <v>0.0</v>
      </c>
    </row>
    <row r="117" ht="15.75" customHeight="1">
      <c r="A117" s="14">
        <v>100.0</v>
      </c>
      <c r="B117" s="15" t="s">
        <v>550</v>
      </c>
      <c r="C117" s="16">
        <v>0.0</v>
      </c>
    </row>
    <row r="118" ht="15.75" customHeight="1">
      <c r="A118" s="14">
        <v>101.0</v>
      </c>
      <c r="B118" s="15" t="s">
        <v>551</v>
      </c>
      <c r="C118" s="16">
        <v>0.0</v>
      </c>
    </row>
    <row r="119" ht="15.75" customHeight="1">
      <c r="A119" s="14">
        <v>102.0</v>
      </c>
      <c r="B119" s="15" t="s">
        <v>552</v>
      </c>
      <c r="C119" s="16">
        <v>0.0</v>
      </c>
    </row>
    <row r="120" ht="15.75" customHeight="1">
      <c r="A120" s="14">
        <v>103.0</v>
      </c>
      <c r="B120" s="15" t="s">
        <v>553</v>
      </c>
      <c r="C120" s="16">
        <v>0.0</v>
      </c>
    </row>
    <row r="121" ht="15.75" customHeight="1">
      <c r="A121" s="14">
        <v>104.0</v>
      </c>
      <c r="B121" s="15" t="s">
        <v>554</v>
      </c>
      <c r="C121" s="16">
        <v>0.0</v>
      </c>
    </row>
    <row r="122" ht="15.75" customHeight="1">
      <c r="A122" s="14">
        <v>105.0</v>
      </c>
      <c r="B122" s="15" t="s">
        <v>555</v>
      </c>
      <c r="C122" s="16">
        <v>0.0</v>
      </c>
    </row>
    <row r="123" ht="15.75" customHeight="1">
      <c r="A123" s="14">
        <v>106.0</v>
      </c>
      <c r="B123" s="15" t="s">
        <v>556</v>
      </c>
      <c r="C123" s="16">
        <v>0.0</v>
      </c>
    </row>
    <row r="124" ht="15.75" customHeight="1">
      <c r="A124" s="14">
        <v>107.0</v>
      </c>
      <c r="B124" s="15" t="s">
        <v>557</v>
      </c>
      <c r="C124" s="16">
        <v>0.0</v>
      </c>
    </row>
    <row r="125" ht="15.75" customHeight="1">
      <c r="A125" s="14">
        <v>108.0</v>
      </c>
      <c r="B125" s="15" t="s">
        <v>558</v>
      </c>
      <c r="C125" s="16">
        <v>0.0</v>
      </c>
    </row>
    <row r="126" ht="15.75" customHeight="1">
      <c r="A126" s="14">
        <v>109.0</v>
      </c>
      <c r="B126" s="15" t="s">
        <v>559</v>
      </c>
      <c r="C126" s="16">
        <v>0.0</v>
      </c>
    </row>
    <row r="127" ht="15.75" customHeight="1">
      <c r="A127" s="14">
        <v>110.0</v>
      </c>
      <c r="B127" s="15" t="s">
        <v>560</v>
      </c>
      <c r="C127" s="16">
        <v>0.0</v>
      </c>
    </row>
    <row r="128" ht="15.75" customHeight="1">
      <c r="A128" s="14">
        <v>111.0</v>
      </c>
      <c r="B128" s="15" t="s">
        <v>561</v>
      </c>
      <c r="C128" s="16">
        <v>0.0</v>
      </c>
    </row>
    <row r="129" ht="15.75" customHeight="1">
      <c r="A129" s="14">
        <v>112.0</v>
      </c>
      <c r="B129" s="15" t="s">
        <v>562</v>
      </c>
      <c r="C129" s="16">
        <v>0.0</v>
      </c>
    </row>
    <row r="130" ht="15.75" customHeight="1">
      <c r="A130" s="14">
        <v>113.0</v>
      </c>
      <c r="B130" s="15" t="s">
        <v>563</v>
      </c>
      <c r="C130" s="16">
        <v>0.0</v>
      </c>
    </row>
    <row r="131" ht="15.75" customHeight="1">
      <c r="A131" s="14">
        <v>114.0</v>
      </c>
      <c r="B131" s="15" t="s">
        <v>564</v>
      </c>
      <c r="C131" s="16">
        <v>0.0</v>
      </c>
    </row>
    <row r="132" ht="15.75" customHeight="1">
      <c r="A132" s="14">
        <v>115.0</v>
      </c>
      <c r="B132" s="15" t="s">
        <v>565</v>
      </c>
      <c r="C132" s="16">
        <v>0.0</v>
      </c>
    </row>
    <row r="133" ht="15.75" customHeight="1">
      <c r="A133" s="9"/>
      <c r="B133" s="11"/>
      <c r="C133" s="17" t="s">
        <v>566</v>
      </c>
    </row>
    <row r="134" ht="15.75" customHeight="1">
      <c r="A134" s="9"/>
      <c r="B134" s="10"/>
      <c r="C134" s="11"/>
    </row>
    <row r="135" ht="15.75" customHeight="1">
      <c r="A135" s="9"/>
      <c r="B135" s="10"/>
      <c r="C135" s="11"/>
    </row>
    <row r="136" ht="15.75" customHeight="1">
      <c r="A136" s="9"/>
      <c r="B136" s="10"/>
      <c r="C136" s="11"/>
    </row>
    <row r="137" ht="15.75" customHeight="1">
      <c r="A137" s="9"/>
      <c r="B137" s="10"/>
      <c r="C137" s="11"/>
    </row>
    <row r="138" ht="15.75" customHeight="1">
      <c r="A138" s="12" t="s">
        <v>502</v>
      </c>
      <c r="B138" s="13"/>
      <c r="C138" s="13"/>
    </row>
    <row r="139" ht="15.75" customHeight="1">
      <c r="A139" s="17" t="s">
        <v>503</v>
      </c>
      <c r="B139" s="15" t="s">
        <v>504</v>
      </c>
      <c r="C139" s="17" t="s">
        <v>567</v>
      </c>
    </row>
    <row r="140" ht="15.75" customHeight="1">
      <c r="A140" s="17" t="s">
        <v>445</v>
      </c>
      <c r="B140" s="17" t="s">
        <v>446</v>
      </c>
      <c r="C140" s="17" t="s">
        <v>447</v>
      </c>
    </row>
    <row r="141" ht="15.75" customHeight="1">
      <c r="A141" s="14">
        <v>116.0</v>
      </c>
      <c r="B141" s="15" t="s">
        <v>568</v>
      </c>
      <c r="C141" s="16">
        <v>0.0</v>
      </c>
    </row>
    <row r="142" ht="15.75" customHeight="1">
      <c r="A142" s="14">
        <v>117.0</v>
      </c>
      <c r="B142" s="15" t="s">
        <v>569</v>
      </c>
      <c r="C142" s="16">
        <v>0.0</v>
      </c>
    </row>
    <row r="143" ht="15.75" customHeight="1">
      <c r="A143" s="14">
        <v>118.0</v>
      </c>
      <c r="B143" s="15" t="s">
        <v>570</v>
      </c>
      <c r="C143" s="16">
        <v>0.0</v>
      </c>
    </row>
    <row r="144" ht="15.75" customHeight="1">
      <c r="A144" s="14">
        <v>119.0</v>
      </c>
      <c r="B144" s="15" t="s">
        <v>571</v>
      </c>
      <c r="C144" s="16">
        <v>0.0</v>
      </c>
    </row>
    <row r="145" ht="15.75" customHeight="1">
      <c r="A145" s="14">
        <v>120.0</v>
      </c>
      <c r="B145" s="15" t="s">
        <v>572</v>
      </c>
      <c r="C145" s="16">
        <v>0.0</v>
      </c>
    </row>
    <row r="146" ht="15.75" customHeight="1">
      <c r="A146" s="14">
        <v>121.0</v>
      </c>
      <c r="B146" s="15" t="s">
        <v>573</v>
      </c>
      <c r="C146" s="16">
        <v>0.0</v>
      </c>
    </row>
    <row r="147" ht="15.75" customHeight="1">
      <c r="A147" s="14">
        <v>122.0</v>
      </c>
      <c r="B147" s="15" t="s">
        <v>574</v>
      </c>
      <c r="C147" s="16">
        <v>0.0</v>
      </c>
    </row>
    <row r="148" ht="15.75" customHeight="1">
      <c r="A148" s="14">
        <v>123.0</v>
      </c>
      <c r="B148" s="15" t="s">
        <v>575</v>
      </c>
      <c r="C148" s="16">
        <v>0.0</v>
      </c>
    </row>
    <row r="149" ht="15.75" customHeight="1">
      <c r="A149" s="14">
        <v>124.0</v>
      </c>
      <c r="B149" s="15" t="s">
        <v>576</v>
      </c>
      <c r="C149" s="16">
        <v>0.0</v>
      </c>
    </row>
    <row r="150" ht="15.75" customHeight="1">
      <c r="A150" s="14">
        <v>125.0</v>
      </c>
      <c r="B150" s="15" t="s">
        <v>577</v>
      </c>
      <c r="C150" s="16">
        <v>0.0</v>
      </c>
    </row>
    <row r="151" ht="15.75" customHeight="1">
      <c r="A151" s="14">
        <v>126.0</v>
      </c>
      <c r="B151" s="15" t="s">
        <v>578</v>
      </c>
      <c r="C151" s="16">
        <v>0.0</v>
      </c>
    </row>
    <row r="152" ht="15.75" customHeight="1">
      <c r="A152" s="14">
        <v>127.0</v>
      </c>
      <c r="B152" s="15" t="s">
        <v>579</v>
      </c>
      <c r="C152" s="16">
        <v>0.0</v>
      </c>
    </row>
    <row r="153" ht="15.75" customHeight="1">
      <c r="A153" s="14">
        <v>128.0</v>
      </c>
      <c r="B153" s="15" t="s">
        <v>580</v>
      </c>
      <c r="C153" s="16">
        <v>0.0</v>
      </c>
    </row>
    <row r="154" ht="15.75" customHeight="1">
      <c r="A154" s="14">
        <v>129.0</v>
      </c>
      <c r="B154" s="15" t="s">
        <v>581</v>
      </c>
      <c r="C154" s="16">
        <v>0.0</v>
      </c>
    </row>
    <row r="155" ht="15.75" customHeight="1">
      <c r="A155" s="14">
        <v>130.0</v>
      </c>
      <c r="B155" s="15" t="s">
        <v>582</v>
      </c>
      <c r="C155" s="16">
        <v>0.0</v>
      </c>
    </row>
    <row r="156" ht="15.75" customHeight="1">
      <c r="A156" s="14">
        <v>131.0</v>
      </c>
      <c r="B156" s="15" t="s">
        <v>583</v>
      </c>
      <c r="C156" s="16">
        <v>0.0</v>
      </c>
    </row>
    <row r="157" ht="15.75" customHeight="1">
      <c r="A157" s="14">
        <v>132.0</v>
      </c>
      <c r="B157" s="15" t="s">
        <v>584</v>
      </c>
      <c r="C157" s="16">
        <v>0.0</v>
      </c>
    </row>
    <row r="158" ht="15.75" customHeight="1">
      <c r="A158" s="14">
        <v>133.0</v>
      </c>
      <c r="B158" s="15" t="s">
        <v>585</v>
      </c>
      <c r="C158" s="16">
        <v>0.0</v>
      </c>
    </row>
    <row r="159" ht="15.75" customHeight="1">
      <c r="A159" s="14">
        <v>134.0</v>
      </c>
      <c r="B159" s="15" t="s">
        <v>586</v>
      </c>
      <c r="C159" s="16">
        <v>0.0</v>
      </c>
    </row>
    <row r="160" ht="15.75" customHeight="1">
      <c r="A160" s="14">
        <v>135.0</v>
      </c>
      <c r="B160" s="15" t="s">
        <v>587</v>
      </c>
      <c r="C160" s="16">
        <v>0.0</v>
      </c>
    </row>
    <row r="161" ht="15.75" customHeight="1">
      <c r="A161" s="14">
        <v>136.0</v>
      </c>
      <c r="B161" s="15" t="s">
        <v>588</v>
      </c>
      <c r="C161" s="16">
        <v>0.0</v>
      </c>
    </row>
    <row r="162" ht="15.75" customHeight="1">
      <c r="A162" s="14">
        <v>137.0</v>
      </c>
      <c r="B162" s="15" t="s">
        <v>589</v>
      </c>
      <c r="C162" s="16">
        <v>0.0</v>
      </c>
    </row>
    <row r="163" ht="15.75" customHeight="1">
      <c r="A163" s="14">
        <v>138.0</v>
      </c>
      <c r="B163" s="15" t="s">
        <v>590</v>
      </c>
      <c r="C163" s="16">
        <v>0.0</v>
      </c>
    </row>
    <row r="164" ht="15.75" customHeight="1">
      <c r="A164" s="14">
        <v>139.0</v>
      </c>
      <c r="B164" s="15" t="s">
        <v>591</v>
      </c>
      <c r="C164" s="16">
        <v>0.0</v>
      </c>
    </row>
    <row r="165" ht="15.75" customHeight="1">
      <c r="A165" s="14">
        <v>140.0</v>
      </c>
      <c r="B165" s="15" t="s">
        <v>592</v>
      </c>
      <c r="C165" s="16">
        <v>0.0</v>
      </c>
    </row>
    <row r="166" ht="15.75" customHeight="1">
      <c r="A166" s="14">
        <v>141.0</v>
      </c>
      <c r="B166" s="15" t="s">
        <v>593</v>
      </c>
      <c r="C166" s="16">
        <v>0.0</v>
      </c>
    </row>
    <row r="167" ht="15.75" customHeight="1">
      <c r="A167" s="14">
        <v>142.0</v>
      </c>
      <c r="B167" s="15" t="s">
        <v>594</v>
      </c>
      <c r="C167" s="16">
        <v>0.0</v>
      </c>
    </row>
    <row r="168" ht="15.75" customHeight="1">
      <c r="A168" s="14">
        <v>143.0</v>
      </c>
      <c r="B168" s="15" t="s">
        <v>595</v>
      </c>
      <c r="C168" s="16">
        <v>0.0</v>
      </c>
    </row>
    <row r="169" ht="15.75" customHeight="1">
      <c r="A169" s="14">
        <v>144.0</v>
      </c>
      <c r="B169" s="15" t="s">
        <v>596</v>
      </c>
      <c r="C169" s="16">
        <v>0.0</v>
      </c>
    </row>
    <row r="170" ht="15.75" customHeight="1">
      <c r="A170" s="14">
        <v>145.0</v>
      </c>
      <c r="B170" s="15" t="s">
        <v>597</v>
      </c>
      <c r="C170" s="16">
        <v>0.0</v>
      </c>
    </row>
    <row r="171" ht="15.75" customHeight="1">
      <c r="A171" s="14">
        <v>146.0</v>
      </c>
      <c r="B171" s="15" t="s">
        <v>598</v>
      </c>
      <c r="C171" s="16">
        <v>0.0</v>
      </c>
    </row>
    <row r="172" ht="15.75" customHeight="1">
      <c r="A172" s="14">
        <v>147.0</v>
      </c>
      <c r="B172" s="15" t="s">
        <v>599</v>
      </c>
      <c r="C172" s="16">
        <v>0.0</v>
      </c>
    </row>
    <row r="173" ht="15.75" customHeight="1">
      <c r="A173" s="14">
        <v>148.0</v>
      </c>
      <c r="B173" s="15" t="s">
        <v>600</v>
      </c>
      <c r="C173" s="16">
        <v>0.0</v>
      </c>
    </row>
    <row r="174" ht="15.75" customHeight="1">
      <c r="A174" s="14">
        <v>149.0</v>
      </c>
      <c r="B174" s="15" t="s">
        <v>601</v>
      </c>
      <c r="C174" s="16">
        <v>0.0</v>
      </c>
    </row>
    <row r="175" ht="15.75" customHeight="1">
      <c r="A175" s="14">
        <v>150.0</v>
      </c>
      <c r="B175" s="15" t="s">
        <v>602</v>
      </c>
      <c r="C175" s="16">
        <v>0.0</v>
      </c>
    </row>
    <row r="176" ht="15.75" customHeight="1">
      <c r="A176" s="14">
        <v>151.0</v>
      </c>
      <c r="B176" s="15" t="s">
        <v>603</v>
      </c>
      <c r="C176" s="16">
        <v>0.0</v>
      </c>
    </row>
    <row r="177" ht="15.75" customHeight="1">
      <c r="A177" s="14">
        <v>152.0</v>
      </c>
      <c r="B177" s="15" t="s">
        <v>604</v>
      </c>
      <c r="C177" s="16">
        <v>0.0</v>
      </c>
    </row>
    <row r="178" ht="15.75" customHeight="1">
      <c r="A178" s="14">
        <v>153.0</v>
      </c>
      <c r="B178" s="15" t="s">
        <v>605</v>
      </c>
      <c r="C178" s="16">
        <v>0.0</v>
      </c>
    </row>
    <row r="179" ht="15.75" customHeight="1">
      <c r="A179" s="14">
        <v>154.0</v>
      </c>
      <c r="B179" s="15" t="s">
        <v>606</v>
      </c>
      <c r="C179" s="16">
        <v>0.0</v>
      </c>
    </row>
    <row r="180" ht="15.75" customHeight="1">
      <c r="A180" s="14">
        <v>155.0</v>
      </c>
      <c r="B180" s="15" t="s">
        <v>607</v>
      </c>
      <c r="C180" s="16">
        <v>0.0</v>
      </c>
    </row>
    <row r="181" ht="15.75" customHeight="1">
      <c r="A181" s="14">
        <v>156.0</v>
      </c>
      <c r="B181" s="15" t="s">
        <v>608</v>
      </c>
      <c r="C181" s="16">
        <v>0.0</v>
      </c>
    </row>
    <row r="182" ht="15.75" customHeight="1">
      <c r="A182" s="14">
        <v>157.0</v>
      </c>
      <c r="B182" s="15" t="s">
        <v>609</v>
      </c>
      <c r="C182" s="16">
        <v>0.0</v>
      </c>
    </row>
    <row r="183" ht="15.75" customHeight="1">
      <c r="A183" s="14">
        <v>158.0</v>
      </c>
      <c r="B183" s="15" t="s">
        <v>610</v>
      </c>
      <c r="C183" s="16">
        <v>0.0</v>
      </c>
    </row>
    <row r="184" ht="15.75" customHeight="1">
      <c r="A184" s="14">
        <v>159.0</v>
      </c>
      <c r="B184" s="15" t="s">
        <v>611</v>
      </c>
      <c r="C184" s="16">
        <v>0.0</v>
      </c>
    </row>
    <row r="185" ht="15.75" customHeight="1">
      <c r="A185" s="14">
        <v>160.0</v>
      </c>
      <c r="B185" s="15" t="s">
        <v>612</v>
      </c>
      <c r="C185" s="16">
        <v>0.0</v>
      </c>
    </row>
    <row r="186" ht="15.75" customHeight="1">
      <c r="A186" s="14">
        <v>161.0</v>
      </c>
      <c r="B186" s="15" t="s">
        <v>613</v>
      </c>
      <c r="C186" s="16">
        <v>0.0</v>
      </c>
    </row>
    <row r="187" ht="15.75" customHeight="1">
      <c r="A187" s="14">
        <v>162.0</v>
      </c>
      <c r="B187" s="15" t="s">
        <v>614</v>
      </c>
      <c r="C187" s="16">
        <v>0.0</v>
      </c>
    </row>
    <row r="188" ht="15.75" customHeight="1">
      <c r="A188" s="14">
        <v>163.0</v>
      </c>
      <c r="B188" s="15" t="s">
        <v>615</v>
      </c>
      <c r="C188" s="16">
        <v>0.0</v>
      </c>
    </row>
    <row r="189" ht="15.75" customHeight="1">
      <c r="A189" s="14">
        <v>164.0</v>
      </c>
      <c r="B189" s="15" t="s">
        <v>616</v>
      </c>
      <c r="C189" s="16">
        <v>0.0</v>
      </c>
    </row>
    <row r="190" ht="15.75" customHeight="1">
      <c r="A190" s="14">
        <v>165.0</v>
      </c>
      <c r="B190" s="15" t="s">
        <v>617</v>
      </c>
      <c r="C190" s="16">
        <v>0.0</v>
      </c>
    </row>
    <row r="191" ht="15.75" customHeight="1">
      <c r="A191" s="14">
        <v>166.0</v>
      </c>
      <c r="B191" s="15" t="s">
        <v>618</v>
      </c>
      <c r="C191" s="16">
        <v>0.0</v>
      </c>
    </row>
    <row r="192" ht="15.75" customHeight="1">
      <c r="A192" s="14">
        <v>167.0</v>
      </c>
      <c r="B192" s="15" t="s">
        <v>619</v>
      </c>
      <c r="C192" s="16">
        <v>0.0</v>
      </c>
    </row>
    <row r="193" ht="15.75" customHeight="1">
      <c r="A193" s="14">
        <v>168.0</v>
      </c>
      <c r="B193" s="15" t="s">
        <v>620</v>
      </c>
      <c r="C193" s="16">
        <v>0.0</v>
      </c>
    </row>
    <row r="194" ht="15.75" customHeight="1">
      <c r="A194" s="14">
        <v>169.0</v>
      </c>
      <c r="B194" s="15" t="s">
        <v>621</v>
      </c>
      <c r="C194" s="16">
        <v>0.0</v>
      </c>
    </row>
    <row r="195" ht="15.75" customHeight="1">
      <c r="A195" s="14">
        <v>170.0</v>
      </c>
      <c r="B195" s="15" t="s">
        <v>622</v>
      </c>
      <c r="C195" s="16">
        <v>0.0</v>
      </c>
    </row>
    <row r="196" ht="15.75" customHeight="1">
      <c r="A196" s="14">
        <v>171.0</v>
      </c>
      <c r="B196" s="15" t="s">
        <v>623</v>
      </c>
      <c r="C196" s="16">
        <v>0.0</v>
      </c>
    </row>
    <row r="197" ht="15.75" customHeight="1">
      <c r="A197" s="14">
        <v>172.0</v>
      </c>
      <c r="B197" s="15" t="s">
        <v>624</v>
      </c>
      <c r="C197" s="16">
        <v>0.0</v>
      </c>
    </row>
    <row r="198" ht="15.75" customHeight="1">
      <c r="A198" s="14">
        <v>173.0</v>
      </c>
      <c r="B198" s="15" t="s">
        <v>625</v>
      </c>
      <c r="C198" s="16">
        <v>0.0</v>
      </c>
    </row>
    <row r="199" ht="15.75" customHeight="1">
      <c r="A199" s="14">
        <v>174.0</v>
      </c>
      <c r="B199" s="15" t="s">
        <v>626</v>
      </c>
      <c r="C199" s="16">
        <v>0.0</v>
      </c>
    </row>
    <row r="200" ht="15.75" customHeight="1">
      <c r="A200" s="14">
        <v>175.0</v>
      </c>
      <c r="B200" s="15" t="s">
        <v>627</v>
      </c>
      <c r="C200" s="16">
        <v>0.0</v>
      </c>
    </row>
    <row r="201" ht="15.75" customHeight="1">
      <c r="A201" s="14">
        <v>176.0</v>
      </c>
      <c r="B201" s="15" t="s">
        <v>628</v>
      </c>
      <c r="C201" s="16">
        <v>0.0</v>
      </c>
    </row>
    <row r="202" ht="15.75" customHeight="1">
      <c r="A202" s="9"/>
      <c r="B202" s="11"/>
      <c r="C202" s="17" t="s">
        <v>629</v>
      </c>
    </row>
    <row r="203" ht="15.75" customHeight="1">
      <c r="A203" s="9"/>
      <c r="B203" s="10"/>
      <c r="C203" s="11"/>
    </row>
    <row r="204" ht="15.75" customHeight="1">
      <c r="A204" s="9"/>
      <c r="B204" s="10"/>
      <c r="C204" s="11"/>
    </row>
    <row r="205" ht="15.75" customHeight="1">
      <c r="A205" s="9"/>
      <c r="B205" s="10"/>
      <c r="C205" s="11"/>
    </row>
    <row r="206" ht="15.75" customHeight="1">
      <c r="A206" s="9"/>
      <c r="B206" s="10"/>
      <c r="C206" s="11"/>
    </row>
    <row r="207" ht="15.75" customHeight="1">
      <c r="A207" s="12" t="s">
        <v>502</v>
      </c>
      <c r="B207" s="13"/>
      <c r="C207" s="13"/>
    </row>
    <row r="208" ht="15.75" customHeight="1">
      <c r="A208" s="17" t="s">
        <v>503</v>
      </c>
      <c r="B208" s="15" t="s">
        <v>504</v>
      </c>
      <c r="C208" s="17" t="s">
        <v>630</v>
      </c>
    </row>
    <row r="209" ht="15.75" customHeight="1">
      <c r="A209" s="17" t="s">
        <v>445</v>
      </c>
      <c r="B209" s="17" t="s">
        <v>446</v>
      </c>
      <c r="C209" s="17" t="s">
        <v>447</v>
      </c>
    </row>
    <row r="210" ht="15.75" customHeight="1">
      <c r="A210" s="14">
        <v>177.0</v>
      </c>
      <c r="B210" s="15" t="s">
        <v>631</v>
      </c>
      <c r="C210" s="16">
        <v>0.0</v>
      </c>
    </row>
    <row r="211" ht="15.75" customHeight="1">
      <c r="A211" s="14">
        <v>178.0</v>
      </c>
      <c r="B211" s="15" t="s">
        <v>632</v>
      </c>
      <c r="C211" s="16">
        <v>0.0</v>
      </c>
    </row>
    <row r="212" ht="15.75" customHeight="1">
      <c r="A212" s="14">
        <v>179.0</v>
      </c>
      <c r="B212" s="15" t="s">
        <v>633</v>
      </c>
      <c r="C212" s="16">
        <v>0.0</v>
      </c>
    </row>
    <row r="213" ht="15.75" customHeight="1">
      <c r="A213" s="14">
        <v>180.0</v>
      </c>
      <c r="B213" s="17" t="s">
        <v>634</v>
      </c>
      <c r="C213" s="16">
        <v>0.0</v>
      </c>
    </row>
    <row r="214" ht="15.75" customHeight="1">
      <c r="A214" s="14">
        <v>181.0</v>
      </c>
      <c r="B214" s="15" t="s">
        <v>635</v>
      </c>
      <c r="C214" s="16">
        <v>0.0</v>
      </c>
    </row>
    <row r="215" ht="15.75" customHeight="1">
      <c r="A215" s="14">
        <v>182.0</v>
      </c>
      <c r="B215" s="15" t="s">
        <v>636</v>
      </c>
      <c r="C215" s="16">
        <v>0.0</v>
      </c>
    </row>
    <row r="216" ht="15.75" customHeight="1">
      <c r="A216" s="14">
        <v>183.0</v>
      </c>
      <c r="B216" s="17" t="s">
        <v>637</v>
      </c>
      <c r="C216" s="16">
        <v>0.0</v>
      </c>
    </row>
    <row r="217" ht="15.75" customHeight="1">
      <c r="A217" s="14">
        <v>184.0</v>
      </c>
      <c r="B217" s="15" t="s">
        <v>638</v>
      </c>
      <c r="C217" s="16">
        <v>0.0</v>
      </c>
    </row>
    <row r="218" ht="15.75" customHeight="1">
      <c r="A218" s="14">
        <v>185.0</v>
      </c>
      <c r="B218" s="15" t="s">
        <v>639</v>
      </c>
      <c r="C218" s="16">
        <v>0.0</v>
      </c>
    </row>
    <row r="219" ht="15.75" customHeight="1">
      <c r="A219" s="14">
        <v>186.0</v>
      </c>
      <c r="B219" s="15" t="s">
        <v>640</v>
      </c>
      <c r="C219" s="16">
        <v>0.0</v>
      </c>
    </row>
    <row r="220" ht="15.75" customHeight="1">
      <c r="A220" s="14">
        <v>187.0</v>
      </c>
      <c r="B220" s="15" t="s">
        <v>641</v>
      </c>
      <c r="C220" s="16">
        <v>0.0</v>
      </c>
    </row>
    <row r="221" ht="15.75" customHeight="1">
      <c r="A221" s="14">
        <v>188.0</v>
      </c>
      <c r="B221" s="15" t="s">
        <v>642</v>
      </c>
      <c r="C221" s="16">
        <v>0.0</v>
      </c>
    </row>
    <row r="222" ht="15.75" customHeight="1">
      <c r="A222" s="14">
        <v>189.0</v>
      </c>
      <c r="B222" s="15" t="s">
        <v>643</v>
      </c>
      <c r="C222" s="16">
        <v>0.0</v>
      </c>
    </row>
    <row r="223" ht="15.75" customHeight="1">
      <c r="A223" s="14">
        <v>190.0</v>
      </c>
      <c r="B223" s="15" t="s">
        <v>644</v>
      </c>
      <c r="C223" s="16">
        <v>0.0</v>
      </c>
    </row>
    <row r="224" ht="15.75" customHeight="1">
      <c r="A224" s="14">
        <v>191.0</v>
      </c>
      <c r="B224" s="15" t="s">
        <v>645</v>
      </c>
      <c r="C224" s="16">
        <v>0.0</v>
      </c>
    </row>
    <row r="225" ht="15.75" customHeight="1">
      <c r="A225" s="14">
        <v>192.0</v>
      </c>
      <c r="B225" s="15" t="s">
        <v>646</v>
      </c>
      <c r="C225" s="16">
        <v>0.0</v>
      </c>
    </row>
    <row r="226" ht="15.75" customHeight="1">
      <c r="A226" s="14">
        <v>193.0</v>
      </c>
      <c r="B226" s="15" t="s">
        <v>647</v>
      </c>
      <c r="C226" s="16">
        <v>0.0</v>
      </c>
    </row>
    <row r="227" ht="15.75" customHeight="1">
      <c r="A227" s="14">
        <v>194.0</v>
      </c>
      <c r="B227" s="15" t="s">
        <v>648</v>
      </c>
      <c r="C227" s="16">
        <v>0.0</v>
      </c>
    </row>
    <row r="228" ht="15.75" customHeight="1">
      <c r="A228" s="14">
        <v>195.0</v>
      </c>
      <c r="B228" s="15" t="s">
        <v>649</v>
      </c>
      <c r="C228" s="16">
        <v>0.0</v>
      </c>
    </row>
    <row r="229" ht="15.75" customHeight="1">
      <c r="A229" s="14">
        <v>196.0</v>
      </c>
      <c r="B229" s="15" t="s">
        <v>650</v>
      </c>
      <c r="C229" s="16">
        <v>0.0</v>
      </c>
    </row>
    <row r="230" ht="15.75" customHeight="1">
      <c r="A230" s="14">
        <v>197.0</v>
      </c>
      <c r="B230" s="15" t="s">
        <v>651</v>
      </c>
      <c r="C230" s="16">
        <v>0.0</v>
      </c>
    </row>
    <row r="231" ht="15.75" customHeight="1">
      <c r="A231" s="14">
        <v>198.0</v>
      </c>
      <c r="B231" s="15" t="s">
        <v>652</v>
      </c>
      <c r="C231" s="16">
        <v>0.0</v>
      </c>
    </row>
    <row r="232" ht="15.75" customHeight="1">
      <c r="A232" s="14">
        <v>199.0</v>
      </c>
      <c r="B232" s="15" t="s">
        <v>653</v>
      </c>
      <c r="C232" s="16">
        <v>0.0</v>
      </c>
    </row>
    <row r="233" ht="15.75" customHeight="1">
      <c r="A233" s="14">
        <v>200.0</v>
      </c>
      <c r="B233" s="15" t="s">
        <v>654</v>
      </c>
      <c r="C233" s="16">
        <v>0.0</v>
      </c>
    </row>
    <row r="234" ht="15.75" customHeight="1">
      <c r="A234" s="14">
        <v>201.0</v>
      </c>
      <c r="B234" s="15" t="s">
        <v>655</v>
      </c>
      <c r="C234" s="16">
        <v>0.0</v>
      </c>
    </row>
    <row r="235" ht="15.75" customHeight="1">
      <c r="A235" s="14">
        <v>202.0</v>
      </c>
      <c r="B235" s="15" t="s">
        <v>656</v>
      </c>
      <c r="C235" s="16">
        <v>0.0</v>
      </c>
    </row>
    <row r="236" ht="15.75" customHeight="1">
      <c r="A236" s="14">
        <v>203.0</v>
      </c>
      <c r="B236" s="15" t="s">
        <v>657</v>
      </c>
      <c r="C236" s="16">
        <v>0.0</v>
      </c>
    </row>
    <row r="237" ht="15.75" customHeight="1">
      <c r="A237" s="14">
        <v>204.0</v>
      </c>
      <c r="B237" s="15" t="s">
        <v>658</v>
      </c>
      <c r="C237" s="16">
        <v>0.0</v>
      </c>
    </row>
    <row r="238" ht="15.75" customHeight="1">
      <c r="A238" s="14">
        <v>205.0</v>
      </c>
      <c r="B238" s="15" t="s">
        <v>659</v>
      </c>
      <c r="C238" s="16">
        <v>0.0</v>
      </c>
    </row>
    <row r="239" ht="15.75" customHeight="1">
      <c r="A239" s="14">
        <v>206.0</v>
      </c>
      <c r="B239" s="15" t="s">
        <v>660</v>
      </c>
      <c r="C239" s="16">
        <v>0.0</v>
      </c>
    </row>
    <row r="240" ht="15.75" customHeight="1">
      <c r="A240" s="14">
        <v>207.0</v>
      </c>
      <c r="B240" s="15" t="s">
        <v>661</v>
      </c>
      <c r="C240" s="16">
        <v>0.0</v>
      </c>
    </row>
    <row r="241" ht="15.75" customHeight="1">
      <c r="A241" s="14">
        <v>208.0</v>
      </c>
      <c r="B241" s="15" t="s">
        <v>662</v>
      </c>
      <c r="C241" s="16">
        <v>0.0</v>
      </c>
    </row>
    <row r="242" ht="15.75" customHeight="1">
      <c r="A242" s="14">
        <v>209.0</v>
      </c>
      <c r="B242" s="15" t="s">
        <v>663</v>
      </c>
      <c r="C242" s="16">
        <v>0.0</v>
      </c>
    </row>
    <row r="243" ht="15.75" customHeight="1">
      <c r="A243" s="14">
        <v>210.0</v>
      </c>
      <c r="B243" s="15" t="s">
        <v>664</v>
      </c>
      <c r="C243" s="16">
        <v>0.0</v>
      </c>
    </row>
    <row r="244" ht="15.75" customHeight="1">
      <c r="A244" s="14">
        <v>211.0</v>
      </c>
      <c r="B244" s="15" t="s">
        <v>665</v>
      </c>
      <c r="C244" s="16">
        <v>0.0</v>
      </c>
    </row>
    <row r="245" ht="15.75" customHeight="1">
      <c r="A245" s="14">
        <v>212.0</v>
      </c>
      <c r="B245" s="15" t="s">
        <v>666</v>
      </c>
      <c r="C245" s="16">
        <v>0.0</v>
      </c>
    </row>
    <row r="246" ht="15.75" customHeight="1">
      <c r="A246" s="14">
        <v>213.0</v>
      </c>
      <c r="B246" s="15" t="s">
        <v>667</v>
      </c>
      <c r="C246" s="16">
        <v>0.0</v>
      </c>
    </row>
    <row r="247" ht="15.75" customHeight="1">
      <c r="A247" s="14">
        <v>214.0</v>
      </c>
      <c r="B247" s="15" t="s">
        <v>668</v>
      </c>
      <c r="C247" s="16">
        <v>0.0</v>
      </c>
    </row>
    <row r="248" ht="15.75" customHeight="1">
      <c r="A248" s="14">
        <v>215.0</v>
      </c>
      <c r="B248" s="15" t="s">
        <v>669</v>
      </c>
      <c r="C248" s="16">
        <v>0.0</v>
      </c>
    </row>
    <row r="249" ht="15.75" customHeight="1">
      <c r="A249" s="14">
        <v>216.0</v>
      </c>
      <c r="B249" s="15" t="s">
        <v>670</v>
      </c>
      <c r="C249" s="16">
        <v>0.0</v>
      </c>
    </row>
    <row r="250" ht="15.75" customHeight="1">
      <c r="A250" s="14">
        <v>217.0</v>
      </c>
      <c r="B250" s="15" t="s">
        <v>671</v>
      </c>
      <c r="C250" s="16">
        <v>0.0</v>
      </c>
    </row>
    <row r="251" ht="15.75" customHeight="1">
      <c r="A251" s="14">
        <v>218.0</v>
      </c>
      <c r="B251" s="15" t="s">
        <v>672</v>
      </c>
      <c r="C251" s="16">
        <v>0.0</v>
      </c>
    </row>
    <row r="252" ht="15.75" customHeight="1">
      <c r="A252" s="14">
        <v>219.0</v>
      </c>
      <c r="B252" s="15" t="s">
        <v>673</v>
      </c>
      <c r="C252" s="16">
        <v>0.0</v>
      </c>
    </row>
    <row r="253" ht="15.75" customHeight="1">
      <c r="A253" s="14">
        <v>220.0</v>
      </c>
      <c r="B253" s="15" t="s">
        <v>674</v>
      </c>
      <c r="C253" s="16">
        <v>0.0</v>
      </c>
    </row>
    <row r="254" ht="15.75" customHeight="1">
      <c r="A254" s="14">
        <v>221.0</v>
      </c>
      <c r="B254" s="15" t="s">
        <v>675</v>
      </c>
      <c r="C254" s="16">
        <v>0.0</v>
      </c>
    </row>
    <row r="255" ht="15.75" customHeight="1">
      <c r="A255" s="14">
        <v>222.0</v>
      </c>
      <c r="B255" s="15" t="s">
        <v>676</v>
      </c>
      <c r="C255" s="16">
        <v>0.0</v>
      </c>
    </row>
    <row r="256" ht="15.75" customHeight="1">
      <c r="A256" s="14">
        <v>223.0</v>
      </c>
      <c r="B256" s="15" t="s">
        <v>677</v>
      </c>
      <c r="C256" s="16">
        <v>0.0</v>
      </c>
    </row>
    <row r="257" ht="15.75" customHeight="1">
      <c r="A257" s="14">
        <v>224.0</v>
      </c>
      <c r="B257" s="15" t="s">
        <v>678</v>
      </c>
      <c r="C257" s="16">
        <v>0.0</v>
      </c>
    </row>
    <row r="258" ht="15.75" customHeight="1">
      <c r="A258" s="14">
        <v>225.0</v>
      </c>
      <c r="B258" s="15" t="s">
        <v>679</v>
      </c>
      <c r="C258" s="16">
        <v>0.0</v>
      </c>
    </row>
    <row r="259" ht="15.75" customHeight="1">
      <c r="A259" s="14">
        <v>226.0</v>
      </c>
      <c r="B259" s="15" t="s">
        <v>680</v>
      </c>
      <c r="C259" s="16">
        <v>0.0</v>
      </c>
    </row>
    <row r="260" ht="15.75" customHeight="1">
      <c r="A260" s="14">
        <v>227.0</v>
      </c>
      <c r="B260" s="15" t="s">
        <v>681</v>
      </c>
      <c r="C260" s="16">
        <v>0.0</v>
      </c>
    </row>
    <row r="261" ht="15.75" customHeight="1">
      <c r="A261" s="14">
        <v>228.0</v>
      </c>
      <c r="B261" s="15" t="s">
        <v>682</v>
      </c>
      <c r="C261" s="16">
        <v>0.0</v>
      </c>
    </row>
    <row r="262" ht="15.75" customHeight="1">
      <c r="A262" s="14">
        <v>229.0</v>
      </c>
      <c r="B262" s="15" t="s">
        <v>683</v>
      </c>
      <c r="C262" s="16">
        <v>0.0</v>
      </c>
    </row>
    <row r="263" ht="15.75" customHeight="1">
      <c r="A263" s="14">
        <v>230.0</v>
      </c>
      <c r="B263" s="17" t="s">
        <v>684</v>
      </c>
      <c r="C263" s="16">
        <v>0.0</v>
      </c>
    </row>
    <row r="264" ht="15.75" customHeight="1">
      <c r="A264" s="9"/>
      <c r="B264" s="10"/>
      <c r="C264" s="11"/>
    </row>
    <row r="265" ht="15.75" customHeight="1">
      <c r="A265" s="12" t="s">
        <v>685</v>
      </c>
      <c r="B265" s="13"/>
      <c r="C265" s="13"/>
    </row>
    <row r="266" ht="15.75" customHeight="1">
      <c r="A266" s="14">
        <v>1.0</v>
      </c>
      <c r="B266" s="15" t="s">
        <v>686</v>
      </c>
      <c r="C266" s="16">
        <v>0.0</v>
      </c>
    </row>
    <row r="267" ht="15.75" customHeight="1">
      <c r="A267" s="14">
        <v>2.0</v>
      </c>
      <c r="B267" s="15" t="s">
        <v>687</v>
      </c>
      <c r="C267" s="16">
        <v>0.0</v>
      </c>
    </row>
    <row r="268" ht="15.75" customHeight="1">
      <c r="A268" s="14">
        <v>3.0</v>
      </c>
      <c r="B268" s="15" t="s">
        <v>688</v>
      </c>
      <c r="C268" s="16">
        <v>0.0</v>
      </c>
    </row>
    <row r="269" ht="15.75" customHeight="1">
      <c r="A269" s="14">
        <v>4.0</v>
      </c>
      <c r="B269" s="15" t="s">
        <v>689</v>
      </c>
      <c r="C269" s="16">
        <v>0.0</v>
      </c>
    </row>
    <row r="270" ht="15.75" customHeight="1">
      <c r="A270" s="14">
        <v>5.0</v>
      </c>
      <c r="B270" s="15" t="s">
        <v>690</v>
      </c>
      <c r="C270" s="16">
        <v>0.0</v>
      </c>
    </row>
    <row r="271" ht="15.75" customHeight="1">
      <c r="A271" s="9"/>
      <c r="B271" s="11"/>
      <c r="C271" s="17" t="s">
        <v>691</v>
      </c>
    </row>
    <row r="272" ht="15.75" customHeight="1">
      <c r="A272" s="9"/>
      <c r="B272" s="10"/>
      <c r="C272" s="11"/>
    </row>
    <row r="273" ht="15.75" customHeight="1">
      <c r="A273" s="9"/>
      <c r="B273" s="10"/>
      <c r="C273" s="11"/>
    </row>
    <row r="274" ht="15.75" customHeight="1">
      <c r="A274" s="9"/>
      <c r="B274" s="10"/>
      <c r="C274" s="11"/>
    </row>
    <row r="275" ht="15.75" customHeight="1">
      <c r="A275" s="9"/>
      <c r="B275" s="10"/>
      <c r="C275" s="11"/>
    </row>
    <row r="276" ht="15.75" customHeight="1">
      <c r="A276" s="12" t="s">
        <v>502</v>
      </c>
      <c r="B276" s="13"/>
      <c r="C276" s="13"/>
    </row>
    <row r="277" ht="15.75" customHeight="1">
      <c r="A277" s="17" t="s">
        <v>503</v>
      </c>
      <c r="B277" s="15" t="s">
        <v>504</v>
      </c>
      <c r="C277" s="17" t="s">
        <v>692</v>
      </c>
    </row>
    <row r="278" ht="15.75" customHeight="1">
      <c r="A278" s="17" t="s">
        <v>445</v>
      </c>
      <c r="B278" s="17" t="s">
        <v>446</v>
      </c>
      <c r="C278" s="17" t="s">
        <v>447</v>
      </c>
    </row>
    <row r="279" ht="15.75" customHeight="1">
      <c r="A279" s="14">
        <v>6.0</v>
      </c>
      <c r="B279" s="15" t="s">
        <v>693</v>
      </c>
      <c r="C279" s="16">
        <v>0.0</v>
      </c>
    </row>
    <row r="280" ht="15.75" customHeight="1">
      <c r="A280" s="14">
        <v>7.0</v>
      </c>
      <c r="B280" s="15" t="s">
        <v>694</v>
      </c>
      <c r="C280" s="16">
        <v>0.0</v>
      </c>
    </row>
    <row r="281" ht="15.75" customHeight="1">
      <c r="A281" s="14">
        <v>8.0</v>
      </c>
      <c r="B281" s="15" t="s">
        <v>695</v>
      </c>
      <c r="C281" s="16">
        <v>0.0</v>
      </c>
    </row>
    <row r="282" ht="15.75" customHeight="1">
      <c r="A282" s="14">
        <v>9.0</v>
      </c>
      <c r="B282" s="15" t="s">
        <v>696</v>
      </c>
      <c r="C282" s="16">
        <v>0.0</v>
      </c>
    </row>
    <row r="283" ht="15.75" customHeight="1">
      <c r="A283" s="14">
        <v>10.0</v>
      </c>
      <c r="B283" s="15" t="s">
        <v>697</v>
      </c>
      <c r="C283" s="16">
        <v>0.0</v>
      </c>
    </row>
    <row r="284" ht="15.75" customHeight="1">
      <c r="A284" s="14">
        <v>11.0</v>
      </c>
      <c r="B284" s="15" t="s">
        <v>698</v>
      </c>
      <c r="C284" s="16">
        <v>0.0</v>
      </c>
    </row>
    <row r="285" ht="15.75" customHeight="1">
      <c r="A285" s="14">
        <v>12.0</v>
      </c>
      <c r="B285" s="15" t="s">
        <v>699</v>
      </c>
      <c r="C285" s="16">
        <v>0.0</v>
      </c>
    </row>
    <row r="286" ht="15.75" customHeight="1">
      <c r="A286" s="14">
        <v>13.0</v>
      </c>
      <c r="B286" s="15" t="s">
        <v>700</v>
      </c>
      <c r="C286" s="16">
        <v>0.0</v>
      </c>
    </row>
    <row r="287" ht="15.75" customHeight="1">
      <c r="A287" s="14">
        <v>14.0</v>
      </c>
      <c r="B287" s="17" t="s">
        <v>245</v>
      </c>
      <c r="C287" s="16">
        <v>0.0</v>
      </c>
    </row>
    <row r="288" ht="15.75" customHeight="1">
      <c r="A288" s="14">
        <v>15.0</v>
      </c>
      <c r="B288" s="15" t="s">
        <v>701</v>
      </c>
      <c r="C288" s="16">
        <v>0.0</v>
      </c>
    </row>
    <row r="289" ht="15.75" customHeight="1">
      <c r="A289" s="14">
        <v>16.0</v>
      </c>
      <c r="B289" s="15" t="s">
        <v>702</v>
      </c>
      <c r="C289" s="16">
        <v>0.0</v>
      </c>
    </row>
    <row r="290" ht="15.75" customHeight="1">
      <c r="A290" s="14">
        <v>17.0</v>
      </c>
      <c r="B290" s="15" t="s">
        <v>703</v>
      </c>
      <c r="C290" s="16">
        <v>0.0</v>
      </c>
    </row>
    <row r="291" ht="15.75" customHeight="1">
      <c r="A291" s="14">
        <v>18.0</v>
      </c>
      <c r="B291" s="15" t="s">
        <v>704</v>
      </c>
      <c r="C291" s="16">
        <v>0.0</v>
      </c>
    </row>
    <row r="292" ht="15.75" customHeight="1">
      <c r="A292" s="14">
        <v>19.0</v>
      </c>
      <c r="B292" s="15" t="s">
        <v>705</v>
      </c>
      <c r="C292" s="16">
        <v>0.0</v>
      </c>
    </row>
    <row r="293" ht="15.75" customHeight="1">
      <c r="A293" s="14">
        <v>20.0</v>
      </c>
      <c r="B293" s="15" t="s">
        <v>706</v>
      </c>
      <c r="C293" s="16">
        <v>0.0</v>
      </c>
    </row>
    <row r="294" ht="15.75" customHeight="1">
      <c r="A294" s="14">
        <v>21.0</v>
      </c>
      <c r="B294" s="15" t="s">
        <v>707</v>
      </c>
      <c r="C294" s="16">
        <v>0.0</v>
      </c>
    </row>
    <row r="295" ht="15.75" customHeight="1">
      <c r="A295" s="14">
        <v>22.0</v>
      </c>
      <c r="B295" s="15" t="s">
        <v>708</v>
      </c>
      <c r="C295" s="16">
        <v>0.0</v>
      </c>
    </row>
    <row r="296" ht="15.75" customHeight="1">
      <c r="A296" s="14">
        <v>23.0</v>
      </c>
      <c r="B296" s="15" t="s">
        <v>709</v>
      </c>
      <c r="C296" s="16">
        <v>0.0</v>
      </c>
    </row>
    <row r="297" ht="15.75" customHeight="1">
      <c r="A297" s="14">
        <v>24.0</v>
      </c>
      <c r="B297" s="15" t="s">
        <v>710</v>
      </c>
      <c r="C297" s="16">
        <v>0.0</v>
      </c>
    </row>
    <row r="298" ht="15.75" customHeight="1">
      <c r="A298" s="14">
        <v>25.0</v>
      </c>
      <c r="B298" s="15" t="s">
        <v>711</v>
      </c>
      <c r="C298" s="16">
        <v>0.0</v>
      </c>
    </row>
    <row r="299" ht="15.75" customHeight="1">
      <c r="A299" s="14">
        <v>26.0</v>
      </c>
      <c r="B299" s="15" t="s">
        <v>712</v>
      </c>
      <c r="C299" s="16">
        <v>0.0</v>
      </c>
    </row>
    <row r="300" ht="15.75" customHeight="1">
      <c r="A300" s="14">
        <v>27.0</v>
      </c>
      <c r="B300" s="15" t="s">
        <v>713</v>
      </c>
      <c r="C300" s="16">
        <v>0.0</v>
      </c>
    </row>
    <row r="301" ht="15.75" customHeight="1">
      <c r="A301" s="14">
        <v>28.0</v>
      </c>
      <c r="B301" s="15" t="s">
        <v>714</v>
      </c>
      <c r="C301" s="16">
        <v>0.0</v>
      </c>
    </row>
    <row r="302" ht="15.75" customHeight="1">
      <c r="A302" s="14">
        <v>29.0</v>
      </c>
      <c r="B302" s="15" t="s">
        <v>715</v>
      </c>
      <c r="C302" s="16">
        <v>0.0</v>
      </c>
    </row>
    <row r="303" ht="15.75" customHeight="1">
      <c r="A303" s="14">
        <v>30.0</v>
      </c>
      <c r="B303" s="15" t="s">
        <v>716</v>
      </c>
      <c r="C303" s="16">
        <v>0.0</v>
      </c>
    </row>
    <row r="304" ht="15.75" customHeight="1">
      <c r="A304" s="14">
        <v>31.0</v>
      </c>
      <c r="B304" s="15" t="s">
        <v>717</v>
      </c>
      <c r="C304" s="16">
        <v>0.0</v>
      </c>
    </row>
    <row r="305" ht="15.75" customHeight="1">
      <c r="A305" s="14">
        <v>32.0</v>
      </c>
      <c r="B305" s="15" t="s">
        <v>718</v>
      </c>
      <c r="C305" s="16">
        <v>0.0</v>
      </c>
    </row>
    <row r="306" ht="15.75" customHeight="1">
      <c r="A306" s="14">
        <v>33.0</v>
      </c>
      <c r="B306" s="15" t="s">
        <v>719</v>
      </c>
      <c r="C306" s="16">
        <v>0.0</v>
      </c>
    </row>
    <row r="307" ht="15.75" customHeight="1">
      <c r="A307" s="14">
        <v>34.0</v>
      </c>
      <c r="B307" s="15" t="s">
        <v>720</v>
      </c>
      <c r="C307" s="16">
        <v>0.0</v>
      </c>
    </row>
    <row r="308" ht="15.75" customHeight="1">
      <c r="A308" s="14">
        <v>35.0</v>
      </c>
      <c r="B308" s="15" t="s">
        <v>721</v>
      </c>
      <c r="C308" s="16">
        <v>0.0</v>
      </c>
    </row>
    <row r="309" ht="15.75" customHeight="1">
      <c r="A309" s="14">
        <v>36.0</v>
      </c>
      <c r="B309" s="15" t="s">
        <v>722</v>
      </c>
      <c r="C309" s="16">
        <v>0.0</v>
      </c>
    </row>
    <row r="310" ht="15.75" customHeight="1">
      <c r="A310" s="14">
        <v>37.0</v>
      </c>
      <c r="B310" s="15" t="s">
        <v>723</v>
      </c>
      <c r="C310" s="16">
        <v>0.0</v>
      </c>
    </row>
    <row r="311" ht="15.75" customHeight="1">
      <c r="A311" s="14">
        <v>38.0</v>
      </c>
      <c r="B311" s="15" t="s">
        <v>724</v>
      </c>
      <c r="C311" s="16">
        <v>0.0</v>
      </c>
    </row>
    <row r="312" ht="15.75" customHeight="1">
      <c r="A312" s="14">
        <v>39.0</v>
      </c>
      <c r="B312" s="15" t="s">
        <v>725</v>
      </c>
      <c r="C312" s="16">
        <v>0.0</v>
      </c>
    </row>
    <row r="313" ht="15.75" customHeight="1">
      <c r="A313" s="14">
        <v>40.0</v>
      </c>
      <c r="B313" s="15" t="s">
        <v>726</v>
      </c>
      <c r="C313" s="16">
        <v>0.0</v>
      </c>
    </row>
    <row r="314" ht="15.75" customHeight="1">
      <c r="A314" s="14">
        <v>41.0</v>
      </c>
      <c r="B314" s="15" t="s">
        <v>727</v>
      </c>
      <c r="C314" s="16">
        <v>0.0</v>
      </c>
    </row>
    <row r="315" ht="15.75" customHeight="1">
      <c r="A315" s="14">
        <v>42.0</v>
      </c>
      <c r="B315" s="15" t="s">
        <v>728</v>
      </c>
      <c r="C315" s="16">
        <v>0.0</v>
      </c>
    </row>
    <row r="316" ht="15.75" customHeight="1">
      <c r="A316" s="14">
        <v>43.0</v>
      </c>
      <c r="B316" s="15" t="s">
        <v>729</v>
      </c>
      <c r="C316" s="16">
        <v>0.0</v>
      </c>
    </row>
    <row r="317" ht="15.75" customHeight="1">
      <c r="A317" s="14">
        <v>44.0</v>
      </c>
      <c r="B317" s="15" t="s">
        <v>730</v>
      </c>
      <c r="C317" s="16">
        <v>0.0</v>
      </c>
    </row>
    <row r="318" ht="15.75" customHeight="1">
      <c r="A318" s="14">
        <v>45.0</v>
      </c>
      <c r="B318" s="15" t="s">
        <v>731</v>
      </c>
      <c r="C318" s="16">
        <v>0.0</v>
      </c>
    </row>
    <row r="319" ht="15.75" customHeight="1">
      <c r="A319" s="14">
        <v>46.0</v>
      </c>
      <c r="B319" s="15" t="s">
        <v>732</v>
      </c>
      <c r="C319" s="16">
        <v>0.0</v>
      </c>
    </row>
    <row r="320" ht="15.75" customHeight="1">
      <c r="A320" s="14">
        <v>47.0</v>
      </c>
      <c r="B320" s="15" t="s">
        <v>733</v>
      </c>
      <c r="C320" s="16">
        <v>0.0</v>
      </c>
    </row>
    <row r="321" ht="15.75" customHeight="1">
      <c r="A321" s="14">
        <v>48.0</v>
      </c>
      <c r="B321" s="15" t="s">
        <v>734</v>
      </c>
      <c r="C321" s="16">
        <v>0.0</v>
      </c>
    </row>
    <row r="322" ht="15.75" customHeight="1">
      <c r="A322" s="14">
        <v>49.0</v>
      </c>
      <c r="B322" s="15" t="s">
        <v>735</v>
      </c>
      <c r="C322" s="16">
        <v>0.0</v>
      </c>
    </row>
    <row r="323" ht="15.75" customHeight="1">
      <c r="A323" s="14">
        <v>50.0</v>
      </c>
      <c r="B323" s="15" t="s">
        <v>736</v>
      </c>
      <c r="C323" s="16">
        <v>0.0</v>
      </c>
    </row>
    <row r="324" ht="15.75" customHeight="1">
      <c r="A324" s="14">
        <v>51.0</v>
      </c>
      <c r="B324" s="15" t="s">
        <v>737</v>
      </c>
      <c r="C324" s="16">
        <v>0.0</v>
      </c>
    </row>
    <row r="325" ht="15.75" customHeight="1">
      <c r="A325" s="14">
        <v>52.0</v>
      </c>
      <c r="B325" s="15" t="s">
        <v>738</v>
      </c>
      <c r="C325" s="16">
        <v>0.0</v>
      </c>
    </row>
    <row r="326" ht="15.75" customHeight="1">
      <c r="A326" s="14">
        <v>53.0</v>
      </c>
      <c r="B326" s="15" t="s">
        <v>739</v>
      </c>
      <c r="C326" s="16">
        <v>0.0</v>
      </c>
    </row>
    <row r="327" ht="15.75" customHeight="1">
      <c r="A327" s="14">
        <v>54.0</v>
      </c>
      <c r="B327" s="15" t="s">
        <v>740</v>
      </c>
      <c r="C327" s="16">
        <v>0.0</v>
      </c>
    </row>
    <row r="328" ht="15.75" customHeight="1">
      <c r="A328" s="14">
        <v>55.0</v>
      </c>
      <c r="B328" s="15" t="s">
        <v>741</v>
      </c>
      <c r="C328" s="16">
        <v>0.0</v>
      </c>
    </row>
    <row r="329" ht="15.75" customHeight="1">
      <c r="A329" s="14">
        <v>56.0</v>
      </c>
      <c r="B329" s="15" t="s">
        <v>742</v>
      </c>
      <c r="C329" s="16">
        <v>0.0</v>
      </c>
    </row>
    <row r="330" ht="15.75" customHeight="1">
      <c r="A330" s="14">
        <v>57.0</v>
      </c>
      <c r="B330" s="15" t="s">
        <v>743</v>
      </c>
      <c r="C330" s="16">
        <v>0.0</v>
      </c>
    </row>
    <row r="331" ht="15.75" customHeight="1">
      <c r="A331" s="14">
        <v>58.0</v>
      </c>
      <c r="B331" s="15" t="s">
        <v>744</v>
      </c>
      <c r="C331" s="16">
        <v>0.0</v>
      </c>
    </row>
    <row r="332" ht="15.75" customHeight="1">
      <c r="A332" s="9"/>
      <c r="B332" s="10"/>
      <c r="C332" s="11"/>
    </row>
    <row r="333" ht="15.75" customHeight="1">
      <c r="A333" s="12" t="s">
        <v>291</v>
      </c>
      <c r="B333" s="13"/>
      <c r="C333" s="13"/>
    </row>
    <row r="334" ht="15.75" customHeight="1">
      <c r="A334" s="14">
        <v>1.0</v>
      </c>
      <c r="B334" s="15" t="s">
        <v>745</v>
      </c>
      <c r="C334" s="16">
        <v>0.0</v>
      </c>
    </row>
    <row r="335" ht="15.75" customHeight="1">
      <c r="A335" s="14">
        <v>2.0</v>
      </c>
      <c r="B335" s="15" t="s">
        <v>746</v>
      </c>
      <c r="C335" s="16">
        <v>0.0</v>
      </c>
    </row>
    <row r="336" ht="15.75" customHeight="1">
      <c r="A336" s="14">
        <v>3.0</v>
      </c>
      <c r="B336" s="15" t="s">
        <v>747</v>
      </c>
      <c r="C336" s="16">
        <v>0.0</v>
      </c>
    </row>
    <row r="337" ht="15.75" customHeight="1">
      <c r="A337" s="14">
        <v>4.0</v>
      </c>
      <c r="B337" s="15" t="s">
        <v>748</v>
      </c>
      <c r="C337" s="16">
        <v>0.0</v>
      </c>
    </row>
    <row r="338" ht="15.75" customHeight="1">
      <c r="A338" s="14">
        <v>5.0</v>
      </c>
      <c r="B338" s="15" t="s">
        <v>749</v>
      </c>
      <c r="C338" s="16">
        <v>0.0</v>
      </c>
    </row>
    <row r="339" ht="15.75" customHeight="1">
      <c r="A339" s="14">
        <v>6.0</v>
      </c>
      <c r="B339" s="15" t="s">
        <v>750</v>
      </c>
      <c r="C339" s="16">
        <v>0.0</v>
      </c>
    </row>
    <row r="340" ht="15.75" customHeight="1">
      <c r="A340" s="9"/>
      <c r="B340" s="11"/>
      <c r="C340" s="17" t="s">
        <v>751</v>
      </c>
    </row>
    <row r="341" ht="15.75" customHeight="1">
      <c r="A341" s="9"/>
      <c r="B341" s="10"/>
      <c r="C341" s="11"/>
    </row>
    <row r="342" ht="15.75" customHeight="1">
      <c r="A342" s="9"/>
      <c r="B342" s="10"/>
      <c r="C342" s="11"/>
    </row>
    <row r="343" ht="15.75" customHeight="1">
      <c r="A343" s="9"/>
      <c r="B343" s="10"/>
      <c r="C343" s="11"/>
    </row>
    <row r="344" ht="15.75" customHeight="1">
      <c r="A344" s="9"/>
      <c r="B344" s="10"/>
      <c r="C344" s="11"/>
    </row>
    <row r="345" ht="15.75" customHeight="1">
      <c r="A345" s="12" t="s">
        <v>502</v>
      </c>
      <c r="B345" s="13"/>
      <c r="C345" s="13"/>
    </row>
    <row r="346" ht="15.75" customHeight="1">
      <c r="A346" s="17" t="s">
        <v>503</v>
      </c>
      <c r="B346" s="15" t="s">
        <v>504</v>
      </c>
      <c r="C346" s="17" t="s">
        <v>752</v>
      </c>
    </row>
    <row r="347" ht="15.75" customHeight="1">
      <c r="A347" s="17" t="s">
        <v>445</v>
      </c>
      <c r="B347" s="17" t="s">
        <v>446</v>
      </c>
      <c r="C347" s="17" t="s">
        <v>447</v>
      </c>
    </row>
    <row r="348" ht="15.75" customHeight="1">
      <c r="A348" s="14">
        <v>7.0</v>
      </c>
      <c r="B348" s="15" t="s">
        <v>753</v>
      </c>
      <c r="C348" s="16">
        <v>0.0</v>
      </c>
    </row>
    <row r="349" ht="15.75" customHeight="1">
      <c r="A349" s="14">
        <v>8.0</v>
      </c>
      <c r="B349" s="15" t="s">
        <v>754</v>
      </c>
      <c r="C349" s="16">
        <v>0.0</v>
      </c>
    </row>
    <row r="350" ht="15.75" customHeight="1">
      <c r="A350" s="14">
        <v>9.0</v>
      </c>
      <c r="B350" s="15" t="s">
        <v>755</v>
      </c>
      <c r="C350" s="16">
        <v>0.0</v>
      </c>
    </row>
    <row r="351" ht="15.75" customHeight="1">
      <c r="A351" s="14">
        <v>10.0</v>
      </c>
      <c r="B351" s="15" t="s">
        <v>756</v>
      </c>
      <c r="C351" s="16">
        <v>0.0</v>
      </c>
    </row>
    <row r="352" ht="15.75" customHeight="1">
      <c r="A352" s="14">
        <v>11.0</v>
      </c>
      <c r="B352" s="15" t="s">
        <v>757</v>
      </c>
      <c r="C352" s="16">
        <v>0.0</v>
      </c>
    </row>
    <row r="353" ht="15.75" customHeight="1">
      <c r="A353" s="14">
        <v>12.0</v>
      </c>
      <c r="B353" s="15" t="s">
        <v>758</v>
      </c>
      <c r="C353" s="16">
        <v>0.0</v>
      </c>
    </row>
    <row r="354" ht="15.75" customHeight="1">
      <c r="A354" s="14">
        <v>13.0</v>
      </c>
      <c r="B354" s="15" t="s">
        <v>759</v>
      </c>
      <c r="C354" s="16">
        <v>0.0</v>
      </c>
    </row>
    <row r="355" ht="15.75" customHeight="1">
      <c r="A355" s="14">
        <v>14.0</v>
      </c>
      <c r="B355" s="15" t="s">
        <v>760</v>
      </c>
      <c r="C355" s="16">
        <v>0.0</v>
      </c>
    </row>
    <row r="356" ht="15.75" customHeight="1">
      <c r="A356" s="14">
        <v>15.0</v>
      </c>
      <c r="B356" s="15" t="s">
        <v>761</v>
      </c>
      <c r="C356" s="16">
        <v>0.0</v>
      </c>
    </row>
    <row r="357" ht="15.75" customHeight="1">
      <c r="A357" s="14">
        <v>16.0</v>
      </c>
      <c r="B357" s="15" t="s">
        <v>762</v>
      </c>
      <c r="C357" s="16">
        <v>0.0</v>
      </c>
    </row>
    <row r="358" ht="15.75" customHeight="1">
      <c r="A358" s="14">
        <v>17.0</v>
      </c>
      <c r="B358" s="15" t="s">
        <v>763</v>
      </c>
      <c r="C358" s="16">
        <v>0.0</v>
      </c>
    </row>
    <row r="359" ht="15.75" customHeight="1">
      <c r="A359" s="14">
        <v>18.0</v>
      </c>
      <c r="B359" s="15" t="s">
        <v>764</v>
      </c>
      <c r="C359" s="16">
        <v>0.0</v>
      </c>
    </row>
    <row r="360" ht="15.75" customHeight="1">
      <c r="A360" s="14">
        <v>19.0</v>
      </c>
      <c r="B360" s="15" t="s">
        <v>765</v>
      </c>
      <c r="C360" s="16">
        <v>0.0</v>
      </c>
    </row>
    <row r="361" ht="15.75" customHeight="1">
      <c r="A361" s="14">
        <v>20.0</v>
      </c>
      <c r="B361" s="15" t="s">
        <v>766</v>
      </c>
      <c r="C361" s="16">
        <v>0.0</v>
      </c>
    </row>
    <row r="362" ht="15.75" customHeight="1">
      <c r="A362" s="14">
        <v>21.0</v>
      </c>
      <c r="B362" s="15" t="s">
        <v>767</v>
      </c>
      <c r="C362" s="16">
        <v>0.0</v>
      </c>
    </row>
    <row r="363" ht="15.75" customHeight="1">
      <c r="A363" s="14">
        <v>22.0</v>
      </c>
      <c r="B363" s="15" t="s">
        <v>768</v>
      </c>
      <c r="C363" s="16">
        <v>0.0</v>
      </c>
    </row>
    <row r="364" ht="15.75" customHeight="1">
      <c r="A364" s="14">
        <v>23.0</v>
      </c>
      <c r="B364" s="15" t="s">
        <v>769</v>
      </c>
      <c r="C364" s="16">
        <v>0.0</v>
      </c>
    </row>
    <row r="365" ht="15.75" customHeight="1">
      <c r="A365" s="14">
        <v>24.0</v>
      </c>
      <c r="B365" s="15" t="s">
        <v>770</v>
      </c>
      <c r="C365" s="16">
        <v>0.0</v>
      </c>
    </row>
    <row r="366" ht="15.75" customHeight="1">
      <c r="A366" s="14">
        <v>25.0</v>
      </c>
      <c r="B366" s="15" t="s">
        <v>771</v>
      </c>
      <c r="C366" s="16">
        <v>0.0</v>
      </c>
    </row>
    <row r="367" ht="15.75" customHeight="1">
      <c r="A367" s="14">
        <v>26.0</v>
      </c>
      <c r="B367" s="15" t="s">
        <v>772</v>
      </c>
      <c r="C367" s="16">
        <v>0.0</v>
      </c>
    </row>
    <row r="368" ht="15.75" customHeight="1">
      <c r="A368" s="14">
        <v>27.0</v>
      </c>
      <c r="B368" s="15" t="s">
        <v>773</v>
      </c>
      <c r="C368" s="16">
        <v>0.0</v>
      </c>
    </row>
    <row r="369" ht="15.75" customHeight="1">
      <c r="A369" s="14">
        <v>28.0</v>
      </c>
      <c r="B369" s="15" t="s">
        <v>774</v>
      </c>
      <c r="C369" s="16">
        <v>0.0</v>
      </c>
    </row>
    <row r="370" ht="15.75" customHeight="1">
      <c r="A370" s="14">
        <v>29.0</v>
      </c>
      <c r="B370" s="15" t="s">
        <v>775</v>
      </c>
      <c r="C370" s="16">
        <v>0.0</v>
      </c>
    </row>
    <row r="371" ht="15.75" customHeight="1">
      <c r="A371" s="14">
        <v>30.0</v>
      </c>
      <c r="B371" s="15" t="s">
        <v>776</v>
      </c>
      <c r="C371" s="16">
        <v>0.0</v>
      </c>
    </row>
    <row r="372" ht="15.75" customHeight="1">
      <c r="A372" s="14">
        <v>31.0</v>
      </c>
      <c r="B372" s="15" t="s">
        <v>777</v>
      </c>
      <c r="C372" s="16">
        <v>0.0</v>
      </c>
    </row>
    <row r="373" ht="15.75" customHeight="1">
      <c r="A373" s="14">
        <v>32.0</v>
      </c>
      <c r="B373" s="15" t="s">
        <v>778</v>
      </c>
      <c r="C373" s="16">
        <v>0.0</v>
      </c>
    </row>
    <row r="374" ht="15.75" customHeight="1">
      <c r="A374" s="14">
        <v>33.0</v>
      </c>
      <c r="B374" s="15" t="s">
        <v>779</v>
      </c>
      <c r="C374" s="16">
        <v>0.0</v>
      </c>
    </row>
    <row r="375" ht="15.75" customHeight="1">
      <c r="A375" s="14">
        <v>34.0</v>
      </c>
      <c r="B375" s="15" t="s">
        <v>780</v>
      </c>
      <c r="C375" s="16">
        <v>0.0</v>
      </c>
    </row>
    <row r="376" ht="15.75" customHeight="1">
      <c r="A376" s="14">
        <v>35.0</v>
      </c>
      <c r="B376" s="15" t="s">
        <v>781</v>
      </c>
      <c r="C376" s="16">
        <v>0.0</v>
      </c>
    </row>
    <row r="377" ht="15.75" customHeight="1">
      <c r="A377" s="14">
        <v>36.0</v>
      </c>
      <c r="B377" s="15" t="s">
        <v>782</v>
      </c>
      <c r="C377" s="16">
        <v>0.0</v>
      </c>
    </row>
    <row r="378" ht="15.75" customHeight="1">
      <c r="A378" s="14">
        <v>37.0</v>
      </c>
      <c r="B378" s="15" t="s">
        <v>783</v>
      </c>
      <c r="C378" s="16">
        <v>0.0</v>
      </c>
    </row>
    <row r="379" ht="15.75" customHeight="1">
      <c r="A379" s="14">
        <v>38.0</v>
      </c>
      <c r="B379" s="15" t="s">
        <v>784</v>
      </c>
      <c r="C379" s="16">
        <v>0.0</v>
      </c>
    </row>
    <row r="380" ht="15.75" customHeight="1">
      <c r="A380" s="14">
        <v>39.0</v>
      </c>
      <c r="B380" s="15" t="s">
        <v>785</v>
      </c>
      <c r="C380" s="16">
        <v>0.0</v>
      </c>
    </row>
    <row r="381" ht="15.75" customHeight="1">
      <c r="A381" s="14">
        <v>40.0</v>
      </c>
      <c r="B381" s="15" t="s">
        <v>786</v>
      </c>
      <c r="C381" s="16">
        <v>0.0</v>
      </c>
    </row>
    <row r="382" ht="15.75" customHeight="1">
      <c r="A382" s="14">
        <v>41.0</v>
      </c>
      <c r="B382" s="15" t="s">
        <v>787</v>
      </c>
      <c r="C382" s="16">
        <v>0.0</v>
      </c>
    </row>
    <row r="383" ht="15.75" customHeight="1">
      <c r="A383" s="14">
        <v>42.0</v>
      </c>
      <c r="B383" s="15" t="s">
        <v>788</v>
      </c>
      <c r="C383" s="16">
        <v>0.0</v>
      </c>
    </row>
    <row r="384" ht="15.75" customHeight="1">
      <c r="A384" s="14">
        <v>43.0</v>
      </c>
      <c r="B384" s="15" t="s">
        <v>789</v>
      </c>
      <c r="C384" s="16">
        <v>0.0</v>
      </c>
    </row>
    <row r="385" ht="15.75" customHeight="1">
      <c r="A385" s="14">
        <v>44.0</v>
      </c>
      <c r="B385" s="15" t="s">
        <v>790</v>
      </c>
      <c r="C385" s="16">
        <v>0.0</v>
      </c>
    </row>
    <row r="386" ht="15.75" customHeight="1">
      <c r="A386" s="14">
        <v>45.0</v>
      </c>
      <c r="B386" s="15" t="s">
        <v>791</v>
      </c>
      <c r="C386" s="16">
        <v>0.0</v>
      </c>
    </row>
    <row r="387" ht="15.75" customHeight="1">
      <c r="A387" s="14">
        <v>46.0</v>
      </c>
      <c r="B387" s="15" t="s">
        <v>792</v>
      </c>
      <c r="C387" s="16">
        <v>0.0</v>
      </c>
    </row>
    <row r="388" ht="15.75" customHeight="1">
      <c r="A388" s="14">
        <v>47.0</v>
      </c>
      <c r="B388" s="15" t="s">
        <v>793</v>
      </c>
      <c r="C388" s="16">
        <v>0.0</v>
      </c>
    </row>
    <row r="389" ht="15.75" customHeight="1">
      <c r="A389" s="14">
        <v>48.0</v>
      </c>
      <c r="B389" s="15" t="s">
        <v>794</v>
      </c>
      <c r="C389" s="16">
        <v>0.0</v>
      </c>
    </row>
    <row r="390" ht="15.75" customHeight="1">
      <c r="A390" s="14">
        <v>49.0</v>
      </c>
      <c r="B390" s="15" t="s">
        <v>795</v>
      </c>
      <c r="C390" s="16">
        <v>0.0</v>
      </c>
    </row>
    <row r="391" ht="15.75" customHeight="1">
      <c r="A391" s="14">
        <v>50.0</v>
      </c>
      <c r="B391" s="15" t="s">
        <v>796</v>
      </c>
      <c r="C391" s="16">
        <v>0.0</v>
      </c>
    </row>
    <row r="392" ht="15.75" customHeight="1">
      <c r="A392" s="14">
        <v>51.0</v>
      </c>
      <c r="B392" s="15" t="s">
        <v>797</v>
      </c>
      <c r="C392" s="16">
        <v>0.0</v>
      </c>
    </row>
    <row r="393" ht="15.75" customHeight="1">
      <c r="A393" s="14">
        <v>52.0</v>
      </c>
      <c r="B393" s="15" t="s">
        <v>798</v>
      </c>
      <c r="C393" s="16">
        <v>0.0</v>
      </c>
    </row>
    <row r="394" ht="15.75" customHeight="1">
      <c r="A394" s="14">
        <v>53.0</v>
      </c>
      <c r="B394" s="15" t="s">
        <v>799</v>
      </c>
      <c r="C394" s="16">
        <v>0.0</v>
      </c>
    </row>
    <row r="395" ht="15.75" customHeight="1">
      <c r="A395" s="14">
        <v>54.0</v>
      </c>
      <c r="B395" s="15" t="s">
        <v>800</v>
      </c>
      <c r="C395" s="16">
        <v>0.0</v>
      </c>
    </row>
    <row r="396" ht="15.75" customHeight="1">
      <c r="A396" s="14">
        <v>55.0</v>
      </c>
      <c r="B396" s="15" t="s">
        <v>801</v>
      </c>
      <c r="C396" s="16">
        <v>0.0</v>
      </c>
    </row>
    <row r="397" ht="15.75" customHeight="1">
      <c r="A397" s="14">
        <v>56.0</v>
      </c>
      <c r="B397" s="15" t="s">
        <v>802</v>
      </c>
      <c r="C397" s="16">
        <v>0.0</v>
      </c>
    </row>
    <row r="398" ht="15.75" customHeight="1">
      <c r="A398" s="14">
        <v>57.0</v>
      </c>
      <c r="B398" s="15" t="s">
        <v>803</v>
      </c>
      <c r="C398" s="16">
        <v>0.0</v>
      </c>
    </row>
    <row r="399" ht="15.75" customHeight="1">
      <c r="A399" s="14">
        <v>58.0</v>
      </c>
      <c r="B399" s="15" t="s">
        <v>804</v>
      </c>
      <c r="C399" s="16">
        <v>0.0</v>
      </c>
    </row>
    <row r="400" ht="15.75" customHeight="1">
      <c r="A400" s="14">
        <v>59.0</v>
      </c>
      <c r="B400" s="15" t="s">
        <v>805</v>
      </c>
      <c r="C400" s="16">
        <v>0.0</v>
      </c>
    </row>
    <row r="401" ht="15.75" customHeight="1">
      <c r="A401" s="14">
        <v>60.0</v>
      </c>
      <c r="B401" s="15" t="s">
        <v>806</v>
      </c>
      <c r="C401" s="16">
        <v>0.0</v>
      </c>
    </row>
    <row r="402" ht="15.75" customHeight="1">
      <c r="A402" s="14">
        <v>61.0</v>
      </c>
      <c r="B402" s="15" t="s">
        <v>807</v>
      </c>
      <c r="C402" s="16">
        <v>0.0</v>
      </c>
    </row>
    <row r="403" ht="15.75" customHeight="1">
      <c r="A403" s="14">
        <v>62.0</v>
      </c>
      <c r="B403" s="15" t="s">
        <v>808</v>
      </c>
      <c r="C403" s="16">
        <v>0.0</v>
      </c>
    </row>
    <row r="404" ht="15.75" customHeight="1">
      <c r="A404" s="14">
        <v>63.0</v>
      </c>
      <c r="B404" s="15" t="s">
        <v>809</v>
      </c>
      <c r="C404" s="16">
        <v>0.0</v>
      </c>
    </row>
    <row r="405" ht="15.75" customHeight="1">
      <c r="A405" s="14">
        <v>64.0</v>
      </c>
      <c r="B405" s="15" t="s">
        <v>810</v>
      </c>
      <c r="C405" s="16">
        <v>0.0</v>
      </c>
    </row>
    <row r="406" ht="15.75" customHeight="1">
      <c r="A406" s="14">
        <v>65.0</v>
      </c>
      <c r="B406" s="15" t="s">
        <v>811</v>
      </c>
      <c r="C406" s="16">
        <v>0.0</v>
      </c>
    </row>
    <row r="407" ht="15.75" customHeight="1">
      <c r="A407" s="9"/>
      <c r="B407" s="10"/>
      <c r="C407" s="11"/>
    </row>
    <row r="408" ht="15.75" customHeight="1">
      <c r="A408" s="12" t="s">
        <v>356</v>
      </c>
      <c r="B408" s="13"/>
      <c r="C408" s="13"/>
    </row>
    <row r="409" ht="15.75" customHeight="1">
      <c r="A409" s="14">
        <v>1.0</v>
      </c>
      <c r="B409" s="15" t="s">
        <v>812</v>
      </c>
      <c r="C409" s="16">
        <v>0.0</v>
      </c>
    </row>
    <row r="410" ht="15.75" customHeight="1">
      <c r="A410" s="9"/>
      <c r="B410" s="11"/>
      <c r="C410" s="17" t="s">
        <v>813</v>
      </c>
    </row>
    <row r="411" ht="15.75" customHeight="1">
      <c r="A411" s="9"/>
      <c r="B411" s="10"/>
      <c r="C411" s="11"/>
    </row>
    <row r="412" ht="15.75" customHeight="1">
      <c r="A412" s="9"/>
      <c r="B412" s="10"/>
      <c r="C412" s="11"/>
    </row>
    <row r="413" ht="15.75" customHeight="1">
      <c r="A413" s="9"/>
      <c r="B413" s="10"/>
      <c r="C413" s="11"/>
    </row>
    <row r="414" ht="15.75" customHeight="1">
      <c r="A414" s="12" t="s">
        <v>502</v>
      </c>
      <c r="B414" s="13"/>
      <c r="C414" s="13"/>
    </row>
    <row r="415" ht="15.75" customHeight="1">
      <c r="A415" s="17" t="s">
        <v>503</v>
      </c>
      <c r="B415" s="15" t="s">
        <v>504</v>
      </c>
      <c r="C415" s="17" t="s">
        <v>814</v>
      </c>
    </row>
    <row r="416" ht="15.75" customHeight="1">
      <c r="A416" s="17" t="s">
        <v>445</v>
      </c>
      <c r="B416" s="17" t="s">
        <v>446</v>
      </c>
      <c r="C416" s="17" t="s">
        <v>447</v>
      </c>
    </row>
    <row r="417" ht="15.75" customHeight="1">
      <c r="A417" s="14">
        <v>2.0</v>
      </c>
      <c r="B417" s="15" t="s">
        <v>815</v>
      </c>
      <c r="C417" s="16">
        <v>0.0</v>
      </c>
    </row>
    <row r="418" ht="15.75" customHeight="1">
      <c r="A418" s="14">
        <v>3.0</v>
      </c>
      <c r="B418" s="15" t="s">
        <v>816</v>
      </c>
      <c r="C418" s="16">
        <v>0.0</v>
      </c>
    </row>
    <row r="419" ht="15.75" customHeight="1">
      <c r="A419" s="14">
        <v>4.0</v>
      </c>
      <c r="B419" s="15" t="s">
        <v>817</v>
      </c>
      <c r="C419" s="16">
        <v>0.0</v>
      </c>
    </row>
    <row r="420" ht="15.75" customHeight="1">
      <c r="A420" s="14">
        <v>5.0</v>
      </c>
      <c r="B420" s="15" t="s">
        <v>818</v>
      </c>
      <c r="C420" s="16">
        <v>0.0</v>
      </c>
    </row>
    <row r="421" ht="15.75" customHeight="1">
      <c r="A421" s="14">
        <v>6.0</v>
      </c>
      <c r="B421" s="15" t="s">
        <v>819</v>
      </c>
      <c r="C421" s="16">
        <v>0.0</v>
      </c>
    </row>
    <row r="422" ht="15.75" customHeight="1">
      <c r="A422" s="14">
        <v>7.0</v>
      </c>
      <c r="B422" s="15" t="s">
        <v>820</v>
      </c>
      <c r="C422" s="16">
        <v>0.0</v>
      </c>
    </row>
    <row r="423" ht="15.75" customHeight="1">
      <c r="A423" s="14">
        <v>8.0</v>
      </c>
      <c r="B423" s="15" t="s">
        <v>821</v>
      </c>
      <c r="C423" s="16">
        <v>0.0</v>
      </c>
    </row>
    <row r="424" ht="15.75" customHeight="1">
      <c r="A424" s="14">
        <v>9.0</v>
      </c>
      <c r="B424" s="15" t="s">
        <v>822</v>
      </c>
      <c r="C424" s="16">
        <v>0.0</v>
      </c>
    </row>
    <row r="425" ht="15.75" customHeight="1">
      <c r="A425" s="14">
        <v>10.0</v>
      </c>
      <c r="B425" s="15" t="s">
        <v>823</v>
      </c>
      <c r="C425" s="16">
        <v>0.0</v>
      </c>
    </row>
    <row r="426" ht="15.75" customHeight="1">
      <c r="A426" s="14">
        <v>11.0</v>
      </c>
      <c r="B426" s="15" t="s">
        <v>824</v>
      </c>
      <c r="C426" s="16">
        <v>0.0</v>
      </c>
    </row>
    <row r="427" ht="15.75" customHeight="1">
      <c r="A427" s="14">
        <v>12.0</v>
      </c>
      <c r="B427" s="15" t="s">
        <v>825</v>
      </c>
      <c r="C427" s="16">
        <v>0.0</v>
      </c>
    </row>
    <row r="428" ht="15.75" customHeight="1">
      <c r="A428" s="14">
        <v>13.0</v>
      </c>
      <c r="B428" s="15" t="s">
        <v>826</v>
      </c>
      <c r="C428" s="16">
        <v>0.0</v>
      </c>
    </row>
    <row r="429" ht="15.75" customHeight="1">
      <c r="A429" s="14">
        <v>14.0</v>
      </c>
      <c r="B429" s="15" t="s">
        <v>827</v>
      </c>
      <c r="C429" s="16">
        <v>0.0</v>
      </c>
    </row>
    <row r="430" ht="15.75" customHeight="1">
      <c r="A430" s="14">
        <v>15.0</v>
      </c>
      <c r="B430" s="15" t="s">
        <v>828</v>
      </c>
      <c r="C430" s="16">
        <v>0.0</v>
      </c>
    </row>
    <row r="431" ht="15.75" customHeight="1">
      <c r="A431" s="14">
        <v>16.0</v>
      </c>
      <c r="B431" s="15" t="s">
        <v>829</v>
      </c>
      <c r="C431" s="16">
        <v>0.0</v>
      </c>
    </row>
    <row r="432" ht="15.75" customHeight="1">
      <c r="A432" s="14">
        <v>17.0</v>
      </c>
      <c r="B432" s="15" t="s">
        <v>830</v>
      </c>
      <c r="C432" s="16">
        <v>0.0</v>
      </c>
    </row>
    <row r="433" ht="15.75" customHeight="1">
      <c r="A433" s="14">
        <v>18.0</v>
      </c>
      <c r="B433" s="15" t="s">
        <v>831</v>
      </c>
      <c r="C433" s="16">
        <v>0.0</v>
      </c>
    </row>
    <row r="434" ht="15.75" customHeight="1">
      <c r="A434" s="14">
        <v>19.0</v>
      </c>
      <c r="B434" s="15" t="s">
        <v>832</v>
      </c>
      <c r="C434" s="16">
        <v>0.0</v>
      </c>
    </row>
    <row r="435" ht="15.75" customHeight="1">
      <c r="A435" s="14">
        <v>20.0</v>
      </c>
      <c r="B435" s="15" t="s">
        <v>833</v>
      </c>
      <c r="C435" s="16">
        <v>0.0</v>
      </c>
    </row>
    <row r="436" ht="15.75" customHeight="1">
      <c r="A436" s="14">
        <v>21.0</v>
      </c>
      <c r="B436" s="15" t="s">
        <v>834</v>
      </c>
      <c r="C436" s="16">
        <v>0.0</v>
      </c>
    </row>
    <row r="437" ht="15.75" customHeight="1">
      <c r="A437" s="14">
        <v>22.0</v>
      </c>
      <c r="B437" s="15" t="s">
        <v>835</v>
      </c>
      <c r="C437" s="16">
        <v>0.0</v>
      </c>
    </row>
    <row r="438" ht="15.75" customHeight="1">
      <c r="A438" s="14">
        <v>23.0</v>
      </c>
      <c r="B438" s="15" t="s">
        <v>836</v>
      </c>
      <c r="C438" s="16">
        <v>0.0</v>
      </c>
    </row>
    <row r="439" ht="15.75" customHeight="1">
      <c r="A439" s="14">
        <v>24.0</v>
      </c>
      <c r="B439" s="15" t="s">
        <v>837</v>
      </c>
      <c r="C439" s="16">
        <v>0.0</v>
      </c>
    </row>
    <row r="440" ht="15.75" customHeight="1">
      <c r="A440" s="14">
        <v>25.0</v>
      </c>
      <c r="B440" s="15" t="s">
        <v>838</v>
      </c>
      <c r="C440" s="16">
        <v>0.0</v>
      </c>
    </row>
    <row r="441" ht="15.75" customHeight="1">
      <c r="A441" s="14">
        <v>26.0</v>
      </c>
      <c r="B441" s="15" t="s">
        <v>839</v>
      </c>
      <c r="C441" s="16">
        <v>0.0</v>
      </c>
    </row>
    <row r="442" ht="15.75" customHeight="1">
      <c r="A442" s="14">
        <v>27.0</v>
      </c>
      <c r="B442" s="15" t="s">
        <v>840</v>
      </c>
      <c r="C442" s="16">
        <v>0.0</v>
      </c>
    </row>
    <row r="443" ht="15.75" customHeight="1">
      <c r="A443" s="14">
        <v>28.0</v>
      </c>
      <c r="B443" s="15" t="s">
        <v>841</v>
      </c>
      <c r="C443" s="16">
        <v>0.0</v>
      </c>
    </row>
    <row r="444" ht="15.75" customHeight="1">
      <c r="A444" s="14">
        <v>29.0</v>
      </c>
      <c r="B444" s="15" t="s">
        <v>842</v>
      </c>
      <c r="C444" s="16">
        <v>0.0</v>
      </c>
    </row>
    <row r="445" ht="15.75" customHeight="1">
      <c r="A445" s="14">
        <v>30.0</v>
      </c>
      <c r="B445" s="15" t="s">
        <v>843</v>
      </c>
      <c r="C445" s="16">
        <v>0.0</v>
      </c>
    </row>
    <row r="446" ht="15.75" customHeight="1">
      <c r="A446" s="14">
        <v>31.0</v>
      </c>
      <c r="B446" s="15" t="s">
        <v>844</v>
      </c>
      <c r="C446" s="16">
        <v>0.0</v>
      </c>
    </row>
    <row r="447" ht="15.75" customHeight="1">
      <c r="A447" s="14">
        <v>32.0</v>
      </c>
      <c r="B447" s="15" t="s">
        <v>845</v>
      </c>
      <c r="C447" s="16">
        <v>0.0</v>
      </c>
    </row>
    <row r="448" ht="15.75" customHeight="1">
      <c r="A448" s="14">
        <v>33.0</v>
      </c>
      <c r="B448" s="15" t="s">
        <v>846</v>
      </c>
      <c r="C448" s="16">
        <v>0.0</v>
      </c>
    </row>
    <row r="449" ht="15.75" customHeight="1">
      <c r="A449" s="14">
        <v>34.0</v>
      </c>
      <c r="B449" s="15" t="s">
        <v>847</v>
      </c>
      <c r="C449" s="16">
        <v>0.0</v>
      </c>
    </row>
    <row r="450" ht="15.75" customHeight="1">
      <c r="A450" s="14">
        <v>35.0</v>
      </c>
      <c r="B450" s="15" t="s">
        <v>848</v>
      </c>
      <c r="C450" s="16">
        <v>0.0</v>
      </c>
    </row>
    <row r="451" ht="15.75" customHeight="1">
      <c r="A451" s="14">
        <v>36.0</v>
      </c>
      <c r="B451" s="15" t="s">
        <v>849</v>
      </c>
      <c r="C451" s="16">
        <v>0.0</v>
      </c>
    </row>
    <row r="452" ht="15.75" customHeight="1">
      <c r="A452" s="14">
        <v>37.0</v>
      </c>
      <c r="B452" s="15" t="s">
        <v>850</v>
      </c>
      <c r="C452" s="16">
        <v>0.0</v>
      </c>
    </row>
    <row r="453" ht="15.75" customHeight="1">
      <c r="A453" s="14">
        <v>38.0</v>
      </c>
      <c r="B453" s="15" t="s">
        <v>851</v>
      </c>
      <c r="C453" s="16">
        <v>0.0</v>
      </c>
    </row>
    <row r="454" ht="15.75" customHeight="1">
      <c r="A454" s="14">
        <v>39.0</v>
      </c>
      <c r="B454" s="15" t="s">
        <v>852</v>
      </c>
      <c r="C454" s="16">
        <v>0.0</v>
      </c>
    </row>
    <row r="455" ht="15.75" customHeight="1">
      <c r="A455" s="14">
        <v>40.0</v>
      </c>
      <c r="B455" s="15" t="s">
        <v>853</v>
      </c>
      <c r="C455" s="16">
        <v>0.0</v>
      </c>
    </row>
    <row r="456" ht="15.75" customHeight="1">
      <c r="A456" s="14">
        <v>41.0</v>
      </c>
      <c r="B456" s="15" t="s">
        <v>854</v>
      </c>
      <c r="C456" s="16">
        <v>0.0</v>
      </c>
    </row>
    <row r="457" ht="15.75" customHeight="1">
      <c r="A457" s="14">
        <v>42.0</v>
      </c>
      <c r="B457" s="15" t="s">
        <v>855</v>
      </c>
      <c r="C457" s="16">
        <v>0.0</v>
      </c>
    </row>
    <row r="458" ht="15.75" customHeight="1">
      <c r="A458" s="14">
        <v>43.0</v>
      </c>
      <c r="B458" s="15" t="s">
        <v>856</v>
      </c>
      <c r="C458" s="16">
        <v>0.0</v>
      </c>
    </row>
    <row r="459" ht="15.75" customHeight="1">
      <c r="A459" s="14">
        <v>44.0</v>
      </c>
      <c r="B459" s="15" t="s">
        <v>857</v>
      </c>
      <c r="C459" s="16">
        <v>0.0</v>
      </c>
    </row>
    <row r="460" ht="15.75" customHeight="1">
      <c r="A460" s="14">
        <v>45.0</v>
      </c>
      <c r="B460" s="15" t="s">
        <v>858</v>
      </c>
      <c r="C460" s="16">
        <v>0.0</v>
      </c>
    </row>
    <row r="461" ht="15.75" customHeight="1">
      <c r="A461" s="14">
        <v>46.0</v>
      </c>
      <c r="B461" s="15" t="s">
        <v>859</v>
      </c>
      <c r="C461" s="16">
        <v>0.0</v>
      </c>
    </row>
    <row r="462" ht="15.75" customHeight="1">
      <c r="A462" s="9"/>
      <c r="B462" s="10"/>
      <c r="C462" s="11"/>
    </row>
    <row r="463" ht="15.75" customHeight="1">
      <c r="A463" s="12" t="s">
        <v>402</v>
      </c>
      <c r="B463" s="13"/>
      <c r="C463" s="13"/>
    </row>
    <row r="464" ht="15.75" customHeight="1">
      <c r="A464" s="14">
        <v>1.0</v>
      </c>
      <c r="B464" s="15" t="s">
        <v>860</v>
      </c>
      <c r="C464" s="16">
        <v>0.0</v>
      </c>
    </row>
    <row r="465" ht="15.75" customHeight="1">
      <c r="A465" s="14">
        <v>2.0</v>
      </c>
      <c r="B465" s="15" t="s">
        <v>861</v>
      </c>
      <c r="C465" s="16">
        <v>0.0</v>
      </c>
    </row>
    <row r="466" ht="15.75" customHeight="1">
      <c r="A466" s="14">
        <v>3.0</v>
      </c>
      <c r="B466" s="15" t="s">
        <v>862</v>
      </c>
      <c r="C466" s="16">
        <v>0.0</v>
      </c>
    </row>
    <row r="467" ht="15.75" customHeight="1">
      <c r="A467" s="14">
        <v>4.0</v>
      </c>
      <c r="B467" s="17" t="s">
        <v>405</v>
      </c>
      <c r="C467" s="16">
        <v>0.0</v>
      </c>
    </row>
    <row r="468" ht="15.75" customHeight="1">
      <c r="A468" s="14">
        <v>5.0</v>
      </c>
      <c r="B468" s="15" t="s">
        <v>863</v>
      </c>
      <c r="C468" s="16">
        <v>0.0</v>
      </c>
    </row>
    <row r="469" ht="15.75" customHeight="1">
      <c r="A469" s="14">
        <v>6.0</v>
      </c>
      <c r="B469" s="15" t="s">
        <v>864</v>
      </c>
      <c r="C469" s="16">
        <v>0.0</v>
      </c>
    </row>
    <row r="470" ht="15.75" customHeight="1">
      <c r="A470" s="14">
        <v>7.0</v>
      </c>
      <c r="B470" s="17" t="s">
        <v>408</v>
      </c>
      <c r="C470" s="16">
        <v>0.0</v>
      </c>
    </row>
    <row r="471" ht="15.75" customHeight="1">
      <c r="A471" s="14">
        <v>8.0</v>
      </c>
      <c r="B471" s="15" t="s">
        <v>865</v>
      </c>
      <c r="C471" s="16">
        <v>0.0</v>
      </c>
    </row>
    <row r="472" ht="15.75" customHeight="1">
      <c r="A472" s="14">
        <v>9.0</v>
      </c>
      <c r="B472" s="15" t="s">
        <v>866</v>
      </c>
      <c r="C472" s="16">
        <v>0.0</v>
      </c>
    </row>
    <row r="473" ht="15.75" customHeight="1">
      <c r="A473" s="14">
        <v>10.0</v>
      </c>
      <c r="B473" s="15" t="s">
        <v>867</v>
      </c>
      <c r="C473" s="16">
        <v>0.0</v>
      </c>
    </row>
    <row r="474" ht="15.75" customHeight="1">
      <c r="A474" s="14">
        <v>11.0</v>
      </c>
      <c r="B474" s="15" t="s">
        <v>868</v>
      </c>
      <c r="C474" s="16">
        <v>0.0</v>
      </c>
    </row>
    <row r="475" ht="15.75" customHeight="1">
      <c r="A475" s="14">
        <v>12.0</v>
      </c>
      <c r="B475" s="15" t="s">
        <v>869</v>
      </c>
      <c r="C475" s="16">
        <v>0.0</v>
      </c>
    </row>
    <row r="476" ht="15.75" customHeight="1">
      <c r="A476" s="14">
        <v>13.0</v>
      </c>
      <c r="B476" s="15" t="s">
        <v>870</v>
      </c>
      <c r="C476" s="16">
        <v>0.0</v>
      </c>
    </row>
    <row r="477" ht="15.75" customHeight="1">
      <c r="A477" s="14">
        <v>14.0</v>
      </c>
      <c r="B477" s="15" t="s">
        <v>871</v>
      </c>
      <c r="C477" s="16">
        <v>0.0</v>
      </c>
    </row>
    <row r="478" ht="15.75" customHeight="1">
      <c r="A478" s="9"/>
      <c r="B478" s="11"/>
      <c r="C478" s="17" t="s">
        <v>872</v>
      </c>
    </row>
    <row r="479" ht="15.75" customHeight="1">
      <c r="A479" s="9"/>
      <c r="B479" s="10"/>
      <c r="C479" s="11"/>
    </row>
    <row r="480" ht="15.75" customHeight="1">
      <c r="A480" s="9"/>
      <c r="B480" s="10"/>
      <c r="C480" s="11"/>
    </row>
    <row r="481" ht="15.75" customHeight="1">
      <c r="A481" s="9"/>
      <c r="B481" s="10"/>
      <c r="C481" s="11"/>
    </row>
    <row r="482" ht="15.75" customHeight="1">
      <c r="A482" s="9"/>
      <c r="B482" s="10"/>
      <c r="C482" s="11"/>
    </row>
    <row r="483" ht="15.75" customHeight="1">
      <c r="A483" s="12" t="s">
        <v>502</v>
      </c>
      <c r="B483" s="13"/>
      <c r="C483" s="13"/>
    </row>
    <row r="484" ht="15.75" customHeight="1">
      <c r="A484" s="17" t="s">
        <v>503</v>
      </c>
      <c r="B484" s="15" t="s">
        <v>504</v>
      </c>
      <c r="C484" s="17" t="s">
        <v>873</v>
      </c>
    </row>
    <row r="485" ht="15.75" customHeight="1">
      <c r="A485" s="17" t="s">
        <v>445</v>
      </c>
      <c r="B485" s="17" t="s">
        <v>446</v>
      </c>
      <c r="C485" s="17" t="s">
        <v>447</v>
      </c>
    </row>
    <row r="486" ht="15.75" customHeight="1">
      <c r="A486" s="14">
        <v>15.0</v>
      </c>
      <c r="B486" s="15" t="s">
        <v>874</v>
      </c>
      <c r="C486" s="16">
        <v>0.0</v>
      </c>
    </row>
    <row r="487" ht="15.75" customHeight="1">
      <c r="A487" s="14">
        <v>16.0</v>
      </c>
      <c r="B487" s="15" t="s">
        <v>875</v>
      </c>
      <c r="C487" s="16">
        <v>0.0</v>
      </c>
    </row>
    <row r="488" ht="15.75" customHeight="1">
      <c r="A488" s="14">
        <v>17.0</v>
      </c>
      <c r="B488" s="15" t="s">
        <v>876</v>
      </c>
      <c r="C488" s="16">
        <v>0.0</v>
      </c>
    </row>
    <row r="489" ht="15.75" customHeight="1">
      <c r="A489" s="14">
        <v>18.0</v>
      </c>
      <c r="B489" s="15" t="s">
        <v>877</v>
      </c>
      <c r="C489" s="16">
        <v>0.0</v>
      </c>
    </row>
    <row r="490" ht="15.75" customHeight="1">
      <c r="A490" s="14">
        <v>19.0</v>
      </c>
      <c r="B490" s="15" t="s">
        <v>878</v>
      </c>
      <c r="C490" s="16">
        <v>0.0</v>
      </c>
    </row>
    <row r="491" ht="15.75" customHeight="1">
      <c r="A491" s="14">
        <v>20.0</v>
      </c>
      <c r="B491" s="15" t="s">
        <v>879</v>
      </c>
      <c r="C491" s="16">
        <v>0.0</v>
      </c>
    </row>
    <row r="492" ht="15.75" customHeight="1">
      <c r="A492" s="14">
        <v>21.0</v>
      </c>
      <c r="B492" s="15" t="s">
        <v>880</v>
      </c>
      <c r="C492" s="16">
        <v>0.0</v>
      </c>
    </row>
    <row r="493" ht="15.75" customHeight="1">
      <c r="A493" s="14">
        <v>22.0</v>
      </c>
      <c r="B493" s="15" t="s">
        <v>881</v>
      </c>
      <c r="C493" s="16">
        <v>0.0</v>
      </c>
    </row>
    <row r="494" ht="15.75" customHeight="1">
      <c r="A494" s="14">
        <v>23.0</v>
      </c>
      <c r="B494" s="15" t="s">
        <v>882</v>
      </c>
      <c r="C494" s="16">
        <v>0.0</v>
      </c>
    </row>
    <row r="495" ht="15.75" customHeight="1">
      <c r="A495" s="14">
        <v>24.0</v>
      </c>
      <c r="B495" s="15" t="s">
        <v>883</v>
      </c>
      <c r="C495" s="16">
        <v>0.0</v>
      </c>
    </row>
    <row r="496" ht="15.75" customHeight="1">
      <c r="A496" s="14">
        <v>25.0</v>
      </c>
      <c r="B496" s="15" t="s">
        <v>884</v>
      </c>
      <c r="C496" s="16">
        <v>0.0</v>
      </c>
    </row>
    <row r="497" ht="15.75" customHeight="1">
      <c r="A497" s="14">
        <v>26.0</v>
      </c>
      <c r="B497" s="15" t="s">
        <v>885</v>
      </c>
      <c r="C497" s="16">
        <v>0.0</v>
      </c>
    </row>
    <row r="498" ht="15.75" customHeight="1">
      <c r="A498" s="14">
        <v>27.0</v>
      </c>
      <c r="B498" s="15" t="s">
        <v>886</v>
      </c>
      <c r="C498" s="16">
        <v>0.0</v>
      </c>
    </row>
    <row r="499" ht="15.75" customHeight="1">
      <c r="A499" s="14">
        <v>28.0</v>
      </c>
      <c r="B499" s="15" t="s">
        <v>887</v>
      </c>
      <c r="C499" s="16">
        <v>0.0</v>
      </c>
    </row>
    <row r="500" ht="15.75" customHeight="1">
      <c r="A500" s="14">
        <v>29.0</v>
      </c>
      <c r="B500" s="15" t="s">
        <v>888</v>
      </c>
      <c r="C500" s="16">
        <v>0.0</v>
      </c>
    </row>
    <row r="501" ht="15.75" customHeight="1">
      <c r="A501" s="14">
        <v>30.0</v>
      </c>
      <c r="B501" s="15" t="s">
        <v>889</v>
      </c>
      <c r="C501" s="16">
        <v>0.0</v>
      </c>
    </row>
    <row r="502" ht="15.75" customHeight="1">
      <c r="A502" s="14">
        <v>31.0</v>
      </c>
      <c r="B502" s="17" t="s">
        <v>890</v>
      </c>
      <c r="C502" s="16">
        <v>0.0</v>
      </c>
    </row>
    <row r="503" ht="15.75" customHeight="1">
      <c r="A503" s="14">
        <v>32.0</v>
      </c>
      <c r="B503" s="15" t="s">
        <v>891</v>
      </c>
      <c r="C503" s="16">
        <v>0.0</v>
      </c>
    </row>
    <row r="504" ht="15.75" customHeight="1">
      <c r="A504" s="14">
        <v>33.0</v>
      </c>
      <c r="B504" s="15" t="s">
        <v>892</v>
      </c>
      <c r="C504" s="16">
        <v>0.0</v>
      </c>
    </row>
    <row r="505" ht="15.75" customHeight="1">
      <c r="A505" s="14">
        <v>34.0</v>
      </c>
      <c r="B505" s="15" t="s">
        <v>893</v>
      </c>
      <c r="C505" s="16">
        <v>0.0</v>
      </c>
    </row>
    <row r="506" ht="15.75" customHeight="1">
      <c r="A506" s="14">
        <v>35.0</v>
      </c>
      <c r="B506" s="15" t="s">
        <v>894</v>
      </c>
      <c r="C506" s="16">
        <v>0.0</v>
      </c>
    </row>
    <row r="507" ht="15.75" customHeight="1">
      <c r="A507" s="14">
        <v>36.0</v>
      </c>
      <c r="B507" s="15" t="s">
        <v>895</v>
      </c>
      <c r="C507" s="16">
        <v>0.0</v>
      </c>
    </row>
    <row r="508" ht="15.75" customHeight="1">
      <c r="A508" s="14">
        <v>37.0</v>
      </c>
      <c r="B508" s="15" t="s">
        <v>896</v>
      </c>
      <c r="C508" s="16">
        <v>0.0</v>
      </c>
    </row>
    <row r="509" ht="15.75" customHeight="1">
      <c r="A509" s="14">
        <v>38.0</v>
      </c>
      <c r="B509" s="15" t="s">
        <v>897</v>
      </c>
      <c r="C509" s="16">
        <v>0.0</v>
      </c>
    </row>
    <row r="510" ht="15.75" customHeight="1">
      <c r="A510" s="18" t="s">
        <v>898</v>
      </c>
      <c r="B510" s="13"/>
      <c r="C510" s="13"/>
    </row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8">
    <mergeCell ref="A483:C483"/>
    <mergeCell ref="A510:C510"/>
    <mergeCell ref="A462:C462"/>
    <mergeCell ref="A463:C463"/>
    <mergeCell ref="A478:B478"/>
    <mergeCell ref="A479:C479"/>
    <mergeCell ref="A480:C480"/>
    <mergeCell ref="A481:C481"/>
    <mergeCell ref="A482:C482"/>
    <mergeCell ref="A1:C1"/>
    <mergeCell ref="A2:C2"/>
    <mergeCell ref="A3:C3"/>
    <mergeCell ref="A4:C4"/>
    <mergeCell ref="A5:C5"/>
    <mergeCell ref="A6:C6"/>
    <mergeCell ref="A8:C8"/>
    <mergeCell ref="A9:C9"/>
    <mergeCell ref="A64:B64"/>
    <mergeCell ref="A65:C65"/>
    <mergeCell ref="A66:C66"/>
    <mergeCell ref="A67:C67"/>
    <mergeCell ref="A68:C68"/>
    <mergeCell ref="A69:C69"/>
    <mergeCell ref="A133:B133"/>
    <mergeCell ref="A134:C134"/>
    <mergeCell ref="A135:C135"/>
    <mergeCell ref="A136:C136"/>
    <mergeCell ref="A137:C137"/>
    <mergeCell ref="A138:C138"/>
    <mergeCell ref="A202:B202"/>
    <mergeCell ref="A203:C203"/>
    <mergeCell ref="A204:C204"/>
    <mergeCell ref="A205:C205"/>
    <mergeCell ref="A206:C206"/>
    <mergeCell ref="A207:C207"/>
    <mergeCell ref="A264:C264"/>
    <mergeCell ref="A265:C265"/>
    <mergeCell ref="A271:B271"/>
    <mergeCell ref="A272:C272"/>
    <mergeCell ref="A273:C273"/>
    <mergeCell ref="A274:C274"/>
    <mergeCell ref="A275:C275"/>
    <mergeCell ref="A276:C276"/>
    <mergeCell ref="A332:C332"/>
    <mergeCell ref="A333:C333"/>
    <mergeCell ref="A340:B340"/>
    <mergeCell ref="A341:C341"/>
    <mergeCell ref="A342:C342"/>
    <mergeCell ref="A343:C343"/>
    <mergeCell ref="A344:C344"/>
    <mergeCell ref="A345:C345"/>
    <mergeCell ref="A407:C407"/>
    <mergeCell ref="A408:C408"/>
    <mergeCell ref="A410:B410"/>
    <mergeCell ref="A411:C411"/>
    <mergeCell ref="A412:C412"/>
    <mergeCell ref="A413:C413"/>
    <mergeCell ref="A414:C414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24.57"/>
    <col customWidth="1" min="2" max="2" width="25.71"/>
    <col customWidth="1" min="3" max="3" width="30.57"/>
  </cols>
  <sheetData>
    <row r="1">
      <c r="A1" s="19" t="s">
        <v>899</v>
      </c>
      <c r="B1" s="19" t="s">
        <v>1</v>
      </c>
      <c r="H1" s="19" t="str">
        <f>IFERROR(__xludf.DUMMYFUNCTION("IMPORTRANGE(""https://docs.google.com/spreadsheets/d/13fmL9rbANJuexGHEpy4hkZt2UNEZTVzm-819RIp1fCQ"",""Cities!a4:a"")"),"GOOD HEALTH PVT LTD")</f>
        <v>GOOD HEALTH PVT LTD</v>
      </c>
    </row>
    <row r="2">
      <c r="A2" s="19">
        <v>221.0</v>
      </c>
      <c r="B2" s="20" t="s">
        <v>10</v>
      </c>
      <c r="C2" s="21" t="s">
        <v>10</v>
      </c>
      <c r="H2" s="19" t="str">
        <f>IFERROR(__xludf.DUMMYFUNCTION("""COMPUTED_VALUE"""),"3 CUBE HEALTHCARE")</f>
        <v>3 CUBE HEALTHCARE</v>
      </c>
    </row>
    <row r="3">
      <c r="A3" s="19">
        <v>64.0</v>
      </c>
      <c r="B3" s="20" t="s">
        <v>291</v>
      </c>
      <c r="C3" s="21" t="s">
        <v>291</v>
      </c>
      <c r="H3" s="19" t="str">
        <f>IFERROR(__xludf.DUMMYFUNCTION("""COMPUTED_VALUE"""),"3M INDIA LTD")</f>
        <v>3M INDIA LTD</v>
      </c>
    </row>
    <row r="4">
      <c r="A4" s="19">
        <v>58.0</v>
      </c>
      <c r="B4" s="20" t="s">
        <v>685</v>
      </c>
      <c r="C4" s="21" t="s">
        <v>232</v>
      </c>
      <c r="H4" s="19" t="str">
        <f>IFERROR(__xludf.DUMMYFUNCTION("""COMPUTED_VALUE"""),"6IPAIN HEALTHCARE")</f>
        <v>6IPAIN HEALTHCARE</v>
      </c>
    </row>
    <row r="5">
      <c r="A5" s="19">
        <v>45.0</v>
      </c>
      <c r="B5" s="20" t="s">
        <v>356</v>
      </c>
      <c r="C5" s="21" t="s">
        <v>356</v>
      </c>
      <c r="H5" s="19" t="str">
        <f>IFERROR(__xludf.DUMMYFUNCTION("""COMPUTED_VALUE"""),"A3A PHARMACEUTICAL")</f>
        <v>A3A PHARMACEUTICAL</v>
      </c>
    </row>
    <row r="6">
      <c r="A6" s="19">
        <v>37.0</v>
      </c>
      <c r="B6" s="20" t="s">
        <v>402</v>
      </c>
      <c r="C6" s="21" t="s">
        <v>402</v>
      </c>
      <c r="H6" s="19" t="str">
        <f>IFERROR(__xludf.DUMMYFUNCTION("""COMPUTED_VALUE"""),"AAA PHARMATRADE PVT LTD")</f>
        <v>AAA PHARMATRADE PVT LTD</v>
      </c>
    </row>
    <row r="7">
      <c r="H7" s="19" t="str">
        <f>IFERROR(__xludf.DUMMYFUNCTION("""COMPUTED_VALUE"""),"AACER HEALTHCARE")</f>
        <v>AACER HEALTHCARE</v>
      </c>
    </row>
    <row r="8">
      <c r="H8" s="19" t="str">
        <f>IFERROR(__xludf.DUMMYFUNCTION("""COMPUTED_VALUE"""),"AAGATHA BIONLAB")</f>
        <v>AAGATHA BIONLAB</v>
      </c>
    </row>
    <row r="9">
      <c r="H9" s="19" t="str">
        <f>IFERROR(__xludf.DUMMYFUNCTION("""COMPUTED_VALUE"""),"AALTRAMED HEALTH CARE LIMITED")</f>
        <v>AALTRAMED HEALTH CARE LIMITED</v>
      </c>
    </row>
    <row r="10">
      <c r="H10" s="19" t="str">
        <f>IFERROR(__xludf.DUMMYFUNCTION("""COMPUTED_VALUE"""),"AARAV PHARMACEUTICALS")</f>
        <v>AARAV PHARMACEUTICALS</v>
      </c>
    </row>
    <row r="11">
      <c r="H11" s="19" t="str">
        <f>IFERROR(__xludf.DUMMYFUNCTION("""COMPUTED_VALUE"""),"AARIN LIFE SCIENCE")</f>
        <v>AARIN LIFE SCIENCE</v>
      </c>
    </row>
    <row r="12">
      <c r="H12" s="19" t="str">
        <f>IFERROR(__xludf.DUMMYFUNCTION("""COMPUTED_VALUE"""),"AARTI LIFESCIENCES")</f>
        <v>AARTI LIFESCIENCES</v>
      </c>
    </row>
    <row r="13">
      <c r="H13" s="19" t="str">
        <f>IFERROR(__xludf.DUMMYFUNCTION("""COMPUTED_VALUE"""),"AARUX PHARMACEUTICALS PVT LTD")</f>
        <v>AARUX PHARMACEUTICALS PVT LTD</v>
      </c>
    </row>
    <row r="14">
      <c r="H14" s="19" t="str">
        <f>IFERROR(__xludf.DUMMYFUNCTION("""COMPUTED_VALUE"""),"AASHI REMEDIES")</f>
        <v>AASHI REMEDIES</v>
      </c>
    </row>
    <row r="15">
      <c r="H15" s="19" t="str">
        <f>IFERROR(__xludf.DUMMYFUNCTION("""COMPUTED_VALUE"""),"AB")</f>
        <v>AB</v>
      </c>
    </row>
    <row r="16">
      <c r="H16" s="19" t="str">
        <f>IFERROR(__xludf.DUMMYFUNCTION("""COMPUTED_VALUE"""),"ABARIS HEALTHCARE")</f>
        <v>ABARIS HEALTHCARE</v>
      </c>
    </row>
    <row r="17" ht="15.75" customHeight="1">
      <c r="H17" s="19" t="str">
        <f>IFERROR(__xludf.DUMMYFUNCTION("""COMPUTED_VALUE"""),"ABARIS HEALTHCARE
")</f>
        <v>ABARIS HEALTHCARE
</v>
      </c>
    </row>
    <row r="18">
      <c r="H18" s="19" t="str">
        <f>IFERROR(__xludf.DUMMYFUNCTION("""COMPUTED_VALUE"""),"ABBEY DRUGS P LTD")</f>
        <v>ABBEY DRUGS P LTD</v>
      </c>
    </row>
    <row r="19">
      <c r="H19" s="19" t="str">
        <f>IFERROR(__xludf.DUMMYFUNCTION("""COMPUTED_VALUE"""),"ABBOTT (CARDI TASK FORCE)")</f>
        <v>ABBOTT (CARDI TASK FORCE)</v>
      </c>
    </row>
    <row r="20">
      <c r="H20" s="19" t="str">
        <f>IFERROR(__xludf.DUMMYFUNCTION("""COMPUTED_VALUE"""),"ABBOTT (CARDIOLOGY)")</f>
        <v>ABBOTT (CARDIOLOGY)</v>
      </c>
    </row>
    <row r="21">
      <c r="H21" s="19" t="str">
        <f>IFERROR(__xludf.DUMMYFUNCTION("""COMPUTED_VALUE"""),"ABBOTT (CNS)")</f>
        <v>ABBOTT (CNS)</v>
      </c>
    </row>
    <row r="22">
      <c r="H22" s="19" t="str">
        <f>IFERROR(__xludf.DUMMYFUNCTION("""COMPUTED_VALUE"""),"ABBOTT (CONSUMER)")</f>
        <v>ABBOTT (CONSUMER)</v>
      </c>
    </row>
    <row r="23">
      <c r="H23" s="19" t="str">
        <f>IFERROR(__xludf.DUMMYFUNCTION("""COMPUTED_VALUE"""),"ABBOTT (COVID)")</f>
        <v>ABBOTT (COVID)</v>
      </c>
    </row>
    <row r="24">
      <c r="H24" s="19" t="str">
        <f>IFERROR(__xludf.DUMMYFUNCTION("""COMPUTED_VALUE"""),"ABBOTT (CRITICAL CARE)")</f>
        <v>ABBOTT (CRITICAL CARE)</v>
      </c>
    </row>
    <row r="25">
      <c r="H25" s="19" t="str">
        <f>IFERROR(__xludf.DUMMYFUNCTION("""COMPUTED_VALUE"""),"ABBOTT (DIABETES)")</f>
        <v>ABBOTT (DIABETES)</v>
      </c>
    </row>
    <row r="26">
      <c r="H26" s="19" t="str">
        <f>IFERROR(__xludf.DUMMYFUNCTION("""COMPUTED_VALUE"""),"ABBOTT (FREE STYLE)")</f>
        <v>ABBOTT (FREE STYLE)</v>
      </c>
    </row>
    <row r="27">
      <c r="H27" s="19" t="str">
        <f>IFERROR(__xludf.DUMMYFUNCTION("""COMPUTED_VALUE"""),"ABBOTT (GASTRO)")</f>
        <v>ABBOTT (GASTRO)</v>
      </c>
    </row>
    <row r="28">
      <c r="H28" s="19" t="str">
        <f>IFERROR(__xludf.DUMMYFUNCTION("""COMPUTED_VALUE"""),"ABBOTT (GENERIC)")</f>
        <v>ABBOTT (GENERIC)</v>
      </c>
    </row>
    <row r="29">
      <c r="H29" s="19" t="str">
        <f>IFERROR(__xludf.DUMMYFUNCTION("""COMPUTED_VALUE"""),"ABBOTT (GI ADVANCE)")</f>
        <v>ABBOTT (GI ADVANCE)</v>
      </c>
    </row>
    <row r="30">
      <c r="H30" s="19" t="str">
        <f>IFERROR(__xludf.DUMMYFUNCTION("""COMPUTED_VALUE"""),"ABBOTT (LAN BROOK)")</f>
        <v>ABBOTT (LAN BROOK)</v>
      </c>
    </row>
    <row r="31">
      <c r="H31" s="19" t="str">
        <f>IFERROR(__xludf.DUMMYFUNCTION("""COMPUTED_VALUE"""),"ABBOTT (MAGNUS)")</f>
        <v>ABBOTT (MAGNUS)</v>
      </c>
    </row>
    <row r="32">
      <c r="H32" s="19" t="str">
        <f>IFERROR(__xludf.DUMMYFUNCTION("""COMPUTED_VALUE"""),"ABBOTT (MEDICAL OPTICS)")</f>
        <v>ABBOTT (MEDICAL OPTICS)</v>
      </c>
    </row>
    <row r="33">
      <c r="H33" s="19" t="str">
        <f>IFERROR(__xludf.DUMMYFUNCTION("""COMPUTED_VALUE"""),"ABBOTT (METABOLIC)")</f>
        <v>ABBOTT (METABOLIC)</v>
      </c>
    </row>
    <row r="34">
      <c r="H34" s="19" t="str">
        <f>IFERROR(__xludf.DUMMYFUNCTION("""COMPUTED_VALUE"""),"ABBOTT (MULTI THERAPY)")</f>
        <v>ABBOTT (MULTI THERAPY)</v>
      </c>
    </row>
    <row r="35">
      <c r="H35" s="19" t="str">
        <f>IFERROR(__xludf.DUMMYFUNCTION("""COMPUTED_VALUE"""),"ABBOTT (NEURO PSYCHIATRY)")</f>
        <v>ABBOTT (NEURO PSYCHIATRY)</v>
      </c>
    </row>
    <row r="36">
      <c r="H36" s="19" t="str">
        <f>IFERROR(__xludf.DUMMYFUNCTION("""COMPUTED_VALUE"""),"ABBOTT (NEUROLIFE)")</f>
        <v>ABBOTT (NEUROLIFE)</v>
      </c>
    </row>
    <row r="37">
      <c r="H37" s="19" t="str">
        <f>IFERROR(__xludf.DUMMYFUNCTION("""COMPUTED_VALUE"""),"ABBOTT (NOVA CARE)")</f>
        <v>ABBOTT (NOVA CARE)</v>
      </c>
    </row>
    <row r="38">
      <c r="H38" s="19" t="str">
        <f>IFERROR(__xludf.DUMMYFUNCTION("""COMPUTED_VALUE"""),"ABBOTT (NOVO NORDISK)")</f>
        <v>ABBOTT (NOVO NORDISK)</v>
      </c>
    </row>
    <row r="39">
      <c r="H39" s="19" t="str">
        <f>IFERROR(__xludf.DUMMYFUNCTION("""COMPUTED_VALUE"""),"ABBOTT (NUTRI)")</f>
        <v>ABBOTT (NUTRI)</v>
      </c>
    </row>
    <row r="40">
      <c r="H40" s="19" t="str">
        <f>IFERROR(__xludf.DUMMYFUNCTION("""COMPUTED_VALUE"""),"ABBOTT (ONCOLOGY)")</f>
        <v>ABBOTT (ONCOLOGY)</v>
      </c>
    </row>
    <row r="41">
      <c r="H41" s="19" t="str">
        <f>IFERROR(__xludf.DUMMYFUNCTION("""COMPUTED_VALUE"""),"ABBOTT (PRIMARY CARE)")</f>
        <v>ABBOTT (PRIMARY CARE)</v>
      </c>
    </row>
    <row r="42">
      <c r="H42" s="19" t="str">
        <f>IFERROR(__xludf.DUMMYFUNCTION("""COMPUTED_VALUE"""),"ABBOTT (WOMEN HEALTH)")</f>
        <v>ABBOTT (WOMEN HEALTH)</v>
      </c>
    </row>
    <row r="43">
      <c r="H43" s="19" t="str">
        <f>IFERROR(__xludf.DUMMYFUNCTION("""COMPUTED_VALUE"""),"ABBOTT (WOMEN HEALTHCARE FOSTERA)")</f>
        <v>ABBOTT (WOMEN HEALTHCARE FOSTERA)</v>
      </c>
    </row>
    <row r="44">
      <c r="H44" s="19" t="str">
        <f>IFERROR(__xludf.DUMMYFUNCTION("""COMPUTED_VALUE"""),"Abbott India Ltd")</f>
        <v>Abbott India Ltd</v>
      </c>
    </row>
    <row r="45">
      <c r="H45" s="19" t="str">
        <f>IFERROR(__xludf.DUMMYFUNCTION("""COMPUTED_VALUE"""),"ABBOTT INDIA LTD (OTC)")</f>
        <v>ABBOTT INDIA LTD (OTC)</v>
      </c>
    </row>
    <row r="46">
      <c r="H46" s="19" t="str">
        <f>IFERROR(__xludf.DUMMYFUNCTION("""COMPUTED_VALUE"""),"ABBOTT INDIA LTD (SOLVAY)")</f>
        <v>ABBOTT INDIA LTD (SOLVAY)</v>
      </c>
    </row>
    <row r="47">
      <c r="H47" s="19" t="str">
        <f>IFERROR(__xludf.DUMMYFUNCTION("""COMPUTED_VALUE"""),"Abbott India Ltd (SPECIALITY)")</f>
        <v>Abbott India Ltd (SPECIALITY)</v>
      </c>
    </row>
    <row r="48">
      <c r="H48" s="19" t="str">
        <f>IFERROR(__xludf.DUMMYFUNCTION("""COMPUTED_VALUE"""),"ABBOTT TRUECARE PHARMA")</f>
        <v>ABBOTT TRUECARE PHARMA</v>
      </c>
    </row>
    <row r="49">
      <c r="H49" s="19" t="str">
        <f>IFERROR(__xludf.DUMMYFUNCTION("""COMPUTED_VALUE"""),"ABHIJEET INDUSTRIES")</f>
        <v>ABHIJEET INDUSTRIES</v>
      </c>
    </row>
    <row r="50">
      <c r="H50" s="19" t="str">
        <f>IFERROR(__xludf.DUMMYFUNCTION("""COMPUTED_VALUE"""),"ABHILASHA AYURVEDIC PHARMACY")</f>
        <v>ABHILASHA AYURVEDIC PHARMACY</v>
      </c>
    </row>
    <row r="51">
      <c r="H51" s="19" t="str">
        <f>IFERROR(__xludf.DUMMYFUNCTION("""COMPUTED_VALUE"""),"ABIGAIL CARE PHARMACEUTICALS")</f>
        <v>ABIGAIL CARE PHARMACEUTICALS</v>
      </c>
    </row>
    <row r="52">
      <c r="H52" s="19" t="str">
        <f>IFERROR(__xludf.DUMMYFUNCTION("""COMPUTED_VALUE"""),"ABIL HEALTH CARE PVT LTD")</f>
        <v>ABIL HEALTH CARE PVT LTD</v>
      </c>
    </row>
    <row r="53">
      <c r="H53" s="19" t="str">
        <f>IFERROR(__xludf.DUMMYFUNCTION("""COMPUTED_VALUE"""),"ABL LIFECARE PVT LTD")</f>
        <v>ABL LIFECARE PVT LTD</v>
      </c>
    </row>
    <row r="54">
      <c r="H54" s="19" t="str">
        <f>IFERROR(__xludf.DUMMYFUNCTION("""COMPUTED_VALUE"""),"ABRIK REMEDIES")</f>
        <v>ABRIK REMEDIES</v>
      </c>
    </row>
    <row r="55">
      <c r="H55" s="19" t="str">
        <f>IFERROR(__xludf.DUMMYFUNCTION("""COMPUTED_VALUE"""),"ABROGATE HEALTHCARE P LTD")</f>
        <v>ABROGATE HEALTHCARE P LTD</v>
      </c>
    </row>
    <row r="56">
      <c r="H56" s="19" t="str">
        <f>IFERROR(__xludf.DUMMYFUNCTION("""COMPUTED_VALUE"""),"ABSOLUTE FORMULATION")</f>
        <v>ABSOLUTE FORMULATION</v>
      </c>
    </row>
    <row r="57">
      <c r="H57" s="19" t="str">
        <f>IFERROR(__xludf.DUMMYFUNCTION("""COMPUTED_VALUE"""),"ACCENDO PHARMACEUTICAL")</f>
        <v>ACCENDO PHARMACEUTICAL</v>
      </c>
    </row>
    <row r="58">
      <c r="H58" s="19" t="str">
        <f>IFERROR(__xludf.DUMMYFUNCTION("""COMPUTED_VALUE"""),"ACCILEX NUTRICORP (CRITICAL CARE)")</f>
        <v>ACCILEX NUTRICORP (CRITICAL CARE)</v>
      </c>
    </row>
    <row r="59">
      <c r="H59" s="19" t="str">
        <f>IFERROR(__xludf.DUMMYFUNCTION("""COMPUTED_VALUE"""),"ACCORD PHARMACEUTICALS")</f>
        <v>ACCORD PHARMACEUTICALS</v>
      </c>
    </row>
    <row r="60">
      <c r="H60" s="19" t="str">
        <f>IFERROR(__xludf.DUMMYFUNCTION("""COMPUTED_VALUE"""),"ACCURIS HEALTHCARE")</f>
        <v>ACCURIS HEALTHCARE</v>
      </c>
    </row>
    <row r="61">
      <c r="H61" s="19" t="str">
        <f>IFERROR(__xludf.DUMMYFUNCTION("""COMPUTED_VALUE"""),"ACE BIOTECH")</f>
        <v>ACE BIOTECH</v>
      </c>
    </row>
    <row r="62">
      <c r="H62" s="19" t="str">
        <f>IFERROR(__xludf.DUMMYFUNCTION("""COMPUTED_VALUE"""),"ACELA HEALTHCARE PVT LTD")</f>
        <v>ACELA HEALTHCARE PVT LTD</v>
      </c>
    </row>
    <row r="63">
      <c r="H63" s="19" t="str">
        <f>IFERROR(__xludf.DUMMYFUNCTION("""COMPUTED_VALUE"""),"ACICHEM LABORATORIES")</f>
        <v>ACICHEM LABORATORIES</v>
      </c>
    </row>
    <row r="64">
      <c r="H64" s="19" t="str">
        <f>IFERROR(__xludf.DUMMYFUNCTION("""COMPUTED_VALUE"""),"ACILUS PHARMA PVT LTD")</f>
        <v>ACILUS PHARMA PVT LTD</v>
      </c>
    </row>
    <row r="65">
      <c r="H65" s="19" t="str">
        <f>IFERROR(__xludf.DUMMYFUNCTION("""COMPUTED_VALUE"""),"ACINOM HEALTHCARE")</f>
        <v>ACINOM HEALTHCARE</v>
      </c>
    </row>
    <row r="66">
      <c r="H66" s="19" t="str">
        <f>IFERROR(__xludf.DUMMYFUNCTION("""COMPUTED_VALUE"""),"ACINTA PHARMACEUTICALS PVT LTD")</f>
        <v>ACINTA PHARMACEUTICALS PVT LTD</v>
      </c>
    </row>
    <row r="67">
      <c r="H67" s="19" t="str">
        <f>IFERROR(__xludf.DUMMYFUNCTION("""COMPUTED_VALUE"""),"ACME PHARMACEUTICALS")</f>
        <v>ACME PHARMACEUTICALS</v>
      </c>
    </row>
    <row r="68">
      <c r="H68" s="19" t="str">
        <f>IFERROR(__xludf.DUMMYFUNCTION("""COMPUTED_VALUE"""),"ACROMAT PHARMA LAB")</f>
        <v>ACROMAT PHARMA LAB</v>
      </c>
    </row>
    <row r="69">
      <c r="H69" s="19" t="str">
        <f>IFERROR(__xludf.DUMMYFUNCTION("""COMPUTED_VALUE"""),"ACTICON LIFE SCIENCES")</f>
        <v>ACTICON LIFE SCIENCES</v>
      </c>
    </row>
    <row r="70">
      <c r="H70" s="19" t="str">
        <f>IFERROR(__xludf.DUMMYFUNCTION("""COMPUTED_VALUE"""),"ACTOVIS LIFE CARE PVT LTD")</f>
        <v>ACTOVIS LIFE CARE PVT LTD</v>
      </c>
    </row>
    <row r="71">
      <c r="H71" s="19" t="str">
        <f>IFERROR(__xludf.DUMMYFUNCTION("""COMPUTED_VALUE"""),"ACUELIFE HEALTHCARE")</f>
        <v>ACUELIFE HEALTHCARE</v>
      </c>
    </row>
    <row r="72">
      <c r="H72" s="19" t="str">
        <f>IFERROR(__xludf.DUMMYFUNCTION("""COMPUTED_VALUE"""),"ACULIFE HEALTHCARE PVT LTD")</f>
        <v>ACULIFE HEALTHCARE PVT LTD</v>
      </c>
    </row>
    <row r="73">
      <c r="H73" s="19" t="str">
        <f>IFERROR(__xludf.DUMMYFUNCTION("""COMPUTED_VALUE"""),"ACURAGLOBE LLP")</f>
        <v>ACURAGLOBE LLP</v>
      </c>
    </row>
    <row r="74">
      <c r="H74" s="19" t="str">
        <f>IFERROR(__xludf.DUMMYFUNCTION("""COMPUTED_VALUE"""),"AD-VIK LABORATORIES")</f>
        <v>AD-VIK LABORATORIES</v>
      </c>
    </row>
    <row r="75">
      <c r="H75" s="19" t="str">
        <f>IFERROR(__xludf.DUMMYFUNCTION("""COMPUTED_VALUE"""),"ADALBERT HEALTHCARE")</f>
        <v>ADALBERT HEALTHCARE</v>
      </c>
    </row>
    <row r="76">
      <c r="H76" s="19" t="str">
        <f>IFERROR(__xludf.DUMMYFUNCTION("""COMPUTED_VALUE"""),"ADARSH PHARMACEUTICAL WORKS")</f>
        <v>ADARSH PHARMACEUTICAL WORKS</v>
      </c>
    </row>
    <row r="77">
      <c r="H77" s="19" t="str">
        <f>IFERROR(__xludf.DUMMYFUNCTION("""COMPUTED_VALUE"""),"Adcock Ingram (CFL)")</f>
        <v>Adcock Ingram (CFL)</v>
      </c>
    </row>
    <row r="78">
      <c r="H78" s="19" t="str">
        <f>IFERROR(__xludf.DUMMYFUNCTION("""COMPUTED_VALUE"""),"Adcock Ingram (COSMO)")</f>
        <v>Adcock Ingram (COSMO)</v>
      </c>
    </row>
    <row r="79">
      <c r="H79" s="19" t="str">
        <f>IFERROR(__xludf.DUMMYFUNCTION("""COMPUTED_VALUE"""),"Adcock Ingram (DERMA SKINCARE)")</f>
        <v>Adcock Ingram (DERMA SKINCARE)</v>
      </c>
    </row>
    <row r="80">
      <c r="H80" s="19" t="str">
        <f>IFERROR(__xludf.DUMMYFUNCTION("""COMPUTED_VALUE"""),"Adcock Ingram Healthcare Pvt Ltd")</f>
        <v>Adcock Ingram Healthcare Pvt Ltd</v>
      </c>
    </row>
    <row r="81">
      <c r="H81" s="19" t="str">
        <f>IFERROR(__xludf.DUMMYFUNCTION("""COMPUTED_VALUE"""),"ADCON LABS")</f>
        <v>ADCON LABS</v>
      </c>
    </row>
    <row r="82">
      <c r="H82" s="19" t="str">
        <f>IFERROR(__xludf.DUMMYFUNCTION("""COMPUTED_VALUE"""),"ADDII BIOTECH (ADRIVE)")</f>
        <v>ADDII BIOTECH (ADRIVE)</v>
      </c>
    </row>
    <row r="83">
      <c r="H83" s="19" t="str">
        <f>IFERROR(__xludf.DUMMYFUNCTION("""COMPUTED_VALUE"""),"ADDIS PHARMA")</f>
        <v>ADDIS PHARMA</v>
      </c>
    </row>
    <row r="84">
      <c r="H84" s="19" t="str">
        <f>IFERROR(__xludf.DUMMYFUNCTION("""COMPUTED_VALUE"""),"ADEL - MADDUS")</f>
        <v>ADEL - MADDUS</v>
      </c>
    </row>
    <row r="85">
      <c r="H85" s="19" t="str">
        <f>IFERROR(__xludf.DUMMYFUNCTION("""COMPUTED_VALUE"""),"ADELEY")</f>
        <v>ADELEY</v>
      </c>
    </row>
    <row r="86">
      <c r="H86" s="19" t="str">
        <f>IFERROR(__xludf.DUMMYFUNCTION("""COMPUTED_VALUE"""),"ADELINA LIFESCIENCES")</f>
        <v>ADELINA LIFESCIENCES</v>
      </c>
    </row>
    <row r="87">
      <c r="H87" s="19" t="str">
        <f>IFERROR(__xludf.DUMMYFUNCTION("""COMPUTED_VALUE"""),"ADIPS LABORATORIES LTD
")</f>
        <v>ADIPS LABORATORIES LTD
</v>
      </c>
    </row>
    <row r="88">
      <c r="H88" s="19" t="str">
        <f>IFERROR(__xludf.DUMMYFUNCTION("""COMPUTED_VALUE"""),"ADISTA HEALTHCARE INDIA P LTD")</f>
        <v>ADISTA HEALTHCARE INDIA P LTD</v>
      </c>
    </row>
    <row r="89">
      <c r="H89" s="19" t="str">
        <f>IFERROR(__xludf.DUMMYFUNCTION("""COMPUTED_VALUE"""),"ADITSA HEALTH CARE")</f>
        <v>ADITSA HEALTH CARE</v>
      </c>
    </row>
    <row r="90">
      <c r="H90" s="19" t="str">
        <f>IFERROR(__xludf.DUMMYFUNCTION("""COMPUTED_VALUE"""),"ADIVA PHARMA")</f>
        <v>ADIVA PHARMA</v>
      </c>
    </row>
    <row r="91">
      <c r="H91" s="19" t="str">
        <f>IFERROR(__xludf.DUMMYFUNCTION("""COMPUTED_VALUE"""),"ADLEY LAB")</f>
        <v>ADLEY LAB</v>
      </c>
    </row>
    <row r="92">
      <c r="H92" s="19" t="str">
        <f>IFERROR(__xludf.DUMMYFUNCTION("""COMPUTED_VALUE"""),"ADLEY LAB (SUPPORTIVE CARE)")</f>
        <v>ADLEY LAB (SUPPORTIVE CARE)</v>
      </c>
    </row>
    <row r="93">
      <c r="H93" s="19" t="str">
        <f>IFERROR(__xludf.DUMMYFUNCTION("""COMPUTED_VALUE"""),"ADMAC FORMULATIONS")</f>
        <v>ADMAC FORMULATIONS</v>
      </c>
    </row>
    <row r="94">
      <c r="H94" s="19" t="str">
        <f>IFERROR(__xludf.DUMMYFUNCTION("""COMPUTED_VALUE"""),"Admac Pharma Ltd")</f>
        <v>Admac Pharma Ltd</v>
      </c>
    </row>
    <row r="95">
      <c r="H95" s="19" t="str">
        <f>IFERROR(__xludf.DUMMYFUNCTION("""COMPUTED_VALUE"""),"ADMAN FORMULATION PVT LTD")</f>
        <v>ADMAN FORMULATION PVT LTD</v>
      </c>
    </row>
    <row r="96">
      <c r="H96" s="19" t="str">
        <f>IFERROR(__xludf.DUMMYFUNCTION("""COMPUTED_VALUE"""),"Adonis Laboratories Pvt Ltd")</f>
        <v>Adonis Laboratories Pvt Ltd</v>
      </c>
    </row>
    <row r="97">
      <c r="H97" s="19" t="str">
        <f>IFERROR(__xludf.DUMMYFUNCTION("""COMPUTED_VALUE"""),"Adroit Biomed Ltd")</f>
        <v>Adroit Biomed Ltd</v>
      </c>
    </row>
    <row r="98">
      <c r="H98" s="19" t="str">
        <f>IFERROR(__xludf.DUMMYFUNCTION("""COMPUTED_VALUE"""),"ADVANCE HEALTH CARE")</f>
        <v>ADVANCE HEALTH CARE</v>
      </c>
    </row>
    <row r="99">
      <c r="H99" s="19" t="str">
        <f>IFERROR(__xludf.DUMMYFUNCTION("""COMPUTED_VALUE"""),"ADVEN")</f>
        <v>ADVEN</v>
      </c>
    </row>
    <row r="100">
      <c r="H100" s="19" t="str">
        <f>IFERROR(__xludf.DUMMYFUNCTION("""COMPUTED_VALUE"""),"AEGIS HEALTH SOLUTION")</f>
        <v>AEGIS HEALTH SOLUTION</v>
      </c>
    </row>
    <row r="101">
      <c r="H101" s="19" t="str">
        <f>IFERROR(__xludf.DUMMYFUNCTION("""COMPUTED_VALUE"""),"AEGIS LIFESCIENCES PVT LTD")</f>
        <v>AEGIS LIFESCIENCES PVT LTD</v>
      </c>
    </row>
    <row r="102">
      <c r="H102" s="19" t="str">
        <f>IFERROR(__xludf.DUMMYFUNCTION("""COMPUTED_VALUE"""),"AEQUITAS HEALTHCARE PVT LTD")</f>
        <v>AEQUITAS HEALTHCARE PVT LTD</v>
      </c>
    </row>
    <row r="103">
      <c r="H103" s="19" t="str">
        <f>IFERROR(__xludf.DUMMYFUNCTION("""COMPUTED_VALUE"""),"AERAN LAB INDIA PVT LTD")</f>
        <v>AERAN LAB INDIA PVT LTD</v>
      </c>
    </row>
    <row r="104">
      <c r="H104" s="19" t="str">
        <f>IFERROR(__xludf.DUMMYFUNCTION("""COMPUTED_VALUE"""),"AEROLIFE INDIA HEALTHCARE")</f>
        <v>AEROLIFE INDIA HEALTHCARE</v>
      </c>
    </row>
    <row r="105">
      <c r="H105" s="19" t="str">
        <f>IFERROR(__xludf.DUMMYFUNCTION("""COMPUTED_VALUE"""),"AESMIRA")</f>
        <v>AESMIRA</v>
      </c>
    </row>
    <row r="106">
      <c r="H106" s="19" t="str">
        <f>IFERROR(__xludf.DUMMYFUNCTION("""COMPUTED_VALUE"""),"AESPIRE FORMULATIONS PVT LTD")</f>
        <v>AESPIRE FORMULATIONS PVT LTD</v>
      </c>
    </row>
    <row r="107">
      <c r="H107" s="19" t="str">
        <f>IFERROR(__xludf.DUMMYFUNCTION("""COMPUTED_VALUE"""),"AESTHETIX COSMECEUTICALS")</f>
        <v>AESTHETIX COSMECEUTICALS</v>
      </c>
    </row>
    <row r="108">
      <c r="H108" s="19" t="str">
        <f>IFERROR(__xludf.DUMMYFUNCTION("""COMPUTED_VALUE"""),"AFALI PHARMA")</f>
        <v>AFALI PHARMA</v>
      </c>
    </row>
    <row r="109">
      <c r="H109" s="19" t="str">
        <f>IFERROR(__xludf.DUMMYFUNCTION("""COMPUTED_VALUE"""),"AFEX PHARMACEUTICALS")</f>
        <v>AFEX PHARMACEUTICALS</v>
      </c>
    </row>
    <row r="110">
      <c r="H110" s="19" t="str">
        <f>IFERROR(__xludf.DUMMYFUNCTION("""COMPUTED_VALUE"""),"AFFINE FORMULATION P LTD SOLAN")</f>
        <v>AFFINE FORMULATION P LTD SOLAN</v>
      </c>
    </row>
    <row r="111">
      <c r="H111" s="19" t="str">
        <f>IFERROR(__xludf.DUMMYFUNCTION("""COMPUTED_VALUE"""),"AFFLATUS PHARMACEUTICALS PVT LTD")</f>
        <v>AFFLATUS PHARMACEUTICALS PVT LTD</v>
      </c>
    </row>
    <row r="112">
      <c r="H112" s="19" t="str">
        <f>IFERROR(__xludf.DUMMYFUNCTION("""COMPUTED_VALUE"""),"AFFY PARENTERALS BADDI")</f>
        <v>AFFY PARENTERALS BADDI</v>
      </c>
    </row>
    <row r="113">
      <c r="H113" s="19" t="str">
        <f>IFERROR(__xludf.DUMMYFUNCTION("""COMPUTED_VALUE"""),"AFFY PHARMA PVT LTD")</f>
        <v>AFFY PHARMA PVT LTD</v>
      </c>
    </row>
    <row r="114">
      <c r="H114" s="19" t="str">
        <f>IFERROR(__xludf.DUMMYFUNCTION("""COMPUTED_VALUE"""),"AFIVE PHARMACEUTICALS")</f>
        <v>AFIVE PHARMACEUTICALS</v>
      </c>
    </row>
    <row r="115">
      <c r="H115" s="19" t="str">
        <f>IFERROR(__xludf.DUMMYFUNCTION("""COMPUTED_VALUE"""),"AG BIOTECH")</f>
        <v>AG BIOTECH</v>
      </c>
    </row>
    <row r="116">
      <c r="H116" s="19" t="str">
        <f>IFERROR(__xludf.DUMMYFUNCTION("""COMPUTED_VALUE"""),"AGIO Pharmaceuticals Ltd")</f>
        <v>AGIO Pharmaceuticals Ltd</v>
      </c>
    </row>
    <row r="117">
      <c r="H117" s="19" t="str">
        <f>IFERROR(__xludf.DUMMYFUNCTION("""COMPUTED_VALUE"""),"Aglowmed Drugs Pvt   Ltd")</f>
        <v>Aglowmed Drugs Pvt   Ltd</v>
      </c>
    </row>
    <row r="118">
      <c r="H118" s="19" t="str">
        <f>IFERROR(__xludf.DUMMYFUNCTION("""COMPUTED_VALUE"""),"Aglowmed Drugs Pvt. Ltd.")</f>
        <v>Aglowmed Drugs Pvt. Ltd.</v>
      </c>
    </row>
    <row r="119">
      <c r="H119" s="19" t="str">
        <f>IFERROR(__xludf.DUMMYFUNCTION("""COMPUTED_VALUE"""),"AGM BIOTECH")</f>
        <v>AGM BIOTECH</v>
      </c>
    </row>
    <row r="120">
      <c r="H120" s="19" t="str">
        <f>IFERROR(__xludf.DUMMYFUNCTION("""COMPUTED_VALUE"""),"Agron India Ltd")</f>
        <v>Agron India Ltd</v>
      </c>
    </row>
    <row r="121">
      <c r="H121" s="19" t="str">
        <f>IFERROR(__xludf.DUMMYFUNCTION("""COMPUTED_VALUE"""),"Agron Remedies Pvt. Ltd")</f>
        <v>Agron Remedies Pvt. Ltd</v>
      </c>
    </row>
    <row r="122">
      <c r="H122" s="19" t="str">
        <f>IFERROR(__xludf.DUMMYFUNCTION("""COMPUTED_VALUE"""),"AGROSAFE PHARMACEUTICALS")</f>
        <v>AGROSAFE PHARMACEUTICALS</v>
      </c>
    </row>
    <row r="123">
      <c r="H123" s="19" t="str">
        <f>IFERROR(__xludf.DUMMYFUNCTION("""COMPUTED_VALUE"""),"AGROW PHARMA")</f>
        <v>AGROW PHARMA</v>
      </c>
    </row>
    <row r="124">
      <c r="H124" s="19" t="str">
        <f>IFERROR(__xludf.DUMMYFUNCTION("""COMPUTED_VALUE"""),"AGUS WORLD")</f>
        <v>AGUS WORLD</v>
      </c>
    </row>
    <row r="125">
      <c r="H125" s="19" t="str">
        <f>IFERROR(__xludf.DUMMYFUNCTION("""COMPUTED_VALUE"""),"AIMIL PHARMACEUTICALS")</f>
        <v>AIMIL PHARMACEUTICALS</v>
      </c>
    </row>
    <row r="126">
      <c r="H126" s="19" t="str">
        <f>IFERROR(__xludf.DUMMYFUNCTION("""COMPUTED_VALUE"""),"AIMIL PHARMACEUTICALS (XYLO)")</f>
        <v>AIMIL PHARMACEUTICALS (XYLO)</v>
      </c>
    </row>
    <row r="127">
      <c r="H127" s="19" t="str">
        <f>IFERROR(__xludf.DUMMYFUNCTION("""COMPUTED_VALUE"""),"AINE LIFE SCIENCE")</f>
        <v>AINE LIFE SCIENCE</v>
      </c>
    </row>
    <row r="128">
      <c r="H128" s="19" t="str">
        <f>IFERROR(__xludf.DUMMYFUNCTION("""COMPUTED_VALUE"""),"AISHWARYA HEALTHCARE")</f>
        <v>AISHWARYA HEALTHCARE</v>
      </c>
    </row>
    <row r="129">
      <c r="H129" s="19" t="str">
        <f>IFERROR(__xludf.DUMMYFUNCTION("""COMPUTED_VALUE"""),"AISLIN FORMULATION PVT LTD")</f>
        <v>AISLIN FORMULATION PVT LTD</v>
      </c>
    </row>
    <row r="130">
      <c r="H130" s="19" t="str">
        <f>IFERROR(__xludf.DUMMYFUNCTION("""COMPUTED_VALUE"""),"AJANTA PHARMA (ALMIRON)")</f>
        <v>AJANTA PHARMA (ALMIRON)</v>
      </c>
    </row>
    <row r="131">
      <c r="H131" s="19" t="str">
        <f>IFERROR(__xludf.DUMMYFUNCTION("""COMPUTED_VALUE"""),"AJANTA PHARMA (ANVAXX)")</f>
        <v>AJANTA PHARMA (ANVAXX)</v>
      </c>
    </row>
    <row r="132">
      <c r="H132" s="19" t="str">
        <f>IFERROR(__xludf.DUMMYFUNCTION("""COMPUTED_VALUE"""),"AJANTA PHARMA (AUREUS)")</f>
        <v>AJANTA PHARMA (AUREUS)</v>
      </c>
    </row>
    <row r="133">
      <c r="H133" s="19" t="str">
        <f>IFERROR(__xludf.DUMMYFUNCTION("""COMPUTED_VALUE"""),"AJANTA PHARMA (AVECIA)")</f>
        <v>AJANTA PHARMA (AVECIA)</v>
      </c>
    </row>
    <row r="134">
      <c r="H134" s="19" t="str">
        <f>IFERROR(__xludf.DUMMYFUNCTION("""COMPUTED_VALUE"""),"AJANTA PHARMA (AXYS)")</f>
        <v>AJANTA PHARMA (AXYS)</v>
      </c>
    </row>
    <row r="135">
      <c r="H135" s="19" t="str">
        <f>IFERROR(__xludf.DUMMYFUNCTION("""COMPUTED_VALUE"""),"AJANTA PHARMA (CDC)")</f>
        <v>AJANTA PHARMA (CDC)</v>
      </c>
    </row>
    <row r="136">
      <c r="H136" s="19" t="str">
        <f>IFERROR(__xludf.DUMMYFUNCTION("""COMPUTED_VALUE"""),"AJANTA PHARMA (GENERIC)")</f>
        <v>AJANTA PHARMA (GENERIC)</v>
      </c>
    </row>
    <row r="137">
      <c r="H137" s="19" t="str">
        <f>IFERROR(__xludf.DUMMYFUNCTION("""COMPUTED_VALUE"""),"AJANTA PHARMA (ILLUMA)")</f>
        <v>AJANTA PHARMA (ILLUMA)</v>
      </c>
    </row>
    <row r="138">
      <c r="H138" s="19" t="str">
        <f>IFERROR(__xludf.DUMMYFUNCTION("""COMPUTED_VALUE"""),"AJANTA PHARMA (INOVIO)")</f>
        <v>AJANTA PHARMA (INOVIO)</v>
      </c>
    </row>
    <row r="139">
      <c r="H139" s="19" t="str">
        <f>IFERROR(__xludf.DUMMYFUNCTION("""COMPUTED_VALUE"""),"AJANTA PHARMA (INYX)")</f>
        <v>AJANTA PHARMA (INYX)</v>
      </c>
    </row>
    <row r="140">
      <c r="H140" s="19" t="str">
        <f>IFERROR(__xludf.DUMMYFUNCTION("""COMPUTED_VALUE"""),"AJANTA PHARMA (MEXLON)")</f>
        <v>AJANTA PHARMA (MEXLON)</v>
      </c>
    </row>
    <row r="141">
      <c r="H141" s="19" t="str">
        <f>IFERROR(__xludf.DUMMYFUNCTION("""COMPUTED_VALUE"""),"AJANTA PHARMA (NUVENTA)")</f>
        <v>AJANTA PHARMA (NUVENTA)</v>
      </c>
    </row>
    <row r="142">
      <c r="H142" s="19" t="str">
        <f>IFERROR(__xludf.DUMMYFUNCTION("""COMPUTED_VALUE"""),"AJANTA PHARMA (PRISMA)")</f>
        <v>AJANTA PHARMA (PRISMA)</v>
      </c>
    </row>
    <row r="143">
      <c r="H143" s="19" t="str">
        <f>IFERROR(__xludf.DUMMYFUNCTION("""COMPUTED_VALUE"""),"AJANTA PHARMA (SOLESTA)")</f>
        <v>AJANTA PHARMA (SOLESTA)</v>
      </c>
    </row>
    <row r="144">
      <c r="H144" s="19" t="str">
        <f>IFERROR(__xludf.DUMMYFUNCTION("""COMPUTED_VALUE"""),"AJANTA PHARMA (ZILLION SPE)")</f>
        <v>AJANTA PHARMA (ZILLION SPE)</v>
      </c>
    </row>
    <row r="145">
      <c r="H145" s="19" t="str">
        <f>IFERROR(__xludf.DUMMYFUNCTION("""COMPUTED_VALUE"""),"AJANTA PHARMA (ZILLION)")</f>
        <v>AJANTA PHARMA (ZILLION)</v>
      </c>
    </row>
    <row r="146">
      <c r="H146" s="19" t="str">
        <f>IFERROR(__xludf.DUMMYFUNCTION("""COMPUTED_VALUE"""),"Ajanta Pharma Ltd")</f>
        <v>Ajanta Pharma Ltd</v>
      </c>
    </row>
    <row r="147">
      <c r="H147" s="19" t="str">
        <f>IFERROR(__xludf.DUMMYFUNCTION("""COMPUTED_VALUE"""),"AJES PHARMA")</f>
        <v>AJES PHARMA</v>
      </c>
    </row>
    <row r="148">
      <c r="H148" s="19" t="str">
        <f>IFERROR(__xludf.DUMMYFUNCTION("""COMPUTED_VALUE"""),"AJIT AYURVEDA")</f>
        <v>AJIT AYURVEDA</v>
      </c>
    </row>
    <row r="149">
      <c r="H149" s="19" t="str">
        <f>IFERROR(__xludf.DUMMYFUNCTION("""COMPUTED_VALUE"""),"AKOGNOS LIFE SCIENCES")</f>
        <v>AKOGNOS LIFE SCIENCES</v>
      </c>
    </row>
    <row r="150">
      <c r="H150" s="19" t="str">
        <f>IFERROR(__xludf.DUMMYFUNCTION("""COMPUTED_VALUE"""),"AKPASH PHARMA INDORE")</f>
        <v>AKPASH PHARMA INDORE</v>
      </c>
    </row>
    <row r="151">
      <c r="H151" s="19" t="str">
        <f>IFERROR(__xludf.DUMMYFUNCTION("""COMPUTED_VALUE"""),"AKSH PHARMA")</f>
        <v>AKSH PHARMA</v>
      </c>
    </row>
    <row r="152">
      <c r="H152" s="19" t="str">
        <f>IFERROR(__xludf.DUMMYFUNCTION("""COMPUTED_VALUE"""),"AKSHAY AYURVED BHAWAN")</f>
        <v>AKSHAY AYURVED BHAWAN</v>
      </c>
    </row>
    <row r="153">
      <c r="H153" s="19" t="str">
        <f>IFERROR(__xludf.DUMMYFUNCTION("""COMPUTED_VALUE"""),"AKSHAY PHARMA")</f>
        <v>AKSHAY PHARMA</v>
      </c>
    </row>
    <row r="154">
      <c r="H154" s="19" t="str">
        <f>IFERROR(__xludf.DUMMYFUNCTION("""COMPUTED_VALUE"""),"Aksigen Hospital Care")</f>
        <v>Aksigen Hospital Care</v>
      </c>
    </row>
    <row r="155">
      <c r="H155" s="19" t="str">
        <f>IFERROR(__xludf.DUMMYFUNCTION("""COMPUTED_VALUE"""),"Akumentis Healthcare Ltd")</f>
        <v>Akumentis Healthcare Ltd</v>
      </c>
    </row>
    <row r="156">
      <c r="H156" s="19" t="str">
        <f>IFERROR(__xludf.DUMMYFUNCTION("""COMPUTED_VALUE"""),"AKUMENTIS HEALTHCARE LTD (ADMIRIS)")</f>
        <v>AKUMENTIS HEALTHCARE LTD (ADMIRIS)</v>
      </c>
    </row>
    <row r="157">
      <c r="H157" s="19" t="str">
        <f>IFERROR(__xludf.DUMMYFUNCTION("""COMPUTED_VALUE"""),"AKUMENTIS HEALTHCARE LTD (CRETIS)")</f>
        <v>AKUMENTIS HEALTHCARE LTD (CRETIS)</v>
      </c>
    </row>
    <row r="158">
      <c r="H158" s="19" t="str">
        <f>IFERROR(__xludf.DUMMYFUNCTION("""COMPUTED_VALUE"""),"AKUMENTIS HEALTHCARE LTD (HARMONICA)")</f>
        <v>AKUMENTIS HEALTHCARE LTD (HARMONICA)</v>
      </c>
    </row>
    <row r="159">
      <c r="H159" s="19" t="str">
        <f>IFERROR(__xludf.DUMMYFUNCTION("""COMPUTED_VALUE"""),"AKUMENTIS HEALTHCARE LTD (HOSMED)")</f>
        <v>AKUMENTIS HEALTHCARE LTD (HOSMED)</v>
      </c>
    </row>
    <row r="160">
      <c r="H160" s="19" t="str">
        <f>IFERROR(__xludf.DUMMYFUNCTION("""COMPUTED_VALUE"""),"AKUMENTIS HEALTHCARE LTD (NOVALTIS)")</f>
        <v>AKUMENTIS HEALTHCARE LTD (NOVALTIS)</v>
      </c>
    </row>
    <row r="161">
      <c r="H161" s="19" t="str">
        <f>IFERROR(__xludf.DUMMYFUNCTION("""COMPUTED_VALUE"""),"AKUMENTIS HEALTHCARE LTD (OSTEON)")</f>
        <v>AKUMENTIS HEALTHCARE LTD (OSTEON)</v>
      </c>
    </row>
    <row r="162">
      <c r="H162" s="19" t="str">
        <f>IFERROR(__xludf.DUMMYFUNCTION("""COMPUTED_VALUE"""),"AKUMENTIS HEALTHCARE LTD (VIVIANA)")</f>
        <v>AKUMENTIS HEALTHCARE LTD (VIVIANA)</v>
      </c>
    </row>
    <row r="163">
      <c r="H163" s="19" t="str">
        <f>IFERROR(__xludf.DUMMYFUNCTION("""COMPUTED_VALUE"""),"Akums Drugs &amp; Pharmaceuticals Ltd")</f>
        <v>Akums Drugs &amp; Pharmaceuticals Ltd</v>
      </c>
    </row>
    <row r="164">
      <c r="H164" s="19" t="str">
        <f>IFERROR(__xludf.DUMMYFUNCTION("""COMPUTED_VALUE"""),"ALAKNANDA HERBAL")</f>
        <v>ALAKNANDA HERBAL</v>
      </c>
    </row>
    <row r="165">
      <c r="H165" s="19" t="str">
        <f>IFERROR(__xludf.DUMMYFUNCTION("""COMPUTED_VALUE"""),"Alarsin Pharmaceuticals")</f>
        <v>Alarsin Pharmaceuticals</v>
      </c>
    </row>
    <row r="166">
      <c r="H166" s="19" t="str">
        <f>IFERROR(__xludf.DUMMYFUNCTION("""COMPUTED_VALUE"""),"ALASTER HEALTH CARE")</f>
        <v>ALASTER HEALTH CARE</v>
      </c>
    </row>
    <row r="167">
      <c r="H167" s="19" t="str">
        <f>IFERROR(__xludf.DUMMYFUNCTION("""COMPUTED_VALUE"""),"ALBATROSS HEALTHCARE")</f>
        <v>ALBATROSS HEALTHCARE</v>
      </c>
    </row>
    <row r="168">
      <c r="H168" s="19" t="str">
        <f>IFERROR(__xludf.DUMMYFUNCTION("""COMPUTED_VALUE"""),"Albert David Ltd")</f>
        <v>Albert David Ltd</v>
      </c>
    </row>
    <row r="169">
      <c r="H169" s="19" t="str">
        <f>IFERROR(__xludf.DUMMYFUNCTION("""COMPUTED_VALUE"""),"ALBERTA MEDICARE P LTD")</f>
        <v>ALBERTA MEDICARE P LTD</v>
      </c>
    </row>
    <row r="170">
      <c r="H170" s="19" t="str">
        <f>IFERROR(__xludf.DUMMYFUNCTION("""COMPUTED_VALUE"""),"ALBINO PHARMACEUTICALS PVT LTD")</f>
        <v>ALBINO PHARMACEUTICALS PVT LTD</v>
      </c>
    </row>
    <row r="171">
      <c r="H171" s="19" t="str">
        <f>IFERROR(__xludf.DUMMYFUNCTION("""COMPUTED_VALUE"""),"ALBRIS HEALTHCARE &amp; BIOTECH PVT. LTD.")</f>
        <v>ALBRIS HEALTHCARE &amp; BIOTECH PVT. LTD.</v>
      </c>
    </row>
    <row r="172">
      <c r="H172" s="19" t="str">
        <f>IFERROR(__xludf.DUMMYFUNCTION("""COMPUTED_VALUE"""),"ALBRUS")</f>
        <v>ALBRUS</v>
      </c>
    </row>
    <row r="173">
      <c r="H173" s="19" t="str">
        <f>IFERROR(__xludf.DUMMYFUNCTION("""COMPUTED_VALUE"""),"ALCHEM PHYTOCEUTICAL")</f>
        <v>ALCHEM PHYTOCEUTICAL</v>
      </c>
    </row>
    <row r="174">
      <c r="H174" s="19" t="str">
        <f>IFERROR(__xludf.DUMMYFUNCTION("""COMPUTED_VALUE"""),"Alchemist Life Science")</f>
        <v>Alchemist Life Science</v>
      </c>
    </row>
    <row r="175">
      <c r="H175" s="19" t="str">
        <f>IFERROR(__xludf.DUMMYFUNCTION("""COMPUTED_VALUE"""),"ALCO LABS")</f>
        <v>ALCO LABS</v>
      </c>
    </row>
    <row r="176">
      <c r="H176" s="19" t="str">
        <f>IFERROR(__xludf.DUMMYFUNCTION("""COMPUTED_VALUE"""),"Alcon Laboratories")</f>
        <v>Alcon Laboratories</v>
      </c>
    </row>
    <row r="177">
      <c r="H177" s="19" t="str">
        <f>IFERROR(__xludf.DUMMYFUNCTION("""COMPUTED_VALUE"""),"ALCURE PHARMACEUTICAL LABORATORIES INDIA PVT LTD")</f>
        <v>ALCURE PHARMACEUTICAL LABORATORIES INDIA PVT LTD</v>
      </c>
    </row>
    <row r="178">
      <c r="H178" s="19" t="str">
        <f>IFERROR(__xludf.DUMMYFUNCTION("""COMPUTED_VALUE"""),"ALCURE PHARMACEUTICALS")</f>
        <v>ALCURE PHARMACEUTICALS</v>
      </c>
    </row>
    <row r="179">
      <c r="H179" s="19" t="str">
        <f>IFERROR(__xludf.DUMMYFUNCTION("""COMPUTED_VALUE"""),"ALDE VISION")</f>
        <v>ALDE VISION</v>
      </c>
    </row>
    <row r="180">
      <c r="H180" s="19" t="str">
        <f>IFERROR(__xludf.DUMMYFUNCTION("""COMPUTED_VALUE"""),"ALDER PHARMACEUTICAL")</f>
        <v>ALDER PHARMACEUTICAL</v>
      </c>
    </row>
    <row r="181">
      <c r="H181" s="19" t="str">
        <f>IFERROR(__xludf.DUMMYFUNCTION("""COMPUTED_VALUE"""),"ALEMBIC (ALCARE)")</f>
        <v>ALEMBIC (ALCARE)</v>
      </c>
    </row>
    <row r="182">
      <c r="H182" s="19" t="str">
        <f>IFERROR(__xludf.DUMMYFUNCTION("""COMPUTED_VALUE"""),"ALEMBIC (CORAZON)")</f>
        <v>ALEMBIC (CORAZON)</v>
      </c>
    </row>
    <row r="183">
      <c r="H183" s="19" t="str">
        <f>IFERROR(__xludf.DUMMYFUNCTION("""COMPUTED_VALUE"""),"ALEMBIC (DERMA)")</f>
        <v>ALEMBIC (DERMA)</v>
      </c>
    </row>
    <row r="184">
      <c r="H184" s="19" t="str">
        <f>IFERROR(__xludf.DUMMYFUNCTION("""COMPUTED_VALUE"""),"ALEMBIC (ELENA)")</f>
        <v>ALEMBIC (ELENA)</v>
      </c>
    </row>
    <row r="185">
      <c r="H185" s="19" t="str">
        <f>IFERROR(__xludf.DUMMYFUNCTION("""COMPUTED_VALUE"""),"ALEMBIC (ENTERON)")</f>
        <v>ALEMBIC (ENTERON)</v>
      </c>
    </row>
    <row r="186">
      <c r="H186" s="19" t="str">
        <f>IFERROR(__xludf.DUMMYFUNCTION("""COMPUTED_VALUE"""),"ALEMBIC (GASTRON)")</f>
        <v>ALEMBIC (GASTRON)</v>
      </c>
    </row>
    <row r="187">
      <c r="H187" s="19" t="str">
        <f>IFERROR(__xludf.DUMMYFUNCTION("""COMPUTED_VALUE"""),"ALEMBIC (GENERIC)")</f>
        <v>ALEMBIC (GENERIC)</v>
      </c>
    </row>
    <row r="188">
      <c r="H188" s="19" t="str">
        <f>IFERROR(__xludf.DUMMYFUNCTION("""COMPUTED_VALUE"""),"ALEMBIC (MAIN)")</f>
        <v>ALEMBIC (MAIN)</v>
      </c>
    </row>
    <row r="189">
      <c r="H189" s="19" t="str">
        <f>IFERROR(__xludf.DUMMYFUNCTION("""COMPUTED_VALUE"""),"ALEMBIC (MAXIS)")</f>
        <v>ALEMBIC (MAXIS)</v>
      </c>
    </row>
    <row r="190">
      <c r="H190" s="19" t="str">
        <f>IFERROR(__xludf.DUMMYFUNCTION("""COMPUTED_VALUE"""),"ALEMBIC (MEGACARE)")</f>
        <v>ALEMBIC (MEGACARE)</v>
      </c>
    </row>
    <row r="191">
      <c r="H191" s="19" t="str">
        <f>IFERROR(__xludf.DUMMYFUNCTION("""COMPUTED_VALUE"""),"ALEMBIC (MITON)")</f>
        <v>ALEMBIC (MITON)</v>
      </c>
    </row>
    <row r="192">
      <c r="H192" s="19" t="str">
        <f>IFERROR(__xludf.DUMMYFUNCTION("""COMPUTED_VALUE"""),"ALEMBIC (OSTOFIT)")</f>
        <v>ALEMBIC (OSTOFIT)</v>
      </c>
    </row>
    <row r="193">
      <c r="H193" s="19" t="str">
        <f>IFERROR(__xludf.DUMMYFUNCTION("""COMPUTED_VALUE"""),"ALEMBIC (OURON)")</f>
        <v>ALEMBIC (OURON)</v>
      </c>
    </row>
    <row r="194">
      <c r="H194" s="19" t="str">
        <f>IFERROR(__xludf.DUMMYFUNCTION("""COMPUTED_VALUE"""),"ALEMBIC (SPECIA)")</f>
        <v>ALEMBIC (SPECIA)</v>
      </c>
    </row>
    <row r="195">
      <c r="H195" s="19" t="str">
        <f>IFERROR(__xludf.DUMMYFUNCTION("""COMPUTED_VALUE"""),"ALEMBIC (SUMMIT)")</f>
        <v>ALEMBIC (SUMMIT)</v>
      </c>
    </row>
    <row r="196">
      <c r="H196" s="19" t="str">
        <f>IFERROR(__xludf.DUMMYFUNCTION("""COMPUTED_VALUE"""),"ALEMBIC (SUPRACARE)")</f>
        <v>ALEMBIC (SUPRACARE)</v>
      </c>
    </row>
    <row r="197">
      <c r="H197" s="19" t="str">
        <f>IFERROR(__xludf.DUMMYFUNCTION("""COMPUTED_VALUE"""),"ALEMBIC (URONE)")</f>
        <v>ALEMBIC (URONE)</v>
      </c>
    </row>
    <row r="198">
      <c r="H198" s="19" t="str">
        <f>IFERROR(__xludf.DUMMYFUNCTION("""COMPUTED_VALUE"""),"ALEMBIC (ZENOVI)")</f>
        <v>ALEMBIC (ZENOVI)</v>
      </c>
    </row>
    <row r="199">
      <c r="H199" s="19" t="str">
        <f>IFERROR(__xludf.DUMMYFUNCTION("""COMPUTED_VALUE"""),"Alembic Pharmaceuticals Ltd")</f>
        <v>Alembic Pharmaceuticals Ltd</v>
      </c>
    </row>
    <row r="200">
      <c r="H200" s="19" t="str">
        <f>IFERROR(__xludf.DUMMYFUNCTION("""COMPUTED_VALUE"""),"Alencure Biotech P Ltd")</f>
        <v>Alencure Biotech P Ltd</v>
      </c>
    </row>
    <row r="201">
      <c r="H201" s="19" t="str">
        <f>IFERROR(__xludf.DUMMYFUNCTION("""COMPUTED_VALUE"""),"ALENVISION PHARMA PVT LTD")</f>
        <v>ALENVISION PHARMA PVT LTD</v>
      </c>
    </row>
    <row r="202">
      <c r="H202" s="19" t="str">
        <f>IFERROR(__xludf.DUMMYFUNCTION("""COMPUTED_VALUE"""),"ALEXIA HEALTHCARE")</f>
        <v>ALEXIA HEALTHCARE</v>
      </c>
    </row>
    <row r="203">
      <c r="H203" s="19" t="str">
        <f>IFERROR(__xludf.DUMMYFUNCTION("""COMPUTED_VALUE"""),"ALIGENT COSMETOLOGY")</f>
        <v>ALIGENT COSMETOLOGY</v>
      </c>
    </row>
    <row r="204">
      <c r="H204" s="19" t="str">
        <f>IFERROR(__xludf.DUMMYFUNCTION("""COMPUTED_VALUE"""),"ALIO LIFESCIENCES")</f>
        <v>ALIO LIFESCIENCES</v>
      </c>
    </row>
    <row r="205">
      <c r="H205" s="19" t="str">
        <f>IFERROR(__xludf.DUMMYFUNCTION("""COMPUTED_VALUE"""),"ALISIER DRUGS")</f>
        <v>ALISIER DRUGS</v>
      </c>
    </row>
    <row r="206">
      <c r="H206" s="19" t="str">
        <f>IFERROR(__xludf.DUMMYFUNCTION("""COMPUTED_VALUE"""),"ALISTE HEALTHCARE PVT. LTD.")</f>
        <v>ALISTE HEALTHCARE PVT. LTD.</v>
      </c>
    </row>
    <row r="207">
      <c r="H207" s="19" t="str">
        <f>IFERROR(__xludf.DUMMYFUNCTION("""COMPUTED_VALUE"""),"ALIV HELTH CARE SOLAN")</f>
        <v>ALIV HELTH CARE SOLAN</v>
      </c>
    </row>
    <row r="208">
      <c r="H208" s="19" t="str">
        <f>IFERROR(__xludf.DUMMYFUNCTION("""COMPUTED_VALUE"""),"ALIXAR HEALTHCARE")</f>
        <v>ALIXAR HEALTHCARE</v>
      </c>
    </row>
    <row r="209">
      <c r="H209" s="19" t="str">
        <f>IFERROR(__xludf.DUMMYFUNCTION("""COMPUTED_VALUE"""),"ALKA CHEMICAL INDUSTRIES")</f>
        <v>ALKA CHEMICAL INDUSTRIES</v>
      </c>
    </row>
    <row r="210">
      <c r="H210" s="19" t="str">
        <f>IFERROR(__xludf.DUMMYFUNCTION("""COMPUTED_VALUE"""),"ALKA PHARMACEUTICALS")</f>
        <v>ALKA PHARMACEUTICALS</v>
      </c>
    </row>
    <row r="211">
      <c r="H211" s="19" t="str">
        <f>IFERROR(__xludf.DUMMYFUNCTION("""COMPUTED_VALUE"""),"ALKEM (ACE)")</f>
        <v>ALKEM (ACE)</v>
      </c>
    </row>
    <row r="212">
      <c r="H212" s="19" t="str">
        <f>IFERROR(__xludf.DUMMYFUNCTION("""COMPUTED_VALUE"""),"ALKEM (ALPHA)")</f>
        <v>ALKEM (ALPHA)</v>
      </c>
    </row>
    <row r="213">
      <c r="H213" s="19" t="str">
        <f>IFERROR(__xludf.DUMMYFUNCTION("""COMPUTED_VALUE"""),"ALKEM (ALPHAMAX)")</f>
        <v>ALKEM (ALPHAMAX)</v>
      </c>
    </row>
    <row r="214">
      <c r="H214" s="19" t="str">
        <f>IFERROR(__xludf.DUMMYFUNCTION("""COMPUTED_VALUE"""),"ALKEM (ALTIS)")</f>
        <v>ALKEM (ALTIS)</v>
      </c>
    </row>
    <row r="215">
      <c r="H215" s="19" t="str">
        <f>IFERROR(__xludf.DUMMYFUNCTION("""COMPUTED_VALUE"""),"ALKEM (AURA MAGNA)")</f>
        <v>ALKEM (AURA MAGNA)</v>
      </c>
    </row>
    <row r="216">
      <c r="H216" s="19" t="str">
        <f>IFERROR(__xludf.DUMMYFUNCTION("""COMPUTED_VALUE"""),"ALKEM (AURA)")</f>
        <v>ALKEM (AURA)</v>
      </c>
    </row>
    <row r="217">
      <c r="H217" s="19" t="str">
        <f>IFERROR(__xludf.DUMMYFUNCTION("""COMPUTED_VALUE"""),"ALKEM (BERGEN NOVA)")</f>
        <v>ALKEM (BERGEN NOVA)</v>
      </c>
    </row>
    <row r="218">
      <c r="H218" s="19" t="str">
        <f>IFERROR(__xludf.DUMMYFUNCTION("""COMPUTED_VALUE"""),"ALKEM (BERGEN)")</f>
        <v>ALKEM (BERGEN)</v>
      </c>
    </row>
    <row r="219">
      <c r="H219" s="19" t="str">
        <f>IFERROR(__xludf.DUMMYFUNCTION("""COMPUTED_VALUE"""),"ALKEM (CARDIOLOGY)")</f>
        <v>ALKEM (CARDIOLOGY)</v>
      </c>
    </row>
    <row r="220">
      <c r="H220" s="19" t="str">
        <f>IFERROR(__xludf.DUMMYFUNCTION("""COMPUTED_VALUE"""),"ALKEM (DERMACARE)")</f>
        <v>ALKEM (DERMACARE)</v>
      </c>
    </row>
    <row r="221">
      <c r="H221" s="19" t="str">
        <f>IFERROR(__xludf.DUMMYFUNCTION("""COMPUTED_VALUE"""),"ALKEM (DERMAKEM)")</f>
        <v>ALKEM (DERMAKEM)</v>
      </c>
    </row>
    <row r="222">
      <c r="H222" s="19" t="str">
        <f>IFERROR(__xludf.DUMMYFUNCTION("""COMPUTED_VALUE"""),"ALKEM (DIABETOLOGY)")</f>
        <v>ALKEM (DIABETOLOGY)</v>
      </c>
    </row>
    <row r="223">
      <c r="H223" s="19" t="str">
        <f>IFERROR(__xludf.DUMMYFUNCTION("""COMPUTED_VALUE"""),"ALKEM (FERTICA)")</f>
        <v>ALKEM (FERTICA)</v>
      </c>
    </row>
    <row r="224">
      <c r="H224" s="19" t="str">
        <f>IFERROR(__xludf.DUMMYFUNCTION("""COMPUTED_VALUE"""),"ALKEM (GENERIC-FUTURA)")</f>
        <v>ALKEM (GENERIC-FUTURA)</v>
      </c>
    </row>
    <row r="225">
      <c r="H225" s="19" t="str">
        <f>IFERROR(__xludf.DUMMYFUNCTION("""COMPUTED_VALUE"""),"ALKEM (GENERIC-MAXXIO)")</f>
        <v>ALKEM (GENERIC-MAXXIO)</v>
      </c>
    </row>
    <row r="226">
      <c r="H226" s="19" t="str">
        <f>IFERROR(__xludf.DUMMYFUNCTION("""COMPUTED_VALUE"""),"ALKEM (GENERIC)")</f>
        <v>ALKEM (GENERIC)</v>
      </c>
    </row>
    <row r="227">
      <c r="H227" s="19" t="str">
        <f>IFERROR(__xludf.DUMMYFUNCTION("""COMPUTED_VALUE"""),"ALKEM (HEALTH CARE)")</f>
        <v>ALKEM (HEALTH CARE)</v>
      </c>
    </row>
    <row r="228">
      <c r="H228" s="19" t="str">
        <f>IFERROR(__xludf.DUMMYFUNCTION("""COMPUTED_VALUE"""),"ALKEM (IMPERIA)")</f>
        <v>ALKEM (IMPERIA)</v>
      </c>
    </row>
    <row r="229">
      <c r="H229" s="19" t="str">
        <f>IFERROR(__xludf.DUMMYFUNCTION("""COMPUTED_VALUE"""),"ALKEM (MAIN)")</f>
        <v>ALKEM (MAIN)</v>
      </c>
    </row>
    <row r="230">
      <c r="H230" s="19" t="str">
        <f>IFERROR(__xludf.DUMMYFUNCTION("""COMPUTED_VALUE"""),"ALKEM (METABOLICS)")</f>
        <v>ALKEM (METABOLICS)</v>
      </c>
    </row>
    <row r="231">
      <c r="H231" s="19" t="str">
        <f>IFERROR(__xludf.DUMMYFUNCTION("""COMPUTED_VALUE"""),"ALKEM (ONCOLOGY)")</f>
        <v>ALKEM (ONCOLOGY)</v>
      </c>
    </row>
    <row r="232">
      <c r="H232" s="19" t="str">
        <f>IFERROR(__xludf.DUMMYFUNCTION("""COMPUTED_VALUE"""),"ALKEM (OTC)")</f>
        <v>ALKEM (OTC)</v>
      </c>
    </row>
    <row r="233">
      <c r="H233" s="19" t="str">
        <f>IFERROR(__xludf.DUMMYFUNCTION("""COMPUTED_VALUE"""),"ALKEM (PENTACARE)")</f>
        <v>ALKEM (PENTACARE)</v>
      </c>
    </row>
    <row r="234">
      <c r="H234" s="19" t="str">
        <f>IFERROR(__xludf.DUMMYFUNCTION("""COMPUTED_VALUE"""),"ALKEM (PRIZMA)")</f>
        <v>ALKEM (PRIZMA)</v>
      </c>
    </row>
    <row r="235">
      <c r="H235" s="19" t="str">
        <f>IFERROR(__xludf.DUMMYFUNCTION("""COMPUTED_VALUE"""),"ALKEM (PULMOCARE)")</f>
        <v>ALKEM (PULMOCARE)</v>
      </c>
    </row>
    <row r="236">
      <c r="H236" s="19" t="str">
        <f>IFERROR(__xludf.DUMMYFUNCTION("""COMPUTED_VALUE"""),"ALKEM (ULTICARE)")</f>
        <v>ALKEM (ULTICARE)</v>
      </c>
    </row>
    <row r="237">
      <c r="H237" s="19" t="str">
        <f>IFERROR(__xludf.DUMMYFUNCTION("""COMPUTED_VALUE"""),"ALKEM (UROLOGY)")</f>
        <v>ALKEM (UROLOGY)</v>
      </c>
    </row>
    <row r="238">
      <c r="H238" s="19" t="str">
        <f>IFERROR(__xludf.DUMMYFUNCTION("""COMPUTED_VALUE"""),"ALKEM (ZURIEVE)")</f>
        <v>ALKEM (ZURIEVE)</v>
      </c>
    </row>
    <row r="239">
      <c r="H239" s="19" t="str">
        <f>IFERROR(__xludf.DUMMYFUNCTION("""COMPUTED_VALUE"""),"Alkem Laboratories Ltd")</f>
        <v>Alkem Laboratories Ltd</v>
      </c>
    </row>
    <row r="240">
      <c r="H240" s="19" t="str">
        <f>IFERROR(__xludf.DUMMYFUNCTION("""COMPUTED_VALUE"""),"Alkem Laboratories Ltd (SPECIALITY)")</f>
        <v>Alkem Laboratories Ltd (SPECIALITY)</v>
      </c>
    </row>
    <row r="241">
      <c r="H241" s="19" t="str">
        <f>IFERROR(__xludf.DUMMYFUNCTION("""COMPUTED_VALUE"""),"ALLEN - INDORE")</f>
        <v>ALLEN - INDORE</v>
      </c>
    </row>
    <row r="242">
      <c r="H242" s="19" t="str">
        <f>IFERROR(__xludf.DUMMYFUNCTION("""COMPUTED_VALUE"""),"ALLEN - KOLKATA")</f>
        <v>ALLEN - KOLKATA</v>
      </c>
    </row>
    <row r="243">
      <c r="H243" s="19" t="str">
        <f>IFERROR(__xludf.DUMMYFUNCTION("""COMPUTED_VALUE"""),"Allen Dale Biosciences")</f>
        <v>Allen Dale Biosciences</v>
      </c>
    </row>
    <row r="244">
      <c r="H244" s="19" t="str">
        <f>IFERROR(__xludf.DUMMYFUNCTION("""COMPUTED_VALUE"""),"ALLEN LABORATORIES LTD")</f>
        <v>ALLEN LABORATORIES LTD</v>
      </c>
    </row>
    <row r="245">
      <c r="H245" s="19" t="str">
        <f>IFERROR(__xludf.DUMMYFUNCTION("""COMPUTED_VALUE"""),"ALLENTIS PHARMACEUTICALS PVT LTD")</f>
        <v>ALLENTIS PHARMACEUTICALS PVT LTD</v>
      </c>
    </row>
    <row r="246">
      <c r="H246" s="19" t="str">
        <f>IFERROR(__xludf.DUMMYFUNCTION("""COMPUTED_VALUE"""),"ALLERGAN INDIA (ALPHA)")</f>
        <v>ALLERGAN INDIA (ALPHA)</v>
      </c>
    </row>
    <row r="247">
      <c r="H247" s="19" t="str">
        <f>IFERROR(__xludf.DUMMYFUNCTION("""COMPUTED_VALUE"""),"ALLERGAN INDIA (BRAVO)")</f>
        <v>ALLERGAN INDIA (BRAVO)</v>
      </c>
    </row>
    <row r="248">
      <c r="H248" s="19" t="str">
        <f>IFERROR(__xludf.DUMMYFUNCTION("""COMPUTED_VALUE"""),"ALLERGAN INDIA (CHARLIF)")</f>
        <v>ALLERGAN INDIA (CHARLIF)</v>
      </c>
    </row>
    <row r="249">
      <c r="H249" s="19" t="str">
        <f>IFERROR(__xludf.DUMMYFUNCTION("""COMPUTED_VALUE"""),"ALLERGAN INDIA (DELTA)")</f>
        <v>ALLERGAN INDIA (DELTA)</v>
      </c>
    </row>
    <row r="250">
      <c r="H250" s="19" t="str">
        <f>IFERROR(__xludf.DUMMYFUNCTION("""COMPUTED_VALUE"""),"Allergan India Pvt Ltd")</f>
        <v>Allergan India Pvt Ltd</v>
      </c>
    </row>
    <row r="251">
      <c r="H251" s="19" t="str">
        <f>IFERROR(__xludf.DUMMYFUNCTION("""COMPUTED_VALUE"""),"ALLEX MEDICAL SYSTEM")</f>
        <v>ALLEX MEDICAL SYSTEM</v>
      </c>
    </row>
    <row r="252">
      <c r="H252" s="19" t="str">
        <f>IFERROR(__xludf.DUMMYFUNCTION("""COMPUTED_VALUE"""),"ALLIAANCE BIOTECH SOLAN")</f>
        <v>ALLIAANCE BIOTECH SOLAN</v>
      </c>
    </row>
    <row r="253">
      <c r="H253" s="19" t="str">
        <f>IFERROR(__xludf.DUMMYFUNCTION("""COMPUTED_VALUE"""),"ALLMED HEALTHCARE")</f>
        <v>ALLMED HEALTHCARE</v>
      </c>
    </row>
    <row r="254">
      <c r="H254" s="19" t="str">
        <f>IFERROR(__xludf.DUMMYFUNCTION("""COMPUTED_VALUE"""),"ALLOES PHARMACEUTICALS")</f>
        <v>ALLOES PHARMACEUTICALS</v>
      </c>
    </row>
    <row r="255">
      <c r="H255" s="19" t="str">
        <f>IFERROR(__xludf.DUMMYFUNCTION("""COMPUTED_VALUE"""),"ALLOTROPE LIFE SCIENCES P LTD")</f>
        <v>ALLOTROPE LIFE SCIENCES P LTD</v>
      </c>
    </row>
    <row r="256">
      <c r="H256" s="19" t="str">
        <f>IFERROR(__xludf.DUMMYFUNCTION("""COMPUTED_VALUE"""),"ALLURE REMEDIES PVT LTD")</f>
        <v>ALLURE REMEDIES PVT LTD</v>
      </c>
    </row>
    <row r="257">
      <c r="H257" s="19" t="str">
        <f>IFERROR(__xludf.DUMMYFUNCTION("""COMPUTED_VALUE"""),"ALLYCURE LIFESCIENCES PVT LTD")</f>
        <v>ALLYCURE LIFESCIENCES PVT LTD</v>
      </c>
    </row>
    <row r="258">
      <c r="H258" s="19" t="str">
        <f>IFERROR(__xludf.DUMMYFUNCTION("""COMPUTED_VALUE"""),"ALLYSIA LIFESCIENCES P LTD")</f>
        <v>ALLYSIA LIFESCIENCES P LTD</v>
      </c>
    </row>
    <row r="259">
      <c r="H259" s="19" t="str">
        <f>IFERROR(__xludf.DUMMYFUNCTION("""COMPUTED_VALUE"""),"ALMED DRUGS PVT LTD")</f>
        <v>ALMED DRUGS PVT LTD</v>
      </c>
    </row>
    <row r="260">
      <c r="H260" s="19" t="str">
        <f>IFERROR(__xludf.DUMMYFUNCTION("""COMPUTED_VALUE"""),"Almet Corporation Ltd")</f>
        <v>Almet Corporation Ltd</v>
      </c>
    </row>
    <row r="261">
      <c r="H261" s="19" t="str">
        <f>IFERROR(__xludf.DUMMYFUNCTION("""COMPUTED_VALUE"""),"ALNA BIOTECH PVT LTD")</f>
        <v>ALNA BIOTECH PVT LTD</v>
      </c>
    </row>
    <row r="262">
      <c r="H262" s="19" t="str">
        <f>IFERROR(__xludf.DUMMYFUNCTION("""COMPUTED_VALUE"""),"ALNICH (ENTERICO)")</f>
        <v>ALNICH (ENTERICO)</v>
      </c>
    </row>
    <row r="263">
      <c r="H263" s="19" t="str">
        <f>IFERROR(__xludf.DUMMYFUNCTION("""COMPUTED_VALUE"""),"ALNICHE LIFE SCIENCES PVT LTD")</f>
        <v>ALNICHE LIFE SCIENCES PVT LTD</v>
      </c>
    </row>
    <row r="264">
      <c r="H264" s="19" t="str">
        <f>IFERROR(__xludf.DUMMYFUNCTION("""COMPUTED_VALUE"""),"ALNICHE LIFESCIENCES (CRITICAL CARE)")</f>
        <v>ALNICHE LIFESCIENCES (CRITICAL CARE)</v>
      </c>
    </row>
    <row r="265">
      <c r="H265" s="19" t="str">
        <f>IFERROR(__xludf.DUMMYFUNCTION("""COMPUTED_VALUE"""),"ALNICHE LIFESCIENCES (GASTRO)")</f>
        <v>ALNICHE LIFESCIENCES (GASTRO)</v>
      </c>
    </row>
    <row r="266">
      <c r="H266" s="19" t="str">
        <f>IFERROR(__xludf.DUMMYFUNCTION("""COMPUTED_VALUE"""),"ALNICHE LIFESCIENCES (NEPHRO)")</f>
        <v>ALNICHE LIFESCIENCES (NEPHRO)</v>
      </c>
    </row>
    <row r="267">
      <c r="H267" s="19" t="str">
        <f>IFERROR(__xludf.DUMMYFUNCTION("""COMPUTED_VALUE"""),"ALNICHE LIFESCIENCES (ORAL SOLIDS)")</f>
        <v>ALNICHE LIFESCIENCES (ORAL SOLIDS)</v>
      </c>
    </row>
    <row r="268">
      <c r="H268" s="19" t="str">
        <f>IFERROR(__xludf.DUMMYFUNCTION("""COMPUTED_VALUE"""),"ALNICHE LIFESCIENCES (ORICO)")</f>
        <v>ALNICHE LIFESCIENCES (ORICO)</v>
      </c>
    </row>
    <row r="269">
      <c r="H269" s="19" t="str">
        <f>IFERROR(__xludf.DUMMYFUNCTION("""COMPUTED_VALUE"""),"ALPA LABORATORIES")</f>
        <v>ALPA LABORATORIES</v>
      </c>
    </row>
    <row r="270">
      <c r="H270" s="19" t="str">
        <f>IFERROR(__xludf.DUMMYFUNCTION("""COMPUTED_VALUE"""),"ALPIC BIOTECH")</f>
        <v>ALPIC BIOTECH</v>
      </c>
    </row>
    <row r="271">
      <c r="H271" s="19" t="str">
        <f>IFERROR(__xludf.DUMMYFUNCTION("""COMPUTED_VALUE"""),"ALSUN PHARMA")</f>
        <v>ALSUN PHARMA</v>
      </c>
    </row>
    <row r="272">
      <c r="H272" s="19" t="str">
        <f>IFERROR(__xludf.DUMMYFUNCTION("""COMPUTED_VALUE"""),"ALTEUS BIOGENICS")</f>
        <v>ALTEUS BIOGENICS</v>
      </c>
    </row>
    <row r="273">
      <c r="H273" s="19" t="str">
        <f>IFERROR(__xludf.DUMMYFUNCTION("""COMPUTED_VALUE"""),"ALTEZA EXIM")</f>
        <v>ALTEZA EXIM</v>
      </c>
    </row>
    <row r="274">
      <c r="H274" s="19" t="str">
        <f>IFERROR(__xludf.DUMMYFUNCTION("""COMPUTED_VALUE"""),"ALTIN HEALTHCARE")</f>
        <v>ALTIN HEALTHCARE</v>
      </c>
    </row>
    <row r="275">
      <c r="H275" s="19" t="str">
        <f>IFERROR(__xludf.DUMMYFUNCTION("""COMPUTED_VALUE"""),"ALTIS PHARMA")</f>
        <v>ALTIS PHARMA</v>
      </c>
    </row>
    <row r="276">
      <c r="H276" s="19" t="str">
        <f>IFERROR(__xludf.DUMMYFUNCTION("""COMPUTED_VALUE"""),"ALTON BIOSCIENCES PVT LTD")</f>
        <v>ALTON BIOSCIENCES PVT LTD</v>
      </c>
    </row>
    <row r="277">
      <c r="H277" s="19" t="str">
        <f>IFERROR(__xludf.DUMMYFUNCTION("""COMPUTED_VALUE"""),"ALTRAWELL BIOTECH PVT LTD")</f>
        <v>ALTRAWELL BIOTECH PVT LTD</v>
      </c>
    </row>
    <row r="278">
      <c r="H278" s="19" t="str">
        <f>IFERROR(__xludf.DUMMYFUNCTION("""COMPUTED_VALUE"""),"ALVIN WILLCURE")</f>
        <v>ALVIN WILLCURE</v>
      </c>
    </row>
    <row r="279">
      <c r="H279" s="19" t="str">
        <f>IFERROR(__xludf.DUMMYFUNCTION("""COMPUTED_VALUE"""),"ALVIO PHARMACEUTICALS")</f>
        <v>ALVIO PHARMACEUTICALS</v>
      </c>
    </row>
    <row r="280">
      <c r="H280" s="19" t="str">
        <f>IFERROR(__xludf.DUMMYFUNCTION("""COMPUTED_VALUE"""),"ALVIS MEDI  SYNTHESIS PVT LTD")</f>
        <v>ALVIS MEDI  SYNTHESIS PVT LTD</v>
      </c>
    </row>
    <row r="281">
      <c r="H281" s="19" t="str">
        <f>IFERROR(__xludf.DUMMYFUNCTION("""COMPUTED_VALUE"""),"ALVISTA BIOSCIENCES PVT LTD")</f>
        <v>ALVISTA BIOSCIENCES PVT LTD</v>
      </c>
    </row>
    <row r="282">
      <c r="H282" s="19" t="str">
        <f>IFERROR(__xludf.DUMMYFUNCTION("""COMPUTED_VALUE"""),"ALWIN WILCARE PHARMACEUTICALS")</f>
        <v>ALWIN WILCARE PHARMACEUTICALS</v>
      </c>
    </row>
    <row r="283">
      <c r="H283" s="19" t="str">
        <f>IFERROR(__xludf.DUMMYFUNCTION("""COMPUTED_VALUE"""),"ALWIN WILLCURE PHARMACEUTICALS PVT LTD")</f>
        <v>ALWIN WILLCURE PHARMACEUTICALS PVT LTD</v>
      </c>
    </row>
    <row r="284">
      <c r="H284" s="19" t="str">
        <f>IFERROR(__xludf.DUMMYFUNCTION("""COMPUTED_VALUE"""),"AMARANTHA AYURVEDA")</f>
        <v>AMARANTHA AYURVEDA</v>
      </c>
    </row>
    <row r="285">
      <c r="H285" s="19" t="str">
        <f>IFERROR(__xludf.DUMMYFUNCTION("""COMPUTED_VALUE"""),"AMAZEN PHARMACEUTICALS")</f>
        <v>AMAZEN PHARMACEUTICALS</v>
      </c>
    </row>
    <row r="286">
      <c r="H286" s="19" t="str">
        <f>IFERROR(__xludf.DUMMYFUNCTION("""COMPUTED_VALUE"""),"AMAZING RESEARCH LABORATORIES LTD")</f>
        <v>AMAZING RESEARCH LABORATORIES LTD</v>
      </c>
    </row>
    <row r="287">
      <c r="H287" s="19" t="str">
        <f>IFERROR(__xludf.DUMMYFUNCTION("""COMPUTED_VALUE"""),"AMBIC AAYURCHEM, ROORKE")</f>
        <v>AMBIC AAYURCHEM, ROORKE</v>
      </c>
    </row>
    <row r="288">
      <c r="H288" s="19" t="str">
        <f>IFERROR(__xludf.DUMMYFUNCTION("""COMPUTED_VALUE"""),"AMBIC AYURVED INDIA P LTD")</f>
        <v>AMBIC AYURVED INDIA P LTD</v>
      </c>
    </row>
    <row r="289">
      <c r="H289" s="19" t="str">
        <f>IFERROR(__xludf.DUMMYFUNCTION("""COMPUTED_VALUE"""),"AMBIT BIOMEDIX")</f>
        <v>AMBIT BIOMEDIX</v>
      </c>
    </row>
    <row r="290">
      <c r="H290" s="19" t="str">
        <f>IFERROR(__xludf.DUMMYFUNCTION("""COMPUTED_VALUE"""),"AMBROSIA DRUGS")</f>
        <v>AMBROSIA DRUGS</v>
      </c>
    </row>
    <row r="291">
      <c r="H291" s="19" t="str">
        <f>IFERROR(__xludf.DUMMYFUNCTION("""COMPUTED_VALUE"""),"AMCO HERBALS P LTD")</f>
        <v>AMCO HERBALS P LTD</v>
      </c>
    </row>
    <row r="292">
      <c r="H292" s="19" t="str">
        <f>IFERROR(__xludf.DUMMYFUNCTION("""COMPUTED_VALUE"""),"AMEND")</f>
        <v>AMEND</v>
      </c>
    </row>
    <row r="293">
      <c r="H293" s="19" t="str">
        <f>IFERROR(__xludf.DUMMYFUNCTION("""COMPUTED_VALUE"""),"AMENTUS HEALTHCARE")</f>
        <v>AMENTUS HEALTHCARE</v>
      </c>
    </row>
    <row r="294">
      <c r="H294" s="19" t="str">
        <f>IFERROR(__xludf.DUMMYFUNCTION("""COMPUTED_VALUE"""),"AMERICAN REMEDIES")</f>
        <v>AMERICAN REMEDIES</v>
      </c>
    </row>
    <row r="295">
      <c r="H295" s="19" t="str">
        <f>IFERROR(__xludf.DUMMYFUNCTION("""COMPUTED_VALUE"""),"AMI CARE PHARMACEUTICALS")</f>
        <v>AMI CARE PHARMACEUTICALS</v>
      </c>
    </row>
    <row r="296">
      <c r="H296" s="19" t="str">
        <f>IFERROR(__xludf.DUMMYFUNCTION("""COMPUTED_VALUE"""),"AMICURES RESEARCH PVT LTD")</f>
        <v>AMICURES RESEARCH PVT LTD</v>
      </c>
    </row>
    <row r="297">
      <c r="H297" s="19" t="str">
        <f>IFERROR(__xludf.DUMMYFUNCTION("""COMPUTED_VALUE"""),"AMORGOS HEALTHCARE PVT LTD")</f>
        <v>AMORGOS HEALTHCARE PVT LTD</v>
      </c>
    </row>
    <row r="298">
      <c r="H298" s="19" t="str">
        <f>IFERROR(__xludf.DUMMYFUNCTION("""COMPUTED_VALUE"""),"AMP ALLKEM MEDICAL PHARMACEUTICALS PVT LTD")</f>
        <v>AMP ALLKEM MEDICAL PHARMACEUTICALS PVT LTD</v>
      </c>
    </row>
    <row r="299">
      <c r="H299" s="19" t="str">
        <f>IFERROR(__xludf.DUMMYFUNCTION("""COMPUTED_VALUE"""),"AMPS BIOTECH")</f>
        <v>AMPS BIOTECH</v>
      </c>
    </row>
    <row r="300">
      <c r="H300" s="19" t="str">
        <f>IFERROR(__xludf.DUMMYFUNCTION("""COMPUTED_VALUE"""),"AMRA REMEDIES")</f>
        <v>AMRA REMEDIES</v>
      </c>
    </row>
    <row r="301">
      <c r="H301" s="19" t="str">
        <f>IFERROR(__xludf.DUMMYFUNCTION("""COMPUTED_VALUE"""),"AMRICON BIOTECH")</f>
        <v>AMRICON BIOTECH</v>
      </c>
    </row>
    <row r="302">
      <c r="H302" s="19" t="str">
        <f>IFERROR(__xludf.DUMMYFUNCTION("""COMPUTED_VALUE"""),"AMRITDHARA PHARMACY")</f>
        <v>AMRITDHARA PHARMACY</v>
      </c>
    </row>
    <row r="303">
      <c r="H303" s="19" t="str">
        <f>IFERROR(__xludf.DUMMYFUNCTION("""COMPUTED_VALUE"""),"AMRUT DRUG RESEARCH LAB")</f>
        <v>AMRUT DRUG RESEARCH LAB</v>
      </c>
    </row>
    <row r="304">
      <c r="H304" s="19" t="str">
        <f>IFERROR(__xludf.DUMMYFUNCTION("""COMPUTED_VALUE"""),"AMRUTAM PHARMACEUTICALS")</f>
        <v>AMRUTAM PHARMACEUTICALS</v>
      </c>
    </row>
    <row r="305">
      <c r="H305" s="19" t="str">
        <f>IFERROR(__xludf.DUMMYFUNCTION("""COMPUTED_VALUE"""),"AMRUTANJAN HEALTH CARE LIMITED")</f>
        <v>AMRUTANJAN HEALTH CARE LIMITED</v>
      </c>
    </row>
    <row r="306">
      <c r="H306" s="19" t="str">
        <f>IFERROR(__xludf.DUMMYFUNCTION("""COMPUTED_VALUE"""),"ANANJAY PHARMACEUTICALS PVT LTD")</f>
        <v>ANANJAY PHARMACEUTICALS PVT LTD</v>
      </c>
    </row>
    <row r="307">
      <c r="H307" s="19" t="str">
        <f>IFERROR(__xludf.DUMMYFUNCTION("""COMPUTED_VALUE"""),"ANCHOR PHARMA PVT LTD")</f>
        <v>ANCHOR PHARMA PVT LTD</v>
      </c>
    </row>
    <row r="308">
      <c r="H308" s="19" t="str">
        <f>IFERROR(__xludf.DUMMYFUNCTION("""COMPUTED_VALUE"""),"ANDEE LIFESCIENSES")</f>
        <v>ANDEE LIFESCIENSES</v>
      </c>
    </row>
    <row r="309">
      <c r="H309" s="19" t="str">
        <f>IFERROR(__xludf.DUMMYFUNCTION("""COMPUTED_VALUE"""),"ANDRE LABORATORIES")</f>
        <v>ANDRE LABORATORIES</v>
      </c>
    </row>
    <row r="310">
      <c r="H310" s="19" t="str">
        <f>IFERROR(__xludf.DUMMYFUNCTION("""COMPUTED_VALUE"""),"ANDROMEDA PHARMACEUTICALS")</f>
        <v>ANDROMEDA PHARMACEUTICALS</v>
      </c>
    </row>
    <row r="311">
      <c r="H311" s="19" t="str">
        <f>IFERROR(__xludf.DUMMYFUNCTION("""COMPUTED_VALUE"""),"ANDROMEDA PHARMACEUTICALS PVT LTD")</f>
        <v>ANDROMEDA PHARMACEUTICALS PVT LTD</v>
      </c>
    </row>
    <row r="312">
      <c r="H312" s="19" t="str">
        <f>IFERROR(__xludf.DUMMYFUNCTION("""COMPUTED_VALUE"""),"ANDY PHARMA")</f>
        <v>ANDY PHARMA</v>
      </c>
    </row>
    <row r="313">
      <c r="H313" s="19" t="str">
        <f>IFERROR(__xludf.DUMMYFUNCTION("""COMPUTED_VALUE"""),"ANG LIFESCIENCES INDIA LTD")</f>
        <v>ANG LIFESCIENCES INDIA LTD</v>
      </c>
    </row>
    <row r="314">
      <c r="H314" s="19" t="str">
        <f>IFERROR(__xludf.DUMMYFUNCTION("""COMPUTED_VALUE"""),"ANGIOLIFE HEALTHCARE PVT LTD")</f>
        <v>ANGIOLIFE HEALTHCARE PVT LTD</v>
      </c>
    </row>
    <row r="315">
      <c r="H315" s="19" t="str">
        <f>IFERROR(__xludf.DUMMYFUNCTION("""COMPUTED_VALUE"""),"Anglo French Drugs (BONA FIDA)")</f>
        <v>Anglo French Drugs (BONA FIDA)</v>
      </c>
    </row>
    <row r="316">
      <c r="H316" s="19" t="str">
        <f>IFERROR(__xludf.DUMMYFUNCTION("""COMPUTED_VALUE"""),"ANGLO FRENCH DRUGS (HOSPICARE)")</f>
        <v>ANGLO FRENCH DRUGS (HOSPICARE)</v>
      </c>
    </row>
    <row r="317">
      <c r="H317" s="19" t="str">
        <f>IFERROR(__xludf.DUMMYFUNCTION("""COMPUTED_VALUE"""),"ANGLO FRENCH DRUGS (NUTRALOGICX)")</f>
        <v>ANGLO FRENCH DRUGS (NUTRALOGICX)</v>
      </c>
    </row>
    <row r="318">
      <c r="H318" s="19" t="str">
        <f>IFERROR(__xludf.DUMMYFUNCTION("""COMPUTED_VALUE"""),"ANGLO FRENCH DRUGS (TRUE CARE)")</f>
        <v>ANGLO FRENCH DRUGS (TRUE CARE)</v>
      </c>
    </row>
    <row r="319">
      <c r="H319" s="19" t="str">
        <f>IFERROR(__xludf.DUMMYFUNCTION("""COMPUTED_VALUE"""),"ANGLO SWIFT")</f>
        <v>ANGLO SWIFT</v>
      </c>
    </row>
    <row r="320">
      <c r="H320" s="19" t="str">
        <f>IFERROR(__xludf.DUMMYFUNCTION("""COMPUTED_VALUE"""),"Anglo-French Drugs &amp; Industries Ltd")</f>
        <v>Anglo-French Drugs &amp; Industries Ltd</v>
      </c>
    </row>
    <row r="321">
      <c r="H321" s="19" t="str">
        <f>IFERROR(__xludf.DUMMYFUNCTION("""COMPUTED_VALUE"""),"ANGLO-INDIAN PHARMACEUTICALS")</f>
        <v>ANGLO-INDIAN PHARMACEUTICALS</v>
      </c>
    </row>
    <row r="322">
      <c r="H322" s="19" t="str">
        <f>IFERROR(__xludf.DUMMYFUNCTION("""COMPUTED_VALUE"""),"ANIL AYURVED BHAWAN")</f>
        <v>ANIL AYURVED BHAWAN</v>
      </c>
    </row>
    <row r="323">
      <c r="H323" s="19" t="str">
        <f>IFERROR(__xludf.DUMMYFUNCTION("""COMPUTED_VALUE"""),"ANIYA PHARACEUTICAL PVT LTD")</f>
        <v>ANIYA PHARACEUTICAL PVT LTD</v>
      </c>
    </row>
    <row r="324">
      <c r="H324" s="19" t="str">
        <f>IFERROR(__xludf.DUMMYFUNCTION("""COMPUTED_VALUE"""),"ANJANI PHARMACEUTICALS")</f>
        <v>ANJANI PHARMACEUTICALS</v>
      </c>
    </row>
    <row r="325">
      <c r="H325" s="19" t="str">
        <f>IFERROR(__xludf.DUMMYFUNCTION("""COMPUTED_VALUE"""),"ANJU PHARMA")</f>
        <v>ANJU PHARMA</v>
      </c>
    </row>
    <row r="326">
      <c r="H326" s="19" t="str">
        <f>IFERROR(__xludf.DUMMYFUNCTION("""COMPUTED_VALUE"""),"ANKUR")</f>
        <v>ANKUR</v>
      </c>
    </row>
    <row r="327">
      <c r="H327" s="19" t="str">
        <f>IFERROR(__xludf.DUMMYFUNCTION("""COMPUTED_VALUE"""),"ANSELL LTD")</f>
        <v>ANSELL LTD</v>
      </c>
    </row>
    <row r="328">
      <c r="H328" s="19" t="str">
        <f>IFERROR(__xludf.DUMMYFUNCTION("""COMPUTED_VALUE"""),"ANSH HEALTHCARE")</f>
        <v>ANSH HEALTHCARE</v>
      </c>
    </row>
    <row r="329">
      <c r="H329" s="19" t="str">
        <f>IFERROR(__xludf.DUMMYFUNCTION("""COMPUTED_VALUE"""),"ANSIL PHARMA")</f>
        <v>ANSIL PHARMA</v>
      </c>
    </row>
    <row r="330">
      <c r="H330" s="19" t="str">
        <f>IFERROR(__xludf.DUMMYFUNCTION("""COMPUTED_VALUE"""),"ANTHEM BIOPHARMA")</f>
        <v>ANTHEM BIOPHARMA</v>
      </c>
    </row>
    <row r="331">
      <c r="H331" s="19" t="str">
        <f>IFERROR(__xludf.DUMMYFUNCTION("""COMPUTED_VALUE"""),"ANTILA")</f>
        <v>ANTILA</v>
      </c>
    </row>
    <row r="332">
      <c r="H332" s="19" t="str">
        <f>IFERROR(__xludf.DUMMYFUNCTION("""COMPUTED_VALUE"""),"ANVICURE DRUGS")</f>
        <v>ANVICURE DRUGS</v>
      </c>
    </row>
    <row r="333">
      <c r="H333" s="19" t="str">
        <f>IFERROR(__xludf.DUMMYFUNCTION("""COMPUTED_VALUE"""),"APEX FORMULATIONS PVT LTD")</f>
        <v>APEX FORMULATIONS PVT LTD</v>
      </c>
    </row>
    <row r="334">
      <c r="H334" s="19" t="str">
        <f>IFERROR(__xludf.DUMMYFUNCTION("""COMPUTED_VALUE"""),"APEX LABORATORIES (CIDIS)")</f>
        <v>APEX LABORATORIES (CIDIS)</v>
      </c>
    </row>
    <row r="335">
      <c r="H335" s="19" t="str">
        <f>IFERROR(__xludf.DUMMYFUNCTION("""COMPUTED_VALUE"""),"APEX LABORATORIES (DERMA)")</f>
        <v>APEX LABORATORIES (DERMA)</v>
      </c>
    </row>
    <row r="336">
      <c r="H336" s="19" t="str">
        <f>IFERROR(__xludf.DUMMYFUNCTION("""COMPUTED_VALUE"""),"APEX LABORATORIES (MAIN)")</f>
        <v>APEX LABORATORIES (MAIN)</v>
      </c>
    </row>
    <row r="337">
      <c r="H337" s="19" t="str">
        <f>IFERROR(__xludf.DUMMYFUNCTION("""COMPUTED_VALUE"""),"APEX LABORATORIES (SKINNOVA)")</f>
        <v>APEX LABORATORIES (SKINNOVA)</v>
      </c>
    </row>
    <row r="338">
      <c r="H338" s="19" t="str">
        <f>IFERROR(__xludf.DUMMYFUNCTION("""COMPUTED_VALUE"""),"Apex Laboratories Pvt Ltd")</f>
        <v>Apex Laboratories Pvt Ltd</v>
      </c>
    </row>
    <row r="339">
      <c r="H339" s="19" t="str">
        <f>IFERROR(__xludf.DUMMYFUNCTION("""COMPUTED_VALUE"""),"APHALI PHARMACEUTICALS LTD")</f>
        <v>APHALI PHARMACEUTICALS LTD</v>
      </c>
    </row>
    <row r="340">
      <c r="H340" s="19" t="str">
        <f>IFERROR(__xludf.DUMMYFUNCTION("""COMPUTED_VALUE"""),"APICAL HELTH CARE PVT LTD")</f>
        <v>APICAL HELTH CARE PVT LTD</v>
      </c>
    </row>
    <row r="341">
      <c r="H341" s="19" t="str">
        <f>IFERROR(__xludf.DUMMYFUNCTION("""COMPUTED_VALUE"""),"Apostle Remedies")</f>
        <v>Apostle Remedies</v>
      </c>
    </row>
    <row r="342">
      <c r="H342" s="19" t="str">
        <f>IFERROR(__xludf.DUMMYFUNCTION("""COMPUTED_VALUE"""),"APPASAMY OCULAR DEVICE PVT LTD")</f>
        <v>APPASAMY OCULAR DEVICE PVT LTD</v>
      </c>
    </row>
    <row r="343">
      <c r="H343" s="19" t="str">
        <f>IFERROR(__xludf.DUMMYFUNCTION("""COMPUTED_VALUE"""),"APPENA P LTD")</f>
        <v>APPENA P LTD</v>
      </c>
    </row>
    <row r="344">
      <c r="H344" s="19" t="str">
        <f>IFERROR(__xludf.DUMMYFUNCTION("""COMPUTED_VALUE"""),"APPLE BIOTECH")</f>
        <v>APPLE BIOTECH</v>
      </c>
    </row>
    <row r="345">
      <c r="H345" s="19" t="str">
        <f>IFERROR(__xludf.DUMMYFUNCTION("""COMPUTED_VALUE"""),"APPLE MEDICORP")</f>
        <v>APPLE MEDICORP</v>
      </c>
    </row>
    <row r="346">
      <c r="H346" s="19" t="str">
        <f>IFERROR(__xludf.DUMMYFUNCTION("""COMPUTED_VALUE"""),"APPLE THERAPEUTICS")</f>
        <v>APPLE THERAPEUTICS</v>
      </c>
    </row>
    <row r="347">
      <c r="H347" s="19" t="str">
        <f>IFERROR(__xludf.DUMMYFUNCTION("""COMPUTED_VALUE"""),"APPLIED PHARMA RESEARCH")</f>
        <v>APPLIED PHARMA RESEARCH</v>
      </c>
    </row>
    <row r="348">
      <c r="H348" s="19" t="str">
        <f>IFERROR(__xludf.DUMMYFUNCTION("""COMPUTED_VALUE"""),"APRICA (PULSE)")</f>
        <v>APRICA (PULSE)</v>
      </c>
    </row>
    <row r="349">
      <c r="H349" s="19" t="str">
        <f>IFERROR(__xludf.DUMMYFUNCTION("""COMPUTED_VALUE"""),"Aprica Pharmaceuticals Pvt Ltd")</f>
        <v>Aprica Pharmaceuticals Pvt Ltd</v>
      </c>
    </row>
    <row r="350">
      <c r="H350" s="19" t="str">
        <f>IFERROR(__xludf.DUMMYFUNCTION("""COMPUTED_VALUE"""),"APRICOT BIO SCIENCE PVT LTD")</f>
        <v>APRICOT BIO SCIENCE PVT LTD</v>
      </c>
    </row>
    <row r="351">
      <c r="H351" s="19" t="str">
        <f>IFERROR(__xludf.DUMMYFUNCTION("""COMPUTED_VALUE"""),"AQUA LABS")</f>
        <v>AQUA LABS</v>
      </c>
    </row>
    <row r="352">
      <c r="H352" s="19" t="str">
        <f>IFERROR(__xludf.DUMMYFUNCTION("""COMPUTED_VALUE"""),"AQUILA LABS")</f>
        <v>AQUILA LABS</v>
      </c>
    </row>
    <row r="353">
      <c r="H353" s="19" t="str">
        <f>IFERROR(__xludf.DUMMYFUNCTION("""COMPUTED_VALUE"""),"AQUINNOVA (SPERSH)")</f>
        <v>AQUINNOVA (SPERSH)</v>
      </c>
    </row>
    <row r="354">
      <c r="H354" s="19" t="str">
        <f>IFERROR(__xludf.DUMMYFUNCTION("""COMPUTED_VALUE"""),"AQUINNOVA PHARMACEUTICAL PVT LTD")</f>
        <v>AQUINNOVA PHARMACEUTICAL PVT LTD</v>
      </c>
    </row>
    <row r="355">
      <c r="H355" s="19" t="str">
        <f>IFERROR(__xludf.DUMMYFUNCTION("""COMPUTED_VALUE"""),"AQUNOVA PHARMA PVT LTD")</f>
        <v>AQUNOVA PHARMA PVT LTD</v>
      </c>
    </row>
    <row r="356">
      <c r="H356" s="19" t="str">
        <f>IFERROR(__xludf.DUMMYFUNCTION("""COMPUTED_VALUE"""),"Ar-Ex Laboratories Pvt Ltd")</f>
        <v>Ar-Ex Laboratories Pvt Ltd</v>
      </c>
    </row>
    <row r="357">
      <c r="H357" s="19" t="str">
        <f>IFERROR(__xludf.DUMMYFUNCTION("""COMPUTED_VALUE"""),"ARADHIA PHARMACEUTICALS INDIA PVT LTD")</f>
        <v>ARADHIA PHARMACEUTICALS INDIA PVT LTD</v>
      </c>
    </row>
    <row r="358">
      <c r="H358" s="19" t="str">
        <f>IFERROR(__xludf.DUMMYFUNCTION("""COMPUTED_VALUE"""),"ARBRO PHARMA")</f>
        <v>ARBRO PHARMA</v>
      </c>
    </row>
    <row r="359">
      <c r="H359" s="19" t="str">
        <f>IFERROR(__xludf.DUMMYFUNCTION("""COMPUTED_VALUE"""),"ARC PHARMACEUTICALS")</f>
        <v>ARC PHARMACEUTICALS</v>
      </c>
    </row>
    <row r="360">
      <c r="H360" s="19" t="str">
        <f>IFERROR(__xludf.DUMMYFUNCTION("""COMPUTED_VALUE"""),"ARCH LABORATORIES")</f>
        <v>ARCH LABORATORIES</v>
      </c>
    </row>
    <row r="361">
      <c r="H361" s="19" t="str">
        <f>IFERROR(__xludf.DUMMYFUNCTION("""COMPUTED_VALUE"""),"ARCHI CARE")</f>
        <v>ARCHI CARE</v>
      </c>
    </row>
    <row r="362">
      <c r="H362" s="19" t="str">
        <f>IFERROR(__xludf.DUMMYFUNCTION("""COMPUTED_VALUE"""),"ARCO PHARMA")</f>
        <v>ARCO PHARMA</v>
      </c>
    </row>
    <row r="363">
      <c r="H363" s="19" t="str">
        <f>IFERROR(__xludf.DUMMYFUNCTION("""COMPUTED_VALUE"""),"ARDENT LIFE SCIENCES")</f>
        <v>ARDENT LIFE SCIENCES</v>
      </c>
    </row>
    <row r="364">
      <c r="H364" s="19" t="str">
        <f>IFERROR(__xludf.DUMMYFUNCTION("""COMPUTED_VALUE"""),"ARI HEALTHCARE PVT LTD")</f>
        <v>ARI HEALTHCARE PVT LTD</v>
      </c>
    </row>
    <row r="365">
      <c r="H365" s="19" t="str">
        <f>IFERROR(__xludf.DUMMYFUNCTION("""COMPUTED_VALUE"""),"ARICO LIFE SCIENCES")</f>
        <v>ARICO LIFE SCIENCES</v>
      </c>
    </row>
    <row r="366">
      <c r="H366" s="19" t="str">
        <f>IFERROR(__xludf.DUMMYFUNCTION("""COMPUTED_VALUE"""),"ARINNA (ALANZA)")</f>
        <v>ARINNA (ALANZA)</v>
      </c>
    </row>
    <row r="367">
      <c r="H367" s="19" t="str">
        <f>IFERROR(__xludf.DUMMYFUNCTION("""COMPUTED_VALUE"""),"ARINNA (ALEXA)")</f>
        <v>ARINNA (ALEXA)</v>
      </c>
    </row>
    <row r="368">
      <c r="H368" s="19" t="str">
        <f>IFERROR(__xludf.DUMMYFUNCTION("""COMPUTED_VALUE"""),"ARINNA (ARISSA)")</f>
        <v>ARINNA (ARISSA)</v>
      </c>
    </row>
    <row r="369">
      <c r="H369" s="19" t="str">
        <f>IFERROR(__xludf.DUMMYFUNCTION("""COMPUTED_VALUE"""),"Arinna Lifescience Pvt Ltd")</f>
        <v>Arinna Lifescience Pvt Ltd</v>
      </c>
    </row>
    <row r="370">
      <c r="H370" s="19" t="str">
        <f>IFERROR(__xludf.DUMMYFUNCTION("""COMPUTED_VALUE"""),"ARION HEALTHCARE")</f>
        <v>ARION HEALTHCARE</v>
      </c>
    </row>
    <row r="371">
      <c r="H371" s="19" t="str">
        <f>IFERROR(__xludf.DUMMYFUNCTION("""COMPUTED_VALUE"""),"ARISTO (GENETICA)")</f>
        <v>ARISTO (GENETICA)</v>
      </c>
    </row>
    <row r="372">
      <c r="H372" s="19" t="str">
        <f>IFERROR(__xludf.DUMMYFUNCTION("""COMPUTED_VALUE"""),"ARISTO (MF1)")</f>
        <v>ARISTO (MF1)</v>
      </c>
    </row>
    <row r="373">
      <c r="H373" s="19" t="str">
        <f>IFERROR(__xludf.DUMMYFUNCTION("""COMPUTED_VALUE"""),"ARISTO (MF2)")</f>
        <v>ARISTO (MF2)</v>
      </c>
    </row>
    <row r="374">
      <c r="H374" s="19" t="str">
        <f>IFERROR(__xludf.DUMMYFUNCTION("""COMPUTED_VALUE"""),"ARISTO (MF3)")</f>
        <v>ARISTO (MF3)</v>
      </c>
    </row>
    <row r="375">
      <c r="H375" s="19" t="str">
        <f>IFERROR(__xludf.DUMMYFUNCTION("""COMPUTED_VALUE"""),"ARISTO (MF4)")</f>
        <v>ARISTO (MF4)</v>
      </c>
    </row>
    <row r="376">
      <c r="H376" s="19" t="str">
        <f>IFERROR(__xludf.DUMMYFUNCTION("""COMPUTED_VALUE"""),"ARISTO (OTSIRA)")</f>
        <v>ARISTO (OTSIRA)</v>
      </c>
    </row>
    <row r="377">
      <c r="H377" s="19" t="str">
        <f>IFERROR(__xludf.DUMMYFUNCTION("""COMPUTED_VALUE"""),"ARISTO (TF)")</f>
        <v>ARISTO (TF)</v>
      </c>
    </row>
    <row r="378">
      <c r="H378" s="19" t="str">
        <f>IFERROR(__xludf.DUMMYFUNCTION("""COMPUTED_VALUE"""),"Aristo Pharmaceuticals Pvt Ltd")</f>
        <v>Aristo Pharmaceuticals Pvt Ltd</v>
      </c>
    </row>
    <row r="379">
      <c r="H379" s="19" t="str">
        <f>IFERROR(__xludf.DUMMYFUNCTION("""COMPUTED_VALUE"""),"ARIUS HEALTHCARE")</f>
        <v>ARIUS HEALTHCARE</v>
      </c>
    </row>
    <row r="380">
      <c r="H380" s="19" t="str">
        <f>IFERROR(__xludf.DUMMYFUNCTION("""COMPUTED_VALUE"""),"ARK SALA")</f>
        <v>ARK SALA</v>
      </c>
    </row>
    <row r="381">
      <c r="H381" s="19" t="str">
        <f>IFERROR(__xludf.DUMMYFUNCTION("""COMPUTED_VALUE"""),"ARMOUR FORMULATION")</f>
        <v>ARMOUR FORMULATION</v>
      </c>
    </row>
    <row r="382">
      <c r="H382" s="19" t="str">
        <f>IFERROR(__xludf.DUMMYFUNCTION("""COMPUTED_VALUE"""),"AROHAN PHARMACEUTICALS")</f>
        <v>AROHAN PHARMACEUTICALS</v>
      </c>
    </row>
    <row r="383">
      <c r="H383" s="19" t="str">
        <f>IFERROR(__xludf.DUMMYFUNCTION("""COMPUTED_VALUE"""),"ARONEX  LIFESCIENCES")</f>
        <v>ARONEX  LIFESCIENCES</v>
      </c>
    </row>
    <row r="384">
      <c r="H384" s="19" t="str">
        <f>IFERROR(__xludf.DUMMYFUNCTION("""COMPUTED_VALUE"""),"Aronex Life Sciences Pvt. Ltd.")</f>
        <v>Aronex Life Sciences Pvt. Ltd.</v>
      </c>
    </row>
    <row r="385">
      <c r="H385" s="19" t="str">
        <f>IFERROR(__xludf.DUMMYFUNCTION("""COMPUTED_VALUE"""),"ARRIENT (ORENDA)")</f>
        <v>ARRIENT (ORENDA)</v>
      </c>
    </row>
    <row r="386">
      <c r="H386" s="19" t="str">
        <f>IFERROR(__xludf.DUMMYFUNCTION("""COMPUTED_VALUE"""),"ARRIENT HEALTHCARE")</f>
        <v>ARRIENT HEALTHCARE</v>
      </c>
    </row>
    <row r="387">
      <c r="H387" s="19" t="str">
        <f>IFERROR(__xludf.DUMMYFUNCTION("""COMPUTED_VALUE"""),"ARROPHAR HEALTHCARE")</f>
        <v>ARROPHAR HEALTHCARE</v>
      </c>
    </row>
    <row r="388">
      <c r="H388" s="19" t="str">
        <f>IFERROR(__xludf.DUMMYFUNCTION("""COMPUTED_VALUE"""),"ARROW PHARMA")</f>
        <v>ARROW PHARMA</v>
      </c>
    </row>
    <row r="389">
      <c r="H389" s="19" t="str">
        <f>IFERROR(__xludf.DUMMYFUNCTION("""COMPUTED_VALUE"""),"ARROWIN PHARMACEUTICALS")</f>
        <v>ARROWIN PHARMACEUTICALS</v>
      </c>
    </row>
    <row r="390">
      <c r="H390" s="19" t="str">
        <f>IFERROR(__xludf.DUMMYFUNCTION("""COMPUTED_VALUE"""),"ARTHUS WELLNESS INDIA P LTD")</f>
        <v>ARTHUS WELLNESS INDIA P LTD</v>
      </c>
    </row>
    <row r="391">
      <c r="H391" s="19" t="str">
        <f>IFERROR(__xludf.DUMMYFUNCTION("""COMPUTED_VALUE"""),"ARTI PHARMACEUTICALS &amp; CHEMICALS")</f>
        <v>ARTI PHARMACEUTICALS &amp; CHEMICALS</v>
      </c>
    </row>
    <row r="392">
      <c r="H392" s="19" t="str">
        <f>IFERROR(__xludf.DUMMYFUNCTION("""COMPUTED_VALUE"""),"ARUL PHARMETA")</f>
        <v>ARUL PHARMETA</v>
      </c>
    </row>
    <row r="393">
      <c r="H393" s="19" t="str">
        <f>IFERROR(__xludf.DUMMYFUNCTION("""COMPUTED_VALUE"""),"ARVINCARE PHARMA")</f>
        <v>ARVINCARE PHARMA</v>
      </c>
    </row>
    <row r="394">
      <c r="H394" s="19" t="str">
        <f>IFERROR(__xludf.DUMMYFUNCTION("""COMPUTED_VALUE"""),"ARVIND PHARMACEUTICALS")</f>
        <v>ARVIND PHARMACEUTICALS</v>
      </c>
    </row>
    <row r="395">
      <c r="H395" s="19" t="str">
        <f>IFERROR(__xludf.DUMMYFUNCTION("""COMPUTED_VALUE"""),"ARVIND REMEDIES")</f>
        <v>ARVIND REMEDIES</v>
      </c>
    </row>
    <row r="396">
      <c r="H396" s="19" t="str">
        <f>IFERROR(__xludf.DUMMYFUNCTION("""COMPUTED_VALUE"""),"ARYA AUSHADHI")</f>
        <v>ARYA AUSHADHI</v>
      </c>
    </row>
    <row r="397">
      <c r="H397" s="19" t="str">
        <f>IFERROR(__xludf.DUMMYFUNCTION("""COMPUTED_VALUE"""),"ARYAN LABORATORIES")</f>
        <v>ARYAN LABORATORIES</v>
      </c>
    </row>
    <row r="398">
      <c r="H398" s="19" t="str">
        <f>IFERROR(__xludf.DUMMYFUNCTION("""COMPUTED_VALUE"""),"ASBERT PHARMACEUTICALS PVT LTD")</f>
        <v>ASBERT PHARMACEUTICALS PVT LTD</v>
      </c>
    </row>
    <row r="399">
      <c r="H399" s="19" t="str">
        <f>IFERROR(__xludf.DUMMYFUNCTION("""COMPUTED_VALUE"""),"Asclepius Pharmaceuticals Pvt Ltd")</f>
        <v>Asclepius Pharmaceuticals Pvt Ltd</v>
      </c>
    </row>
    <row r="400">
      <c r="H400" s="19" t="str">
        <f>IFERROR(__xludf.DUMMYFUNCTION("""COMPUTED_VALUE"""),"ASCORPUS HEALTHCARE")</f>
        <v>ASCORPUS HEALTHCARE</v>
      </c>
    </row>
    <row r="401">
      <c r="H401" s="19" t="str">
        <f>IFERROR(__xludf.DUMMYFUNCTION("""COMPUTED_VALUE"""),"ASGARD LABS")</f>
        <v>ASGARD LABS</v>
      </c>
    </row>
    <row r="402">
      <c r="H402" s="19" t="str">
        <f>IFERROR(__xludf.DUMMYFUNCTION("""COMPUTED_VALUE"""),"ASHTANG HEALTHCARE PVT LTD")</f>
        <v>ASHTANG HEALTHCARE PVT LTD</v>
      </c>
    </row>
    <row r="403">
      <c r="H403" s="19" t="str">
        <f>IFERROR(__xludf.DUMMYFUNCTION("""COMPUTED_VALUE"""),"ASHWA HEALTHCARE")</f>
        <v>ASHWA HEALTHCARE</v>
      </c>
    </row>
    <row r="404">
      <c r="H404" s="19" t="str">
        <f>IFERROR(__xludf.DUMMYFUNCTION("""COMPUTED_VALUE"""),"ASIAN PHARMACEUTICALS P LTD")</f>
        <v>ASIAN PHARMACEUTICALS P LTD</v>
      </c>
    </row>
    <row r="405">
      <c r="H405" s="19" t="str">
        <f>IFERROR(__xludf.DUMMYFUNCTION("""COMPUTED_VALUE"""),"ASKON HEALTHCARE PVT LTD")</f>
        <v>ASKON HEALTHCARE PVT LTD</v>
      </c>
    </row>
    <row r="406">
      <c r="H406" s="19" t="str">
        <f>IFERROR(__xludf.DUMMYFUNCTION("""COMPUTED_VALUE"""),"ASOJ SOFT CAPS P LTD")</f>
        <v>ASOJ SOFT CAPS P LTD</v>
      </c>
    </row>
    <row r="407">
      <c r="H407" s="19" t="str">
        <f>IFERROR(__xludf.DUMMYFUNCTION("""COMPUTED_VALUE"""),"ASSOCIATED BIOTECH, NALAGAR")</f>
        <v>ASSOCIATED BIOTECH, NALAGAR</v>
      </c>
    </row>
    <row r="408">
      <c r="H408" s="19" t="str">
        <f>IFERROR(__xludf.DUMMYFUNCTION("""COMPUTED_VALUE"""),"ASSURE SURGICALS PVT LTD")</f>
        <v>ASSURE SURGICALS PVT LTD</v>
      </c>
    </row>
    <row r="409">
      <c r="H409" s="19" t="str">
        <f>IFERROR(__xludf.DUMMYFUNCTION("""COMPUTED_VALUE"""),"ASTALON PHARMA")</f>
        <v>ASTALON PHARMA</v>
      </c>
    </row>
    <row r="410">
      <c r="H410" s="19" t="str">
        <f>IFERROR(__xludf.DUMMYFUNCTION("""COMPUTED_VALUE"""),"ASTECH PHARMA PVT LTD")</f>
        <v>ASTECH PHARMA PVT LTD</v>
      </c>
    </row>
    <row r="411">
      <c r="H411" s="19" t="str">
        <f>IFERROR(__xludf.DUMMYFUNCTION("""COMPUTED_VALUE"""),"ASTELLAS PHARMA INDIA")</f>
        <v>ASTELLAS PHARMA INDIA</v>
      </c>
    </row>
    <row r="412">
      <c r="H412" s="19" t="str">
        <f>IFERROR(__xludf.DUMMYFUNCTION("""COMPUTED_VALUE"""),"ASTEMAX BIOTECH")</f>
        <v>ASTEMAX BIOTECH</v>
      </c>
    </row>
    <row r="413">
      <c r="H413" s="19" t="str">
        <f>IFERROR(__xludf.DUMMYFUNCTION("""COMPUTED_VALUE"""),"ASTER MEDIPHARM P LTD")</f>
        <v>ASTER MEDIPHARM P LTD</v>
      </c>
    </row>
    <row r="414">
      <c r="H414" s="19" t="str">
        <f>IFERROR(__xludf.DUMMYFUNCTION("""COMPUTED_VALUE"""),"ASTERISK LABS PVT LTD")</f>
        <v>ASTERISK LABS PVT LTD</v>
      </c>
    </row>
    <row r="415">
      <c r="H415" s="19" t="str">
        <f>IFERROR(__xludf.DUMMYFUNCTION("""COMPUTED_VALUE"""),"ASTEROIDS PHARMA")</f>
        <v>ASTEROIDS PHARMA</v>
      </c>
    </row>
    <row r="416">
      <c r="H416" s="19" t="str">
        <f>IFERROR(__xludf.DUMMYFUNCTION("""COMPUTED_VALUE"""),"ASTON ORGANICS")</f>
        <v>ASTON ORGANICS</v>
      </c>
    </row>
    <row r="417">
      <c r="H417" s="19" t="str">
        <f>IFERROR(__xludf.DUMMYFUNCTION("""COMPUTED_VALUE"""),"Astra Zeneca")</f>
        <v>Astra Zeneca</v>
      </c>
    </row>
    <row r="418">
      <c r="H418" s="19" t="str">
        <f>IFERROR(__xludf.DUMMYFUNCTION("""COMPUTED_VALUE"""),"Astra Zeneca (ACS LIFE)")</f>
        <v>Astra Zeneca (ACS LIFE)</v>
      </c>
    </row>
    <row r="419">
      <c r="H419" s="19" t="str">
        <f>IFERROR(__xludf.DUMMYFUNCTION("""COMPUTED_VALUE"""),"Astra Zeneca (AZCENT)")</f>
        <v>Astra Zeneca (AZCENT)</v>
      </c>
    </row>
    <row r="420">
      <c r="H420" s="19" t="str">
        <f>IFERROR(__xludf.DUMMYFUNCTION("""COMPUTED_VALUE"""),"Astra Zeneca (AZPIRE)")</f>
        <v>Astra Zeneca (AZPIRE)</v>
      </c>
    </row>
    <row r="421">
      <c r="H421" s="19" t="str">
        <f>IFERROR(__xludf.DUMMYFUNCTION("""COMPUTED_VALUE"""),"Astra Zeneca (CRESCENT)")</f>
        <v>Astra Zeneca (CRESCENT)</v>
      </c>
    </row>
    <row r="422">
      <c r="H422" s="19" t="str">
        <f>IFERROR(__xludf.DUMMYFUNCTION("""COMPUTED_VALUE"""),"Astra Zeneca (DIABITIES)")</f>
        <v>Astra Zeneca (DIABITIES)</v>
      </c>
    </row>
    <row r="423">
      <c r="H423" s="19" t="str">
        <f>IFERROR(__xludf.DUMMYFUNCTION("""COMPUTED_VALUE"""),"Astra Zeneca (INFECTION)")</f>
        <v>Astra Zeneca (INFECTION)</v>
      </c>
    </row>
    <row r="424">
      <c r="H424" s="19" t="str">
        <f>IFERROR(__xludf.DUMMYFUNCTION("""COMPUTED_VALUE"""),"Astra Zeneca (MHC)")</f>
        <v>Astra Zeneca (MHC)</v>
      </c>
    </row>
    <row r="425">
      <c r="H425" s="19" t="str">
        <f>IFERROR(__xludf.DUMMYFUNCTION("""COMPUTED_VALUE"""),"ASTRA-IDL LIMITED")</f>
        <v>ASTRA-IDL LIMITED</v>
      </c>
    </row>
    <row r="426">
      <c r="H426" s="19" t="str">
        <f>IFERROR(__xludf.DUMMYFUNCTION("""COMPUTED_VALUE"""),"ASTRONIA LIFE SCIENCES")</f>
        <v>ASTRONIA LIFE SCIENCES</v>
      </c>
    </row>
    <row r="427">
      <c r="H427" s="19" t="str">
        <f>IFERROR(__xludf.DUMMYFUNCTION("""COMPUTED_VALUE"""),"ASTRUM HEALTHCARE PVT LTD")</f>
        <v>ASTRUM HEALTHCARE PVT LTD</v>
      </c>
    </row>
    <row r="428">
      <c r="H428" s="19" t="str">
        <f>IFERROR(__xludf.DUMMYFUNCTION("""COMPUTED_VALUE"""),"ASWINI HOMEO PHARMACY")</f>
        <v>ASWINI HOMEO PHARMACY</v>
      </c>
    </row>
    <row r="429">
      <c r="H429" s="19" t="str">
        <f>IFERROR(__xludf.DUMMYFUNCTION("""COMPUTED_VALUE"""),"ATHARVA PHARMACEUTICALS")</f>
        <v>ATHARVA PHARMACEUTICALS</v>
      </c>
    </row>
    <row r="430">
      <c r="H430" s="19" t="str">
        <f>IFERROR(__xludf.DUMMYFUNCTION("""COMPUTED_VALUE"""),"ATHARVMEILLEUR HEALTH")</f>
        <v>ATHARVMEILLEUR HEALTH</v>
      </c>
    </row>
    <row r="431">
      <c r="H431" s="19" t="str">
        <f>IFERROR(__xludf.DUMMYFUNCTION("""COMPUTED_VALUE"""),"ATHENE LABORATORIES LTD")</f>
        <v>ATHENE LABORATORIES LTD</v>
      </c>
    </row>
    <row r="432">
      <c r="H432" s="19" t="str">
        <f>IFERROR(__xludf.DUMMYFUNCTION("""COMPUTED_VALUE"""),"ATHLON MEDIVENTURES")</f>
        <v>ATHLON MEDIVENTURES</v>
      </c>
    </row>
    <row r="433">
      <c r="H433" s="19" t="str">
        <f>IFERROR(__xludf.DUMMYFUNCTION("""COMPUTED_VALUE"""),"ATIT PHARMA")</f>
        <v>ATIT PHARMA</v>
      </c>
    </row>
    <row r="434">
      <c r="H434" s="19" t="str">
        <f>IFERROR(__xludf.DUMMYFUNCTION("""COMPUTED_VALUE"""),"ATLANTIC PHARMACEUTICALS")</f>
        <v>ATLANTIC PHARMACEUTICALS</v>
      </c>
    </row>
    <row r="435">
      <c r="H435" s="19" t="str">
        <f>IFERROR(__xludf.DUMMYFUNCTION("""COMPUTED_VALUE"""),"ATLINA LIFE SCIENCES PVT LTD")</f>
        <v>ATLINA LIFE SCIENCES PVT LTD</v>
      </c>
    </row>
    <row r="436">
      <c r="H436" s="19" t="str">
        <f>IFERROR(__xludf.DUMMYFUNCTION("""COMPUTED_VALUE"""),"ATON BIOTECH")</f>
        <v>ATON BIOTECH</v>
      </c>
    </row>
    <row r="437">
      <c r="H437" s="19" t="str">
        <f>IFERROR(__xludf.DUMMYFUNCTION("""COMPUTED_VALUE"""),"ATOPIC LABORATORIES PVT LTD")</f>
        <v>ATOPIC LABORATORIES PVT LTD</v>
      </c>
    </row>
    <row r="438">
      <c r="H438" s="19" t="str">
        <f>IFERROR(__xludf.DUMMYFUNCTION("""COMPUTED_VALUE"""),"ATOPIC LABS PVT LTD")</f>
        <v>ATOPIC LABS PVT LTD</v>
      </c>
    </row>
    <row r="439">
      <c r="H439" s="19" t="str">
        <f>IFERROR(__xludf.DUMMYFUNCTION("""COMPUTED_VALUE"""),"ATTAR PHARMACEUTICALS")</f>
        <v>ATTAR PHARMACEUTICALS</v>
      </c>
    </row>
    <row r="440">
      <c r="H440" s="19" t="str">
        <f>IFERROR(__xludf.DUMMYFUNCTION("""COMPUTED_VALUE"""),"ATTEMP HEALTHCARE")</f>
        <v>ATTEMP HEALTHCARE</v>
      </c>
    </row>
    <row r="441">
      <c r="H441" s="19" t="str">
        <f>IFERROR(__xludf.DUMMYFUNCTION("""COMPUTED_VALUE"""),"ATTEMPT LIFE")</f>
        <v>ATTEMPT LIFE</v>
      </c>
    </row>
    <row r="442">
      <c r="H442" s="19" t="str">
        <f>IFERROR(__xludf.DUMMYFUNCTION("""COMPUTED_VALUE"""),"AURA NUTRACEUTICALS LTD")</f>
        <v>AURA NUTRACEUTICALS LTD</v>
      </c>
    </row>
    <row r="443">
      <c r="H443" s="19" t="str">
        <f>IFERROR(__xludf.DUMMYFUNCTION("""COMPUTED_VALUE"""),"AURAM LIFESCIENCES P LTD")</f>
        <v>AURAM LIFESCIENCES P LTD</v>
      </c>
    </row>
    <row r="444">
      <c r="H444" s="19" t="str">
        <f>IFERROR(__xludf.DUMMYFUNCTION("""COMPUTED_VALUE"""),"AURAYA HEALTHCARE")</f>
        <v>AURAYA HEALTHCARE</v>
      </c>
    </row>
    <row r="445">
      <c r="H445" s="19" t="str">
        <f>IFERROR(__xludf.DUMMYFUNCTION("""COMPUTED_VALUE"""),"AUREATE HEALTHCARE")</f>
        <v>AUREATE HEALTHCARE</v>
      </c>
    </row>
    <row r="446">
      <c r="H446" s="19" t="str">
        <f>IFERROR(__xludf.DUMMYFUNCTION("""COMPUTED_VALUE"""),"AUREL DERMA")</f>
        <v>AUREL DERMA</v>
      </c>
    </row>
    <row r="447">
      <c r="H447" s="19" t="str">
        <f>IFERROR(__xludf.DUMMYFUNCTION("""COMPUTED_VALUE"""),"AURICARE LIFESCIENCES")</f>
        <v>AURICARE LIFESCIENCES</v>
      </c>
    </row>
    <row r="448">
      <c r="H448" s="19" t="str">
        <f>IFERROR(__xludf.DUMMYFUNCTION("""COMPUTED_VALUE"""),"AURO SYSTEMS &amp; COMMUNICATIONS")</f>
        <v>AURO SYSTEMS &amp; COMMUNICATIONS</v>
      </c>
    </row>
    <row r="449">
      <c r="H449" s="19" t="str">
        <f>IFERROR(__xludf.DUMMYFUNCTION("""COMPUTED_VALUE"""),"AUROBINDO PHARMA LTD")</f>
        <v>AUROBINDO PHARMA LTD</v>
      </c>
    </row>
    <row r="450">
      <c r="H450" s="19" t="str">
        <f>IFERROR(__xludf.DUMMYFUNCTION("""COMPUTED_VALUE"""),"AUROCHEM LABORATORIES INDIA PVT LTD")</f>
        <v>AUROCHEM LABORATORIES INDIA PVT LTD</v>
      </c>
    </row>
    <row r="451">
      <c r="H451" s="19" t="str">
        <f>IFERROR(__xludf.DUMMYFUNCTION("""COMPUTED_VALUE"""),"AURTAN INDIA PVT LTD")</f>
        <v>AURTAN INDIA PVT LTD</v>
      </c>
    </row>
    <row r="452">
      <c r="H452" s="19" t="str">
        <f>IFERROR(__xludf.DUMMYFUNCTION("""COMPUTED_VALUE"""),"AURUM ORGANICS")</f>
        <v>AURUM ORGANICS</v>
      </c>
    </row>
    <row r="453">
      <c r="H453" s="19" t="str">
        <f>IFERROR(__xludf.DUMMYFUNCTION("""COMPUTED_VALUE"""),"AUSKIN CARE")</f>
        <v>AUSKIN CARE</v>
      </c>
    </row>
    <row r="454">
      <c r="H454" s="19" t="str">
        <f>IFERROR(__xludf.DUMMYFUNCTION("""COMPUTED_VALUE"""),"AUSMED LIFE SCIENCES")</f>
        <v>AUSMED LIFE SCIENCES</v>
      </c>
    </row>
    <row r="455">
      <c r="H455" s="19" t="str">
        <f>IFERROR(__xludf.DUMMYFUNCTION("""COMPUTED_VALUE"""),"AUSTIRA PHARMACEUTICAL")</f>
        <v>AUSTIRA PHARMACEUTICAL</v>
      </c>
    </row>
    <row r="456">
      <c r="H456" s="19" t="str">
        <f>IFERROR(__xludf.DUMMYFUNCTION("""COMPUTED_VALUE"""),"AUSTRAK PVT LTD")</f>
        <v>AUSTRAK PVT LTD</v>
      </c>
    </row>
    <row r="457">
      <c r="H457" s="19" t="str">
        <f>IFERROR(__xludf.DUMMYFUNCTION("""COMPUTED_VALUE"""),"AUSTRO LAB")</f>
        <v>AUSTRO LAB</v>
      </c>
    </row>
    <row r="458">
      <c r="H458" s="19" t="str">
        <f>IFERROR(__xludf.DUMMYFUNCTION("""COMPUTED_VALUE"""),"AUXTER BIOMEDIC")</f>
        <v>AUXTER BIOMEDIC</v>
      </c>
    </row>
    <row r="459">
      <c r="H459" s="19" t="str">
        <f>IFERROR(__xludf.DUMMYFUNCTION("""COMPUTED_VALUE"""),"AUZALUS LIFE SCIENCES")</f>
        <v>AUZALUS LIFE SCIENCES</v>
      </c>
    </row>
    <row r="460">
      <c r="H460" s="19" t="str">
        <f>IFERROR(__xludf.DUMMYFUNCTION("""COMPUTED_VALUE"""),"AVALLAC PHARMACEUTICAL")</f>
        <v>AVALLAC PHARMACEUTICAL</v>
      </c>
    </row>
    <row r="461">
      <c r="H461" s="19" t="str">
        <f>IFERROR(__xludf.DUMMYFUNCTION("""COMPUTED_VALUE"""),"AVANEESH HEALTHCARE")</f>
        <v>AVANEESH HEALTHCARE</v>
      </c>
    </row>
    <row r="462">
      <c r="H462" s="19" t="str">
        <f>IFERROR(__xludf.DUMMYFUNCTION("""COMPUTED_VALUE"""),"AVANT REMEDIES PVT LTD")</f>
        <v>AVANT REMEDIES PVT LTD</v>
      </c>
    </row>
    <row r="463">
      <c r="H463" s="19" t="str">
        <f>IFERROR(__xludf.DUMMYFUNCTION("""COMPUTED_VALUE"""),"AVANTOR PERFORMANCE MATERIALS INDIA PVT LTD")</f>
        <v>AVANTOR PERFORMANCE MATERIALS INDIA PVT LTD</v>
      </c>
    </row>
    <row r="464">
      <c r="H464" s="19" t="str">
        <f>IFERROR(__xludf.DUMMYFUNCTION("""COMPUTED_VALUE"""),"AVENCIA BIOTECH")</f>
        <v>AVENCIA BIOTECH</v>
      </c>
    </row>
    <row r="465">
      <c r="H465" s="19" t="str">
        <f>IFERROR(__xludf.DUMMYFUNCTION("""COMPUTED_VALUE"""),"AVENEW MEDIFACE INDIA")</f>
        <v>AVENEW MEDIFACE INDIA</v>
      </c>
    </row>
    <row r="466">
      <c r="H466" s="19" t="str">
        <f>IFERROR(__xludf.DUMMYFUNCTION("""COMPUTED_VALUE"""),"AVENTIS (CARDIO)")</f>
        <v>AVENTIS (CARDIO)</v>
      </c>
    </row>
    <row r="467">
      <c r="H467" s="19" t="str">
        <f>IFERROR(__xludf.DUMMYFUNCTION("""COMPUTED_VALUE"""),"AVENTIS (CHC)")</f>
        <v>AVENTIS (CHC)</v>
      </c>
    </row>
    <row r="468">
      <c r="H468" s="19" t="str">
        <f>IFERROR(__xludf.DUMMYFUNCTION("""COMPUTED_VALUE"""),"AVENTIS (DIABETO)")</f>
        <v>AVENTIS (DIABETO)</v>
      </c>
    </row>
    <row r="469">
      <c r="H469" s="19" t="str">
        <f>IFERROR(__xludf.DUMMYFUNCTION("""COMPUTED_VALUE"""),"AVENTIS (IM)")</f>
        <v>AVENTIS (IM)</v>
      </c>
    </row>
    <row r="470">
      <c r="H470" s="19" t="str">
        <f>IFERROR(__xludf.DUMMYFUNCTION("""COMPUTED_VALUE"""),"AVENTIS (PHC)")</f>
        <v>AVENTIS (PHC)</v>
      </c>
    </row>
    <row r="471">
      <c r="H471" s="19" t="str">
        <f>IFERROR(__xludf.DUMMYFUNCTION("""COMPUTED_VALUE"""),"AVENTIS (SANOFI)")</f>
        <v>AVENTIS (SANOFI)</v>
      </c>
    </row>
    <row r="472">
      <c r="H472" s="19" t="str">
        <f>IFERROR(__xludf.DUMMYFUNCTION("""COMPUTED_VALUE"""),"Aventis Pasteur India Ltd.")</f>
        <v>Aventis Pasteur India Ltd.</v>
      </c>
    </row>
    <row r="473">
      <c r="H473" s="19" t="str">
        <f>IFERROR(__xludf.DUMMYFUNCTION("""COMPUTED_VALUE"""),"AVILIUS NEUTRACARE")</f>
        <v>AVILIUS NEUTRACARE</v>
      </c>
    </row>
    <row r="474">
      <c r="H474" s="19" t="str">
        <f>IFERROR(__xludf.DUMMYFUNCTION("""COMPUTED_VALUE"""),"Avin Pharma")</f>
        <v>Avin Pharma</v>
      </c>
    </row>
    <row r="475">
      <c r="H475" s="19" t="str">
        <f>IFERROR(__xludf.DUMMYFUNCTION("""COMPUTED_VALUE"""),"Avinash Health Products Pvt Ltd")</f>
        <v>Avinash Health Products Pvt Ltd</v>
      </c>
    </row>
    <row r="476">
      <c r="H476" s="19" t="str">
        <f>IFERROR(__xludf.DUMMYFUNCTION("""COMPUTED_VALUE"""),"AVIOR THERAPPEUTIS")</f>
        <v>AVIOR THERAPPEUTIS</v>
      </c>
    </row>
    <row r="477">
      <c r="H477" s="19" t="str">
        <f>IFERROR(__xludf.DUMMYFUNCTION("""COMPUTED_VALUE"""),"Avis Lifecare Pvt Ltd")</f>
        <v>Avis Lifecare Pvt Ltd</v>
      </c>
    </row>
    <row r="478">
      <c r="H478" s="19" t="str">
        <f>IFERROR(__xludf.DUMMYFUNCTION("""COMPUTED_VALUE"""),"AVITA BIOPHARMACEUTICALS")</f>
        <v>AVITA BIOPHARMACEUTICALS</v>
      </c>
    </row>
    <row r="479">
      <c r="H479" s="19" t="str">
        <f>IFERROR(__xludf.DUMMYFUNCTION("""COMPUTED_VALUE"""),"AVITA BIOPHARNACEUTICALS")</f>
        <v>AVITA BIOPHARNACEUTICALS</v>
      </c>
    </row>
    <row r="480">
      <c r="H480" s="19" t="str">
        <f>IFERROR(__xludf.DUMMYFUNCTION("""COMPUTED_VALUE"""),"AVM REMEDIES")</f>
        <v>AVM REMEDIES</v>
      </c>
    </row>
    <row r="481">
      <c r="H481" s="19" t="str">
        <f>IFERROR(__xludf.DUMMYFUNCTION("""COMPUTED_VALUE"""),"AVN PHARMACEUTICALS")</f>
        <v>AVN PHARMACEUTICALS</v>
      </c>
    </row>
    <row r="482">
      <c r="H482" s="19" t="str">
        <f>IFERROR(__xludf.DUMMYFUNCTION("""COMPUTED_VALUE"""),"AVNI")</f>
        <v>AVNI</v>
      </c>
    </row>
    <row r="483">
      <c r="H483" s="19" t="str">
        <f>IFERROR(__xludf.DUMMYFUNCTION("""COMPUTED_VALUE"""),"AVNI PHARMA SOLAN")</f>
        <v>AVNI PHARMA SOLAN</v>
      </c>
    </row>
    <row r="484">
      <c r="H484" s="19" t="str">
        <f>IFERROR(__xludf.DUMMYFUNCTION("""COMPUTED_VALUE"""),"AVONIC LIFE SCIENCES")</f>
        <v>AVONIC LIFE SCIENCES</v>
      </c>
    </row>
    <row r="485">
      <c r="H485" s="19" t="str">
        <f>IFERROR(__xludf.DUMMYFUNCTION("""COMPUTED_VALUE"""),"AWSTEN REMEDIES")</f>
        <v>AWSTEN REMEDIES</v>
      </c>
    </row>
    <row r="486">
      <c r="H486" s="19" t="str">
        <f>IFERROR(__xludf.DUMMYFUNCTION("""COMPUTED_VALUE"""),"AXELTIS HEALTHCARE")</f>
        <v>AXELTIS HEALTHCARE</v>
      </c>
    </row>
    <row r="487">
      <c r="H487" s="19" t="str">
        <f>IFERROR(__xludf.DUMMYFUNCTION("""COMPUTED_VALUE"""),"AXINIB 1")</f>
        <v>AXINIB 1</v>
      </c>
    </row>
    <row r="488">
      <c r="H488" s="19" t="str">
        <f>IFERROR(__xludf.DUMMYFUNCTION("""COMPUTED_VALUE"""),"AXINIB 5")</f>
        <v>AXINIB 5</v>
      </c>
    </row>
    <row r="489">
      <c r="H489" s="19" t="str">
        <f>IFERROR(__xludf.DUMMYFUNCTION("""COMPUTED_VALUE"""),"AXIS PHARMA")</f>
        <v>AXIS PHARMA</v>
      </c>
    </row>
    <row r="490">
      <c r="H490" s="19" t="str">
        <f>IFERROR(__xludf.DUMMYFUNCTION("""COMPUTED_VALUE"""),"AXO RESEARCH LABORATORIES")</f>
        <v>AXO RESEARCH LABORATORIES</v>
      </c>
    </row>
    <row r="491">
      <c r="H491" s="19" t="str">
        <f>IFERROR(__xludf.DUMMYFUNCTION("""COMPUTED_VALUE"""),"AYNS PHARMA")</f>
        <v>AYNS PHARMA</v>
      </c>
    </row>
    <row r="492">
      <c r="H492" s="19" t="str">
        <f>IFERROR(__xludf.DUMMYFUNCTION("""COMPUTED_VALUE"""),"AYUCARE PHARMACEUTICALS")</f>
        <v>AYUCARE PHARMACEUTICALS</v>
      </c>
    </row>
    <row r="493">
      <c r="H493" s="19" t="str">
        <f>IFERROR(__xludf.DUMMYFUNCTION("""COMPUTED_VALUE"""),"AYULABS PVT LTD")</f>
        <v>AYULABS PVT LTD</v>
      </c>
    </row>
    <row r="494">
      <c r="H494" s="19" t="str">
        <f>IFERROR(__xludf.DUMMYFUNCTION("""COMPUTED_VALUE"""),"AYURVED SEVA SADAN")</f>
        <v>AYURVED SEVA SADAN</v>
      </c>
    </row>
    <row r="495">
      <c r="H495" s="19" t="str">
        <f>IFERROR(__xludf.DUMMYFUNCTION("""COMPUTED_VALUE"""),"AYURVED SUMSHODHANALAYA")</f>
        <v>AYURVED SUMSHODHANALAYA</v>
      </c>
    </row>
    <row r="496">
      <c r="H496" s="19" t="str">
        <f>IFERROR(__xludf.DUMMYFUNCTION("""COMPUTED_VALUE"""),"AYURVEDA RASASHALA")</f>
        <v>AYURVEDA RASASHALA</v>
      </c>
    </row>
    <row r="497">
      <c r="H497" s="19" t="str">
        <f>IFERROR(__xludf.DUMMYFUNCTION("""COMPUTED_VALUE"""),"AYURVEDA SEARCH")</f>
        <v>AYURVEDA SEARCH</v>
      </c>
    </row>
    <row r="498">
      <c r="H498" s="19" t="str">
        <f>IFERROR(__xludf.DUMMYFUNCTION("""COMPUTED_VALUE"""),"AYURVEDANT P LTD")</f>
        <v>AYURVEDANT P LTD</v>
      </c>
    </row>
    <row r="499">
      <c r="H499" s="19" t="str">
        <f>IFERROR(__xludf.DUMMYFUNCTION("""COMPUTED_VALUE"""),"AYURVEDIC VIKAS SANSTHAN")</f>
        <v>AYURVEDIC VIKAS SANSTHAN</v>
      </c>
    </row>
    <row r="500">
      <c r="H500" s="19" t="str">
        <f>IFERROR(__xludf.DUMMYFUNCTION("""COMPUTED_VALUE"""),"AYURWIN")</f>
        <v>AYURWIN</v>
      </c>
    </row>
    <row r="501">
      <c r="H501" s="19" t="str">
        <f>IFERROR(__xludf.DUMMYFUNCTION("""COMPUTED_VALUE"""),"AYUSH MEDICAL AGENCY (OTHER PRODUCTS)")</f>
        <v>AYUSH MEDICAL AGENCY (OTHER PRODUCTS)</v>
      </c>
    </row>
    <row r="502">
      <c r="H502" s="19" t="str">
        <f>IFERROR(__xludf.DUMMYFUNCTION("""COMPUTED_VALUE"""),"AYUSHAKTI HEALTH CARE")</f>
        <v>AYUSHAKTI HEALTH CARE</v>
      </c>
    </row>
    <row r="503">
      <c r="H503" s="19" t="str">
        <f>IFERROR(__xludf.DUMMYFUNCTION("""COMPUTED_VALUE"""),"AZILLIAN HEALTHCARE PVT LTD")</f>
        <v>AZILLIAN HEALTHCARE PVT LTD</v>
      </c>
    </row>
    <row r="504">
      <c r="H504" s="19" t="str">
        <f>IFERROR(__xludf.DUMMYFUNCTION("""COMPUTED_VALUE"""),"AZINE HEALTHCARE P LTD")</f>
        <v>AZINE HEALTHCARE P LTD</v>
      </c>
    </row>
    <row r="505">
      <c r="H505" s="19" t="str">
        <f>IFERROR(__xludf.DUMMYFUNCTION("""COMPUTED_VALUE"""),"AZKKA PHARMACEUTICALS PVT LTD")</f>
        <v>AZKKA PHARMACEUTICALS PVT LTD</v>
      </c>
    </row>
    <row r="506">
      <c r="H506" s="19" t="str">
        <f>IFERROR(__xludf.DUMMYFUNCTION("""COMPUTED_VALUE"""),"AZKKOR PHARMA")</f>
        <v>AZKKOR PHARMA</v>
      </c>
    </row>
    <row r="507">
      <c r="H507" s="19" t="str">
        <f>IFERROR(__xludf.DUMMYFUNCTION("""COMPUTED_VALUE"""),"AZZURRA PHARMA")</f>
        <v>AZZURRA PHARMA</v>
      </c>
    </row>
    <row r="508">
      <c r="H508" s="19" t="str">
        <f>IFERROR(__xludf.DUMMYFUNCTION("""COMPUTED_VALUE"""),"B BRAUN")</f>
        <v>B BRAUN</v>
      </c>
    </row>
    <row r="509">
      <c r="H509" s="19" t="str">
        <f>IFERROR(__xludf.DUMMYFUNCTION("""COMPUTED_VALUE"""),"B C HASARAM &amp; SONS")</f>
        <v>B C HASARAM &amp; SONS</v>
      </c>
    </row>
    <row r="510">
      <c r="H510" s="19" t="str">
        <f>IFERROR(__xludf.DUMMYFUNCTION("""COMPUTED_VALUE"""),"B-TEX OINTMENT")</f>
        <v>B-TEX OINTMENT</v>
      </c>
    </row>
    <row r="511">
      <c r="H511" s="19" t="str">
        <f>IFERROR(__xludf.DUMMYFUNCTION("""COMPUTED_VALUE"""),"B&amp;B GROUP")</f>
        <v>B&amp;B GROUP</v>
      </c>
    </row>
    <row r="512">
      <c r="H512" s="19" t="str">
        <f>IFERROR(__xludf.DUMMYFUNCTION("""COMPUTED_VALUE"""),"B&amp;J LIFE SCIENCES")</f>
        <v>B&amp;J LIFE SCIENCES</v>
      </c>
    </row>
    <row r="513">
      <c r="H513" s="19" t="str">
        <f>IFERROR(__xludf.DUMMYFUNCTION("""COMPUTED_VALUE"""),"BACFO Pharmaceuticals (India) Ltd.")</f>
        <v>BACFO Pharmaceuticals (India) Ltd.</v>
      </c>
    </row>
    <row r="514">
      <c r="H514" s="19" t="str">
        <f>IFERROR(__xludf.DUMMYFUNCTION("""COMPUTED_VALUE"""),"BAHOLA")</f>
        <v>BAHOLA</v>
      </c>
    </row>
    <row r="515">
      <c r="H515" s="19" t="str">
        <f>IFERROR(__xludf.DUMMYFUNCTION("""COMPUTED_VALUE"""),"BAIDYARAJ AYURVED")</f>
        <v>BAIDYARAJ AYURVED</v>
      </c>
    </row>
    <row r="516">
      <c r="H516" s="19" t="str">
        <f>IFERROR(__xludf.DUMMYFUNCTION("""COMPUTED_VALUE"""),"BAIN MEDICAL EQIPMENT")</f>
        <v>BAIN MEDICAL EQIPMENT</v>
      </c>
    </row>
    <row r="517">
      <c r="H517" s="19" t="str">
        <f>IFERROR(__xludf.DUMMYFUNCTION("""COMPUTED_VALUE"""),"BAIZ BIOCARE PVT LTD")</f>
        <v>BAIZ BIOCARE PVT LTD</v>
      </c>
    </row>
    <row r="518">
      <c r="H518" s="19" t="str">
        <f>IFERROR(__xludf.DUMMYFUNCTION("""COMPUTED_VALUE"""),"BAJAJ CORP LTD")</f>
        <v>BAJAJ CORP LTD</v>
      </c>
    </row>
    <row r="519">
      <c r="H519" s="19" t="str">
        <f>IFERROR(__xludf.DUMMYFUNCTION("""COMPUTED_VALUE"""),"BAJAJ MEDICARE")</f>
        <v>BAJAJ MEDICARE</v>
      </c>
    </row>
    <row r="520">
      <c r="H520" s="19" t="str">
        <f>IFERROR(__xludf.DUMMYFUNCTION("""COMPUTED_VALUE"""),"BAKSON")</f>
        <v>BAKSON</v>
      </c>
    </row>
    <row r="521">
      <c r="H521" s="19" t="str">
        <f>IFERROR(__xludf.DUMMYFUNCTION("""COMPUTED_VALUE"""),"Bal Pharma Ltd")</f>
        <v>Bal Pharma Ltd</v>
      </c>
    </row>
    <row r="522">
      <c r="H522" s="19" t="str">
        <f>IFERROR(__xludf.DUMMYFUNCTION("""COMPUTED_VALUE"""),"BALAJI AYURVED SANSTHAN")</f>
        <v>BALAJI AYURVED SANSTHAN</v>
      </c>
    </row>
    <row r="523">
      <c r="H523" s="19" t="str">
        <f>IFERROR(__xludf.DUMMYFUNCTION("""COMPUTED_VALUE"""),"BALAJI HEALTHCARE")</f>
        <v>BALAJI HEALTHCARE</v>
      </c>
    </row>
    <row r="524">
      <c r="H524" s="19" t="str">
        <f>IFERROR(__xludf.DUMMYFUNCTION("""COMPUTED_VALUE"""),"BALSON PHARMACEUTICALS (BESTCURE PHARMA)")</f>
        <v>BALSON PHARMACEUTICALS (BESTCURE PHARMA)</v>
      </c>
    </row>
    <row r="525">
      <c r="H525" s="19" t="str">
        <f>IFERROR(__xludf.DUMMYFUNCTION("""COMPUTED_VALUE"""),"Ban Labs")</f>
        <v>Ban Labs</v>
      </c>
    </row>
    <row r="526">
      <c r="H526" s="19" t="str">
        <f>IFERROR(__xludf.DUMMYFUNCTION("""COMPUTED_VALUE"""),"BANFORD")</f>
        <v>BANFORD</v>
      </c>
    </row>
    <row r="527">
      <c r="H527" s="19" t="str">
        <f>IFERROR(__xludf.DUMMYFUNCTION("""COMPUTED_VALUE"""),"BARD ACCESS SYSTEMS")</f>
        <v>BARD ACCESS SYSTEMS</v>
      </c>
    </row>
    <row r="528">
      <c r="H528" s="19" t="str">
        <f>IFERROR(__xludf.DUMMYFUNCTION("""COMPUTED_VALUE"""),"BARDIA")</f>
        <v>BARDIA</v>
      </c>
    </row>
    <row r="529">
      <c r="H529" s="19" t="str">
        <f>IFERROR(__xludf.DUMMYFUNCTION("""COMPUTED_VALUE"""),"BAROQUE PHARMACEUTICALS")</f>
        <v>BAROQUE PHARMACEUTICALS</v>
      </c>
    </row>
    <row r="530">
      <c r="H530" s="19" t="str">
        <f>IFERROR(__xludf.DUMMYFUNCTION("""COMPUTED_VALUE"""),"BAUSCH &amp; LOMB")</f>
        <v>BAUSCH &amp; LOMB</v>
      </c>
    </row>
    <row r="531">
      <c r="H531" s="19" t="str">
        <f>IFERROR(__xludf.DUMMYFUNCTION("""COMPUTED_VALUE"""),"BAUSCH &amp; LOMB (SL-59)")</f>
        <v>BAUSCH &amp; LOMB (SL-59)</v>
      </c>
    </row>
    <row r="532">
      <c r="H532" s="19" t="str">
        <f>IFERROR(__xludf.DUMMYFUNCTION("""COMPUTED_VALUE"""),"Bausch &amp; Lomb Inc")</f>
        <v>Bausch &amp; Lomb Inc</v>
      </c>
    </row>
    <row r="533">
      <c r="H533" s="19" t="str">
        <f>IFERROR(__xludf.DUMMYFUNCTION("""COMPUTED_VALUE"""),"Baxter India Pvt Ltd")</f>
        <v>Baxter India Pvt Ltd</v>
      </c>
    </row>
    <row r="534">
      <c r="H534" s="19" t="str">
        <f>IFERROR(__xludf.DUMMYFUNCTION("""COMPUTED_VALUE"""),"BAYER (ZYDUS BLUE)")</f>
        <v>BAYER (ZYDUS BLUE)</v>
      </c>
    </row>
    <row r="535">
      <c r="H535" s="19" t="str">
        <f>IFERROR(__xludf.DUMMYFUNCTION("""COMPUTED_VALUE"""),"BAYER HEALTH PHARMACEUTICALS")</f>
        <v>BAYER HEALTH PHARMACEUTICALS</v>
      </c>
    </row>
    <row r="536">
      <c r="H536" s="19" t="str">
        <f>IFERROR(__xludf.DUMMYFUNCTION("""COMPUTED_VALUE"""),"Bayer Pharmaceuticals Pvt Ltd")</f>
        <v>Bayer Pharmaceuticals Pvt Ltd</v>
      </c>
    </row>
    <row r="537">
      <c r="H537" s="19" t="str">
        <f>IFERROR(__xludf.DUMMYFUNCTION("""COMPUTED_VALUE"""),"BAYZE BIOCARE PVT LTD")</f>
        <v>BAYZE BIOCARE PVT LTD</v>
      </c>
    </row>
    <row r="538">
      <c r="H538" s="19" t="str">
        <f>IFERROR(__xludf.DUMMYFUNCTION("""COMPUTED_VALUE"""),"BD SURGICAL")</f>
        <v>BD SURGICAL</v>
      </c>
    </row>
    <row r="539">
      <c r="H539" s="19" t="str">
        <f>IFERROR(__xludf.DUMMYFUNCTION("""COMPUTED_VALUE"""),"BDR PHARMACEUTICALS")</f>
        <v>BDR PHARMACEUTICALS</v>
      </c>
    </row>
    <row r="540">
      <c r="H540" s="19" t="str">
        <f>IFERROR(__xludf.DUMMYFUNCTION("""COMPUTED_VALUE"""),"BEAMS REMEDIES")</f>
        <v>BEAMS REMEDIES</v>
      </c>
    </row>
    <row r="541">
      <c r="H541" s="19" t="str">
        <f>IFERROR(__xludf.DUMMYFUNCTION("""COMPUTED_VALUE"""),"BEAUDERM PAHARMA")</f>
        <v>BEAUDERM PAHARMA</v>
      </c>
    </row>
    <row r="542">
      <c r="H542" s="19" t="str">
        <f>IFERROR(__xludf.DUMMYFUNCTION("""COMPUTED_VALUE"""),"BECK &amp; KOLL")</f>
        <v>BECK &amp; KOLL</v>
      </c>
    </row>
    <row r="543">
      <c r="H543" s="19" t="str">
        <f>IFERROR(__xludf.DUMMYFUNCTION("""COMPUTED_VALUE"""),"BEEKAY PHARMACEUTICALS")</f>
        <v>BEEKAY PHARMACEUTICALS</v>
      </c>
    </row>
    <row r="544">
      <c r="H544" s="19" t="str">
        <f>IFERROR(__xludf.DUMMYFUNCTION("""COMPUTED_VALUE"""),"BEETA SURGICALS")</f>
        <v>BEETA SURGICALS</v>
      </c>
    </row>
    <row r="545">
      <c r="H545" s="19" t="str">
        <f>IFERROR(__xludf.DUMMYFUNCTION("""COMPUTED_VALUE"""),"BEIERSDORF")</f>
        <v>BEIERSDORF</v>
      </c>
    </row>
    <row r="546">
      <c r="H546" s="19" t="str">
        <f>IFERROR(__xludf.DUMMYFUNCTION("""COMPUTED_VALUE"""),"Bengal Chemicals &amp; Pharmaceuticals Ltd")</f>
        <v>Bengal Chemicals &amp; Pharmaceuticals Ltd</v>
      </c>
    </row>
    <row r="547">
      <c r="H547" s="19" t="str">
        <f>IFERROR(__xludf.DUMMYFUNCTION("""COMPUTED_VALUE"""),"BENNET PHARMA (CRITICAL CARE)")</f>
        <v>BENNET PHARMA (CRITICAL CARE)</v>
      </c>
    </row>
    <row r="548">
      <c r="H548" s="19" t="str">
        <f>IFERROR(__xludf.DUMMYFUNCTION("""COMPUTED_VALUE"""),"BENNET PHARMA (EXTRA CARE)")</f>
        <v>BENNET PHARMA (EXTRA CARE)</v>
      </c>
    </row>
    <row r="549">
      <c r="H549" s="19" t="str">
        <f>IFERROR(__xludf.DUMMYFUNCTION("""COMPUTED_VALUE"""),"BENNET PHARMA (MAIN)")</f>
        <v>BENNET PHARMA (MAIN)</v>
      </c>
    </row>
    <row r="550">
      <c r="H550" s="19" t="str">
        <f>IFERROR(__xludf.DUMMYFUNCTION("""COMPUTED_VALUE"""),"BENNET PHARMA (MYPHER)")</f>
        <v>BENNET PHARMA (MYPHER)</v>
      </c>
    </row>
    <row r="551">
      <c r="H551" s="19" t="str">
        <f>IFERROR(__xludf.DUMMYFUNCTION("""COMPUTED_VALUE"""),"Bennet Pharmaceuticals Limited")</f>
        <v>Bennet Pharmaceuticals Limited</v>
      </c>
    </row>
    <row r="552">
      <c r="H552" s="19" t="str">
        <f>IFERROR(__xludf.DUMMYFUNCTION("""COMPUTED_VALUE"""),"BERBRICK HEALTHCARE")</f>
        <v>BERBRICK HEALTHCARE</v>
      </c>
    </row>
    <row r="553">
      <c r="H553" s="19" t="str">
        <f>IFERROR(__xludf.DUMMYFUNCTION("""COMPUTED_VALUE"""),"BERNICE PHARMA")</f>
        <v>BERNICE PHARMA</v>
      </c>
    </row>
    <row r="554">
      <c r="H554" s="19" t="str">
        <f>IFERROR(__xludf.DUMMYFUNCTION("""COMPUTED_VALUE"""),"BERRY &amp; HERBS PHARMA PVT LTD")</f>
        <v>BERRY &amp; HERBS PHARMA PVT LTD</v>
      </c>
    </row>
    <row r="555">
      <c r="H555" s="19" t="str">
        <f>IFERROR(__xludf.DUMMYFUNCTION("""COMPUTED_VALUE"""),"BERYL DRUGS LTD")</f>
        <v>BERYL DRUGS LTD</v>
      </c>
    </row>
    <row r="556">
      <c r="H556" s="19" t="str">
        <f>IFERROR(__xludf.DUMMYFUNCTION("""COMPUTED_VALUE"""),"Besins Healthcare India Pvt Ltd")</f>
        <v>Besins Healthcare India Pvt Ltd</v>
      </c>
    </row>
    <row r="557">
      <c r="H557" s="19" t="str">
        <f>IFERROR(__xludf.DUMMYFUNCTION("""COMPUTED_VALUE"""),"BEST BIOTECH")</f>
        <v>BEST BIOTECH</v>
      </c>
    </row>
    <row r="558">
      <c r="H558" s="19" t="str">
        <f>IFERROR(__xludf.DUMMYFUNCTION("""COMPUTED_VALUE"""),"BESTEL LABORATORIES")</f>
        <v>BESTEL LABORATORIES</v>
      </c>
    </row>
    <row r="559">
      <c r="H559" s="19" t="str">
        <f>IFERROR(__xludf.DUMMYFUNCTION("""COMPUTED_VALUE"""),"BESTOCHEM (SALUTE)")</f>
        <v>BESTOCHEM (SALUTE)</v>
      </c>
    </row>
    <row r="560">
      <c r="H560" s="19" t="str">
        <f>IFERROR(__xludf.DUMMYFUNCTION("""COMPUTED_VALUE"""),"BestoChem Formulations India Ltd")</f>
        <v>BestoChem Formulations India Ltd</v>
      </c>
    </row>
    <row r="561">
      <c r="H561" s="19" t="str">
        <f>IFERROR(__xludf.DUMMYFUNCTION("""COMPUTED_VALUE"""),"BestoChem Formulations India Ltd (GENERIC)")</f>
        <v>BestoChem Formulations India Ltd (GENERIC)</v>
      </c>
    </row>
    <row r="562">
      <c r="H562" s="19" t="str">
        <f>IFERROR(__xludf.DUMMYFUNCTION("""COMPUTED_VALUE"""),"BETA DRUGS LTD")</f>
        <v>BETA DRUGS LTD</v>
      </c>
    </row>
    <row r="563">
      <c r="H563" s="19" t="str">
        <f>IFERROR(__xludf.DUMMYFUNCTION("""COMPUTED_VALUE"""),"BHAGWAT PHARMACEUTICAL")</f>
        <v>BHAGWAT PHARMACEUTICAL</v>
      </c>
    </row>
    <row r="564">
      <c r="H564" s="19" t="str">
        <f>IFERROR(__xludf.DUMMYFUNCTION("""COMPUTED_VALUE"""),"BHANDARI")</f>
        <v>BHANDARI</v>
      </c>
    </row>
    <row r="565">
      <c r="H565" s="19" t="str">
        <f>IFERROR(__xludf.DUMMYFUNCTION("""COMPUTED_VALUE"""),"Bhandari Labs")</f>
        <v>Bhandari Labs</v>
      </c>
    </row>
    <row r="566">
      <c r="H566" s="19" t="str">
        <f>IFERROR(__xludf.DUMMYFUNCTION("""COMPUTED_VALUE"""),"Bharat Biotech")</f>
        <v>Bharat Biotech</v>
      </c>
    </row>
    <row r="567">
      <c r="H567" s="19" t="str">
        <f>IFERROR(__xludf.DUMMYFUNCTION("""COMPUTED_VALUE"""),"BHARAT HOMOEO")</f>
        <v>BHARAT HOMOEO</v>
      </c>
    </row>
    <row r="568">
      <c r="H568" s="19" t="str">
        <f>IFERROR(__xludf.DUMMYFUNCTION("""COMPUTED_VALUE"""),"Bharat Serums &amp; Vaccines Ltd")</f>
        <v>Bharat Serums &amp; Vaccines Ltd</v>
      </c>
    </row>
    <row r="569">
      <c r="H569" s="19" t="str">
        <f>IFERROR(__xludf.DUMMYFUNCTION("""COMPUTED_VALUE"""),"BHARATIYAPHARMACEUTICALS INDIA")</f>
        <v>BHARATIYAPHARMACEUTICALS INDIA</v>
      </c>
    </row>
    <row r="570">
      <c r="H570" s="19" t="str">
        <f>IFERROR(__xludf.DUMMYFUNCTION("""COMPUTED_VALUE"""),"BHARGAVA PHYTOLAB")</f>
        <v>BHARGAVA PHYTOLAB</v>
      </c>
    </row>
    <row r="571">
      <c r="H571" s="19" t="str">
        <f>IFERROR(__xludf.DUMMYFUNCTION("""COMPUTED_VALUE"""),"Bharti Life Sciences")</f>
        <v>Bharti Life Sciences</v>
      </c>
    </row>
    <row r="572">
      <c r="H572" s="19" t="str">
        <f>IFERROR(__xludf.DUMMYFUNCTION("""COMPUTED_VALUE"""),"BHARTIYAPHARMA")</f>
        <v>BHARTIYAPHARMA</v>
      </c>
    </row>
    <row r="573">
      <c r="H573" s="19" t="str">
        <f>IFERROR(__xludf.DUMMYFUNCTION("""COMPUTED_VALUE"""),"BHASKARA VILASAM")</f>
        <v>BHASKARA VILASAM</v>
      </c>
    </row>
    <row r="574">
      <c r="H574" s="19" t="str">
        <f>IFERROR(__xludf.DUMMYFUNCTION("""COMPUTED_VALUE"""),"BHAWANI PHARMACEUTICAL")</f>
        <v>BHAWANI PHARMACEUTICAL</v>
      </c>
    </row>
    <row r="575">
      <c r="H575" s="19" t="str">
        <f>IFERROR(__xludf.DUMMYFUNCTION("""COMPUTED_VALUE"""),"BHAWASAR CHEMICALS")</f>
        <v>BHAWASAR CHEMICALS</v>
      </c>
    </row>
    <row r="576">
      <c r="H576" s="19" t="str">
        <f>IFERROR(__xludf.DUMMYFUNCTION("""COMPUTED_VALUE"""),"BHAWSAR PHARMACEUTICAL WORKS")</f>
        <v>BHAWSAR PHARMACEUTICAL WORKS</v>
      </c>
    </row>
    <row r="577">
      <c r="H577" s="19" t="str">
        <f>IFERROR(__xludf.DUMMYFUNCTION("""COMPUTED_VALUE"""),"BHOGILAL PREMCHAND")</f>
        <v>BHOGILAL PREMCHAND</v>
      </c>
    </row>
    <row r="578">
      <c r="H578" s="19" t="str">
        <f>IFERROR(__xludf.DUMMYFUNCTION("""COMPUTED_VALUE"""),"BI CURE REMEDIES")</f>
        <v>BI CURE REMEDIES</v>
      </c>
    </row>
    <row r="579">
      <c r="H579" s="19" t="str">
        <f>IFERROR(__xludf.DUMMYFUNCTION("""COMPUTED_VALUE"""),"BIGWIG REMEDIES")</f>
        <v>BIGWIG REMEDIES</v>
      </c>
    </row>
    <row r="580">
      <c r="H580" s="19" t="str">
        <f>IFERROR(__xludf.DUMMYFUNCTION("""COMPUTED_VALUE"""),"BILBERRY PHARMACEUTICAL PVT LTD")</f>
        <v>BILBERRY PHARMACEUTICAL PVT LTD</v>
      </c>
    </row>
    <row r="581">
      <c r="H581" s="19" t="str">
        <f>IFERROR(__xludf.DUMMYFUNCTION("""COMPUTED_VALUE"""),"BILBERRY PHARMACEUTICALS PVT LTD")</f>
        <v>BILBERRY PHARMACEUTICALS PVT LTD</v>
      </c>
    </row>
    <row r="582">
      <c r="H582" s="19" t="str">
        <f>IFERROR(__xludf.DUMMYFUNCTION("""COMPUTED_VALUE"""),"BILLS CHEMICAL LIMITED")</f>
        <v>BILLS CHEMICAL LIMITED</v>
      </c>
    </row>
    <row r="583">
      <c r="H583" s="19" t="str">
        <f>IFERROR(__xludf.DUMMYFUNCTION("""COMPUTED_VALUE"""),"BINDU MADHAV PHARMA PVT LTD")</f>
        <v>BINDU MADHAV PHARMA PVT LTD</v>
      </c>
    </row>
    <row r="584">
      <c r="H584" s="19" t="str">
        <f>IFERROR(__xludf.DUMMYFUNCTION("""COMPUTED_VALUE"""),"BIO CAROL PHARMA")</f>
        <v>BIO CAROL PHARMA</v>
      </c>
    </row>
    <row r="585">
      <c r="H585" s="19" t="str">
        <f>IFERROR(__xludf.DUMMYFUNCTION("""COMPUTED_VALUE"""),"BIO EXCELLENCE")</f>
        <v>BIO EXCELLENCE</v>
      </c>
    </row>
    <row r="586">
      <c r="H586" s="19" t="str">
        <f>IFERROR(__xludf.DUMMYFUNCTION("""COMPUTED_VALUE"""),"BIO MEDICA LABORATORIES PVT LTD")</f>
        <v>BIO MEDICA LABORATORIES PVT LTD</v>
      </c>
    </row>
    <row r="587">
      <c r="H587" s="19" t="str">
        <f>IFERROR(__xludf.DUMMYFUNCTION("""COMPUTED_VALUE"""),"BIO TRUE LENS")</f>
        <v>BIO TRUE LENS</v>
      </c>
    </row>
    <row r="588">
      <c r="H588" s="19" t="str">
        <f>IFERROR(__xludf.DUMMYFUNCTION("""COMPUTED_VALUE"""),"BIO-MEDICA LAB INDORE")</f>
        <v>BIO-MEDICA LAB INDORE</v>
      </c>
    </row>
    <row r="589">
      <c r="H589" s="19" t="str">
        <f>IFERROR(__xludf.DUMMYFUNCTION("""COMPUTED_VALUE"""),"BIOAS MEDICO P LTD")</f>
        <v>BIOAS MEDICO P LTD</v>
      </c>
    </row>
    <row r="590">
      <c r="H590" s="19" t="str">
        <f>IFERROR(__xludf.DUMMYFUNCTION("""COMPUTED_VALUE"""),"BIOCEUTICS PHARMACEUTICALS")</f>
        <v>BIOCEUTICS PHARMACEUTICALS</v>
      </c>
    </row>
    <row r="591">
      <c r="H591" s="19" t="str">
        <f>IFERROR(__xludf.DUMMYFUNCTION("""COMPUTED_VALUE"""),"Biochem Pharmaceutical Industries")</f>
        <v>Biochem Pharmaceutical Industries</v>
      </c>
    </row>
    <row r="592">
      <c r="H592" s="19" t="str">
        <f>IFERROR(__xludf.DUMMYFUNCTION("""COMPUTED_VALUE"""),"Biochem Pharmaceutical Industries (GENERIC)")</f>
        <v>Biochem Pharmaceutical Industries (GENERIC)</v>
      </c>
    </row>
    <row r="593">
      <c r="H593" s="19" t="str">
        <f>IFERROR(__xludf.DUMMYFUNCTION("""COMPUTED_VALUE"""),"BIOCHEMIX HEALTHCARE")</f>
        <v>BIOCHEMIX HEALTHCARE</v>
      </c>
    </row>
    <row r="594">
      <c r="H594" s="19" t="str">
        <f>IFERROR(__xludf.DUMMYFUNCTION("""COMPUTED_VALUE"""),"BIOCHEMIX HEALTHCARE (NOVAMED  PHARMA)")</f>
        <v>BIOCHEMIX HEALTHCARE (NOVAMED  PHARMA)</v>
      </c>
    </row>
    <row r="595">
      <c r="H595" s="19" t="str">
        <f>IFERROR(__xludf.DUMMYFUNCTION("""COMPUTED_VALUE"""),"BIOCHEMIX HEALTHCARE (OLMED)")</f>
        <v>BIOCHEMIX HEALTHCARE (OLMED)</v>
      </c>
    </row>
    <row r="596">
      <c r="H596" s="19" t="str">
        <f>IFERROR(__xludf.DUMMYFUNCTION("""COMPUTED_VALUE"""),"BIOCHEMIX HEALTHCARE (VIVIA DERMACARE)")</f>
        <v>BIOCHEMIX HEALTHCARE (VIVIA DERMACARE)</v>
      </c>
    </row>
    <row r="597">
      <c r="H597" s="19" t="str">
        <f>IFERROR(__xludf.DUMMYFUNCTION("""COMPUTED_VALUE"""),"Biocon")</f>
        <v>Biocon</v>
      </c>
    </row>
    <row r="598">
      <c r="H598" s="19" t="str">
        <f>IFERROR(__xludf.DUMMYFUNCTION("""COMPUTED_VALUE"""),"BIOCON (ALTIUS)")</f>
        <v>BIOCON (ALTIUS)</v>
      </c>
    </row>
    <row r="599">
      <c r="H599" s="19" t="str">
        <f>IFERROR(__xludf.DUMMYFUNCTION("""COMPUTED_VALUE"""),"BIOCON (CITIUS)")</f>
        <v>BIOCON (CITIUS)</v>
      </c>
    </row>
    <row r="600">
      <c r="H600" s="19" t="str">
        <f>IFERROR(__xludf.DUMMYFUNCTION("""COMPUTED_VALUE"""),"BIOCON (CRITICAL CARE)")</f>
        <v>BIOCON (CRITICAL CARE)</v>
      </c>
    </row>
    <row r="601">
      <c r="H601" s="19" t="str">
        <f>IFERROR(__xludf.DUMMYFUNCTION("""COMPUTED_VALUE"""),"BIOCON (DERMA)")</f>
        <v>BIOCON (DERMA)</v>
      </c>
    </row>
    <row r="602">
      <c r="H602" s="19" t="str">
        <f>IFERROR(__xludf.DUMMYFUNCTION("""COMPUTED_VALUE"""),"BIOCORE PHARMACEUTICALS")</f>
        <v>BIOCORE PHARMACEUTICALS</v>
      </c>
    </row>
    <row r="603">
      <c r="H603" s="19" t="str">
        <f>IFERROR(__xludf.DUMMYFUNCTION("""COMPUTED_VALUE"""),"BIODERMA SOLUTIONS")</f>
        <v>BIODERMA SOLUTIONS</v>
      </c>
    </row>
    <row r="604">
      <c r="H604" s="19" t="str">
        <f>IFERROR(__xludf.DUMMYFUNCTION("""COMPUTED_VALUE"""),"BIODERMA SOLUTIONS (AESTETIX)")</f>
        <v>BIODERMA SOLUTIONS (AESTETIX)</v>
      </c>
    </row>
    <row r="605">
      <c r="H605" s="19" t="str">
        <f>IFERROR(__xludf.DUMMYFUNCTION("""COMPUTED_VALUE"""),"BIODERMA SOLUTIONS (CYTOZ)")</f>
        <v>BIODERMA SOLUTIONS (CYTOZ)</v>
      </c>
    </row>
    <row r="606">
      <c r="H606" s="19" t="str">
        <f>IFERROR(__xludf.DUMMYFUNCTION("""COMPUTED_VALUE"""),"BIODERMA SOLUTIONS (DENTAL)")</f>
        <v>BIODERMA SOLUTIONS (DENTAL)</v>
      </c>
    </row>
    <row r="607">
      <c r="H607" s="19" t="str">
        <f>IFERROR(__xludf.DUMMYFUNCTION("""COMPUTED_VALUE"""),"BIODERMA SOLUTIONS (MAIN)")</f>
        <v>BIODERMA SOLUTIONS (MAIN)</v>
      </c>
    </row>
    <row r="608">
      <c r="H608" s="19" t="str">
        <f>IFERROR(__xludf.DUMMYFUNCTION("""COMPUTED_VALUE"""),"BIOFIELD PHARMA")</f>
        <v>BIOFIELD PHARMA</v>
      </c>
    </row>
    <row r="609">
      <c r="H609" s="19" t="str">
        <f>IFERROR(__xludf.DUMMYFUNCTION("""COMPUTED_VALUE"""),"BIOFORCE")</f>
        <v>BIOFORCE</v>
      </c>
    </row>
    <row r="610">
      <c r="H610" s="19" t="str">
        <f>IFERROR(__xludf.DUMMYFUNCTION("""COMPUTED_VALUE"""),"BIOFORD REMEDIES PVT LTD")</f>
        <v>BIOFORD REMEDIES PVT LTD</v>
      </c>
    </row>
    <row r="611">
      <c r="H611" s="19" t="str">
        <f>IFERROR(__xludf.DUMMYFUNCTION("""COMPUTED_VALUE"""),"BIOGEN HEALTH CARE")</f>
        <v>BIOGEN HEALTH CARE</v>
      </c>
    </row>
    <row r="612">
      <c r="H612" s="19" t="str">
        <f>IFERROR(__xludf.DUMMYFUNCTION("""COMPUTED_VALUE"""),"BIOGEN IDEC BIOTECH INDIA PVT LTD")</f>
        <v>BIOGEN IDEC BIOTECH INDIA PVT LTD</v>
      </c>
    </row>
    <row r="613">
      <c r="H613" s="19" t="str">
        <f>IFERROR(__xludf.DUMMYFUNCTION("""COMPUTED_VALUE"""),"Biogen Idec India")</f>
        <v>Biogen Idec India</v>
      </c>
    </row>
    <row r="614">
      <c r="H614" s="19" t="str">
        <f>IFERROR(__xludf.DUMMYFUNCTION("""COMPUTED_VALUE"""),"BIOGENOMICS LIMITED")</f>
        <v>BIOGENOMICS LIMITED</v>
      </c>
    </row>
    <row r="615">
      <c r="H615" s="19" t="str">
        <f>IFERROR(__xludf.DUMMYFUNCTION("""COMPUTED_VALUE"""),"BIOGLINT DERMA CARE")</f>
        <v>BIOGLINT DERMA CARE</v>
      </c>
    </row>
    <row r="616">
      <c r="H616" s="19" t="str">
        <f>IFERROR(__xludf.DUMMYFUNCTION("""COMPUTED_VALUE"""),"BIOGRACE PHARMA")</f>
        <v>BIOGRACE PHARMA</v>
      </c>
    </row>
    <row r="617">
      <c r="H617" s="19" t="str">
        <f>IFERROR(__xludf.DUMMYFUNCTION("""COMPUTED_VALUE"""),"BIOKINDLE LIFESCIENCES")</f>
        <v>BIOKINDLE LIFESCIENCES</v>
      </c>
    </row>
    <row r="618">
      <c r="H618" s="19" t="str">
        <f>IFERROR(__xludf.DUMMYFUNCTION("""COMPUTED_VALUE"""),"BIOLIFE")</f>
        <v>BIOLIFE</v>
      </c>
    </row>
    <row r="619">
      <c r="H619" s="19" t="str">
        <f>IFERROR(__xludf.DUMMYFUNCTION("""COMPUTED_VALUE"""),"Biological E Ltd")</f>
        <v>Biological E Ltd</v>
      </c>
    </row>
    <row r="620">
      <c r="H620" s="19" t="str">
        <f>IFERROR(__xludf.DUMMYFUNCTION("""COMPUTED_VALUE"""),"BIOMAX BIOTECHNICS")</f>
        <v>BIOMAX BIOTECHNICS</v>
      </c>
    </row>
    <row r="621">
      <c r="H621" s="19" t="str">
        <f>IFERROR(__xludf.DUMMYFUNCTION("""COMPUTED_VALUE"""),"BIOMEDICA INTERNATIONAL")</f>
        <v>BIOMEDICA INTERNATIONAL</v>
      </c>
    </row>
    <row r="622">
      <c r="H622" s="19" t="str">
        <f>IFERROR(__xludf.DUMMYFUNCTION("""COMPUTED_VALUE"""),"BIOMI LIFE SCIENCES")</f>
        <v>BIOMI LIFE SCIENCES</v>
      </c>
    </row>
    <row r="623">
      <c r="H623" s="19" t="str">
        <f>IFERROR(__xludf.DUMMYFUNCTION("""COMPUTED_VALUE"""),"BION HEALTHCARE PVT LTD")</f>
        <v>BION HEALTHCARE PVT LTD</v>
      </c>
    </row>
    <row r="624">
      <c r="H624" s="19" t="str">
        <f>IFERROR(__xludf.DUMMYFUNCTION("""COMPUTED_VALUE"""),"BION HEALTHCARE PVT LTD (OCTALIFE)")</f>
        <v>BION HEALTHCARE PVT LTD (OCTALIFE)</v>
      </c>
    </row>
    <row r="625">
      <c r="H625" s="19" t="str">
        <f>IFERROR(__xludf.DUMMYFUNCTION("""COMPUTED_VALUE"""),"BION HEALTHCARE PVT LTD (TRULAM)")</f>
        <v>BION HEALTHCARE PVT LTD (TRULAM)</v>
      </c>
    </row>
    <row r="626">
      <c r="H626" s="19" t="str">
        <f>IFERROR(__xludf.DUMMYFUNCTION("""COMPUTED_VALUE"""),"BIONICS REMEDIES LTD")</f>
        <v>BIONICS REMEDIES LTD</v>
      </c>
    </row>
    <row r="627">
      <c r="H627" s="19" t="str">
        <f>IFERROR(__xludf.DUMMYFUNCTION("""COMPUTED_VALUE"""),"BIONOMICS")</f>
        <v>BIONOMICS</v>
      </c>
    </row>
    <row r="628">
      <c r="H628" s="19" t="str">
        <f>IFERROR(__xludf.DUMMYFUNCTION("""COMPUTED_VALUE"""),"BIONOVA (MAXNOVA)")</f>
        <v>BIONOVA (MAXNOVA)</v>
      </c>
    </row>
    <row r="629">
      <c r="H629" s="19" t="str">
        <f>IFERROR(__xludf.DUMMYFUNCTION("""COMPUTED_VALUE"""),"BIONOVA PHARMACEUTICALS")</f>
        <v>BIONOVA PHARMACEUTICALS</v>
      </c>
    </row>
    <row r="630">
      <c r="H630" s="19" t="str">
        <f>IFERROR(__xludf.DUMMYFUNCTION("""COMPUTED_VALUE"""),"BIONOVICS PHARMACEUTICALS PVT LTD")</f>
        <v>BIONOVICS PHARMACEUTICALS PVT LTD</v>
      </c>
    </row>
    <row r="631">
      <c r="H631" s="19" t="str">
        <f>IFERROR(__xludf.DUMMYFUNCTION("""COMPUTED_VALUE"""),"BIONOVO REMEDIES")</f>
        <v>BIONOVO REMEDIES</v>
      </c>
    </row>
    <row r="632">
      <c r="H632" s="19" t="str">
        <f>IFERROR(__xludf.DUMMYFUNCTION("""COMPUTED_VALUE"""),"BIOPHAR LIFESCIENCES")</f>
        <v>BIOPHAR LIFESCIENCES</v>
      </c>
    </row>
    <row r="633">
      <c r="H633" s="19" t="str">
        <f>IFERROR(__xludf.DUMMYFUNCTION("""COMPUTED_VALUE"""),"BIOPHARM GROUP")</f>
        <v>BIOPHARM GROUP</v>
      </c>
    </row>
    <row r="634">
      <c r="H634" s="19" t="str">
        <f>IFERROR(__xludf.DUMMYFUNCTION("""COMPUTED_VALUE"""),"BIOPOLIS LIFE SCIENCES PVT LTD")</f>
        <v>BIOPOLIS LIFE SCIENCES PVT LTD</v>
      </c>
    </row>
    <row r="635">
      <c r="H635" s="19" t="str">
        <f>IFERROR(__xludf.DUMMYFUNCTION("""COMPUTED_VALUE"""),"BIOQEM PHARMA")</f>
        <v>BIOQEM PHARMA</v>
      </c>
    </row>
    <row r="636">
      <c r="H636" s="19" t="str">
        <f>IFERROR(__xludf.DUMMYFUNCTION("""COMPUTED_VALUE"""),"BIOS (HOMEO)")</f>
        <v>BIOS (HOMEO)</v>
      </c>
    </row>
    <row r="637">
      <c r="H637" s="19" t="str">
        <f>IFERROR(__xludf.DUMMYFUNCTION("""COMPUTED_VALUE"""),"BIOS LABS")</f>
        <v>BIOS LABS</v>
      </c>
    </row>
    <row r="638">
      <c r="H638" s="19" t="str">
        <f>IFERROR(__xludf.DUMMYFUNCTION("""COMPUTED_VALUE"""),"BIOSAFE LIFECARE P LTD")</f>
        <v>BIOSAFE LIFECARE P LTD</v>
      </c>
    </row>
    <row r="639">
      <c r="H639" s="19" t="str">
        <f>IFERROR(__xludf.DUMMYFUNCTION("""COMPUTED_VALUE"""),"BIOSANS LIFECARE")</f>
        <v>BIOSANS LIFECARE</v>
      </c>
    </row>
    <row r="640">
      <c r="H640" s="19" t="str">
        <f>IFERROR(__xludf.DUMMYFUNCTION("""COMPUTED_VALUE"""),"BIOSAP")</f>
        <v>BIOSAP</v>
      </c>
    </row>
    <row r="641">
      <c r="H641" s="19" t="str">
        <f>IFERROR(__xludf.DUMMYFUNCTION("""COMPUTED_VALUE"""),"BIOSCIENCE HEALTHCARE")</f>
        <v>BIOSCIENCE HEALTHCARE</v>
      </c>
    </row>
    <row r="642">
      <c r="H642" s="19" t="str">
        <f>IFERROR(__xludf.DUMMYFUNCTION("""COMPUTED_VALUE"""),"BIOSHIELDS")</f>
        <v>BIOSHIELDS</v>
      </c>
    </row>
    <row r="643">
      <c r="H643" s="19" t="str">
        <f>IFERROR(__xludf.DUMMYFUNCTION("""COMPUTED_VALUE"""),"BIOSLAB")</f>
        <v>BIOSLAB</v>
      </c>
    </row>
    <row r="644">
      <c r="H644" s="19" t="str">
        <f>IFERROR(__xludf.DUMMYFUNCTION("""COMPUTED_VALUE"""),"BIOSTADT INDIA LIMITED")</f>
        <v>BIOSTADT INDIA LIMITED</v>
      </c>
    </row>
    <row r="645">
      <c r="H645" s="19" t="str">
        <f>IFERROR(__xludf.DUMMYFUNCTION("""COMPUTED_VALUE"""),"BIOSTAR PHARMACEUTICALS")</f>
        <v>BIOSTAR PHARMACEUTICALS</v>
      </c>
    </row>
    <row r="646">
      <c r="H646" s="19" t="str">
        <f>IFERROR(__xludf.DUMMYFUNCTION("""COMPUTED_VALUE"""),"BIOSTEM PHARMA PVT LTD")</f>
        <v>BIOSTEM PHARMA PVT LTD</v>
      </c>
    </row>
    <row r="647">
      <c r="H647" s="19" t="str">
        <f>IFERROR(__xludf.DUMMYFUNCTION("""COMPUTED_VALUE"""),"BIOSUR PHARMA")</f>
        <v>BIOSUR PHARMA</v>
      </c>
    </row>
    <row r="648">
      <c r="H648" s="19" t="str">
        <f>IFERROR(__xludf.DUMMYFUNCTION("""COMPUTED_VALUE"""),"BIOSURE PHARMA")</f>
        <v>BIOSURE PHARMA</v>
      </c>
    </row>
    <row r="649">
      <c r="H649" s="19" t="str">
        <f>IFERROR(__xludf.DUMMYFUNCTION("""COMPUTED_VALUE"""),"BIOSYNERGY LIFECARE PVT LTD")</f>
        <v>BIOSYNERGY LIFECARE PVT LTD</v>
      </c>
    </row>
    <row r="650">
      <c r="H650" s="19" t="str">
        <f>IFERROR(__xludf.DUMMYFUNCTION("""COMPUTED_VALUE"""),"BIOTA REMEDIES")</f>
        <v>BIOTA REMEDIES</v>
      </c>
    </row>
    <row r="651">
      <c r="H651" s="19" t="str">
        <f>IFERROR(__xludf.DUMMYFUNCTION("""COMPUTED_VALUE"""),"BIOTEST PHARMA")</f>
        <v>BIOTEST PHARMA</v>
      </c>
    </row>
    <row r="652">
      <c r="H652" s="19" t="str">
        <f>IFERROR(__xludf.DUMMYFUNCTION("""COMPUTED_VALUE"""),"BIOTIC HEALTHCARE")</f>
        <v>BIOTIC HEALTHCARE</v>
      </c>
    </row>
    <row r="653">
      <c r="H653" s="19" t="str">
        <f>IFERROR(__xludf.DUMMYFUNCTION("""COMPUTED_VALUE"""),"BIOVALENCE")</f>
        <v>BIOVALENCE</v>
      </c>
    </row>
    <row r="654">
      <c r="H654" s="19" t="str">
        <f>IFERROR(__xludf.DUMMYFUNCTION("""COMPUTED_VALUE"""),"BIOVERVE PHARMACEUTICALS")</f>
        <v>BIOVERVE PHARMACEUTICALS</v>
      </c>
    </row>
    <row r="655">
      <c r="H655" s="19" t="str">
        <f>IFERROR(__xludf.DUMMYFUNCTION("""COMPUTED_VALUE"""),"BIOVITAMINS PVT LTD")</f>
        <v>BIOVITAMINS PVT LTD</v>
      </c>
    </row>
    <row r="656">
      <c r="H656" s="19" t="str">
        <f>IFERROR(__xludf.DUMMYFUNCTION("""COMPUTED_VALUE"""),"BIOVIZ TECHNOLOGIES")</f>
        <v>BIOVIZ TECHNOLOGIES</v>
      </c>
    </row>
    <row r="657">
      <c r="H657" s="19" t="str">
        <f>IFERROR(__xludf.DUMMYFUNCTION("""COMPUTED_VALUE"""),"BIOWIN HEALTHCARE")</f>
        <v>BIOWIN HEALTHCARE</v>
      </c>
    </row>
    <row r="658">
      <c r="H658" s="19" t="str">
        <f>IFERROR(__xludf.DUMMYFUNCTION("""COMPUTED_VALUE"""),"BIOZEN HEALTHCARE")</f>
        <v>BIOZEN HEALTHCARE</v>
      </c>
    </row>
    <row r="659">
      <c r="H659" s="19" t="str">
        <f>IFERROR(__xludf.DUMMYFUNCTION("""COMPUTED_VALUE"""),"BIOZEN PHARMACEUTICALS")</f>
        <v>BIOZEN PHARMACEUTICALS</v>
      </c>
    </row>
    <row r="660">
      <c r="H660" s="19" t="str">
        <f>IFERROR(__xludf.DUMMYFUNCTION("""COMPUTED_VALUE"""),"BISANI PHARMACEUTICS")</f>
        <v>BISANI PHARMACEUTICS</v>
      </c>
    </row>
    <row r="661">
      <c r="H661" s="19" t="str">
        <f>IFERROR(__xludf.DUMMYFUNCTION("""COMPUTED_VALUE"""),"BITTU PHARMACEUTICALS")</f>
        <v>BITTU PHARMACEUTICALS</v>
      </c>
    </row>
    <row r="662">
      <c r="H662" s="19" t="str">
        <f>IFERROR(__xludf.DUMMYFUNCTION("""COMPUTED_VALUE"""),"BLISS CHEMICAL &amp; PHARMA")</f>
        <v>BLISS CHEMICAL &amp; PHARMA</v>
      </c>
    </row>
    <row r="663">
      <c r="H663" s="19" t="str">
        <f>IFERROR(__xludf.DUMMYFUNCTION("""COMPUTED_VALUE"""),"BLISSON (MEDICA)")</f>
        <v>BLISSON (MEDICA)</v>
      </c>
    </row>
    <row r="664">
      <c r="H664" s="19" t="str">
        <f>IFERROR(__xludf.DUMMYFUNCTION("""COMPUTED_VALUE"""),"BLISSON (MEDIPLUS)")</f>
        <v>BLISSON (MEDIPLUS)</v>
      </c>
    </row>
    <row r="665">
      <c r="H665" s="19" t="str">
        <f>IFERROR(__xludf.DUMMYFUNCTION("""COMPUTED_VALUE"""),"Blubell Pharma")</f>
        <v>Blubell Pharma</v>
      </c>
    </row>
    <row r="666">
      <c r="H666" s="19" t="str">
        <f>IFERROR(__xludf.DUMMYFUNCTION("""COMPUTED_VALUE"""),"BLUE CROSS (EXCEL)")</f>
        <v>BLUE CROSS (EXCEL)</v>
      </c>
    </row>
    <row r="667">
      <c r="H667" s="19" t="str">
        <f>IFERROR(__xludf.DUMMYFUNCTION("""COMPUTED_VALUE"""),"Blue Cross Laboratories Ltd")</f>
        <v>Blue Cross Laboratories Ltd</v>
      </c>
    </row>
    <row r="668">
      <c r="H668" s="19" t="str">
        <f>IFERROR(__xludf.DUMMYFUNCTION("""COMPUTED_VALUE"""),"BLUECELL HEALTHCARE SOLUTIONS")</f>
        <v>BLUECELL HEALTHCARE SOLUTIONS</v>
      </c>
    </row>
    <row r="669">
      <c r="H669" s="19" t="str">
        <f>IFERROR(__xludf.DUMMYFUNCTION("""COMPUTED_VALUE"""),"BLUEDROP LIFESCIENCE")</f>
        <v>BLUEDROP LIFESCIENCE</v>
      </c>
    </row>
    <row r="670">
      <c r="H670" s="19" t="str">
        <f>IFERROR(__xludf.DUMMYFUNCTION("""COMPUTED_VALUE"""),"BMA (OP)")</f>
        <v>BMA (OP)</v>
      </c>
    </row>
    <row r="671">
      <c r="H671" s="19" t="str">
        <f>IFERROR(__xludf.DUMMYFUNCTION("""COMPUTED_VALUE"""),"BMW PHARMACO")</f>
        <v>BMW PHARMACO</v>
      </c>
    </row>
    <row r="672">
      <c r="H672" s="19" t="str">
        <f>IFERROR(__xludf.DUMMYFUNCTION("""COMPUTED_VALUE"""),"Boehringer Ingelheim")</f>
        <v>Boehringer Ingelheim</v>
      </c>
    </row>
    <row r="673">
      <c r="H673" s="19" t="str">
        <f>IFERROR(__xludf.DUMMYFUNCTION("""COMPUTED_VALUE"""),"Boehringer Ingelheim (CARDIO)")</f>
        <v>Boehringer Ingelheim (CARDIO)</v>
      </c>
    </row>
    <row r="674">
      <c r="H674" s="19" t="str">
        <f>IFERROR(__xludf.DUMMYFUNCTION("""COMPUTED_VALUE"""),"Boehringer Ingelheim (DIABETES)")</f>
        <v>Boehringer Ingelheim (DIABETES)</v>
      </c>
    </row>
    <row r="675">
      <c r="H675" s="19" t="str">
        <f>IFERROR(__xludf.DUMMYFUNCTION("""COMPUTED_VALUE"""),"BONDANE PHARMA")</f>
        <v>BONDANE PHARMA</v>
      </c>
    </row>
    <row r="676">
      <c r="H676" s="19" t="str">
        <f>IFERROR(__xludf.DUMMYFUNCTION("""COMPUTED_VALUE"""),"BONNY BABY CARE PVT LTD")</f>
        <v>BONNY BABY CARE PVT LTD</v>
      </c>
    </row>
    <row r="677">
      <c r="H677" s="19" t="str">
        <f>IFERROR(__xludf.DUMMYFUNCTION("""COMPUTED_VALUE"""),"BONSAI PHARMA")</f>
        <v>BONSAI PHARMA</v>
      </c>
    </row>
    <row r="678">
      <c r="H678" s="19" t="str">
        <f>IFERROR(__xludf.DUMMYFUNCTION("""COMPUTED_VALUE"""),"BOOLEAN PHARMACEUTICAL")</f>
        <v>BOOLEAN PHARMACEUTICAL</v>
      </c>
    </row>
    <row r="679">
      <c r="H679" s="19" t="str">
        <f>IFERROR(__xludf.DUMMYFUNCTION("""COMPUTED_VALUE"""),"BOOTS LIFESCIENCES LTD")</f>
        <v>BOOTS LIFESCIENCES LTD</v>
      </c>
    </row>
    <row r="680">
      <c r="H680" s="19" t="str">
        <f>IFERROR(__xludf.DUMMYFUNCTION("""COMPUTED_VALUE"""),"BOOTS LIFESCIENCES LTD (GENERIC)")</f>
        <v>BOOTS LIFESCIENCES LTD (GENERIC)</v>
      </c>
    </row>
    <row r="681">
      <c r="H681" s="19" t="str">
        <f>IFERROR(__xludf.DUMMYFUNCTION("""COMPUTED_VALUE"""),"BRAINWAVE HEALTHCARE PVT LTD")</f>
        <v>BRAINWAVE HEALTHCARE PVT LTD</v>
      </c>
    </row>
    <row r="682">
      <c r="H682" s="19" t="str">
        <f>IFERROR(__xludf.DUMMYFUNCTION("""COMPUTED_VALUE"""),"Brawn Laboratories Ltd")</f>
        <v>Brawn Laboratories Ltd</v>
      </c>
    </row>
    <row r="683">
      <c r="H683" s="19" t="str">
        <f>IFERROR(__xludf.DUMMYFUNCTION("""COMPUTED_VALUE"""),"BRD MEDILABS")</f>
        <v>BRD MEDILABS</v>
      </c>
    </row>
    <row r="684">
      <c r="H684" s="19" t="str">
        <f>IFERROR(__xludf.DUMMYFUNCTION("""COMPUTED_VALUE"""),"BRENNON DRUGS PVT LTD")</f>
        <v>BRENNON DRUGS PVT LTD</v>
      </c>
    </row>
    <row r="685">
      <c r="H685" s="19" t="str">
        <f>IFERROR(__xludf.DUMMYFUNCTION("""COMPUTED_VALUE"""),"BRIGHT LIFECARE PVT LTD (TRUEBASICS)")</f>
        <v>BRIGHT LIFECARE PVT LTD (TRUEBASICS)</v>
      </c>
    </row>
    <row r="686">
      <c r="H686" s="19" t="str">
        <f>IFERROR(__xludf.DUMMYFUNCTION("""COMPUTED_VALUE"""),"BRIHANS NATURAL PRODUCTS")</f>
        <v>BRIHANS NATURAL PRODUCTS</v>
      </c>
    </row>
    <row r="687">
      <c r="H687" s="19" t="str">
        <f>IFERROR(__xludf.DUMMYFUNCTION("""COMPUTED_VALUE"""),"BRIJ HONEY LABORATORY")</f>
        <v>BRIJ HONEY LABORATORY</v>
      </c>
    </row>
    <row r="688">
      <c r="H688" s="19" t="str">
        <f>IFERROR(__xludf.DUMMYFUNCTION("""COMPUTED_VALUE"""),"BRINTON (FALCON)")</f>
        <v>BRINTON (FALCON)</v>
      </c>
    </row>
    <row r="689">
      <c r="H689" s="19" t="str">
        <f>IFERROR(__xludf.DUMMYFUNCTION("""COMPUTED_VALUE"""),"BRINTON (HAWKS)")</f>
        <v>BRINTON (HAWKS)</v>
      </c>
    </row>
    <row r="690">
      <c r="H690" s="19" t="str">
        <f>IFERROR(__xludf.DUMMYFUNCTION("""COMPUTED_VALUE"""),"BRINTON (HEALTHCARE)")</f>
        <v>BRINTON (HEALTHCARE)</v>
      </c>
    </row>
    <row r="691">
      <c r="H691" s="19" t="str">
        <f>IFERROR(__xludf.DUMMYFUNCTION("""COMPUTED_VALUE"""),"BRINTON (PED)")</f>
        <v>BRINTON (PED)</v>
      </c>
    </row>
    <row r="692">
      <c r="H692" s="19" t="str">
        <f>IFERROR(__xludf.DUMMYFUNCTION("""COMPUTED_VALUE"""),"Brinton Pharmaceuticals Pvt Ltd")</f>
        <v>Brinton Pharmaceuticals Pvt Ltd</v>
      </c>
    </row>
    <row r="693">
      <c r="H693" s="19" t="str">
        <f>IFERROR(__xludf.DUMMYFUNCTION("""COMPUTED_VALUE"""),"BRIO BLISS LIFE SCIENCE (ALPINO)")</f>
        <v>BRIO BLISS LIFE SCIENCE (ALPINO)</v>
      </c>
    </row>
    <row r="694">
      <c r="H694" s="19" t="str">
        <f>IFERROR(__xludf.DUMMYFUNCTION("""COMPUTED_VALUE"""),"BRIO BLISS LIFE SCIENCE (ANGELO)")</f>
        <v>BRIO BLISS LIFE SCIENCE (ANGELO)</v>
      </c>
    </row>
    <row r="695">
      <c r="H695" s="19" t="str">
        <f>IFERROR(__xludf.DUMMYFUNCTION("""COMPUTED_VALUE"""),"BRIO BLISS LIFE SCIENCE (BAMBINO)")</f>
        <v>BRIO BLISS LIFE SCIENCE (BAMBINO)</v>
      </c>
    </row>
    <row r="696">
      <c r="H696" s="19" t="str">
        <f>IFERROR(__xludf.DUMMYFUNCTION("""COMPUTED_VALUE"""),"BRISKINN SOLUTIONS")</f>
        <v>BRISKINN SOLUTIONS</v>
      </c>
    </row>
    <row r="697">
      <c r="H697" s="19" t="str">
        <f>IFERROR(__xludf.DUMMYFUNCTION("""COMPUTED_VALUE"""),"BRISTOL MAYER SQUIBB")</f>
        <v>BRISTOL MAYER SQUIBB</v>
      </c>
    </row>
    <row r="698">
      <c r="H698" s="19" t="str">
        <f>IFERROR(__xludf.DUMMYFUNCTION("""COMPUTED_VALUE"""),"British Biologicals")</f>
        <v>British Biologicals</v>
      </c>
    </row>
    <row r="699">
      <c r="H699" s="19" t="str">
        <f>IFERROR(__xludf.DUMMYFUNCTION("""COMPUTED_VALUE"""),"British Life Science")</f>
        <v>British Life Science</v>
      </c>
    </row>
    <row r="700">
      <c r="H700" s="19" t="str">
        <f>IFERROR(__xludf.DUMMYFUNCTION("""COMPUTED_VALUE"""),"Brooks Pharmaceuticals")</f>
        <v>Brooks Pharmaceuticals</v>
      </c>
    </row>
    <row r="701">
      <c r="H701" s="19" t="str">
        <f>IFERROR(__xludf.DUMMYFUNCTION("""COMPUTED_VALUE"""),"BROSTIN SEIZZ BIOCARE")</f>
        <v>BROSTIN SEIZZ BIOCARE</v>
      </c>
    </row>
    <row r="702">
      <c r="H702" s="19" t="str">
        <f>IFERROR(__xludf.DUMMYFUNCTION("""COMPUTED_VALUE"""),"BRPL")</f>
        <v>BRPL</v>
      </c>
    </row>
    <row r="703">
      <c r="H703" s="19" t="str">
        <f>IFERROR(__xludf.DUMMYFUNCTION("""COMPUTED_VALUE"""),"BRYSON PHARMACEUTICAL")</f>
        <v>BRYSON PHARMACEUTICAL</v>
      </c>
    </row>
    <row r="704">
      <c r="H704" s="19" t="str">
        <f>IFERROR(__xludf.DUMMYFUNCTION("""COMPUTED_VALUE"""),"BSV (EMA CARE)")</f>
        <v>BSV (EMA CARE)</v>
      </c>
    </row>
    <row r="705">
      <c r="H705" s="19" t="str">
        <f>IFERROR(__xludf.DUMMYFUNCTION("""COMPUTED_VALUE"""),"BSV (FEMI CARE)")</f>
        <v>BSV (FEMI CARE)</v>
      </c>
    </row>
    <row r="706">
      <c r="H706" s="19" t="str">
        <f>IFERROR(__xludf.DUMMYFUNCTION("""COMPUTED_VALUE"""),"BSV (ZOE CARE)")</f>
        <v>BSV (ZOE CARE)</v>
      </c>
    </row>
    <row r="707">
      <c r="H707" s="19" t="str">
        <f>IFERROR(__xludf.DUMMYFUNCTION("""COMPUTED_VALUE"""),"BSW PHARMACEUTICALS PVT LTD")</f>
        <v>BSW PHARMACEUTICALS PVT LTD</v>
      </c>
    </row>
    <row r="708">
      <c r="H708" s="19" t="str">
        <f>IFERROR(__xludf.DUMMYFUNCTION("""COMPUTED_VALUE"""),"BTM LIFESCIENCES")</f>
        <v>BTM LIFESCIENCES</v>
      </c>
    </row>
    <row r="709">
      <c r="H709" s="19" t="str">
        <f>IFERROR(__xludf.DUMMYFUNCTION("""COMPUTED_VALUE"""),"BULLFORD PHARMACEUTICALS")</f>
        <v>BULLFORD PHARMACEUTICALS</v>
      </c>
    </row>
    <row r="710">
      <c r="H710" s="19" t="str">
        <f>IFERROR(__xludf.DUMMYFUNCTION("""COMPUTED_VALUE"""),"BURGEON PHARMACEUTICALS")</f>
        <v>BURGEON PHARMACEUTICALS</v>
      </c>
    </row>
    <row r="711">
      <c r="H711" s="19" t="str">
        <f>IFERROR(__xludf.DUMMYFUNCTION("""COMPUTED_VALUE"""),"BUSHWELL P LTD")</f>
        <v>BUSHWELL P LTD</v>
      </c>
    </row>
    <row r="712">
      <c r="H712" s="19" t="str">
        <f>IFERROR(__xludf.DUMMYFUNCTION("""COMPUTED_VALUE"""),"CA RETRANS 10MG")</f>
        <v>CA RETRANS 10MG</v>
      </c>
    </row>
    <row r="713">
      <c r="H713" s="19" t="str">
        <f>IFERROR(__xludf.DUMMYFUNCTION("""COMPUTED_VALUE"""),"Cachet Pharmaceuticals Ltd.")</f>
        <v>Cachet Pharmaceuticals Ltd.</v>
      </c>
    </row>
    <row r="714">
      <c r="H714" s="19" t="str">
        <f>IFERROR(__xludf.DUMMYFUNCTION("""COMPUTED_VALUE"""),"Cachet Pharmaceuticals Pvt Ltd")</f>
        <v>Cachet Pharmaceuticals Pvt Ltd</v>
      </c>
    </row>
    <row r="715">
      <c r="H715" s="19" t="str">
        <f>IFERROR(__xludf.DUMMYFUNCTION("""COMPUTED_VALUE"""),"CADEX LABORATORIES")</f>
        <v>CADEX LABORATORIES</v>
      </c>
    </row>
    <row r="716">
      <c r="H716" s="19" t="str">
        <f>IFERROR(__xludf.DUMMYFUNCTION("""COMPUTED_VALUE"""),"CADICO REMEDIES")</f>
        <v>CADICO REMEDIES</v>
      </c>
    </row>
    <row r="717">
      <c r="H717" s="19" t="str">
        <f>IFERROR(__xludf.DUMMYFUNCTION("""COMPUTED_VALUE"""),"CADILA (DERMA)")</f>
        <v>CADILA (DERMA)</v>
      </c>
    </row>
    <row r="718">
      <c r="H718" s="19" t="str">
        <f>IFERROR(__xludf.DUMMYFUNCTION("""COMPUTED_VALUE"""),"CADILA (GENERIC)")</f>
        <v>CADILA (GENERIC)</v>
      </c>
    </row>
    <row r="719">
      <c r="H719" s="19" t="str">
        <f>IFERROR(__xludf.DUMMYFUNCTION("""COMPUTED_VALUE"""),"CADILA (MAGFAM)")</f>
        <v>CADILA (MAGFAM)</v>
      </c>
    </row>
    <row r="720">
      <c r="H720" s="19" t="str">
        <f>IFERROR(__xludf.DUMMYFUNCTION("""COMPUTED_VALUE"""),"CADILA (MAGNN WAVE)")</f>
        <v>CADILA (MAGNN WAVE)</v>
      </c>
    </row>
    <row r="721">
      <c r="H721" s="19" t="str">
        <f>IFERROR(__xludf.DUMMYFUNCTION("""COMPUTED_VALUE"""),"CADILA (VOLTA)")</f>
        <v>CADILA (VOLTA)</v>
      </c>
    </row>
    <row r="722">
      <c r="H722" s="19" t="str">
        <f>IFERROR(__xludf.DUMMYFUNCTION("""COMPUTED_VALUE"""),"Cadila Healthcare Limited")</f>
        <v>Cadila Healthcare Limited</v>
      </c>
    </row>
    <row r="723">
      <c r="H723" s="19" t="str">
        <f>IFERROR(__xludf.DUMMYFUNCTION("""COMPUTED_VALUE"""),"CADILA PHARMA (IRM)")</f>
        <v>CADILA PHARMA (IRM)</v>
      </c>
    </row>
    <row r="724">
      <c r="H724" s="19" t="str">
        <f>IFERROR(__xludf.DUMMYFUNCTION("""COMPUTED_VALUE"""),"CADILA PHARMA(GERMAN-MAXX)")</f>
        <v>CADILA PHARMA(GERMAN-MAXX)</v>
      </c>
    </row>
    <row r="725">
      <c r="H725" s="19" t="str">
        <f>IFERROR(__xludf.DUMMYFUNCTION("""COMPUTED_VALUE"""),"Cadila Pharmaceuticals Ltd")</f>
        <v>Cadila Pharmaceuticals Ltd</v>
      </c>
    </row>
    <row r="726">
      <c r="H726" s="19" t="str">
        <f>IFERROR(__xludf.DUMMYFUNCTION("""COMPUTED_VALUE"""),"CADIZ LIFESCIENCE (LYKA NOVOGEN)")</f>
        <v>CADIZ LIFESCIENCE (LYKA NOVOGEN)</v>
      </c>
    </row>
    <row r="727">
      <c r="H727" s="19" t="str">
        <f>IFERROR(__xludf.DUMMYFUNCTION("""COMPUTED_VALUE"""),"CADMA BIOTECH")</f>
        <v>CADMA BIOTECH</v>
      </c>
    </row>
    <row r="728">
      <c r="H728" s="19" t="str">
        <f>IFERROR(__xludf.DUMMYFUNCTION("""COMPUTED_VALUE"""),"CADOMED PHARMACEUTICALS INDIA PVT LTD")</f>
        <v>CADOMED PHARMACEUTICALS INDIA PVT LTD</v>
      </c>
    </row>
    <row r="729">
      <c r="H729" s="19" t="str">
        <f>IFERROR(__xludf.DUMMYFUNCTION("""COMPUTED_VALUE"""),"Calix Health Care")</f>
        <v>Calix Health Care</v>
      </c>
    </row>
    <row r="730">
      <c r="H730" s="19" t="str">
        <f>IFERROR(__xludf.DUMMYFUNCTION("""COMPUTED_VALUE"""),"CAMRUT PHARMA")</f>
        <v>CAMRUT PHARMA</v>
      </c>
    </row>
    <row r="731">
      <c r="H731" s="19" t="str">
        <f>IFERROR(__xludf.DUMMYFUNCTION("""COMPUTED_VALUE"""),"CAN CARE BIOTECH")</f>
        <v>CAN CARE BIOTECH</v>
      </c>
    </row>
    <row r="732">
      <c r="H732" s="19" t="str">
        <f>IFERROR(__xludf.DUMMYFUNCTION("""COMPUTED_VALUE"""),"CANADIAN PHARMACEUTICALS")</f>
        <v>CANADIAN PHARMACEUTICALS</v>
      </c>
    </row>
    <row r="733">
      <c r="H733" s="19" t="str">
        <f>IFERROR(__xludf.DUMMYFUNCTION("""COMPUTED_VALUE"""),"Canixa Life Sciences Pvt")</f>
        <v>Canixa Life Sciences Pvt</v>
      </c>
    </row>
    <row r="734">
      <c r="H734" s="19" t="str">
        <f>IFERROR(__xludf.DUMMYFUNCTION("""COMPUTED_VALUE"""),"CAPLET INDIA PVT LTD")</f>
        <v>CAPLET INDIA PVT LTD</v>
      </c>
    </row>
    <row r="735">
      <c r="H735" s="19" t="str">
        <f>IFERROR(__xludf.DUMMYFUNCTION("""COMPUTED_VALUE"""),"CAPRI PHARMACEUTICALS")</f>
        <v>CAPRI PHARMACEUTICALS</v>
      </c>
    </row>
    <row r="736">
      <c r="H736" s="19" t="str">
        <f>IFERROR(__xludf.DUMMYFUNCTION("""COMPUTED_VALUE"""),"CAPS PHARMA PVT LTD")</f>
        <v>CAPS PHARMA PVT LTD</v>
      </c>
    </row>
    <row r="737">
      <c r="H737" s="19" t="str">
        <f>IFERROR(__xludf.DUMMYFUNCTION("""COMPUTED_VALUE"""),"Captab Biotech")</f>
        <v>Captab Biotech</v>
      </c>
    </row>
    <row r="738">
      <c r="H738" s="19" t="str">
        <f>IFERROR(__xludf.DUMMYFUNCTION("""COMPUTED_VALUE"""),"CAPTO THERAPEUTICS")</f>
        <v>CAPTO THERAPEUTICS</v>
      </c>
    </row>
    <row r="739">
      <c r="H739" s="19" t="str">
        <f>IFERROR(__xludf.DUMMYFUNCTION("""COMPUTED_VALUE"""),"Care Biochemicals Pvt Ltd")</f>
        <v>Care Biochemicals Pvt Ltd</v>
      </c>
    </row>
    <row r="740">
      <c r="H740" s="19" t="str">
        <f>IFERROR(__xludf.DUMMYFUNCTION("""COMPUTED_VALUE"""),"CARE FORMULATION LABS PVT LTD")</f>
        <v>CARE FORMULATION LABS PVT LTD</v>
      </c>
    </row>
    <row r="741">
      <c r="H741" s="19" t="str">
        <f>IFERROR(__xludf.DUMMYFUNCTION("""COMPUTED_VALUE"""),"CARE GROUP")</f>
        <v>CARE GROUP</v>
      </c>
    </row>
    <row r="742">
      <c r="H742" s="19" t="str">
        <f>IFERROR(__xludf.DUMMYFUNCTION("""COMPUTED_VALUE"""),"CARE LIFESCIENCE")</f>
        <v>CARE LIFESCIENCE</v>
      </c>
    </row>
    <row r="743">
      <c r="H743" s="19" t="str">
        <f>IFERROR(__xludf.DUMMYFUNCTION("""COMPUTED_VALUE"""),"Care Pharma India Ltd")</f>
        <v>Care Pharma India Ltd</v>
      </c>
    </row>
    <row r="744">
      <c r="H744" s="19" t="str">
        <f>IFERROR(__xludf.DUMMYFUNCTION("""COMPUTED_VALUE"""),"CARE TREE HEALTHCARE")</f>
        <v>CARE TREE HEALTHCARE</v>
      </c>
    </row>
    <row r="745">
      <c r="H745" s="19" t="str">
        <f>IFERROR(__xludf.DUMMYFUNCTION("""COMPUTED_VALUE"""),"CARE VISION")</f>
        <v>CARE VISION</v>
      </c>
    </row>
    <row r="746">
      <c r="H746" s="19" t="str">
        <f>IFERROR(__xludf.DUMMYFUNCTION("""COMPUTED_VALUE"""),"CAREMED PHARMA")</f>
        <v>CAREMED PHARMA</v>
      </c>
    </row>
    <row r="747">
      <c r="H747" s="19" t="str">
        <f>IFERROR(__xludf.DUMMYFUNCTION("""COMPUTED_VALUE"""),"CAREWELL PHARMACEUTICALS")</f>
        <v>CAREWELL PHARMACEUTICALS</v>
      </c>
    </row>
    <row r="748">
      <c r="H748" s="19" t="str">
        <f>IFERROR(__xludf.DUMMYFUNCTION("""COMPUTED_VALUE"""),"CARISE PHARMACEUTICALS")</f>
        <v>CARISE PHARMACEUTICALS</v>
      </c>
    </row>
    <row r="749">
      <c r="H749" s="19" t="str">
        <f>IFERROR(__xludf.DUMMYFUNCTION("""COMPUTED_VALUE"""),"CARLTON")</f>
        <v>CARLTON</v>
      </c>
    </row>
    <row r="750">
      <c r="H750" s="19" t="str">
        <f>IFERROR(__xludf.DUMMYFUNCTION("""COMPUTED_VALUE"""),"CASCA REMEDIES PVT LTD")</f>
        <v>CASCA REMEDIES PVT LTD</v>
      </c>
    </row>
    <row r="751">
      <c r="H751" s="19" t="str">
        <f>IFERROR(__xludf.DUMMYFUNCTION("""COMPUTED_VALUE"""),"CAVIAR DERMA CARE")</f>
        <v>CAVIAR DERMA CARE</v>
      </c>
    </row>
    <row r="752">
      <c r="H752" s="19" t="str">
        <f>IFERROR(__xludf.DUMMYFUNCTION("""COMPUTED_VALUE"""),"CAVIN PHARMACEUTICALS")</f>
        <v>CAVIN PHARMACEUTICALS</v>
      </c>
    </row>
    <row r="753">
      <c r="H753" s="19" t="str">
        <f>IFERROR(__xludf.DUMMYFUNCTION("""COMPUTED_VALUE"""),"CAZLE AYURVEDA")</f>
        <v>CAZLE AYURVEDA</v>
      </c>
    </row>
    <row r="754">
      <c r="H754" s="19" t="str">
        <f>IFERROR(__xludf.DUMMYFUNCTION("""COMPUTED_VALUE"""),"CCI PRODUCTS")</f>
        <v>CCI PRODUCTS</v>
      </c>
    </row>
    <row r="755">
      <c r="H755" s="19" t="str">
        <f>IFERROR(__xludf.DUMMYFUNCTION("""COMPUTED_VALUE"""),"CELAGENEX RESEARCH INDIA P LTD")</f>
        <v>CELAGENEX RESEARCH INDIA P LTD</v>
      </c>
    </row>
    <row r="756">
      <c r="H756" s="19" t="str">
        <f>IFERROR(__xludf.DUMMYFUNCTION("""COMPUTED_VALUE"""),"CELESTIAL PHARMA")</f>
        <v>CELESTIAL PHARMA</v>
      </c>
    </row>
    <row r="757">
      <c r="H757" s="19" t="str">
        <f>IFERROR(__xludf.DUMMYFUNCTION("""COMPUTED_VALUE"""),"CELLGEN BIOPHARMA LLP")</f>
        <v>CELLGEN BIOPHARMA LLP</v>
      </c>
    </row>
    <row r="758">
      <c r="H758" s="19" t="str">
        <f>IFERROR(__xludf.DUMMYFUNCTION("""COMPUTED_VALUE"""),"CELON LABS")</f>
        <v>CELON LABS</v>
      </c>
    </row>
    <row r="759">
      <c r="H759" s="19" t="str">
        <f>IFERROR(__xludf.DUMMYFUNCTION("""COMPUTED_VALUE"""),"CELON LABS (EVALIFE)")</f>
        <v>CELON LABS (EVALIFE)</v>
      </c>
    </row>
    <row r="760">
      <c r="H760" s="19" t="str">
        <f>IFERROR(__xludf.DUMMYFUNCTION("""COMPUTED_VALUE"""),"CELON LABS (REVILON)")</f>
        <v>CELON LABS (REVILON)</v>
      </c>
    </row>
    <row r="761">
      <c r="H761" s="19" t="str">
        <f>IFERROR(__xludf.DUMMYFUNCTION("""COMPUTED_VALUE"""),"CELON LABS (UROLOGY &amp; NEPHRO)")</f>
        <v>CELON LABS (UROLOGY &amp; NEPHRO)</v>
      </c>
    </row>
    <row r="762">
      <c r="H762" s="19" t="str">
        <f>IFERROR(__xludf.DUMMYFUNCTION("""COMPUTED_VALUE"""),"CELON LABS (VIVILON)")</f>
        <v>CELON LABS (VIVILON)</v>
      </c>
    </row>
    <row r="763">
      <c r="H763" s="19" t="str">
        <f>IFERROR(__xludf.DUMMYFUNCTION("""COMPUTED_VALUE"""),"CELSIUS HEALTHCARE")</f>
        <v>CELSIUS HEALTHCARE</v>
      </c>
    </row>
    <row r="764">
      <c r="H764" s="19" t="str">
        <f>IFERROR(__xludf.DUMMYFUNCTION("""COMPUTED_VALUE"""),"CENESYS CARE INDIA")</f>
        <v>CENESYS CARE INDIA</v>
      </c>
    </row>
    <row r="765">
      <c r="H765" s="19" t="str">
        <f>IFERROR(__xludf.DUMMYFUNCTION("""COMPUTED_VALUE"""),"CENOZOIC REMEDIES P LTD")</f>
        <v>CENOZOIC REMEDIES P LTD</v>
      </c>
    </row>
    <row r="766">
      <c r="H766" s="19" t="str">
        <f>IFERROR(__xludf.DUMMYFUNCTION("""COMPUTED_VALUE"""),"CENTAUR (ENT)")</f>
        <v>CENTAUR (ENT)</v>
      </c>
    </row>
    <row r="767">
      <c r="H767" s="19" t="str">
        <f>IFERROR(__xludf.DUMMYFUNCTION("""COMPUTED_VALUE"""),"CENTAUR (PRAGYA)")</f>
        <v>CENTAUR (PRAGYA)</v>
      </c>
    </row>
    <row r="768">
      <c r="H768" s="19" t="str">
        <f>IFERROR(__xludf.DUMMYFUNCTION("""COMPUTED_VALUE"""),"CENTAUR (SAKSHAM)")</f>
        <v>CENTAUR (SAKSHAM)</v>
      </c>
    </row>
    <row r="769">
      <c r="H769" s="19" t="str">
        <f>IFERROR(__xludf.DUMMYFUNCTION("""COMPUTED_VALUE"""),"CENTAUR (SAMRUDDHI)")</f>
        <v>CENTAUR (SAMRUDDHI)</v>
      </c>
    </row>
    <row r="770">
      <c r="H770" s="19" t="str">
        <f>IFERROR(__xludf.DUMMYFUNCTION("""COMPUTED_VALUE"""),"CENTAUR (SANKALP)")</f>
        <v>CENTAUR (SANKALP)</v>
      </c>
    </row>
    <row r="771">
      <c r="H771" s="19" t="str">
        <f>IFERROR(__xludf.DUMMYFUNCTION("""COMPUTED_VALUE"""),"CENTAUR (SARTHAK)")</f>
        <v>CENTAUR (SARTHAK)</v>
      </c>
    </row>
    <row r="772">
      <c r="H772" s="19" t="str">
        <f>IFERROR(__xludf.DUMMYFUNCTION("""COMPUTED_VALUE"""),"CENTAUR (SHASHVTA)")</f>
        <v>CENTAUR (SHASHVTA)</v>
      </c>
    </row>
    <row r="773">
      <c r="H773" s="19" t="str">
        <f>IFERROR(__xludf.DUMMYFUNCTION("""COMPUTED_VALUE"""),"Centaur Pharmaceuticals Pvt Ltd")</f>
        <v>Centaur Pharmaceuticals Pvt Ltd</v>
      </c>
    </row>
    <row r="774">
      <c r="H774" s="19" t="str">
        <f>IFERROR(__xludf.DUMMYFUNCTION("""COMPUTED_VALUE"""),"CENTURE (SAHAKALM)")</f>
        <v>CENTURE (SAHAKALM)</v>
      </c>
    </row>
    <row r="775">
      <c r="H775" s="19" t="str">
        <f>IFERROR(__xludf.DUMMYFUNCTION("""COMPUTED_VALUE"""),"CENTURY")</f>
        <v>CENTURY</v>
      </c>
    </row>
    <row r="776">
      <c r="H776" s="19" t="str">
        <f>IFERROR(__xludf.DUMMYFUNCTION("""COMPUTED_VALUE"""),"CENTURY DRUGS")</f>
        <v>CENTURY DRUGS</v>
      </c>
    </row>
    <row r="777">
      <c r="H777" s="19" t="str">
        <f>IFERROR(__xludf.DUMMYFUNCTION("""COMPUTED_VALUE"""),"CEPHALIC HEALTHCARE PVT LTD")</f>
        <v>CEPHALIC HEALTHCARE PVT LTD</v>
      </c>
    </row>
    <row r="778">
      <c r="H778" s="19" t="str">
        <f>IFERROR(__xludf.DUMMYFUNCTION("""COMPUTED_VALUE"""),"CERAS PHARMACEUTICALS CHENNAI")</f>
        <v>CERAS PHARMACEUTICALS CHENNAI</v>
      </c>
    </row>
    <row r="779">
      <c r="H779" s="19" t="str">
        <f>IFERROR(__xludf.DUMMYFUNCTION("""COMPUTED_VALUE"""),"CERYS PHARMA")</f>
        <v>CERYS PHARMA</v>
      </c>
    </row>
    <row r="780">
      <c r="H780" s="19" t="str">
        <f>IFERROR(__xludf.DUMMYFUNCTION("""COMPUTED_VALUE"""),"CFL PHARMACEUTICALS LTD")</f>
        <v>CFL PHARMACEUTICALS LTD</v>
      </c>
    </row>
    <row r="781">
      <c r="H781" s="19" t="str">
        <f>IFERROR(__xludf.DUMMYFUNCTION("""COMPUTED_VALUE"""),"CHAMBAL PHARMACY")</f>
        <v>CHAMBAL PHARMACY</v>
      </c>
    </row>
    <row r="782">
      <c r="H782" s="19" t="str">
        <f>IFERROR(__xludf.DUMMYFUNCTION("""COMPUTED_VALUE"""),"CHANDRA BHAGAT (DSIRE)")</f>
        <v>CHANDRA BHAGAT (DSIRE)</v>
      </c>
    </row>
    <row r="783">
      <c r="H783" s="19" t="str">
        <f>IFERROR(__xludf.DUMMYFUNCTION("""COMPUTED_VALUE"""),"CHANDRABHAGAT CORPN LTD")</f>
        <v>CHANDRABHAGAT CORPN LTD</v>
      </c>
    </row>
    <row r="784">
      <c r="H784" s="19" t="str">
        <f>IFERROR(__xludf.DUMMYFUNCTION("""COMPUTED_VALUE"""),"CHANDRASHRI LABORATORES")</f>
        <v>CHANDRASHRI LABORATORES</v>
      </c>
    </row>
    <row r="785">
      <c r="H785" s="19" t="str">
        <f>IFERROR(__xludf.DUMMYFUNCTION("""COMPUTED_VALUE"""),"Charak Pharma Pvt Ltd")</f>
        <v>Charak Pharma Pvt Ltd</v>
      </c>
    </row>
    <row r="786">
      <c r="H786" s="19" t="str">
        <f>IFERROR(__xludf.DUMMYFUNCTION("""COMPUTED_VALUE"""),"Charak Pharma Pvt Ltd (PHYTONOVA)")</f>
        <v>Charak Pharma Pvt Ltd (PHYTONOVA)</v>
      </c>
    </row>
    <row r="787">
      <c r="H787" s="19" t="str">
        <f>IFERROR(__xludf.DUMMYFUNCTION("""COMPUTED_VALUE"""),"Charak Pharma Pvt. Ltd.")</f>
        <v>Charak Pharma Pvt. Ltd.</v>
      </c>
    </row>
    <row r="788">
      <c r="H788" s="19" t="str">
        <f>IFERROR(__xludf.DUMMYFUNCTION("""COMPUTED_VALUE"""),"Chaturbhuj Pharma")</f>
        <v>Chaturbhuj Pharma</v>
      </c>
    </row>
    <row r="789">
      <c r="H789" s="19" t="str">
        <f>IFERROR(__xludf.DUMMYFUNCTION("""COMPUTED_VALUE"""),"CHEK MED PHARMA")</f>
        <v>CHEK MED PHARMA</v>
      </c>
    </row>
    <row r="790">
      <c r="H790" s="19" t="str">
        <f>IFERROR(__xludf.DUMMYFUNCTION("""COMPUTED_VALUE"""),"CHEMACK LAB")</f>
        <v>CHEMACK LAB</v>
      </c>
    </row>
    <row r="791">
      <c r="H791" s="19" t="str">
        <f>IFERROR(__xludf.DUMMYFUNCTION("""COMPUTED_VALUE"""),"CHEMICARE REMEDIES")</f>
        <v>CHEMICARE REMEDIES</v>
      </c>
    </row>
    <row r="792">
      <c r="H792" s="19" t="str">
        <f>IFERROR(__xludf.DUMMYFUNCTION("""COMPUTED_VALUE"""),"CHEMICARE REMEDIES PVT LTD")</f>
        <v>CHEMICARE REMEDIES PVT LTD</v>
      </c>
    </row>
    <row r="793">
      <c r="H793" s="19" t="str">
        <f>IFERROR(__xludf.DUMMYFUNCTION("""COMPUTED_VALUE"""),"CHEMINNOVA LIFE SCIENCES")</f>
        <v>CHEMINNOVA LIFE SCIENCES</v>
      </c>
    </row>
    <row r="794">
      <c r="H794" s="19" t="str">
        <f>IFERROR(__xludf.DUMMYFUNCTION("""COMPUTED_VALUE"""),"Chemo Biological")</f>
        <v>Chemo Biological</v>
      </c>
    </row>
    <row r="795">
      <c r="H795" s="19" t="str">
        <f>IFERROR(__xludf.DUMMYFUNCTION("""COMPUTED_VALUE"""),"CHEMO HEALTH CARE")</f>
        <v>CHEMO HEALTH CARE</v>
      </c>
    </row>
    <row r="796">
      <c r="H796" s="19" t="str">
        <f>IFERROR(__xludf.DUMMYFUNCTION("""COMPUTED_VALUE"""),"CHINA HERBALS")</f>
        <v>CHINA HERBALS</v>
      </c>
    </row>
    <row r="797">
      <c r="H797" s="19" t="str">
        <f>IFERROR(__xludf.DUMMYFUNCTION("""COMPUTED_VALUE"""),"CHIRAYU PHARMACEUTICALS")</f>
        <v>CHIRAYU PHARMACEUTICALS</v>
      </c>
    </row>
    <row r="798">
      <c r="H798" s="19" t="str">
        <f>IFERROR(__xludf.DUMMYFUNCTION("""COMPUTED_VALUE"""),"CHIRON BEHRING VACCINES PVT LTD")</f>
        <v>CHIRON BEHRING VACCINES PVT LTD</v>
      </c>
    </row>
    <row r="799">
      <c r="H799" s="19" t="str">
        <f>IFERROR(__xludf.DUMMYFUNCTION("""COMPUTED_VALUE"""),"CHRISTA HEALTHCARE")</f>
        <v>CHRISTA HEALTHCARE</v>
      </c>
    </row>
    <row r="800">
      <c r="H800" s="19" t="str">
        <f>IFERROR(__xludf.DUMMYFUNCTION("""COMPUTED_VALUE"""),"CHROMOSOM INDIA")</f>
        <v>CHROMOSOM INDIA</v>
      </c>
    </row>
    <row r="801">
      <c r="H801" s="19" t="str">
        <f>IFERROR(__xludf.DUMMYFUNCTION("""COMPUTED_VALUE"""),"CIAGA PHARMA")</f>
        <v>CIAGA PHARMA</v>
      </c>
    </row>
    <row r="802">
      <c r="H802" s="19" t="str">
        <f>IFERROR(__xludf.DUMMYFUNCTION("""COMPUTED_VALUE"""),"CIAN HEALTHCARE P LTD")</f>
        <v>CIAN HEALTHCARE P LTD</v>
      </c>
    </row>
    <row r="803">
      <c r="H803" s="19" t="str">
        <f>IFERROR(__xludf.DUMMYFUNCTION("""COMPUTED_VALUE"""),"CIBELES PHARMACEUTICALS PVT LTD")</f>
        <v>CIBELES PHARMACEUTICALS PVT LTD</v>
      </c>
    </row>
    <row r="804">
      <c r="H804" s="19" t="str">
        <f>IFERROR(__xludf.DUMMYFUNCTION("""COMPUTED_VALUE"""),"CIPCO PHARMA")</f>
        <v>CIPCO PHARMA</v>
      </c>
    </row>
    <row r="805">
      <c r="H805" s="19" t="str">
        <f>IFERROR(__xludf.DUMMYFUNCTION("""COMPUTED_VALUE"""),"CIPLA (CRESTA)")</f>
        <v>CIPLA (CRESTA)</v>
      </c>
    </row>
    <row r="806">
      <c r="H806" s="19" t="str">
        <f>IFERROR(__xludf.DUMMYFUNCTION("""COMPUTED_VALUE"""),"CIPLA (CRITICAL CARE)")</f>
        <v>CIPLA (CRITICAL CARE)</v>
      </c>
    </row>
    <row r="807">
      <c r="H807" s="19" t="str">
        <f>IFERROR(__xludf.DUMMYFUNCTION("""COMPUTED_VALUE"""),"CIPLA (DISCONTD)")</f>
        <v>CIPLA (DISCONTD)</v>
      </c>
    </row>
    <row r="808">
      <c r="H808" s="19" t="str">
        <f>IFERROR(__xludf.DUMMYFUNCTION("""COMPUTED_VALUE"""),"CIPLA (FORESIGHT 2)")</f>
        <v>CIPLA (FORESIGHT 2)</v>
      </c>
    </row>
    <row r="809">
      <c r="H809" s="19" t="str">
        <f>IFERROR(__xludf.DUMMYFUNCTION("""COMPUTED_VALUE"""),"CIPLA (FORESIGHT)")</f>
        <v>CIPLA (FORESIGHT)</v>
      </c>
    </row>
    <row r="810">
      <c r="H810" s="19" t="str">
        <f>IFERROR(__xludf.DUMMYFUNCTION("""COMPUTED_VALUE"""),"CIPLA (GENERIC)")</f>
        <v>CIPLA (GENERIC)</v>
      </c>
    </row>
    <row r="811">
      <c r="H811" s="19" t="str">
        <f>IFERROR(__xludf.DUMMYFUNCTION("""COMPUTED_VALUE"""),"CIPLA (HEALTH)")</f>
        <v>CIPLA (HEALTH)</v>
      </c>
    </row>
    <row r="812">
      <c r="H812" s="19" t="str">
        <f>IFERROR(__xludf.DUMMYFUNCTION("""COMPUTED_VALUE"""),"CIPLA (HEPATOLOGY)")</f>
        <v>CIPLA (HEPATOLOGY)</v>
      </c>
    </row>
    <row r="813">
      <c r="H813" s="19" t="str">
        <f>IFERROR(__xludf.DUMMYFUNCTION("""COMPUTED_VALUE"""),"CIPLA (HIV)")</f>
        <v>CIPLA (HIV)</v>
      </c>
    </row>
    <row r="814">
      <c r="H814" s="19" t="str">
        <f>IFERROR(__xludf.DUMMYFUNCTION("""COMPUTED_VALUE"""),"CIPLA (IMPULSE 2)")</f>
        <v>CIPLA (IMPULSE 2)</v>
      </c>
    </row>
    <row r="815">
      <c r="H815" s="19" t="str">
        <f>IFERROR(__xludf.DUMMYFUNCTION("""COMPUTED_VALUE"""),"CIPLA (IMPULSE)")</f>
        <v>CIPLA (IMPULSE)</v>
      </c>
    </row>
    <row r="816">
      <c r="H816" s="19" t="str">
        <f>IFERROR(__xludf.DUMMYFUNCTION("""COMPUTED_VALUE"""),"CIPLA (INSPIRA)")</f>
        <v>CIPLA (INSPIRA)</v>
      </c>
    </row>
    <row r="817">
      <c r="H817" s="19" t="str">
        <f>IFERROR(__xludf.DUMMYFUNCTION("""COMPUTED_VALUE"""),"CIPLA (LIFE CARE)")</f>
        <v>CIPLA (LIFE CARE)</v>
      </c>
    </row>
    <row r="818">
      <c r="H818" s="19" t="str">
        <f>IFERROR(__xludf.DUMMYFUNCTION("""COMPUTED_VALUE"""),"CIPLA (LIFE LEGEND)")</f>
        <v>CIPLA (LIFE LEGEND)</v>
      </c>
    </row>
    <row r="819">
      <c r="H819" s="19" t="str">
        <f>IFERROR(__xludf.DUMMYFUNCTION("""COMPUTED_VALUE"""),"CIPLA (LIFECARE PILLARS)")</f>
        <v>CIPLA (LIFECARE PILLARS)</v>
      </c>
    </row>
    <row r="820">
      <c r="H820" s="19" t="str">
        <f>IFERROR(__xludf.DUMMYFUNCTION("""COMPUTED_VALUE"""),"CIPLA (LIFECARE PRO)")</f>
        <v>CIPLA (LIFECARE PRO)</v>
      </c>
    </row>
    <row r="821">
      <c r="H821" s="19" t="str">
        <f>IFERROR(__xludf.DUMMYFUNCTION("""COMPUTED_VALUE"""),"CIPLA (LUCENTA)")</f>
        <v>CIPLA (LUCENTA)</v>
      </c>
    </row>
    <row r="822">
      <c r="H822" s="19" t="str">
        <f>IFERROR(__xludf.DUMMYFUNCTION("""COMPUTED_VALUE"""),"CIPLA (NEPHMUN)")</f>
        <v>CIPLA (NEPHMUN)</v>
      </c>
    </row>
    <row r="823">
      <c r="H823" s="19" t="str">
        <f>IFERROR(__xludf.DUMMYFUNCTION("""COMPUTED_VALUE"""),"CIPLA (NON HIV)")</f>
        <v>CIPLA (NON HIV)</v>
      </c>
    </row>
    <row r="824">
      <c r="H824" s="19" t="str">
        <f>IFERROR(__xludf.DUMMYFUNCTION("""COMPUTED_VALUE"""),"CIPLA (NURTURE 2)")</f>
        <v>CIPLA (NURTURE 2)</v>
      </c>
    </row>
    <row r="825">
      <c r="H825" s="19" t="str">
        <f>IFERROR(__xludf.DUMMYFUNCTION("""COMPUTED_VALUE"""),"CIPLA (NURTURE)")</f>
        <v>CIPLA (NURTURE)</v>
      </c>
    </row>
    <row r="826">
      <c r="H826" s="19" t="str">
        <f>IFERROR(__xludf.DUMMYFUNCTION("""COMPUTED_VALUE"""),"CIPLA (OMNICARE)")</f>
        <v>CIPLA (OMNICARE)</v>
      </c>
    </row>
    <row r="827">
      <c r="H827" s="19" t="str">
        <f>IFERROR(__xludf.DUMMYFUNCTION("""COMPUTED_VALUE"""),"CIPLA (OPTIMUS)")</f>
        <v>CIPLA (OPTIMUS)</v>
      </c>
    </row>
    <row r="828">
      <c r="H828" s="19" t="str">
        <f>IFERROR(__xludf.DUMMYFUNCTION("""COMPUTED_VALUE"""),"CIPLA (OTC)")</f>
        <v>CIPLA (OTC)</v>
      </c>
    </row>
    <row r="829">
      <c r="H829" s="19" t="str">
        <f>IFERROR(__xludf.DUMMYFUNCTION("""COMPUTED_VALUE"""),"CIPLA (PH CARE)")</f>
        <v>CIPLA (PH CARE)</v>
      </c>
    </row>
    <row r="830">
      <c r="H830" s="19" t="str">
        <f>IFERROR(__xludf.DUMMYFUNCTION("""COMPUTED_VALUE"""),"CIPLA (PROTEC)")</f>
        <v>CIPLA (PROTEC)</v>
      </c>
    </row>
    <row r="831">
      <c r="H831" s="19" t="str">
        <f>IFERROR(__xludf.DUMMYFUNCTION("""COMPUTED_VALUE"""),"CIPLA (QUADRA)")</f>
        <v>CIPLA (QUADRA)</v>
      </c>
    </row>
    <row r="832">
      <c r="H832" s="19" t="str">
        <f>IFERROR(__xludf.DUMMYFUNCTION("""COMPUTED_VALUE"""),"CIPLA (RESPIRATORY 2)")</f>
        <v>CIPLA (RESPIRATORY 2)</v>
      </c>
    </row>
    <row r="833">
      <c r="H833" s="19" t="str">
        <f>IFERROR(__xludf.DUMMYFUNCTION("""COMPUTED_VALUE"""),"CIPLA (RESPIRATORY 3 - LEGACY)")</f>
        <v>CIPLA (RESPIRATORY 3 - LEGACY)</v>
      </c>
    </row>
    <row r="834">
      <c r="H834" s="19" t="str">
        <f>IFERROR(__xludf.DUMMYFUNCTION("""COMPUTED_VALUE"""),"CIPLA (RESPIRATORY 3 - PROGRESSIVE)")</f>
        <v>CIPLA (RESPIRATORY 3 - PROGRESSIVE)</v>
      </c>
    </row>
    <row r="835">
      <c r="H835" s="19" t="str">
        <f>IFERROR(__xludf.DUMMYFUNCTION("""COMPUTED_VALUE"""),"CIPLA (RESPIRATORY 3)")</f>
        <v>CIPLA (RESPIRATORY 3)</v>
      </c>
    </row>
    <row r="836">
      <c r="H836" s="19" t="str">
        <f>IFERROR(__xludf.DUMMYFUNCTION("""COMPUTED_VALUE"""),"CIPLA (RESPIRATORY MISC)")</f>
        <v>CIPLA (RESPIRATORY MISC)</v>
      </c>
    </row>
    <row r="837">
      <c r="H837" s="19" t="str">
        <f>IFERROR(__xludf.DUMMYFUNCTION("""COMPUTED_VALUE"""),"CIPLA (RESPIRATORY)")</f>
        <v>CIPLA (RESPIRATORY)</v>
      </c>
    </row>
    <row r="838">
      <c r="H838" s="19" t="str">
        <f>IFERROR(__xludf.DUMMYFUNCTION("""COMPUTED_VALUE"""),"CIPLA (RHEUMATOLOGY)")</f>
        <v>CIPLA (RHEUMATOLOGY)</v>
      </c>
    </row>
    <row r="839">
      <c r="H839" s="19" t="str">
        <f>IFERROR(__xludf.DUMMYFUNCTION("""COMPUTED_VALUE"""),"CIPLA (SPECIALITIES 2)")</f>
        <v>CIPLA (SPECIALITIES 2)</v>
      </c>
    </row>
    <row r="840">
      <c r="H840" s="19" t="str">
        <f>IFERROR(__xludf.DUMMYFUNCTION("""COMPUTED_VALUE"""),"CIPLA (SPECIALITIES 3)")</f>
        <v>CIPLA (SPECIALITIES 3)</v>
      </c>
    </row>
    <row r="841">
      <c r="H841" s="19" t="str">
        <f>IFERROR(__xludf.DUMMYFUNCTION("""COMPUTED_VALUE"""),"CIPLA (SPECIALITIES)")</f>
        <v>CIPLA (SPECIALITIES)</v>
      </c>
    </row>
    <row r="842">
      <c r="H842" s="19" t="str">
        <f>IFERROR(__xludf.DUMMYFUNCTION("""COMPUTED_VALUE"""),"CIPLA (SPECTRACARE NP)")</f>
        <v>CIPLA (SPECTRACARE NP)</v>
      </c>
    </row>
    <row r="843">
      <c r="H843" s="19" t="str">
        <f>IFERROR(__xludf.DUMMYFUNCTION("""COMPUTED_VALUE"""),"CIPLA (SUPRACARE 2)")</f>
        <v>CIPLA (SUPRACARE 2)</v>
      </c>
    </row>
    <row r="844">
      <c r="H844" s="19" t="str">
        <f>IFERROR(__xludf.DUMMYFUNCTION("""COMPUTED_VALUE"""),"CIPLA (SUPRACARE)")</f>
        <v>CIPLA (SUPRACARE)</v>
      </c>
    </row>
    <row r="845">
      <c r="H845" s="19" t="str">
        <f>IFERROR(__xludf.DUMMYFUNCTION("""COMPUTED_VALUE"""),"CIPLA (TERNA)")</f>
        <v>CIPLA (TERNA)</v>
      </c>
    </row>
    <row r="846">
      <c r="H846" s="19" t="str">
        <f>IFERROR(__xludf.DUMMYFUNCTION("""COMPUTED_VALUE"""),"CIPLA (UROLOGY 2)")</f>
        <v>CIPLA (UROLOGY 2)</v>
      </c>
    </row>
    <row r="847">
      <c r="H847" s="19" t="str">
        <f>IFERROR(__xludf.DUMMYFUNCTION("""COMPUTED_VALUE"""),"CIPLA (UROLOGY)")</f>
        <v>CIPLA (UROLOGY)</v>
      </c>
    </row>
    <row r="848">
      <c r="H848" s="19" t="str">
        <f>IFERROR(__xludf.DUMMYFUNCTION("""COMPUTED_VALUE"""),"CIPLA (VITALCARE)")</f>
        <v>CIPLA (VITALCARE)</v>
      </c>
    </row>
    <row r="849">
      <c r="H849" s="19" t="str">
        <f>IFERROR(__xludf.DUMMYFUNCTION("""COMPUTED_VALUE"""),"CIPLA (VITALIS 2)")</f>
        <v>CIPLA (VITALIS 2)</v>
      </c>
    </row>
    <row r="850">
      <c r="H850" s="19" t="str">
        <f>IFERROR(__xludf.DUMMYFUNCTION("""COMPUTED_VALUE"""),"CIPLA (VITALIS 3)")</f>
        <v>CIPLA (VITALIS 3)</v>
      </c>
    </row>
    <row r="851">
      <c r="H851" s="19" t="str">
        <f>IFERROR(__xludf.DUMMYFUNCTION("""COMPUTED_VALUE"""),"CIPLA (VITALIS CRITICAL CARE)")</f>
        <v>CIPLA (VITALIS CRITICAL CARE)</v>
      </c>
    </row>
    <row r="852">
      <c r="H852" s="19" t="str">
        <f>IFERROR(__xludf.DUMMYFUNCTION("""COMPUTED_VALUE"""),"CIPLA (VITALIS)")</f>
        <v>CIPLA (VITALIS)</v>
      </c>
    </row>
    <row r="853">
      <c r="H853" s="19" t="str">
        <f>IFERROR(__xludf.DUMMYFUNCTION("""COMPUTED_VALUE"""),"CIPLA (WOMENS HEALTH NUTRAC)")</f>
        <v>CIPLA (WOMENS HEALTH NUTRAC)</v>
      </c>
    </row>
    <row r="854">
      <c r="H854" s="19" t="str">
        <f>IFERROR(__xludf.DUMMYFUNCTION("""COMPUTED_VALUE"""),"CIPLA (XTERNA 2)")</f>
        <v>CIPLA (XTERNA 2)</v>
      </c>
    </row>
    <row r="855">
      <c r="H855" s="19" t="str">
        <f>IFERROR(__xludf.DUMMYFUNCTION("""COMPUTED_VALUE"""),"CIPLA (XTERNA 3)")</f>
        <v>CIPLA (XTERNA 3)</v>
      </c>
    </row>
    <row r="856">
      <c r="H856" s="19" t="str">
        <f>IFERROR(__xludf.DUMMYFUNCTION("""COMPUTED_VALUE"""),"CIPLA (XTERNA)")</f>
        <v>CIPLA (XTERNA)</v>
      </c>
    </row>
    <row r="857">
      <c r="H857" s="19" t="str">
        <f>IFERROR(__xludf.DUMMYFUNCTION("""COMPUTED_VALUE"""),"CIPLA (ZESTA)")</f>
        <v>CIPLA (ZESTA)</v>
      </c>
    </row>
    <row r="858">
      <c r="H858" s="19" t="str">
        <f>IFERROR(__xludf.DUMMYFUNCTION("""COMPUTED_VALUE"""),"Cipla Ltd")</f>
        <v>Cipla Ltd</v>
      </c>
    </row>
    <row r="859">
      <c r="H859" s="19" t="str">
        <f>IFERROR(__xludf.DUMMYFUNCTION("""COMPUTED_VALUE"""),"CIPLA SPECTRACARE")</f>
        <v>CIPLA SPECTRACARE</v>
      </c>
    </row>
    <row r="860">
      <c r="H860" s="19" t="str">
        <f>IFERROR(__xludf.DUMMYFUNCTION("""COMPUTED_VALUE"""),"CIPZER")</f>
        <v>CIPZER</v>
      </c>
    </row>
    <row r="861">
      <c r="H861" s="19" t="str">
        <f>IFERROR(__xludf.DUMMYFUNCTION("""COMPUTED_VALUE"""),"CISTA MEDICORP")</f>
        <v>CISTA MEDICORP</v>
      </c>
    </row>
    <row r="862">
      <c r="H862" s="19" t="str">
        <f>IFERROR(__xludf.DUMMYFUNCTION("""COMPUTED_VALUE"""),"CISTUS HEALTHCARE")</f>
        <v>CISTUS HEALTHCARE</v>
      </c>
    </row>
    <row r="863">
      <c r="H863" s="19" t="str">
        <f>IFERROR(__xludf.DUMMYFUNCTION("""COMPUTED_VALUE"""),"CITADERM PHARMA P LTD")</f>
        <v>CITADERM PHARMA P LTD</v>
      </c>
    </row>
    <row r="864">
      <c r="H864" s="19" t="str">
        <f>IFERROR(__xludf.DUMMYFUNCTION("""COMPUTED_VALUE"""),"CLAAS PHARMA")</f>
        <v>CLAAS PHARMA</v>
      </c>
    </row>
    <row r="865">
      <c r="H865" s="19" t="str">
        <f>IFERROR(__xludf.DUMMYFUNCTION("""COMPUTED_VALUE"""),"CLANTHIS LIFE SCIENCES")</f>
        <v>CLANTHIS LIFE SCIENCES</v>
      </c>
    </row>
    <row r="866">
      <c r="H866" s="19" t="str">
        <f>IFERROR(__xludf.DUMMYFUNCTION("""COMPUTED_VALUE"""),"Clanthis Lifesciences Pvt Ltd")</f>
        <v>Clanthis Lifesciences Pvt Ltd</v>
      </c>
    </row>
    <row r="867">
      <c r="H867" s="19" t="str">
        <f>IFERROR(__xludf.DUMMYFUNCTION("""COMPUTED_VALUE"""),"Claris INJECTABLES LTD")</f>
        <v>Claris INJECTABLES LTD</v>
      </c>
    </row>
    <row r="868">
      <c r="H868" s="19" t="str">
        <f>IFERROR(__xludf.DUMMYFUNCTION("""COMPUTED_VALUE"""),"Claris Lifesciences Ltd")</f>
        <v>Claris Lifesciences Ltd</v>
      </c>
    </row>
    <row r="869">
      <c r="H869" s="19" t="str">
        <f>IFERROR(__xludf.DUMMYFUNCTION("""COMPUTED_VALUE"""),"Clariwill Pharmaceuticals")</f>
        <v>Clariwill Pharmaceuticals</v>
      </c>
    </row>
    <row r="870">
      <c r="H870" s="19" t="str">
        <f>IFERROR(__xludf.DUMMYFUNCTION("""COMPUTED_VALUE"""),"CLARK PHARMACEUTICALS LTD")</f>
        <v>CLARK PHARMACEUTICALS LTD</v>
      </c>
    </row>
    <row r="871">
      <c r="H871" s="19" t="str">
        <f>IFERROR(__xludf.DUMMYFUNCTION("""COMPUTED_VALUE"""),"CLIDE INTERNATIONAL PVT LTD")</f>
        <v>CLIDE INTERNATIONAL PVT LTD</v>
      </c>
    </row>
    <row r="872">
      <c r="H872" s="19" t="str">
        <f>IFERROR(__xludf.DUMMYFUNCTION("""COMPUTED_VALUE"""),"Clyde Biotech P Ltd")</f>
        <v>Clyde Biotech P Ltd</v>
      </c>
    </row>
    <row r="873">
      <c r="H873" s="19" t="str">
        <f>IFERROR(__xludf.DUMMYFUNCTION("""COMPUTED_VALUE"""),"Clyde Pharmaceuticals Pvt Ltd")</f>
        <v>Clyde Pharmaceuticals Pvt Ltd</v>
      </c>
    </row>
    <row r="874">
      <c r="H874" s="19" t="str">
        <f>IFERROR(__xludf.DUMMYFUNCTION("""COMPUTED_VALUE"""),"CMR Life Sciences")</f>
        <v>CMR Life Sciences</v>
      </c>
    </row>
    <row r="875">
      <c r="H875" s="19" t="str">
        <f>IFERROR(__xludf.DUMMYFUNCTION("""COMPUTED_VALUE"""),"COAX BIOREMEDIES PVT LTD")</f>
        <v>COAX BIOREMEDIES PVT LTD</v>
      </c>
    </row>
    <row r="876">
      <c r="H876" s="19" t="str">
        <f>IFERROR(__xludf.DUMMYFUNCTION("""COMPUTED_VALUE"""),"COBRA PREMIUM")</f>
        <v>COBRA PREMIUM</v>
      </c>
    </row>
    <row r="877">
      <c r="H877" s="19" t="str">
        <f>IFERROR(__xludf.DUMMYFUNCTION("""COMPUTED_VALUE"""),"COGNIZIVE PHARMACEUTICALS PVT LTD")</f>
        <v>COGNIZIVE PHARMACEUTICALS PVT LTD</v>
      </c>
    </row>
    <row r="878">
      <c r="H878" s="19" t="str">
        <f>IFERROR(__xludf.DUMMYFUNCTION("""COMPUTED_VALUE"""),"COHESION PHARMA")</f>
        <v>COHESION PHARMA</v>
      </c>
    </row>
    <row r="879">
      <c r="H879" s="19" t="str">
        <f>IFERROR(__xludf.DUMMYFUNCTION("""COMPUTED_VALUE"""),"COLARD LIFE SCIENCE")</f>
        <v>COLARD LIFE SCIENCE</v>
      </c>
    </row>
    <row r="880">
      <c r="H880" s="19" t="str">
        <f>IFERROR(__xludf.DUMMYFUNCTION("""COMPUTED_VALUE"""),"COLES PHARMACEUTICALS PVT LTD")</f>
        <v>COLES PHARMACEUTICALS PVT LTD</v>
      </c>
    </row>
    <row r="881">
      <c r="H881" s="19" t="str">
        <f>IFERROR(__xludf.DUMMYFUNCTION("""COMPUTED_VALUE"""),"Colgate-Palmolive Company")</f>
        <v>Colgate-Palmolive Company</v>
      </c>
    </row>
    <row r="882">
      <c r="H882" s="19" t="str">
        <f>IFERROR(__xludf.DUMMYFUNCTION("""COMPUTED_VALUE"""),"Comed Chemicals Ltd")</f>
        <v>Comed Chemicals Ltd</v>
      </c>
    </row>
    <row r="883">
      <c r="H883" s="19" t="str">
        <f>IFERROR(__xludf.DUMMYFUNCTION("""COMPUTED_VALUE"""),"Comed Chemicals Ltd (ALTEZA)")</f>
        <v>Comed Chemicals Ltd (ALTEZA)</v>
      </c>
    </row>
    <row r="884">
      <c r="H884" s="19" t="str">
        <f>IFERROR(__xludf.DUMMYFUNCTION("""COMPUTED_VALUE"""),"COMED LABORATORIES LTD.")</f>
        <v>COMED LABORATORIES LTD.</v>
      </c>
    </row>
    <row r="885">
      <c r="H885" s="19" t="str">
        <f>IFERROR(__xludf.DUMMYFUNCTION("""COMPUTED_VALUE"""),"Company Name")</f>
        <v>Company Name</v>
      </c>
    </row>
    <row r="886">
      <c r="H886" s="19" t="str">
        <f>IFERROR(__xludf.DUMMYFUNCTION("""COMPUTED_VALUE"""),"company_name")</f>
        <v>company_name</v>
      </c>
    </row>
    <row r="887">
      <c r="H887" s="19" t="str">
        <f>IFERROR(__xludf.DUMMYFUNCTION("""COMPUTED_VALUE"""),"COMWORLD REMEDIES")</f>
        <v>COMWORLD REMEDIES</v>
      </c>
    </row>
    <row r="888">
      <c r="H888" s="19" t="str">
        <f>IFERROR(__xludf.DUMMYFUNCTION("""COMPUTED_VALUE"""),"CONATUS HEALTHCARE")</f>
        <v>CONATUS HEALTHCARE</v>
      </c>
    </row>
    <row r="889">
      <c r="H889" s="19" t="str">
        <f>IFERROR(__xludf.DUMMYFUNCTION("""COMPUTED_VALUE"""),"CONCEPT BIOSCIENCES LTD")</f>
        <v>CONCEPT BIOSCIENCES LTD</v>
      </c>
    </row>
    <row r="890">
      <c r="H890" s="19" t="str">
        <f>IFERROR(__xludf.DUMMYFUNCTION("""COMPUTED_VALUE"""),"Concept Pharmaceuticals Ltd")</f>
        <v>Concept Pharmaceuticals Ltd</v>
      </c>
    </row>
    <row r="891">
      <c r="H891" s="19" t="str">
        <f>IFERROR(__xludf.DUMMYFUNCTION("""COMPUTED_VALUE"""),"CONCORD BIOTECH")</f>
        <v>CONCORD BIOTECH</v>
      </c>
    </row>
    <row r="892">
      <c r="H892" s="19" t="str">
        <f>IFERROR(__xludf.DUMMYFUNCTION("""COMPUTED_VALUE"""),"CONCORD PHARMACEUTICALS PVT LTD")</f>
        <v>CONCORD PHARMACEUTICALS PVT LTD</v>
      </c>
    </row>
    <row r="893">
      <c r="H893" s="19" t="str">
        <f>IFERROR(__xludf.DUMMYFUNCTION("""COMPUTED_VALUE"""),"CONIAK LIFESCIENCES")</f>
        <v>CONIAK LIFESCIENCES</v>
      </c>
    </row>
    <row r="894">
      <c r="H894" s="19" t="str">
        <f>IFERROR(__xludf.DUMMYFUNCTION("""COMPUTED_VALUE"""),"CONSERN pharma")</f>
        <v>CONSERN pharma</v>
      </c>
    </row>
    <row r="895">
      <c r="H895" s="19" t="str">
        <f>IFERROR(__xludf.DUMMYFUNCTION("""COMPUTED_VALUE"""),"CONSISTO HEALTHCARE")</f>
        <v>CONSISTO HEALTHCARE</v>
      </c>
    </row>
    <row r="896">
      <c r="H896" s="19" t="str">
        <f>IFERROR(__xludf.DUMMYFUNCTION("""COMPUTED_VALUE"""),"CONSUMER MARKETING P LTD")</f>
        <v>CONSUMER MARKETING P LTD</v>
      </c>
    </row>
    <row r="897">
      <c r="H897" s="19" t="str">
        <f>IFERROR(__xludf.DUMMYFUNCTION("""COMPUTED_VALUE"""),"CONVERGE BIOTECH PVT LTD")</f>
        <v>CONVERGE BIOTECH PVT LTD</v>
      </c>
    </row>
    <row r="898">
      <c r="H898" s="19" t="str">
        <f>IFERROR(__xludf.DUMMYFUNCTION("""COMPUTED_VALUE"""),"CONVEX GLOBAL")</f>
        <v>CONVEX GLOBAL</v>
      </c>
    </row>
    <row r="899">
      <c r="H899" s="19" t="str">
        <f>IFERROR(__xludf.DUMMYFUNCTION("""COMPUTED_VALUE"""),"Convina Research Laboratory")</f>
        <v>Convina Research Laboratory</v>
      </c>
    </row>
    <row r="900">
      <c r="H900" s="19" t="str">
        <f>IFERROR(__xludf.DUMMYFUNCTION("""COMPUTED_VALUE"""),"CONWELL PHARMA")</f>
        <v>CONWELL PHARMA</v>
      </c>
    </row>
    <row r="901">
      <c r="H901" s="19" t="str">
        <f>IFERROR(__xludf.DUMMYFUNCTION("""COMPUTED_VALUE"""),"COPI MEDICARE PVT LTD")</f>
        <v>COPI MEDICARE PVT LTD</v>
      </c>
    </row>
    <row r="902">
      <c r="H902" s="19" t="str">
        <f>IFERROR(__xludf.DUMMYFUNCTION("""COMPUTED_VALUE"""),"CORAL")</f>
        <v>CORAL</v>
      </c>
    </row>
    <row r="903">
      <c r="H903" s="19" t="str">
        <f>IFERROR(__xludf.DUMMYFUNCTION("""COMPUTED_VALUE"""),"CORAZON PHARMA PVT.LTD.")</f>
        <v>CORAZON PHARMA PVT.LTD.</v>
      </c>
    </row>
    <row r="904">
      <c r="H904" s="19" t="str">
        <f>IFERROR(__xludf.DUMMYFUNCTION("""COMPUTED_VALUE"""),"CORE GESTRA")</f>
        <v>CORE GESTRA</v>
      </c>
    </row>
    <row r="905">
      <c r="H905" s="19" t="str">
        <f>IFERROR(__xludf.DUMMYFUNCTION("""COMPUTED_VALUE"""),"CORE LABORITISE")</f>
        <v>CORE LABORITISE</v>
      </c>
    </row>
    <row r="906">
      <c r="H906" s="19" t="str">
        <f>IFERROR(__xludf.DUMMYFUNCTION("""COMPUTED_VALUE"""),"CORE NUTRILIFE LLP")</f>
        <v>CORE NUTRILIFE LLP</v>
      </c>
    </row>
    <row r="907">
      <c r="H907" s="19" t="str">
        <f>IFERROR(__xludf.DUMMYFUNCTION("""COMPUTED_VALUE"""),"COREX PHARMA")</f>
        <v>COREX PHARMA</v>
      </c>
    </row>
    <row r="908">
      <c r="H908" s="19" t="str">
        <f>IFERROR(__xludf.DUMMYFUNCTION("""COMPUTED_VALUE"""),"CORONA REMEDIES (AURA)")</f>
        <v>CORONA REMEDIES (AURA)</v>
      </c>
    </row>
    <row r="909">
      <c r="H909" s="19" t="str">
        <f>IFERROR(__xludf.DUMMYFUNCTION("""COMPUTED_VALUE"""),"CORONA REMEDIES (ECOGEN)")</f>
        <v>CORONA REMEDIES (ECOGEN)</v>
      </c>
    </row>
    <row r="910">
      <c r="H910" s="19" t="str">
        <f>IFERROR(__xludf.DUMMYFUNCTION("""COMPUTED_VALUE"""),"CORONA REMEDIES (PIONEER)")</f>
        <v>CORONA REMEDIES (PIONEER)</v>
      </c>
    </row>
    <row r="911">
      <c r="H911" s="19" t="str">
        <f>IFERROR(__xludf.DUMMYFUNCTION("""COMPUTED_VALUE"""),"CORONA REMEDIES (RADIANCE)")</f>
        <v>CORONA REMEDIES (RADIANCE)</v>
      </c>
    </row>
    <row r="912">
      <c r="H912" s="19" t="str">
        <f>IFERROR(__xludf.DUMMYFUNCTION("""COMPUTED_VALUE"""),"CORONA REMEDIES (SOLARIS)")</f>
        <v>CORONA REMEDIES (SOLARIS)</v>
      </c>
    </row>
    <row r="913">
      <c r="H913" s="19" t="str">
        <f>IFERROR(__xludf.DUMMYFUNCTION("""COMPUTED_VALUE"""),"CORONA REMEDIES (SOLIS)")</f>
        <v>CORONA REMEDIES (SOLIS)</v>
      </c>
    </row>
    <row r="914">
      <c r="H914" s="19" t="str">
        <f>IFERROR(__xludf.DUMMYFUNCTION("""COMPUTED_VALUE"""),"CORONA REMEDIES (WELLNESS)")</f>
        <v>CORONA REMEDIES (WELLNESS)</v>
      </c>
    </row>
    <row r="915">
      <c r="H915" s="19" t="str">
        <f>IFERROR(__xludf.DUMMYFUNCTION("""COMPUTED_VALUE"""),"CORONA REMEDIES (XEMX)")</f>
        <v>CORONA REMEDIES (XEMX)</v>
      </c>
    </row>
    <row r="916">
      <c r="H916" s="19" t="str">
        <f>IFERROR(__xludf.DUMMYFUNCTION("""COMPUTED_VALUE"""),"Corona Remedies Pvt Ltd")</f>
        <v>Corona Remedies Pvt Ltd</v>
      </c>
    </row>
    <row r="917">
      <c r="H917" s="19" t="str">
        <f>IFERROR(__xludf.DUMMYFUNCTION("""COMPUTED_VALUE"""),"CORVIN PHARMACEUTICALS")</f>
        <v>CORVIN PHARMACEUTICALS</v>
      </c>
    </row>
    <row r="918">
      <c r="H918" s="19" t="str">
        <f>IFERROR(__xludf.DUMMYFUNCTION("""COMPUTED_VALUE"""),"CORVUS REMEDIES")</f>
        <v>CORVUS REMEDIES</v>
      </c>
    </row>
    <row r="919">
      <c r="H919" s="19" t="str">
        <f>IFERROR(__xludf.DUMMYFUNCTION("""COMPUTED_VALUE"""),"CORWIS PHARMACEUTICALS LIMITED")</f>
        <v>CORWIS PHARMACEUTICALS LIMITED</v>
      </c>
    </row>
    <row r="920">
      <c r="H920" s="19" t="str">
        <f>IFERROR(__xludf.DUMMYFUNCTION("""COMPUTED_VALUE"""),"COSEC HEALTH CARE")</f>
        <v>COSEC HEALTH CARE</v>
      </c>
    </row>
    <row r="921">
      <c r="H921" s="19" t="str">
        <f>IFERROR(__xludf.DUMMYFUNCTION("""COMPUTED_VALUE"""),"COSME HEALTHCARE")</f>
        <v>COSME HEALTHCARE</v>
      </c>
    </row>
    <row r="922">
      <c r="H922" s="19" t="str">
        <f>IFERROR(__xludf.DUMMYFUNCTION("""COMPUTED_VALUE"""),"COSMEDERMA REMEDIES")</f>
        <v>COSMEDERMA REMEDIES</v>
      </c>
    </row>
    <row r="923">
      <c r="H923" s="19" t="str">
        <f>IFERROR(__xludf.DUMMYFUNCTION("""COMPUTED_VALUE"""),"COSMETIC LABORATORIES")</f>
        <v>COSMETIC LABORATORIES</v>
      </c>
    </row>
    <row r="924">
      <c r="H924" s="19" t="str">
        <f>IFERROR(__xludf.DUMMYFUNCTION("""COMPUTED_VALUE"""),"COSMIC NUTRACOS SOLUTIONS")</f>
        <v>COSMIC NUTRACOS SOLUTIONS</v>
      </c>
    </row>
    <row r="925">
      <c r="H925" s="19" t="str">
        <f>IFERROR(__xludf.DUMMYFUNCTION("""COMPUTED_VALUE"""),"COSMODERM INDIA")</f>
        <v>COSMODERM INDIA</v>
      </c>
    </row>
    <row r="926">
      <c r="H926" s="19" t="str">
        <f>IFERROR(__xludf.DUMMYFUNCTION("""COMPUTED_VALUE"""),"COSMOGEN INDIA")</f>
        <v>COSMOGEN INDIA</v>
      </c>
    </row>
    <row r="927">
      <c r="H927" s="19" t="str">
        <f>IFERROR(__xludf.DUMMYFUNCTION("""COMPUTED_VALUE"""),"COSWAY PHARMACEUTICAL")</f>
        <v>COSWAY PHARMACEUTICAL</v>
      </c>
    </row>
    <row r="928">
      <c r="H928" s="19" t="str">
        <f>IFERROR(__xludf.DUMMYFUNCTION("""COMPUTED_VALUE"""),"CPAZ DRUGS")</f>
        <v>CPAZ DRUGS</v>
      </c>
    </row>
    <row r="929">
      <c r="H929" s="19" t="str">
        <f>IFERROR(__xludf.DUMMYFUNCTION("""COMPUTED_VALUE"""),"CRASSULA PHAMACEUTICALS P LTD")</f>
        <v>CRASSULA PHAMACEUTICALS P LTD</v>
      </c>
    </row>
    <row r="930">
      <c r="H930" s="19" t="str">
        <f>IFERROR(__xludf.DUMMYFUNCTION("""COMPUTED_VALUE"""),"CRATUS (OPTIMA)")</f>
        <v>CRATUS (OPTIMA)</v>
      </c>
    </row>
    <row r="931">
      <c r="H931" s="19" t="str">
        <f>IFERROR(__xludf.DUMMYFUNCTION("""COMPUTED_VALUE"""),"CRATUS LIFE CARE")</f>
        <v>CRATUS LIFE CARE</v>
      </c>
    </row>
    <row r="932">
      <c r="H932" s="19" t="str">
        <f>IFERROR(__xludf.DUMMYFUNCTION("""COMPUTED_VALUE"""),"CRAVOS PHARMACEUTICALS")</f>
        <v>CRAVOS PHARMACEUTICALS</v>
      </c>
    </row>
    <row r="933">
      <c r="H933" s="19" t="str">
        <f>IFERROR(__xludf.DUMMYFUNCTION("""COMPUTED_VALUE"""),"CRAYON HEALTHCARE PVT LTD")</f>
        <v>CRAYON HEALTHCARE PVT LTD</v>
      </c>
    </row>
    <row r="934">
      <c r="H934" s="19" t="str">
        <f>IFERROR(__xludf.DUMMYFUNCTION("""COMPUTED_VALUE"""),"CREOGENIC PHARMA")</f>
        <v>CREOGENIC PHARMA</v>
      </c>
    </row>
    <row r="935">
      <c r="H935" s="19" t="str">
        <f>IFERROR(__xludf.DUMMYFUNCTION("""COMPUTED_VALUE"""),"CRESCENT THERAPEUTICS LTD.")</f>
        <v>CRESCENT THERAPEUTICS LTD.</v>
      </c>
    </row>
    <row r="936">
      <c r="H936" s="19" t="str">
        <f>IFERROR(__xludf.DUMMYFUNCTION("""COMPUTED_VALUE"""),"CRINOVA HEALTHCARE PVT LTD")</f>
        <v>CRINOVA HEALTHCARE PVT LTD</v>
      </c>
    </row>
    <row r="937">
      <c r="H937" s="19" t="str">
        <f>IFERROR(__xludf.DUMMYFUNCTION("""COMPUTED_VALUE"""),"CRIS PHARMA LTD")</f>
        <v>CRIS PHARMA LTD</v>
      </c>
    </row>
    <row r="938">
      <c r="H938" s="19" t="str">
        <f>IFERROR(__xludf.DUMMYFUNCTION("""COMPUTED_VALUE"""),"CROFORD PHARMA")</f>
        <v>CROFORD PHARMA</v>
      </c>
    </row>
    <row r="939">
      <c r="H939" s="19" t="str">
        <f>IFERROR(__xludf.DUMMYFUNCTION("""COMPUTED_VALUE"""),"CROMPTON PHARMA")</f>
        <v>CROMPTON PHARMA</v>
      </c>
    </row>
    <row r="940">
      <c r="H940" s="19" t="str">
        <f>IFERROR(__xludf.DUMMYFUNCTION("""COMPUTED_VALUE"""),"Cross Berry Pharma")</f>
        <v>Cross Berry Pharma</v>
      </c>
    </row>
    <row r="941">
      <c r="H941" s="19" t="str">
        <f>IFERROR(__xludf.DUMMYFUNCTION("""COMPUTED_VALUE"""),"CROSSED FINGERSS ORGANIC PVT LTD")</f>
        <v>CROSSED FINGERSS ORGANIC PVT LTD</v>
      </c>
    </row>
    <row r="942">
      <c r="H942" s="19" t="str">
        <f>IFERROR(__xludf.DUMMYFUNCTION("""COMPUTED_VALUE"""),"CROSSWIND BIOTECH")</f>
        <v>CROSSWIND BIOTECH</v>
      </c>
    </row>
    <row r="943">
      <c r="H943" s="19" t="str">
        <f>IFERROR(__xludf.DUMMYFUNCTION("""COMPUTED_VALUE"""),"CSC HEALTHCARE")</f>
        <v>CSC HEALTHCARE</v>
      </c>
    </row>
    <row r="944">
      <c r="H944" s="19" t="str">
        <f>IFERROR(__xludf.DUMMYFUNCTION("""COMPUTED_VALUE"""),"CUBIC LIFESCIENCES LTD")</f>
        <v>CUBIC LIFESCIENCES LTD</v>
      </c>
    </row>
    <row r="945">
      <c r="H945" s="19" t="str">
        <f>IFERROR(__xludf.DUMMYFUNCTION("""COMPUTED_VALUE"""),"CUBIT HEALTHCARE")</f>
        <v>CUBIT HEALTHCARE</v>
      </c>
    </row>
    <row r="946">
      <c r="H946" s="19" t="str">
        <f>IFERROR(__xludf.DUMMYFUNCTION("""COMPUTED_VALUE"""),"CUBIT HEALTHCARE (CU CARD GYNOCARE)")</f>
        <v>CUBIT HEALTHCARE (CU CARD GYNOCARE)</v>
      </c>
    </row>
    <row r="947">
      <c r="H947" s="19" t="str">
        <f>IFERROR(__xludf.DUMMYFUNCTION("""COMPUTED_VALUE"""),"CUBIT HEALTHCARE (CU CARD LIFECARE)")</f>
        <v>CUBIT HEALTHCARE (CU CARD LIFECARE)</v>
      </c>
    </row>
    <row r="948">
      <c r="H948" s="19" t="str">
        <f>IFERROR(__xludf.DUMMYFUNCTION("""COMPUTED_VALUE"""),"CUBIT HEALTHCARE (CU CARD SKINCARE)")</f>
        <v>CUBIT HEALTHCARE (CU CARD SKINCARE)</v>
      </c>
    </row>
    <row r="949">
      <c r="H949" s="19" t="str">
        <f>IFERROR(__xludf.DUMMYFUNCTION("""COMPUTED_VALUE"""),"CURA PHARMACEUTICALS")</f>
        <v>CURA PHARMACEUTICALS</v>
      </c>
    </row>
    <row r="950">
      <c r="H950" s="19" t="str">
        <f>IFERROR(__xludf.DUMMYFUNCTION("""COMPUTED_VALUE"""),"CURACION LIFE SCIENCES")</f>
        <v>CURACION LIFE SCIENCES</v>
      </c>
    </row>
    <row r="951">
      <c r="H951" s="19" t="str">
        <f>IFERROR(__xludf.DUMMYFUNCTION("""COMPUTED_VALUE"""),"CURATAS PHARMACEUTICALS LLP")</f>
        <v>CURATAS PHARMACEUTICALS LLP</v>
      </c>
    </row>
    <row r="952">
      <c r="H952" s="19" t="str">
        <f>IFERROR(__xludf.DUMMYFUNCTION("""COMPUTED_VALUE"""),"Curatio Healthcare India Pvt Ltd")</f>
        <v>Curatio Healthcare India Pvt Ltd</v>
      </c>
    </row>
    <row r="953">
      <c r="H953" s="19" t="str">
        <f>IFERROR(__xludf.DUMMYFUNCTION("""COMPUTED_VALUE"""),"CURE N CURE PHARMACEUTICALS")</f>
        <v>CURE N CURE PHARMACEUTICALS</v>
      </c>
    </row>
    <row r="954">
      <c r="H954" s="19" t="str">
        <f>IFERROR(__xludf.DUMMYFUNCTION("""COMPUTED_VALUE"""),"CURE QUICK PHARMACEUTICALS")</f>
        <v>CURE QUICK PHARMACEUTICALS</v>
      </c>
    </row>
    <row r="955">
      <c r="H955" s="19" t="str">
        <f>IFERROR(__xludf.DUMMYFUNCTION("""COMPUTED_VALUE"""),"CUREALL LIFE SCIENCES")</f>
        <v>CUREALL LIFE SCIENCES</v>
      </c>
    </row>
    <row r="956">
      <c r="H956" s="19" t="str">
        <f>IFERROR(__xludf.DUMMYFUNCTION("""COMPUTED_VALUE"""),"CUREGA HEALTHCARE PVT LTD")</f>
        <v>CUREGA HEALTHCARE PVT LTD</v>
      </c>
    </row>
    <row r="957">
      <c r="H957" s="19" t="str">
        <f>IFERROR(__xludf.DUMMYFUNCTION("""COMPUTED_VALUE"""),"CUREMAX")</f>
        <v>CUREMAX</v>
      </c>
    </row>
    <row r="958">
      <c r="H958" s="19" t="str">
        <f>IFERROR(__xludf.DUMMYFUNCTION("""COMPUTED_VALUE"""),"CURETECH SKINCARE")</f>
        <v>CURETECH SKINCARE</v>
      </c>
    </row>
    <row r="959">
      <c r="H959" s="19" t="str">
        <f>IFERROR(__xludf.DUMMYFUNCTION("""COMPUTED_VALUE"""),"CUREWELL AURVEDA")</f>
        <v>CUREWELL AURVEDA</v>
      </c>
    </row>
    <row r="960">
      <c r="H960" s="19" t="str">
        <f>IFERROR(__xludf.DUMMYFUNCTION("""COMPUTED_VALUE"""),"Curewell Drugs &amp; Pharmaceuticals Pvt. Ltd.")</f>
        <v>Curewell Drugs &amp; Pharmaceuticals Pvt. Ltd.</v>
      </c>
    </row>
    <row r="961">
      <c r="H961" s="19" t="str">
        <f>IFERROR(__xludf.DUMMYFUNCTION("""COMPUTED_VALUE"""),"CUREWIN HYLICO PVT LTD")</f>
        <v>CUREWIN HYLICO PVT LTD</v>
      </c>
    </row>
    <row r="962">
      <c r="H962" s="19" t="str">
        <f>IFERROR(__xludf.DUMMYFUNCTION("""COMPUTED_VALUE"""),"CURIOUS BIOTECH")</f>
        <v>CURIOUS BIOTECH</v>
      </c>
    </row>
    <row r="963">
      <c r="H963" s="19" t="str">
        <f>IFERROR(__xludf.DUMMYFUNCTION("""COMPUTED_VALUE"""),"CUROSIS PHARMACEUTICALS")</f>
        <v>CUROSIS PHARMACEUTICALS</v>
      </c>
    </row>
    <row r="964">
      <c r="H964" s="19" t="str">
        <f>IFERROR(__xludf.DUMMYFUNCTION("""COMPUTED_VALUE"""),"Cutis Derma Care - Intra Life")</f>
        <v>Cutis Derma Care - Intra Life</v>
      </c>
    </row>
    <row r="965">
      <c r="H965" s="19" t="str">
        <f>IFERROR(__xludf.DUMMYFUNCTION("""COMPUTED_VALUE"""),"CVS BIOTECH (FARLEX)")</f>
        <v>CVS BIOTECH (FARLEX)</v>
      </c>
    </row>
    <row r="966">
      <c r="H966" s="19" t="str">
        <f>IFERROR(__xludf.DUMMYFUNCTION("""COMPUTED_VALUE"""),"CYANAMID INDIA LTD")</f>
        <v>CYANAMID INDIA LTD</v>
      </c>
    </row>
    <row r="967">
      <c r="H967" s="19" t="str">
        <f>IFERROR(__xludf.DUMMYFUNCTION("""COMPUTED_VALUE"""),"CYMER PHARMA")</f>
        <v>CYMER PHARMA</v>
      </c>
    </row>
    <row r="968">
      <c r="H968" s="19" t="str">
        <f>IFERROR(__xludf.DUMMYFUNCTION("""COMPUTED_VALUE"""),"CYRIL PHARMACEUTICALS")</f>
        <v>CYRIL PHARMACEUTICALS</v>
      </c>
    </row>
    <row r="969">
      <c r="H969" s="19" t="str">
        <f>IFERROR(__xludf.DUMMYFUNCTION("""COMPUTED_VALUE"""),"CYTOZ PHARMACEUTICALS")</f>
        <v>CYTOZ PHARMACEUTICALS</v>
      </c>
    </row>
    <row r="970">
      <c r="H970" s="19" t="str">
        <f>IFERROR(__xludf.DUMMYFUNCTION("""COMPUTED_VALUE"""),"D D Pharmaceuticals")</f>
        <v>D D Pharmaceuticals</v>
      </c>
    </row>
    <row r="971">
      <c r="H971" s="19" t="str">
        <f>IFERROR(__xludf.DUMMYFUNCTION("""COMPUTED_VALUE"""),"D R JOHN'S LAB PHARMA")</f>
        <v>D R JOHN'S LAB PHARMA</v>
      </c>
    </row>
    <row r="972">
      <c r="H972" s="19" t="str">
        <f>IFERROR(__xludf.DUMMYFUNCTION("""COMPUTED_VALUE"""),"DABUR INDIA (ASAV)")</f>
        <v>DABUR INDIA (ASAV)</v>
      </c>
    </row>
    <row r="973">
      <c r="H973" s="19" t="str">
        <f>IFERROR(__xludf.DUMMYFUNCTION("""COMPUTED_VALUE"""),"DABUR INDIA (GOLD)")</f>
        <v>DABUR INDIA (GOLD)</v>
      </c>
    </row>
    <row r="974">
      <c r="H974" s="19" t="str">
        <f>IFERROR(__xludf.DUMMYFUNCTION("""COMPUTED_VALUE"""),"Dabur India Ltd")</f>
        <v>Dabur India Ltd</v>
      </c>
    </row>
    <row r="975">
      <c r="H975" s="19" t="str">
        <f>IFERROR(__xludf.DUMMYFUNCTION("""COMPUTED_VALUE"""),"Dabur Pharmaceuticals Ltd.")</f>
        <v>Dabur Pharmaceuticals Ltd.</v>
      </c>
    </row>
    <row r="976">
      <c r="H976" s="19" t="str">
        <f>IFERROR(__xludf.DUMMYFUNCTION("""COMPUTED_VALUE"""),"DAFFOHILS LABORATORIES")</f>
        <v>DAFFOHILS LABORATORIES</v>
      </c>
    </row>
    <row r="977">
      <c r="H977" s="19" t="str">
        <f>IFERROR(__xludf.DUMMYFUNCTION("""COMPUTED_VALUE"""),"DAGNAL PHARMACUTICALS")</f>
        <v>DAGNAL PHARMACUTICALS</v>
      </c>
    </row>
    <row r="978">
      <c r="H978" s="19" t="str">
        <f>IFERROR(__xludf.DUMMYFUNCTION("""COMPUTED_VALUE"""),"Dakshinamurti Pharma Pvt Ltd")</f>
        <v>Dakshinamurti Pharma Pvt Ltd</v>
      </c>
    </row>
    <row r="979">
      <c r="H979" s="19" t="str">
        <f>IFERROR(__xludf.DUMMYFUNCTION("""COMPUTED_VALUE"""),"DALIY WEAR")</f>
        <v>DALIY WEAR</v>
      </c>
    </row>
    <row r="980">
      <c r="H980" s="19" t="str">
        <f>IFERROR(__xludf.DUMMYFUNCTION("""COMPUTED_VALUE"""),"DANIEL PASTEUR")</f>
        <v>DANIEL PASTEUR</v>
      </c>
    </row>
    <row r="981">
      <c r="H981" s="19" t="str">
        <f>IFERROR(__xludf.DUMMYFUNCTION("""COMPUTED_VALUE"""),"DANISH HEALTHCARE")</f>
        <v>DANISH HEALTHCARE</v>
      </c>
    </row>
    <row r="982">
      <c r="H982" s="19" t="str">
        <f>IFERROR(__xludf.DUMMYFUNCTION("""COMPUTED_VALUE"""),"DARA PHARMACEUTICALS")</f>
        <v>DARA PHARMACEUTICALS</v>
      </c>
    </row>
    <row r="983">
      <c r="H983" s="19" t="str">
        <f>IFERROR(__xludf.DUMMYFUNCTION("""COMPUTED_VALUE"""),"DASAMAPS 50MG")</f>
        <v>DASAMAPS 50MG</v>
      </c>
    </row>
    <row r="984">
      <c r="H984" s="19" t="str">
        <f>IFERROR(__xludf.DUMMYFUNCTION("""COMPUTED_VALUE"""),"DASAMPAS 70MG")</f>
        <v>DASAMPAS 70MG</v>
      </c>
    </row>
    <row r="985">
      <c r="H985" s="19" t="str">
        <f>IFERROR(__xludf.DUMMYFUNCTION("""COMPUTED_VALUE"""),"DASSO PHARMACEUTICALS")</f>
        <v>DASSO PHARMACEUTICALS</v>
      </c>
    </row>
    <row r="986">
      <c r="H986" s="19" t="str">
        <f>IFERROR(__xludf.DUMMYFUNCTION("""COMPUTED_VALUE"""),"DATA SAILANI AYURVEDIC SANSTHA")</f>
        <v>DATA SAILANI AYURVEDIC SANSTHA</v>
      </c>
    </row>
    <row r="987">
      <c r="H987" s="19" t="str">
        <f>IFERROR(__xludf.DUMMYFUNCTION("""COMPUTED_VALUE"""),"DATTATRAYA SEVASHRAM")</f>
        <v>DATTATRAYA SEVASHRAM</v>
      </c>
    </row>
    <row r="988">
      <c r="H988" s="19" t="str">
        <f>IFERROR(__xludf.DUMMYFUNCTION("""COMPUTED_VALUE"""),"DAVIS MORGAN LABS")</f>
        <v>DAVIS MORGAN LABS</v>
      </c>
    </row>
    <row r="989">
      <c r="H989" s="19" t="str">
        <f>IFERROR(__xludf.DUMMYFUNCTION("""COMPUTED_VALUE"""),"DAWCHEM PHARMACEUTICALS P LTD")</f>
        <v>DAWCHEM PHARMACEUTICALS P LTD</v>
      </c>
    </row>
    <row r="990">
      <c r="H990" s="19" t="str">
        <f>IFERROR(__xludf.DUMMYFUNCTION("""COMPUTED_VALUE"""),"DAWN &amp; COMPANY")</f>
        <v>DAWN &amp; COMPANY</v>
      </c>
    </row>
    <row r="991">
      <c r="H991" s="19" t="str">
        <f>IFERROR(__xludf.DUMMYFUNCTION("""COMPUTED_VALUE"""),"DAXIA HEALTHCARE")</f>
        <v>DAXIA HEALTHCARE</v>
      </c>
    </row>
    <row r="992">
      <c r="H992" s="19" t="str">
        <f>IFERROR(__xludf.DUMMYFUNCTION("""COMPUTED_VALUE"""),"DD Nutritions")</f>
        <v>DD Nutritions</v>
      </c>
    </row>
    <row r="993">
      <c r="H993" s="19" t="str">
        <f>IFERROR(__xludf.DUMMYFUNCTION("""COMPUTED_VALUE"""),"DEE INDIA HERBALS")</f>
        <v>DEE INDIA HERBALS</v>
      </c>
    </row>
    <row r="994">
      <c r="H994" s="19" t="str">
        <f>IFERROR(__xludf.DUMMYFUNCTION("""COMPUTED_VALUE"""),"DEFENCE HEALTHCARE")</f>
        <v>DEFENCE HEALTHCARE</v>
      </c>
    </row>
    <row r="995">
      <c r="H995" s="19" t="str">
        <f>IFERROR(__xludf.DUMMYFUNCTION("""COMPUTED_VALUE"""),"DELAVIE HEALTHCARE PVT LTD")</f>
        <v>DELAVIE HEALTHCARE PVT LTD</v>
      </c>
    </row>
    <row r="996">
      <c r="H996" s="19" t="str">
        <f>IFERROR(__xludf.DUMMYFUNCTION("""COMPUTED_VALUE"""),"Delcure Life Sciences")</f>
        <v>Delcure Life Sciences</v>
      </c>
    </row>
    <row r="997">
      <c r="H997" s="19" t="str">
        <f>IFERROR(__xludf.DUMMYFUNCTION("""COMPUTED_VALUE"""),"DELLWICH HEALTHCARE")</f>
        <v>DELLWICH HEALTHCARE</v>
      </c>
    </row>
    <row r="998">
      <c r="H998" s="19" t="str">
        <f>IFERROR(__xludf.DUMMYFUNCTION("""COMPUTED_VALUE"""),"DELTAS PHARMA")</f>
        <v>DELTAS PHARMA</v>
      </c>
    </row>
    <row r="999">
      <c r="H999" s="19" t="str">
        <f>IFERROR(__xludf.DUMMYFUNCTION("""COMPUTED_VALUE"""),"Delvin Formulations Pvt Ltd")</f>
        <v>Delvin Formulations Pvt Ltd</v>
      </c>
    </row>
    <row r="1000">
      <c r="H1000" s="19" t="str">
        <f>IFERROR(__xludf.DUMMYFUNCTION("""COMPUTED_VALUE"""),"DELWIS HEALTHCARE")</f>
        <v>DELWIS HEALTHCARE</v>
      </c>
    </row>
    <row r="1001">
      <c r="H1001" s="19" t="str">
        <f>IFERROR(__xludf.DUMMYFUNCTION("""COMPUTED_VALUE"""),"DENIS CHEM LAB LTD")</f>
        <v>DENIS CHEM LAB LTD</v>
      </c>
    </row>
    <row r="1002">
      <c r="H1002" s="19" t="str">
        <f>IFERROR(__xludf.DUMMYFUNCTION("""COMPUTED_VALUE"""),"DENZAI INNOVATIONS AND THERAPEUTICS PVT LTD")</f>
        <v>DENZAI INNOVATIONS AND THERAPEUTICS PVT LTD</v>
      </c>
    </row>
    <row r="1003">
      <c r="H1003" s="19" t="str">
        <f>IFERROR(__xludf.DUMMYFUNCTION("""COMPUTED_VALUE"""),"DEON HEALTH CARE")</f>
        <v>DEON HEALTH CARE</v>
      </c>
    </row>
    <row r="1004">
      <c r="H1004" s="19" t="str">
        <f>IFERROR(__xludf.DUMMYFUNCTION("""COMPUTED_VALUE"""),"DEON HEALTHCARE")</f>
        <v>DEON HEALTHCARE</v>
      </c>
    </row>
    <row r="1005">
      <c r="H1005" s="19" t="str">
        <f>IFERROR(__xludf.DUMMYFUNCTION("""COMPUTED_VALUE"""),"Depsons Pharma")</f>
        <v>Depsons Pharma</v>
      </c>
    </row>
    <row r="1006">
      <c r="H1006" s="19" t="str">
        <f>IFERROR(__xludf.DUMMYFUNCTION("""COMPUTED_VALUE"""),"DERMA TOPICS HEALTHCARE")</f>
        <v>DERMA TOPICS HEALTHCARE</v>
      </c>
    </row>
    <row r="1007">
      <c r="H1007" s="19" t="str">
        <f>IFERROR(__xludf.DUMMYFUNCTION("""COMPUTED_VALUE"""),"DERMAKARE PHARMACEUTICALS PVT LTD")</f>
        <v>DERMAKARE PHARMACEUTICALS PVT LTD</v>
      </c>
    </row>
    <row r="1008">
      <c r="H1008" s="19" t="str">
        <f>IFERROR(__xludf.DUMMYFUNCTION("""COMPUTED_VALUE"""),"DERMASIL LABS")</f>
        <v>DERMASIL LABS</v>
      </c>
    </row>
    <row r="1009">
      <c r="H1009" s="19" t="str">
        <f>IFERROR(__xludf.DUMMYFUNCTION("""COMPUTED_VALUE"""),"DERMATEK PHARMA")</f>
        <v>DERMATEK PHARMA</v>
      </c>
    </row>
    <row r="1010">
      <c r="H1010" s="19" t="str">
        <f>IFERROR(__xludf.DUMMYFUNCTION("""COMPUTED_VALUE"""),"DERMAWIN PHARMA")</f>
        <v>DERMAWIN PHARMA</v>
      </c>
    </row>
    <row r="1011">
      <c r="H1011" s="19" t="str">
        <f>IFERROR(__xludf.DUMMYFUNCTION("""COMPUTED_VALUE"""),"Dermawiz Laboratories Pvt Ltd")</f>
        <v>Dermawiz Laboratories Pvt Ltd</v>
      </c>
    </row>
    <row r="1012">
      <c r="H1012" s="19" t="str">
        <f>IFERROR(__xludf.DUMMYFUNCTION("""COMPUTED_VALUE"""),"DERMIA CONTICARE")</f>
        <v>DERMIA CONTICARE</v>
      </c>
    </row>
    <row r="1013">
      <c r="H1013" s="19" t="str">
        <f>IFERROR(__xludf.DUMMYFUNCTION("""COMPUTED_VALUE"""),"DERMITAS HEALTHCARE")</f>
        <v>DERMITAS HEALTHCARE</v>
      </c>
    </row>
    <row r="1014">
      <c r="H1014" s="19" t="str">
        <f>IFERROR(__xludf.DUMMYFUNCTION("""COMPUTED_VALUE"""),"Dermo Care Laboratories")</f>
        <v>Dermo Care Laboratories</v>
      </c>
    </row>
    <row r="1015">
      <c r="H1015" s="19" t="str">
        <f>IFERROR(__xludf.DUMMYFUNCTION("""COMPUTED_VALUE"""),"DERMO GLOW")</f>
        <v>DERMO GLOW</v>
      </c>
    </row>
    <row r="1016">
      <c r="H1016" s="19" t="str">
        <f>IFERROR(__xludf.DUMMYFUNCTION("""COMPUTED_VALUE"""),"DERMOGRACE")</f>
        <v>DERMOGRACE</v>
      </c>
    </row>
    <row r="1017">
      <c r="H1017" s="19" t="str">
        <f>IFERROR(__xludf.DUMMYFUNCTION("""COMPUTED_VALUE"""),"DERMOS")</f>
        <v>DERMOS</v>
      </c>
    </row>
    <row r="1018">
      <c r="H1018" s="19" t="str">
        <f>IFERROR(__xludf.DUMMYFUNCTION("""COMPUTED_VALUE"""),"DEV PHARMACY")</f>
        <v>DEV PHARMACY</v>
      </c>
    </row>
    <row r="1019">
      <c r="H1019" s="19" t="str">
        <f>IFERROR(__xludf.DUMMYFUNCTION("""COMPUTED_VALUE"""),"DEVI AYURVEDIC PHARMA")</f>
        <v>DEVI AYURVEDIC PHARMA</v>
      </c>
    </row>
    <row r="1020">
      <c r="H1020" s="19" t="str">
        <f>IFERROR(__xludf.DUMMYFUNCTION("""COMPUTED_VALUE"""),"DEWCARE CONCEPT P LTD")</f>
        <v>DEWCARE CONCEPT P LTD</v>
      </c>
    </row>
    <row r="1021">
      <c r="H1021" s="19" t="str">
        <f>IFERROR(__xludf.DUMMYFUNCTION("""COMPUTED_VALUE"""),"Dexter Labratories")</f>
        <v>Dexter Labratories</v>
      </c>
    </row>
    <row r="1022">
      <c r="H1022" s="19" t="str">
        <f>IFERROR(__xludf.DUMMYFUNCTION("""COMPUTED_VALUE"""),"Dey's Medical Stores (Mfg) Ltd")</f>
        <v>Dey's Medical Stores (Mfg) Ltd</v>
      </c>
    </row>
    <row r="1023">
      <c r="H1023" s="19" t="str">
        <f>IFERROR(__xludf.DUMMYFUNCTION("""COMPUTED_VALUE"""),"Deys Medical")</f>
        <v>Deys Medical</v>
      </c>
    </row>
    <row r="1024">
      <c r="H1024" s="19" t="str">
        <f>IFERROR(__xludf.DUMMYFUNCTION("""COMPUTED_VALUE"""),"DHAMUS PHARMA")</f>
        <v>DHAMUS PHARMA</v>
      </c>
    </row>
    <row r="1025">
      <c r="H1025" s="19" t="str">
        <f>IFERROR(__xludf.DUMMYFUNCTION("""COMPUTED_VALUE"""),"DHANSINGH AYURVED BHAWAN")</f>
        <v>DHANSINGH AYURVED BHAWAN</v>
      </c>
    </row>
    <row r="1026">
      <c r="H1026" s="19" t="str">
        <f>IFERROR(__xludf.DUMMYFUNCTION("""COMPUTED_VALUE"""),"DHANVANTARI (AMRITSAR)")</f>
        <v>DHANVANTARI (AMRITSAR)</v>
      </c>
    </row>
    <row r="1027">
      <c r="H1027" s="19" t="str">
        <f>IFERROR(__xludf.DUMMYFUNCTION("""COMPUTED_VALUE"""),"DHANVANTARI AYURVEDIC RESEARCH")</f>
        <v>DHANVANTARI AYURVEDIC RESEARCH</v>
      </c>
    </row>
    <row r="1028">
      <c r="H1028" s="19" t="str">
        <f>IFERROR(__xludf.DUMMYFUNCTION("""COMPUTED_VALUE"""),"DHANVANTRI GUJ HERBS")</f>
        <v>DHANVANTRI GUJ HERBS</v>
      </c>
    </row>
    <row r="1029">
      <c r="H1029" s="19" t="str">
        <f>IFERROR(__xludf.DUMMYFUNCTION("""COMPUTED_VALUE"""),"DHANYA RAS SALA")</f>
        <v>DHANYA RAS SALA</v>
      </c>
    </row>
    <row r="1030">
      <c r="H1030" s="19" t="str">
        <f>IFERROR(__xludf.DUMMYFUNCTION("""COMPUTED_VALUE"""),"DHAVIT GLOBAL SCIENCES PVT LTD")</f>
        <v>DHAVIT GLOBAL SCIENCES PVT LTD</v>
      </c>
    </row>
    <row r="1031">
      <c r="H1031" s="19" t="str">
        <f>IFERROR(__xludf.DUMMYFUNCTION("""COMPUTED_VALUE"""),"DHOOTPAPESHWAR")</f>
        <v>DHOOTPAPESHWAR</v>
      </c>
    </row>
    <row r="1032">
      <c r="H1032" s="19" t="str">
        <f>IFERROR(__xludf.DUMMYFUNCTION("""COMPUTED_VALUE"""),"DHUTAPAPESHAVAR (SOLUMIKS)")</f>
        <v>DHUTAPAPESHAVAR (SOLUMIKS)</v>
      </c>
    </row>
    <row r="1033">
      <c r="H1033" s="19" t="str">
        <f>IFERROR(__xludf.DUMMYFUNCTION("""COMPUTED_VALUE"""),"DIAL PHARMA")</f>
        <v>DIAL PHARMA</v>
      </c>
    </row>
    <row r="1034">
      <c r="H1034" s="19" t="str">
        <f>IFERROR(__xludf.DUMMYFUNCTION("""COMPUTED_VALUE"""),"DIAMOND BIOTECH")</f>
        <v>DIAMOND BIOTECH</v>
      </c>
    </row>
    <row r="1035">
      <c r="H1035" s="19" t="str">
        <f>IFERROR(__xludf.DUMMYFUNCTION("""COMPUTED_VALUE"""),"DIGITAL VISION SIRMOUR")</f>
        <v>DIGITAL VISION SIRMOUR</v>
      </c>
    </row>
    <row r="1036">
      <c r="H1036" s="19" t="str">
        <f>IFERROR(__xludf.DUMMYFUNCTION("""COMPUTED_VALUE"""),"DILL PHARMACEUTICALS")</f>
        <v>DILL PHARMACEUTICALS</v>
      </c>
    </row>
    <row r="1037">
      <c r="H1037" s="19" t="str">
        <f>IFERROR(__xludf.DUMMYFUNCTION("""COMPUTED_VALUE"""),"DINDAYAL")</f>
        <v>DINDAYAL</v>
      </c>
    </row>
    <row r="1038">
      <c r="H1038" s="19" t="str">
        <f>IFERROR(__xludf.DUMMYFUNCTION("""COMPUTED_VALUE"""),"DIOS LIFESINCES PVT LTD")</f>
        <v>DIOS LIFESINCES PVT LTD</v>
      </c>
    </row>
    <row r="1039">
      <c r="H1039" s="19" t="str">
        <f>IFERROR(__xludf.DUMMYFUNCTION("""COMPUTED_VALUE"""),"DIOSMA LIFE SCIENCES")</f>
        <v>DIOSMA LIFE SCIENCES</v>
      </c>
    </row>
    <row r="1040">
      <c r="H1040" s="19" t="str">
        <f>IFERROR(__xludf.DUMMYFUNCTION("""COMPUTED_VALUE"""),"DISPO")</f>
        <v>DISPO</v>
      </c>
    </row>
    <row r="1041">
      <c r="H1041" s="19" t="str">
        <f>IFERROR(__xludf.DUMMYFUNCTION("""COMPUTED_VALUE"""),"DIVERGENT LIFESCIENCES")</f>
        <v>DIVERGENT LIFESCIENCES</v>
      </c>
    </row>
    <row r="1042">
      <c r="H1042" s="19" t="str">
        <f>IFERROR(__xludf.DUMMYFUNCTION("""COMPUTED_VALUE"""),"DIVINE DEW BIOTECH")</f>
        <v>DIVINE DEW BIOTECH</v>
      </c>
    </row>
    <row r="1043">
      <c r="H1043" s="19" t="str">
        <f>IFERROR(__xludf.DUMMYFUNCTION("""COMPUTED_VALUE"""),"DIVISA")</f>
        <v>DIVISA</v>
      </c>
    </row>
    <row r="1044">
      <c r="H1044" s="19" t="str">
        <f>IFERROR(__xludf.DUMMYFUNCTION("""COMPUTED_VALUE"""),"DIVIT NUTRACEUTICAL P LTD")</f>
        <v>DIVIT NUTRACEUTICAL P LTD</v>
      </c>
    </row>
    <row r="1045">
      <c r="H1045" s="19" t="str">
        <f>IFERROR(__xludf.DUMMYFUNCTION("""COMPUTED_VALUE"""),"Divya Pharmacy")</f>
        <v>Divya Pharmacy</v>
      </c>
    </row>
    <row r="1046">
      <c r="H1046" s="19" t="str">
        <f>IFERROR(__xludf.DUMMYFUNCTION("""COMPUTED_VALUE"""),"DKT India Ltd")</f>
        <v>DKT India Ltd</v>
      </c>
    </row>
    <row r="1047">
      <c r="H1047" s="19" t="str">
        <f>IFERROR(__xludf.DUMMYFUNCTION("""COMPUTED_VALUE"""),"DLS PHARMA")</f>
        <v>DLS PHARMA</v>
      </c>
    </row>
    <row r="1048">
      <c r="H1048" s="19" t="str">
        <f>IFERROR(__xludf.DUMMYFUNCTION("""COMPUTED_VALUE"""),"DM PHARMA")</f>
        <v>DM PHARMA</v>
      </c>
    </row>
    <row r="1049">
      <c r="H1049" s="19" t="str">
        <f>IFERROR(__xludf.DUMMYFUNCTION("""COMPUTED_VALUE"""),"DO NOT ADD")</f>
        <v>DO NOT ADD</v>
      </c>
    </row>
    <row r="1050">
      <c r="H1050" s="19" t="str">
        <f>IFERROR(__xludf.DUMMYFUNCTION("""COMPUTED_VALUE"""),"DOCEMAPS 20")</f>
        <v>DOCEMAPS 20</v>
      </c>
    </row>
    <row r="1051">
      <c r="H1051" s="19" t="str">
        <f>IFERROR(__xludf.DUMMYFUNCTION("""COMPUTED_VALUE"""),"DOCEMAPS 80")</f>
        <v>DOCEMAPS 80</v>
      </c>
    </row>
    <row r="1052">
      <c r="H1052" s="19" t="str">
        <f>IFERROR(__xludf.DUMMYFUNCTION("""COMPUTED_VALUE"""),"DOCTOR")</f>
        <v>DOCTOR</v>
      </c>
    </row>
    <row r="1053">
      <c r="H1053" s="19" t="str">
        <f>IFERROR(__xludf.DUMMYFUNCTION("""COMPUTED_VALUE"""),"DOCTOR MOREPEN LIMITED")</f>
        <v>DOCTOR MOREPEN LIMITED</v>
      </c>
    </row>
    <row r="1054">
      <c r="H1054" s="19" t="str">
        <f>IFERROR(__xludf.DUMMYFUNCTION("""COMPUTED_VALUE"""),"DOKCARE LIFESCIENCES")</f>
        <v>DOKCARE LIFESCIENCES</v>
      </c>
    </row>
    <row r="1055">
      <c r="H1055" s="19" t="str">
        <f>IFERROR(__xludf.DUMMYFUNCTION("""COMPUTED_VALUE"""),"DOLLAR COMPANY")</f>
        <v>DOLLAR COMPANY</v>
      </c>
    </row>
    <row r="1056">
      <c r="H1056" s="19" t="str">
        <f>IFERROR(__xludf.DUMMYFUNCTION("""COMPUTED_VALUE"""),"DOLPHIN PHARMACEUTICALS")</f>
        <v>DOLPHIN PHARMACEUTICALS</v>
      </c>
    </row>
    <row r="1057">
      <c r="H1057" s="19" t="str">
        <f>IFERROR(__xludf.DUMMYFUNCTION("""COMPUTED_VALUE"""),"DOOBIDOO")</f>
        <v>DOOBIDOO</v>
      </c>
    </row>
    <row r="1058">
      <c r="H1058" s="19" t="str">
        <f>IFERROR(__xludf.DUMMYFUNCTION("""COMPUTED_VALUE"""),"DR GROVER [EYE] HOSPITAL")</f>
        <v>DR GROVER [EYE] HOSPITAL</v>
      </c>
    </row>
    <row r="1059">
      <c r="H1059" s="19" t="str">
        <f>IFERROR(__xludf.DUMMYFUNCTION("""COMPUTED_VALUE"""),"Dr JRK Siddha Research and Pharmaceuticals Pvt Ltd")</f>
        <v>Dr JRK Siddha Research and Pharmaceuticals Pvt Ltd</v>
      </c>
    </row>
    <row r="1060">
      <c r="H1060" s="19" t="str">
        <f>IFERROR(__xludf.DUMMYFUNCTION("""COMPUTED_VALUE"""),"DR LOONAWAT RESEARCH LAB")</f>
        <v>DR LOONAWAT RESEARCH LAB</v>
      </c>
    </row>
    <row r="1061">
      <c r="H1061" s="19" t="str">
        <f>IFERROR(__xludf.DUMMYFUNCTION("""COMPUTED_VALUE"""),"DR LORMANS")</f>
        <v>DR LORMANS</v>
      </c>
    </row>
    <row r="1062">
      <c r="H1062" s="19" t="str">
        <f>IFERROR(__xludf.DUMMYFUNCTION("""COMPUTED_VALUE"""),"DR MARUTI MOHAN")</f>
        <v>DR MARUTI MOHAN</v>
      </c>
    </row>
    <row r="1063">
      <c r="H1063" s="19" t="str">
        <f>IFERROR(__xludf.DUMMYFUNCTION("""COMPUTED_VALUE"""),"DR MOREPEN (GENERIC)")</f>
        <v>DR MOREPEN (GENERIC)</v>
      </c>
    </row>
    <row r="1064">
      <c r="H1064" s="19" t="str">
        <f>IFERROR(__xludf.DUMMYFUNCTION("""COMPUTED_VALUE"""),"DR MOREPEN DEVICES")</f>
        <v>DR MOREPEN DEVICES</v>
      </c>
    </row>
    <row r="1065">
      <c r="H1065" s="19" t="str">
        <f>IFERROR(__xludf.DUMMYFUNCTION("""COMPUTED_VALUE"""),"DR NAVEEN")</f>
        <v>DR NAVEEN</v>
      </c>
    </row>
    <row r="1066">
      <c r="H1066" s="19" t="str">
        <f>IFERROR(__xludf.DUMMYFUNCTION("""COMPUTED_VALUE"""),"DR PALEP'S")</f>
        <v>DR PALEP'S</v>
      </c>
    </row>
    <row r="1067">
      <c r="H1067" s="19" t="str">
        <f>IFERROR(__xludf.DUMMYFUNCTION("""COMPUTED_VALUE"""),"DR REDDY'S (DENTAL)")</f>
        <v>DR REDDY'S (DENTAL)</v>
      </c>
    </row>
    <row r="1068">
      <c r="H1068" s="19" t="str">
        <f>IFERROR(__xludf.DUMMYFUNCTION("""COMPUTED_VALUE"""),"Dr Reddy's Lab (AQURA-2)")</f>
        <v>Dr Reddy's Lab (AQURA-2)</v>
      </c>
    </row>
    <row r="1069">
      <c r="H1069" s="19" t="str">
        <f>IFERROR(__xludf.DUMMYFUNCTION("""COMPUTED_VALUE"""),"Dr Reddy's Lab (AQURA)")</f>
        <v>Dr Reddy's Lab (AQURA)</v>
      </c>
    </row>
    <row r="1070">
      <c r="H1070" s="19" t="str">
        <f>IFERROR(__xludf.DUMMYFUNCTION("""COMPUTED_VALUE"""),"Dr Reddy's Lab (ASPIRA)")</f>
        <v>Dr Reddy's Lab (ASPIRA)</v>
      </c>
    </row>
    <row r="1071">
      <c r="H1071" s="19" t="str">
        <f>IFERROR(__xludf.DUMMYFUNCTION("""COMPUTED_VALUE"""),"Dr Reddy's Lab (DERMA C)")</f>
        <v>Dr Reddy's Lab (DERMA C)</v>
      </c>
    </row>
    <row r="1072">
      <c r="H1072" s="19" t="str">
        <f>IFERROR(__xludf.DUMMYFUNCTION("""COMPUTED_VALUE"""),"Dr Reddy's Lab (DERMA-2)")</f>
        <v>Dr Reddy's Lab (DERMA-2)</v>
      </c>
    </row>
    <row r="1073">
      <c r="H1073" s="19" t="str">
        <f>IFERROR(__xludf.DUMMYFUNCTION("""COMPUTED_VALUE"""),"Dr Reddy's Lab (DERMA)")</f>
        <v>Dr Reddy's Lab (DERMA)</v>
      </c>
    </row>
    <row r="1074">
      <c r="H1074" s="19" t="str">
        <f>IFERROR(__xludf.DUMMYFUNCTION("""COMPUTED_VALUE"""),"Dr Reddy's Lab (FUTURA LEO)")</f>
        <v>Dr Reddy's Lab (FUTURA LEO)</v>
      </c>
    </row>
    <row r="1075">
      <c r="H1075" s="19" t="str">
        <f>IFERROR(__xludf.DUMMYFUNCTION("""COMPUTED_VALUE"""),"Dr Reddy's Lab (FUTURA MAX)")</f>
        <v>Dr Reddy's Lab (FUTURA MAX)</v>
      </c>
    </row>
    <row r="1076">
      <c r="H1076" s="19" t="str">
        <f>IFERROR(__xludf.DUMMYFUNCTION("""COMPUTED_VALUE"""),"Dr Reddy's Lab (FUTURA)")</f>
        <v>Dr Reddy's Lab (FUTURA)</v>
      </c>
    </row>
    <row r="1077">
      <c r="H1077" s="19" t="str">
        <f>IFERROR(__xludf.DUMMYFUNCTION("""COMPUTED_VALUE"""),"Dr Reddy's Lab (GRAND ERA)")</f>
        <v>Dr Reddy's Lab (GRAND ERA)</v>
      </c>
    </row>
    <row r="1078">
      <c r="H1078" s="19" t="str">
        <f>IFERROR(__xludf.DUMMYFUNCTION("""COMPUTED_VALUE"""),"Dr Reddy's Lab (HAMETOLOGY)")</f>
        <v>Dr Reddy's Lab (HAMETOLOGY)</v>
      </c>
    </row>
    <row r="1079">
      <c r="H1079" s="19" t="str">
        <f>IFERROR(__xludf.DUMMYFUNCTION("""COMPUTED_VALUE"""),"Dr Reddy's Lab (HOSPICARE)")</f>
        <v>Dr Reddy's Lab (HOSPICARE)</v>
      </c>
    </row>
    <row r="1080">
      <c r="H1080" s="19" t="str">
        <f>IFERROR(__xludf.DUMMYFUNCTION("""COMPUTED_VALUE"""),"Dr Reddy's Lab (INDURA)")</f>
        <v>Dr Reddy's Lab (INDURA)</v>
      </c>
    </row>
    <row r="1081">
      <c r="H1081" s="19" t="str">
        <f>IFERROR(__xludf.DUMMYFUNCTION("""COMPUTED_VALUE"""),"Dr Reddy's Lab (MERIND)")</f>
        <v>Dr Reddy's Lab (MERIND)</v>
      </c>
    </row>
    <row r="1082">
      <c r="H1082" s="19" t="str">
        <f>IFERROR(__xludf.DUMMYFUNCTION("""COMPUTED_VALUE"""),"Dr Reddy's Lab (ORION)")</f>
        <v>Dr Reddy's Lab (ORION)</v>
      </c>
    </row>
    <row r="1083">
      <c r="H1083" s="19" t="str">
        <f>IFERROR(__xludf.DUMMYFUNCTION("""COMPUTED_VALUE"""),"Dr Reddy's Lab (PTF)")</f>
        <v>Dr Reddy's Lab (PTF)</v>
      </c>
    </row>
    <row r="1084">
      <c r="H1084" s="19" t="str">
        <f>IFERROR(__xludf.DUMMYFUNCTION("""COMPUTED_VALUE"""),"Dr Reddy's Lab (RECURA ACE)")</f>
        <v>Dr Reddy's Lab (RECURA ACE)</v>
      </c>
    </row>
    <row r="1085">
      <c r="H1085" s="19" t="str">
        <f>IFERROR(__xludf.DUMMYFUNCTION("""COMPUTED_VALUE"""),"Dr Reddy's Lab (RECURA)")</f>
        <v>Dr Reddy's Lab (RECURA)</v>
      </c>
    </row>
    <row r="1086">
      <c r="H1086" s="19" t="str">
        <f>IFERROR(__xludf.DUMMYFUNCTION("""COMPUTED_VALUE"""),"Dr Reddy's Lab (RESPIRA)")</f>
        <v>Dr Reddy's Lab (RESPIRA)</v>
      </c>
    </row>
    <row r="1087">
      <c r="H1087" s="19" t="str">
        <f>IFERROR(__xludf.DUMMYFUNCTION("""COMPUTED_VALUE"""),"Dr Reddy's Lab (RHEUMATOLOGY)")</f>
        <v>Dr Reddy's Lab (RHEUMATOLOGY)</v>
      </c>
    </row>
    <row r="1088">
      <c r="H1088" s="19" t="str">
        <f>IFERROR(__xludf.DUMMYFUNCTION("""COMPUTED_VALUE"""),"Dr Reddy's Lab (SPECTRA)")</f>
        <v>Dr Reddy's Lab (SPECTRA)</v>
      </c>
    </row>
    <row r="1089">
      <c r="H1089" s="19" t="str">
        <f>IFERROR(__xludf.DUMMYFUNCTION("""COMPUTED_VALUE"""),"Dr Reddy's Lab (WINTURA)")</f>
        <v>Dr Reddy's Lab (WINTURA)</v>
      </c>
    </row>
    <row r="1090">
      <c r="H1090" s="19" t="str">
        <f>IFERROR(__xludf.DUMMYFUNCTION("""COMPUTED_VALUE"""),"Dr Reddy's Lab (WOCKHARDT)")</f>
        <v>Dr Reddy's Lab (WOCKHARDT)</v>
      </c>
    </row>
    <row r="1091">
      <c r="H1091" s="19" t="str">
        <f>IFERROR(__xludf.DUMMYFUNCTION("""COMPUTED_VALUE"""),"Dr Reddy's Lab (XENURA-1)")</f>
        <v>Dr Reddy's Lab (XENURA-1)</v>
      </c>
    </row>
    <row r="1092">
      <c r="H1092" s="19" t="str">
        <f>IFERROR(__xludf.DUMMYFUNCTION("""COMPUTED_VALUE"""),"Dr Reddy's Lab (XENURA-3)")</f>
        <v>Dr Reddy's Lab (XENURA-3)</v>
      </c>
    </row>
    <row r="1093">
      <c r="H1093" s="19" t="str">
        <f>IFERROR(__xludf.DUMMYFUNCTION("""COMPUTED_VALUE"""),"Dr Reddy's Lab (XENURA)")</f>
        <v>Dr Reddy's Lab (XENURA)</v>
      </c>
    </row>
    <row r="1094">
      <c r="H1094" s="19" t="str">
        <f>IFERROR(__xludf.DUMMYFUNCTION("""COMPUTED_VALUE"""),"Dr Reddy's Laboratories Ltd")</f>
        <v>Dr Reddy's Laboratories Ltd</v>
      </c>
    </row>
    <row r="1095">
      <c r="H1095" s="19" t="str">
        <f>IFERROR(__xludf.DUMMYFUNCTION("""COMPUTED_VALUE"""),"Dr Reddy's Laboratories Ltd (SPECIALITY)")</f>
        <v>Dr Reddy's Laboratories Ltd (SPECIALITY)</v>
      </c>
    </row>
    <row r="1096">
      <c r="H1096" s="19" t="str">
        <f>IFERROR(__xludf.DUMMYFUNCTION("""COMPUTED_VALUE"""),"DR SENT REMEDIES PVT LTD")</f>
        <v>DR SENT REMEDIES PVT LTD</v>
      </c>
    </row>
    <row r="1097">
      <c r="H1097" s="19" t="str">
        <f>IFERROR(__xludf.DUMMYFUNCTION("""COMPUTED_VALUE"""),"DR SMITH'S HERBAL LABORATORIES")</f>
        <v>DR SMITH'S HERBAL LABORATORIES</v>
      </c>
    </row>
    <row r="1098">
      <c r="H1098" s="19" t="str">
        <f>IFERROR(__xludf.DUMMYFUNCTION("""COMPUTED_VALUE"""),"DR THANGS")</f>
        <v>DR THANGS</v>
      </c>
    </row>
    <row r="1099">
      <c r="H1099" s="19" t="str">
        <f>IFERROR(__xludf.DUMMYFUNCTION("""COMPUTED_VALUE"""),"DR VEDA")</f>
        <v>DR VEDA</v>
      </c>
    </row>
    <row r="1100">
      <c r="H1100" s="19" t="str">
        <f>IFERROR(__xludf.DUMMYFUNCTION("""COMPUTED_VALUE"""),"DR WILLMAR SCHWABE INDIA PVT LTD")</f>
        <v>DR WILLMAR SCHWABE INDIA PVT LTD</v>
      </c>
    </row>
    <row r="1101">
      <c r="H1101" s="19" t="str">
        <f>IFERROR(__xludf.DUMMYFUNCTION("""COMPUTED_VALUE"""),"Dr. Johns Laboratories Pvt Ltd")</f>
        <v>Dr. Johns Laboratories Pvt Ltd</v>
      </c>
    </row>
    <row r="1102">
      <c r="H1102" s="19" t="str">
        <f>IFERROR(__xludf.DUMMYFUNCTION("""COMPUTED_VALUE"""),"DR. SURGICAL")</f>
        <v>DR. SURGICAL</v>
      </c>
    </row>
    <row r="1103">
      <c r="H1103" s="19" t="str">
        <f>IFERROR(__xludf.DUMMYFUNCTION("""COMPUTED_VALUE"""),"DRS CHOICE HEALTHCARE")</f>
        <v>DRS CHOICE HEALTHCARE</v>
      </c>
    </row>
    <row r="1104">
      <c r="H1104" s="19" t="str">
        <f>IFERROR(__xludf.DUMMYFUNCTION("""COMPUTED_VALUE"""),"DRUG INDIA")</f>
        <v>DRUG INDIA</v>
      </c>
    </row>
    <row r="1105">
      <c r="H1105" s="19" t="str">
        <f>IFERROR(__xludf.DUMMYFUNCTION("""COMPUTED_VALUE"""),"Dupen Laboratories Pvt Ltd")</f>
        <v>Dupen Laboratories Pvt Ltd</v>
      </c>
    </row>
    <row r="1106">
      <c r="H1106" s="19" t="str">
        <f>IFERROR(__xludf.DUMMYFUNCTION("""COMPUTED_VALUE"""),"DUPHA")</f>
        <v>DUPHA</v>
      </c>
    </row>
    <row r="1107">
      <c r="H1107" s="19" t="str">
        <f>IFERROR(__xludf.DUMMYFUNCTION("""COMPUTED_VALUE"""),"Duphar")</f>
        <v>Duphar</v>
      </c>
    </row>
    <row r="1108">
      <c r="H1108" s="19" t="str">
        <f>IFERROR(__xludf.DUMMYFUNCTION("""COMPUTED_VALUE"""),"DUPHAR (SOLVAY 2)")</f>
        <v>DUPHAR (SOLVAY 2)</v>
      </c>
    </row>
    <row r="1109">
      <c r="H1109" s="19" t="str">
        <f>IFERROR(__xludf.DUMMYFUNCTION("""COMPUTED_VALUE"""),"DUPONT ORGANICS")</f>
        <v>DUPONT ORGANICS</v>
      </c>
    </row>
    <row r="1110">
      <c r="H1110" s="19" t="str">
        <f>IFERROR(__xludf.DUMMYFUNCTION("""COMPUTED_VALUE"""),"DUTT SURGICAL")</f>
        <v>DUTT SURGICAL</v>
      </c>
    </row>
    <row r="1111">
      <c r="H1111" s="19" t="str">
        <f>IFERROR(__xludf.DUMMYFUNCTION("""COMPUTED_VALUE"""),"DWD PHARMA (PRIME)")</f>
        <v>DWD PHARMA (PRIME)</v>
      </c>
    </row>
    <row r="1112">
      <c r="H1112" s="19" t="str">
        <f>IFERROR(__xludf.DUMMYFUNCTION("""COMPUTED_VALUE"""),"DWD PHARMA (SUPREME)")</f>
        <v>DWD PHARMA (SUPREME)</v>
      </c>
    </row>
    <row r="1113">
      <c r="H1113" s="19" t="str">
        <f>IFERROR(__xludf.DUMMYFUNCTION("""COMPUTED_VALUE"""),"DWD Pharmaceuticals Ltd")</f>
        <v>DWD Pharmaceuticals Ltd</v>
      </c>
    </row>
    <row r="1114">
      <c r="H1114" s="19" t="str">
        <f>IFERROR(__xludf.DUMMYFUNCTION("""COMPUTED_VALUE"""),"Dycine Pharmaceuticals Ltd")</f>
        <v>Dycine Pharmaceuticals Ltd</v>
      </c>
    </row>
    <row r="1115">
      <c r="H1115" s="19" t="str">
        <f>IFERROR(__xludf.DUMMYFUNCTION("""COMPUTED_VALUE"""),"DYMIX PHARMACEUTICALS PVT LTD")</f>
        <v>DYMIX PHARMACEUTICALS PVT LTD</v>
      </c>
    </row>
    <row r="1116">
      <c r="H1116" s="19" t="str">
        <f>IFERROR(__xludf.DUMMYFUNCTION("""COMPUTED_VALUE"""),"DYNAMIC")</f>
        <v>DYNAMIC</v>
      </c>
    </row>
    <row r="1117">
      <c r="H1117" s="19" t="str">
        <f>IFERROR(__xludf.DUMMYFUNCTION("""COMPUTED_VALUE"""),"DYRICH CAPSULE")</f>
        <v>DYRICH CAPSULE</v>
      </c>
    </row>
    <row r="1118">
      <c r="H1118" s="19" t="str">
        <f>IFERROR(__xludf.DUMMYFUNCTION("""COMPUTED_VALUE"""),"DYRICH PLUS CAPSULE")</f>
        <v>DYRICH PLUS CAPSULE</v>
      </c>
    </row>
    <row r="1119">
      <c r="H1119" s="19" t="str">
        <f>IFERROR(__xludf.DUMMYFUNCTION("""COMPUTED_VALUE"""),"DYRICH SYP")</f>
        <v>DYRICH SYP</v>
      </c>
    </row>
    <row r="1120">
      <c r="H1120" s="19" t="str">
        <f>IFERROR(__xludf.DUMMYFUNCTION("""COMPUTED_VALUE"""),"E DERMA")</f>
        <v>E DERMA</v>
      </c>
    </row>
    <row r="1121">
      <c r="H1121" s="19" t="str">
        <f>IFERROR(__xludf.DUMMYFUNCTION("""COMPUTED_VALUE"""),"EAMON DRUGS PVT LTD")</f>
        <v>EAMON DRUGS PVT LTD</v>
      </c>
    </row>
    <row r="1122">
      <c r="H1122" s="19" t="str">
        <f>IFERROR(__xludf.DUMMYFUNCTION("""COMPUTED_VALUE"""),"East India Pharmaceutical Works Ltd")</f>
        <v>East India Pharmaceutical Works Ltd</v>
      </c>
    </row>
    <row r="1123">
      <c r="H1123" s="19" t="str">
        <f>IFERROR(__xludf.DUMMYFUNCTION("""COMPUTED_VALUE"""),"East West Pharma")</f>
        <v>East West Pharma</v>
      </c>
    </row>
    <row r="1124">
      <c r="H1124" s="19" t="str">
        <f>IFERROR(__xludf.DUMMYFUNCTION("""COMPUTED_VALUE"""),"EASTERN HEALTH CARE")</f>
        <v>EASTERN HEALTH CARE</v>
      </c>
    </row>
    <row r="1125">
      <c r="H1125" s="19" t="str">
        <f>IFERROR(__xludf.DUMMYFUNCTION("""COMPUTED_VALUE"""),"ECLIPSER PHARMACEUTICALS")</f>
        <v>ECLIPSER PHARMACEUTICALS</v>
      </c>
    </row>
    <row r="1126">
      <c r="H1126" s="19" t="str">
        <f>IFERROR(__xludf.DUMMYFUNCTION("""COMPUTED_VALUE"""),"ECLIPTA PHARMACEUTICAL PVT LTD")</f>
        <v>ECLIPTA PHARMACEUTICAL PVT LTD</v>
      </c>
    </row>
    <row r="1127">
      <c r="H1127" s="19" t="str">
        <f>IFERROR(__xludf.DUMMYFUNCTION("""COMPUTED_VALUE"""),"ECOMED")</f>
        <v>ECOMED</v>
      </c>
    </row>
    <row r="1128">
      <c r="H1128" s="19" t="str">
        <f>IFERROR(__xludf.DUMMYFUNCTION("""COMPUTED_VALUE"""),"EDDONA LIFE SCIENCES")</f>
        <v>EDDONA LIFE SCIENCES</v>
      </c>
    </row>
    <row r="1129">
      <c r="H1129" s="19" t="str">
        <f>IFERROR(__xludf.DUMMYFUNCTION("""COMPUTED_VALUE"""),"EDEN HEALTHCARE")</f>
        <v>EDEN HEALTHCARE</v>
      </c>
    </row>
    <row r="1130">
      <c r="H1130" s="19" t="str">
        <f>IFERROR(__xludf.DUMMYFUNCTION("""COMPUTED_VALUE"""),"EDGELIFECARE LLP")</f>
        <v>EDGELIFECARE LLP</v>
      </c>
    </row>
    <row r="1131">
      <c r="H1131" s="19" t="str">
        <f>IFERROR(__xludf.DUMMYFUNCTION("""COMPUTED_VALUE"""),"EDICO LAB")</f>
        <v>EDICO LAB</v>
      </c>
    </row>
    <row r="1132">
      <c r="H1132" s="19" t="str">
        <f>IFERROR(__xludf.DUMMYFUNCTION("""COMPUTED_VALUE"""),"EDISON ORGANICS PHARMACEUTICALS")</f>
        <v>EDISON ORGANICS PHARMACEUTICALS</v>
      </c>
    </row>
    <row r="1133">
      <c r="H1133" s="19" t="str">
        <f>IFERROR(__xludf.DUMMYFUNCTION("""COMPUTED_VALUE"""),"Edrant pharmaceuticals")</f>
        <v>Edrant pharmaceuticals</v>
      </c>
    </row>
    <row r="1134">
      <c r="H1134" s="19" t="str">
        <f>IFERROR(__xludf.DUMMYFUNCTION("""COMPUTED_VALUE"""),"EDWARD YOUNG LABS")</f>
        <v>EDWARD YOUNG LABS</v>
      </c>
    </row>
    <row r="1135">
      <c r="H1135" s="19" t="str">
        <f>IFERROR(__xludf.DUMMYFUNCTION("""COMPUTED_VALUE"""),"EG LIFECARE SERVICES PVT LTD")</f>
        <v>EG LIFECARE SERVICES PVT LTD</v>
      </c>
    </row>
    <row r="1136">
      <c r="H1136" s="19" t="str">
        <f>IFERROR(__xludf.DUMMYFUNCTION("""COMPUTED_VALUE"""),"Eisai Pharmaceuticals India Pvt Ltd")</f>
        <v>Eisai Pharmaceuticals India Pvt Ltd</v>
      </c>
    </row>
    <row r="1137">
      <c r="H1137" s="19" t="str">
        <f>IFERROR(__xludf.DUMMYFUNCTION("""COMPUTED_VALUE"""),"EISEN PHARMA")</f>
        <v>EISEN PHARMA</v>
      </c>
    </row>
    <row r="1138">
      <c r="H1138" s="19" t="str">
        <f>IFERROR(__xludf.DUMMYFUNCTION("""COMPUTED_VALUE"""),"EKMAY")</f>
        <v>EKMAY</v>
      </c>
    </row>
    <row r="1139">
      <c r="H1139" s="19" t="str">
        <f>IFERROR(__xludf.DUMMYFUNCTION("""COMPUTED_VALUE"""),"Elan Pharma India Pvt Ltd")</f>
        <v>Elan Pharma India Pvt Ltd</v>
      </c>
    </row>
    <row r="1140">
      <c r="H1140" s="19" t="str">
        <f>IFERROR(__xludf.DUMMYFUNCTION("""COMPUTED_VALUE"""),"ELANCER PHARMACEUTICALS")</f>
        <v>ELANCER PHARMACEUTICALS</v>
      </c>
    </row>
    <row r="1141">
      <c r="H1141" s="19" t="str">
        <f>IFERROR(__xludf.DUMMYFUNCTION("""COMPUTED_VALUE"""),"ELAXIM PHARMA")</f>
        <v>ELAXIM PHARMA</v>
      </c>
    </row>
    <row r="1142">
      <c r="H1142" s="19" t="str">
        <f>IFERROR(__xludf.DUMMYFUNCTION("""COMPUTED_VALUE"""),"ELCLIF FORMULATION")</f>
        <v>ELCLIF FORMULATION</v>
      </c>
    </row>
    <row r="1143">
      <c r="H1143" s="19" t="str">
        <f>IFERROR(__xludf.DUMMYFUNCTION("""COMPUTED_VALUE"""),"ELCURE BIOTEC")</f>
        <v>ELCURE BIOTEC</v>
      </c>
    </row>
    <row r="1144">
      <c r="H1144" s="19" t="str">
        <f>IFERROR(__xludf.DUMMYFUNCTION("""COMPUTED_VALUE"""),"ELDER (A)")</f>
        <v>ELDER (A)</v>
      </c>
    </row>
    <row r="1145">
      <c r="H1145" s="19" t="str">
        <f>IFERROR(__xludf.DUMMYFUNCTION("""COMPUTED_VALUE"""),"ELDER (ADVENTT)")</f>
        <v>ELDER (ADVENTT)</v>
      </c>
    </row>
    <row r="1146">
      <c r="H1146" s="19" t="str">
        <f>IFERROR(__xludf.DUMMYFUNCTION("""COMPUTED_VALUE"""),"ELDER (ADVENTUS)")</f>
        <v>ELDER (ADVENTUS)</v>
      </c>
    </row>
    <row r="1147">
      <c r="H1147" s="19" t="str">
        <f>IFERROR(__xludf.DUMMYFUNCTION("""COMPUTED_VALUE"""),"ELDER (B-SPECIALITIES)")</f>
        <v>ELDER (B-SPECIALITIES)</v>
      </c>
    </row>
    <row r="1148">
      <c r="H1148" s="19" t="str">
        <f>IFERROR(__xludf.DUMMYFUNCTION("""COMPUTED_VALUE"""),"ELDER (B)")</f>
        <v>ELDER (B)</v>
      </c>
    </row>
    <row r="1149">
      <c r="H1149" s="19" t="str">
        <f>IFERROR(__xludf.DUMMYFUNCTION("""COMPUTED_VALUE"""),"ELDER (ELNOVA)")</f>
        <v>ELDER (ELNOVA)</v>
      </c>
    </row>
    <row r="1150">
      <c r="H1150" s="19" t="str">
        <f>IFERROR(__xludf.DUMMYFUNCTION("""COMPUTED_VALUE"""),"ELDER (ELVISTA)")</f>
        <v>ELDER (ELVISTA)</v>
      </c>
    </row>
    <row r="1151">
      <c r="H1151" s="19" t="str">
        <f>IFERROR(__xludf.DUMMYFUNCTION("""COMPUTED_VALUE"""),"ELDER (GENERIC)")</f>
        <v>ELDER (GENERIC)</v>
      </c>
    </row>
    <row r="1152">
      <c r="H1152" s="19" t="str">
        <f>IFERROR(__xludf.DUMMYFUNCTION("""COMPUTED_VALUE"""),"ELDER (MIS)")</f>
        <v>ELDER (MIS)</v>
      </c>
    </row>
    <row r="1153">
      <c r="H1153" s="19" t="str">
        <f>IFERROR(__xludf.DUMMYFUNCTION("""COMPUTED_VALUE"""),"ELDER BIO DRUGS PVT LTD")</f>
        <v>ELDER BIO DRUGS PVT LTD</v>
      </c>
    </row>
    <row r="1154">
      <c r="H1154" s="19" t="str">
        <f>IFERROR(__xludf.DUMMYFUNCTION("""COMPUTED_VALUE"""),"Elder Pharmaceuticals Ltd")</f>
        <v>Elder Pharmaceuticals Ltd</v>
      </c>
    </row>
    <row r="1155">
      <c r="H1155" s="19" t="str">
        <f>IFERROR(__xludf.DUMMYFUNCTION("""COMPUTED_VALUE"""),"ELDORA HEALTHCARE")</f>
        <v>ELDORA HEALTHCARE</v>
      </c>
    </row>
    <row r="1156">
      <c r="H1156" s="19" t="str">
        <f>IFERROR(__xludf.DUMMYFUNCTION("""COMPUTED_VALUE"""),"ELEGANT COSMED PVT LTD")</f>
        <v>ELEGANT COSMED PVT LTD</v>
      </c>
    </row>
    <row r="1157">
      <c r="H1157" s="19" t="str">
        <f>IFERROR(__xludf.DUMMYFUNCTION("""COMPUTED_VALUE"""),"ELEMENSIS LIFESCIENCES")</f>
        <v>ELEMENSIS LIFESCIENCES</v>
      </c>
    </row>
    <row r="1158">
      <c r="H1158" s="19" t="str">
        <f>IFERROR(__xludf.DUMMYFUNCTION("""COMPUTED_VALUE"""),"ELEMENSIS LIFESCIENCES PVT LTD")</f>
        <v>ELEMENSIS LIFESCIENCES PVT LTD</v>
      </c>
    </row>
    <row r="1159">
      <c r="H1159" s="19" t="str">
        <f>IFERROR(__xludf.DUMMYFUNCTION("""COMPUTED_VALUE"""),"ELEMENTS WELLNESS")</f>
        <v>ELEMENTS WELLNESS</v>
      </c>
    </row>
    <row r="1160">
      <c r="H1160" s="19" t="str">
        <f>IFERROR(__xludf.DUMMYFUNCTION("""COMPUTED_VALUE"""),"ELENOR HEALTHCARE")</f>
        <v>ELENOR HEALTHCARE</v>
      </c>
    </row>
    <row r="1161">
      <c r="H1161" s="19" t="str">
        <f>IFERROR(__xludf.DUMMYFUNCTION("""COMPUTED_VALUE"""),"ELFIN PHARMA P LTD")</f>
        <v>ELFIN PHARMA P LTD</v>
      </c>
    </row>
    <row r="1162">
      <c r="H1162" s="19" t="str">
        <f>IFERROR(__xludf.DUMMYFUNCTION("""COMPUTED_VALUE"""),"Eli Lilly and Company India Pvt Ltd")</f>
        <v>Eli Lilly and Company India Pvt Ltd</v>
      </c>
    </row>
    <row r="1163">
      <c r="H1163" s="19" t="str">
        <f>IFERROR(__xludf.DUMMYFUNCTION("""COMPUTED_VALUE"""),"ELI PHARMACEUTICALS")</f>
        <v>ELI PHARMACEUTICALS</v>
      </c>
    </row>
    <row r="1164">
      <c r="H1164" s="19" t="str">
        <f>IFERROR(__xludf.DUMMYFUNCTION("""COMPUTED_VALUE"""),"ELIKEM PHARMACEUTICALS PVT LTD")</f>
        <v>ELIKEM PHARMACEUTICALS PVT LTD</v>
      </c>
    </row>
    <row r="1165">
      <c r="H1165" s="19" t="str">
        <f>IFERROR(__xludf.DUMMYFUNCTION("""COMPUTED_VALUE"""),"ELILVILI PHARMA PVT LTD")</f>
        <v>ELILVILI PHARMA PVT LTD</v>
      </c>
    </row>
    <row r="1166">
      <c r="H1166" s="19" t="str">
        <f>IFERROR(__xludf.DUMMYFUNCTION("""COMPUTED_VALUE"""),"ELION HEALTHCARE PVT LTD")</f>
        <v>ELION HEALTHCARE PVT LTD</v>
      </c>
    </row>
    <row r="1167">
      <c r="H1167" s="19" t="str">
        <f>IFERROR(__xludf.DUMMYFUNCTION("""COMPUTED_VALUE"""),"ELIXIR LIFE CARE")</f>
        <v>ELIXIR LIFE CARE</v>
      </c>
    </row>
    <row r="1168">
      <c r="H1168" s="19" t="str">
        <f>IFERROR(__xludf.DUMMYFUNCTION("""COMPUTED_VALUE"""),"ELIXIR LIFE CARE (ACCELENT)")</f>
        <v>ELIXIR LIFE CARE (ACCELENT)</v>
      </c>
    </row>
    <row r="1169">
      <c r="H1169" s="19" t="str">
        <f>IFERROR(__xludf.DUMMYFUNCTION("""COMPUTED_VALUE"""),"ELIXIR MEDISERVE P LTD")</f>
        <v>ELIXIR MEDISERVE P LTD</v>
      </c>
    </row>
    <row r="1170">
      <c r="H1170" s="19" t="str">
        <f>IFERROR(__xludf.DUMMYFUNCTION("""COMPUTED_VALUE"""),"ELKOS HEALTHCARE P LTD")</f>
        <v>ELKOS HEALTHCARE P LTD</v>
      </c>
    </row>
    <row r="1171">
      <c r="H1171" s="19" t="str">
        <f>IFERROR(__xludf.DUMMYFUNCTION("""COMPUTED_VALUE"""),"ELLINOR LIFESCIENCES")</f>
        <v>ELLINOR LIFESCIENCES</v>
      </c>
    </row>
    <row r="1172">
      <c r="H1172" s="19" t="str">
        <f>IFERROR(__xludf.DUMMYFUNCTION("""COMPUTED_VALUE"""),"ELLIOT BIOTECH")</f>
        <v>ELLIOT BIOTECH</v>
      </c>
    </row>
    <row r="1173">
      <c r="H1173" s="19" t="str">
        <f>IFERROR(__xludf.DUMMYFUNCTION("""COMPUTED_VALUE"""),"ELNOVA PHARMA SIRMOUR")</f>
        <v>ELNOVA PHARMA SIRMOUR</v>
      </c>
    </row>
    <row r="1174">
      <c r="H1174" s="19" t="str">
        <f>IFERROR(__xludf.DUMMYFUNCTION("""COMPUTED_VALUE"""),"ELVIA")</f>
        <v>ELVIA</v>
      </c>
    </row>
    <row r="1175">
      <c r="H1175" s="19" t="str">
        <f>IFERROR(__xludf.DUMMYFUNCTION("""COMPUTED_VALUE"""),"ELZA LABORATORIES INDIA PVT LTD")</f>
        <v>ELZA LABORATORIES INDIA PVT LTD</v>
      </c>
    </row>
    <row r="1176">
      <c r="H1176" s="19" t="str">
        <f>IFERROR(__xludf.DUMMYFUNCTION("""COMPUTED_VALUE"""),"Emami Ltd")</f>
        <v>Emami Ltd</v>
      </c>
    </row>
    <row r="1177">
      <c r="H1177" s="19" t="str">
        <f>IFERROR(__xludf.DUMMYFUNCTION("""COMPUTED_VALUE"""),"EMBARK LIFESCIENCE PVT LTD")</f>
        <v>EMBARK LIFESCIENCE PVT LTD</v>
      </c>
    </row>
    <row r="1178">
      <c r="H1178" s="19" t="str">
        <f>IFERROR(__xludf.DUMMYFUNCTION("""COMPUTED_VALUE"""),"EMCURE (EMCUTIX)")</f>
        <v>EMCURE (EMCUTIX)</v>
      </c>
    </row>
    <row r="1179">
      <c r="H1179" s="19" t="str">
        <f>IFERROR(__xludf.DUMMYFUNCTION("""COMPUTED_VALUE"""),"EMCURE (GENNOVA)")</f>
        <v>EMCURE (GENNOVA)</v>
      </c>
    </row>
    <row r="1180">
      <c r="H1180" s="19" t="str">
        <f>IFERROR(__xludf.DUMMYFUNCTION("""COMPUTED_VALUE"""),"EMCURE (NUSURGE)")</f>
        <v>EMCURE (NUSURGE)</v>
      </c>
    </row>
    <row r="1181">
      <c r="H1181" s="19" t="str">
        <f>IFERROR(__xludf.DUMMYFUNCTION("""COMPUTED_VALUE"""),"EMCURE PHARMA (CD)")</f>
        <v>EMCURE PHARMA (CD)</v>
      </c>
    </row>
    <row r="1182">
      <c r="H1182" s="19" t="str">
        <f>IFERROR(__xludf.DUMMYFUNCTION("""COMPUTED_VALUE"""),"EMCURE PHARMA (CNS)")</f>
        <v>EMCURE PHARMA (CNS)</v>
      </c>
    </row>
    <row r="1183">
      <c r="H1183" s="19" t="str">
        <f>IFERROR(__xludf.DUMMYFUNCTION("""COMPUTED_VALUE"""),"EMCURE PHARMA (CRIANTE)")</f>
        <v>EMCURE PHARMA (CRIANTE)</v>
      </c>
    </row>
    <row r="1184">
      <c r="H1184" s="19" t="str">
        <f>IFERROR(__xludf.DUMMYFUNCTION("""COMPUTED_VALUE"""),"EMCURE PHARMA (FERIUM)")</f>
        <v>EMCURE PHARMA (FERIUM)</v>
      </c>
    </row>
    <row r="1185">
      <c r="H1185" s="19" t="str">
        <f>IFERROR(__xludf.DUMMYFUNCTION("""COMPUTED_VALUE"""),"EMCURE PHARMA (IMPETUS)")</f>
        <v>EMCURE PHARMA (IMPETUS)</v>
      </c>
    </row>
    <row r="1186">
      <c r="H1186" s="19" t="str">
        <f>IFERROR(__xludf.DUMMYFUNCTION("""COMPUTED_VALUE"""),"EMCURE PHARMA (INFIUS)")</f>
        <v>EMCURE PHARMA (INFIUS)</v>
      </c>
    </row>
    <row r="1187">
      <c r="H1187" s="19" t="str">
        <f>IFERROR(__xludf.DUMMYFUNCTION("""COMPUTED_VALUE"""),"EMCURE PHARMA (INVENTIA)")</f>
        <v>EMCURE PHARMA (INVENTIA)</v>
      </c>
    </row>
    <row r="1188">
      <c r="H1188" s="19" t="str">
        <f>IFERROR(__xludf.DUMMYFUNCTION("""COMPUTED_VALUE"""),"EMCURE PHARMA (KONKER)")</f>
        <v>EMCURE PHARMA (KONKER)</v>
      </c>
    </row>
    <row r="1189">
      <c r="H1189" s="19" t="str">
        <f>IFERROR(__xludf.DUMMYFUNCTION("""COMPUTED_VALUE"""),"EMCURE PHARMA (NEPHRO)")</f>
        <v>EMCURE PHARMA (NEPHRO)</v>
      </c>
    </row>
    <row r="1190">
      <c r="H1190" s="19" t="str">
        <f>IFERROR(__xludf.DUMMYFUNCTION("""COMPUTED_VALUE"""),"EMCURE PHARMA (NUCRON CV)")</f>
        <v>EMCURE PHARMA (NUCRON CV)</v>
      </c>
    </row>
    <row r="1191">
      <c r="H1191" s="19" t="str">
        <f>IFERROR(__xludf.DUMMYFUNCTION("""COMPUTED_VALUE"""),"EMCURE PHARMA (NUCRON)")</f>
        <v>EMCURE PHARMA (NUCRON)</v>
      </c>
    </row>
    <row r="1192">
      <c r="H1192" s="19" t="str">
        <f>IFERROR(__xludf.DUMMYFUNCTION("""COMPUTED_VALUE"""),"EMCURE PHARMA (PHARMA)")</f>
        <v>EMCURE PHARMA (PHARMA)</v>
      </c>
    </row>
    <row r="1193">
      <c r="H1193" s="19" t="str">
        <f>IFERROR(__xludf.DUMMYFUNCTION("""COMPUTED_VALUE"""),"EMCURE PHARMA (URO)")</f>
        <v>EMCURE PHARMA (URO)</v>
      </c>
    </row>
    <row r="1194">
      <c r="H1194" s="19" t="str">
        <f>IFERROR(__xludf.DUMMYFUNCTION("""COMPUTED_VALUE"""),"EMCURE PHARMA (VIROLOGY)")</f>
        <v>EMCURE PHARMA (VIROLOGY)</v>
      </c>
    </row>
    <row r="1195">
      <c r="H1195" s="19" t="str">
        <f>IFERROR(__xludf.DUMMYFUNCTION("""COMPUTED_VALUE"""),"EMCURE PHARMA (XENNEX)")</f>
        <v>EMCURE PHARMA (XENNEX)</v>
      </c>
    </row>
    <row r="1196">
      <c r="H1196" s="19" t="str">
        <f>IFERROR(__xludf.DUMMYFUNCTION("""COMPUTED_VALUE"""),"EMCURE PHARMA (ZEMCURE)")</f>
        <v>EMCURE PHARMA (ZEMCURE)</v>
      </c>
    </row>
    <row r="1197">
      <c r="H1197" s="19" t="str">
        <f>IFERROR(__xludf.DUMMYFUNCTION("""COMPUTED_VALUE"""),"Emcure Pharmaceuticals Ltd")</f>
        <v>Emcure Pharmaceuticals Ltd</v>
      </c>
    </row>
    <row r="1198">
      <c r="H1198" s="19" t="str">
        <f>IFERROR(__xludf.DUMMYFUNCTION("""COMPUTED_VALUE"""),"EMENOX HEALTHCARE")</f>
        <v>EMENOX HEALTHCARE</v>
      </c>
    </row>
    <row r="1199">
      <c r="H1199" s="19" t="str">
        <f>IFERROR(__xludf.DUMMYFUNCTION("""COMPUTED_VALUE"""),"EMIL PHARMACEUTICAL INDUSTRIES PVT LTD")</f>
        <v>EMIL PHARMACEUTICAL INDUSTRIES PVT LTD</v>
      </c>
    </row>
    <row r="1200">
      <c r="H1200" s="19" t="str">
        <f>IFERROR(__xludf.DUMMYFUNCTION("""COMPUTED_VALUE"""),"EMKEDY HEALTH CARE")</f>
        <v>EMKEDY HEALTH CARE</v>
      </c>
    </row>
    <row r="1201">
      <c r="H1201" s="19" t="str">
        <f>IFERROR(__xludf.DUMMYFUNCTION("""COMPUTED_VALUE"""),"EMMY PHARMACEUTICAL")</f>
        <v>EMMY PHARMACEUTICAL</v>
      </c>
    </row>
    <row r="1202">
      <c r="H1202" s="19" t="str">
        <f>IFERROR(__xludf.DUMMYFUNCTION("""COMPUTED_VALUE"""),"EMPHASIS PHARMA P LTD")</f>
        <v>EMPHASIS PHARMA P LTD</v>
      </c>
    </row>
    <row r="1203">
      <c r="H1203" s="19" t="str">
        <f>IFERROR(__xludf.DUMMYFUNCTION("""COMPUTED_VALUE"""),"Empiai Pharmaceuticals Pvt Ltd")</f>
        <v>Empiai Pharmaceuticals Pvt Ltd</v>
      </c>
    </row>
    <row r="1204">
      <c r="H1204" s="19" t="str">
        <f>IFERROR(__xludf.DUMMYFUNCTION("""COMPUTED_VALUE"""),"ENCORE HEALTHCARE PVT LTD")</f>
        <v>ENCORE HEALTHCARE PVT LTD</v>
      </c>
    </row>
    <row r="1205">
      <c r="H1205" s="19" t="str">
        <f>IFERROR(__xludf.DUMMYFUNCTION("""COMPUTED_VALUE"""),"Encore Pharmaceuticals Inc.")</f>
        <v>Encore Pharmaceuticals Inc.</v>
      </c>
    </row>
    <row r="1206">
      <c r="H1206" s="19" t="str">
        <f>IFERROR(__xludf.DUMMYFUNCTION("""COMPUTED_VALUE"""),"ENCYCLO HEATHCARE")</f>
        <v>ENCYCLO HEATHCARE</v>
      </c>
    </row>
    <row r="1207">
      <c r="H1207" s="19" t="str">
        <f>IFERROR(__xludf.DUMMYFUNCTION("""COMPUTED_VALUE"""),"ENDOLABS LTD")</f>
        <v>ENDOLABS LTD</v>
      </c>
    </row>
    <row r="1208">
      <c r="H1208" s="19" t="str">
        <f>IFERROR(__xludf.DUMMYFUNCTION("""COMPUTED_VALUE"""),"ENRICO PHARMA")</f>
        <v>ENRICO PHARMA</v>
      </c>
    </row>
    <row r="1209">
      <c r="H1209" s="19" t="str">
        <f>IFERROR(__xludf.DUMMYFUNCTION("""COMPUTED_VALUE"""),"ENTOD (ENSIGHT)")</f>
        <v>ENTOD (ENSIGHT)</v>
      </c>
    </row>
    <row r="1210">
      <c r="H1210" s="19" t="str">
        <f>IFERROR(__xludf.DUMMYFUNCTION("""COMPUTED_VALUE"""),"ENTOD (G-TECH)")</f>
        <v>ENTOD (G-TECH)</v>
      </c>
    </row>
    <row r="1211">
      <c r="H1211" s="19" t="str">
        <f>IFERROR(__xludf.DUMMYFUNCTION("""COMPUTED_VALUE"""),"ENTOD (HYTEK)")</f>
        <v>ENTOD (HYTEK)</v>
      </c>
    </row>
    <row r="1212">
      <c r="H1212" s="19" t="str">
        <f>IFERROR(__xludf.DUMMYFUNCTION("""COMPUTED_VALUE"""),"ENTOD (OPHTHALMIC)")</f>
        <v>ENTOD (OPHTHALMIC)</v>
      </c>
    </row>
    <row r="1213">
      <c r="H1213" s="19" t="str">
        <f>IFERROR(__xludf.DUMMYFUNCTION("""COMPUTED_VALUE"""),"ENTOD (OPTHAL)")</f>
        <v>ENTOD (OPTHAL)</v>
      </c>
    </row>
    <row r="1214">
      <c r="H1214" s="19" t="str">
        <f>IFERROR(__xludf.DUMMYFUNCTION("""COMPUTED_VALUE"""),"Entod Pharmaceuticals Ltd")</f>
        <v>Entod Pharmaceuticals Ltd</v>
      </c>
    </row>
    <row r="1215">
      <c r="H1215" s="19" t="str">
        <f>IFERROR(__xludf.DUMMYFUNCTION("""COMPUTED_VALUE"""),"EOS DERMACEUTICALS")</f>
        <v>EOS DERMACEUTICALS</v>
      </c>
    </row>
    <row r="1216">
      <c r="H1216" s="19" t="str">
        <f>IFERROR(__xludf.DUMMYFUNCTION("""COMPUTED_VALUE"""),"EPIC LIFESCIENCE")</f>
        <v>EPIC LIFESCIENCE</v>
      </c>
    </row>
    <row r="1217">
      <c r="H1217" s="19" t="str">
        <f>IFERROR(__xludf.DUMMYFUNCTION("""COMPUTED_VALUE"""),"EPONA PHARMACEUTICALS")</f>
        <v>EPONA PHARMACEUTICALS</v>
      </c>
    </row>
    <row r="1218">
      <c r="H1218" s="19" t="str">
        <f>IFERROR(__xludf.DUMMYFUNCTION("""COMPUTED_VALUE"""),"Era Pharmaceuticals")</f>
        <v>Era Pharmaceuticals</v>
      </c>
    </row>
    <row r="1219">
      <c r="H1219" s="19" t="str">
        <f>IFERROR(__xludf.DUMMYFUNCTION("""COMPUTED_VALUE"""),"ERIDANUS HEALTHCARE")</f>
        <v>ERIDANUS HEALTHCARE</v>
      </c>
    </row>
    <row r="1220">
      <c r="H1220" s="19" t="str">
        <f>IFERROR(__xludf.DUMMYFUNCTION("""COMPUTED_VALUE"""),"ERIKA REMEDIES")</f>
        <v>ERIKA REMEDIES</v>
      </c>
    </row>
    <row r="1221">
      <c r="H1221" s="19" t="str">
        <f>IFERROR(__xludf.DUMMYFUNCTION("""COMPUTED_VALUE"""),"ERIS (ADURA)")</f>
        <v>ERIS (ADURA)</v>
      </c>
    </row>
    <row r="1222">
      <c r="H1222" s="19" t="str">
        <f>IFERROR(__xludf.DUMMYFUNCTION("""COMPUTED_VALUE"""),"ERIS (ALTIZA)")</f>
        <v>ERIS (ALTIZA)</v>
      </c>
    </row>
    <row r="1223">
      <c r="H1223" s="19" t="str">
        <f>IFERROR(__xludf.DUMMYFUNCTION("""COMPUTED_VALUE"""),"ERIS (ASPIRE)")</f>
        <v>ERIS (ASPIRE)</v>
      </c>
    </row>
    <row r="1224">
      <c r="H1224" s="19" t="str">
        <f>IFERROR(__xludf.DUMMYFUNCTION("""COMPUTED_VALUE"""),"ERIS (ETERNA)")</f>
        <v>ERIS (ETERNA)</v>
      </c>
    </row>
    <row r="1225">
      <c r="H1225" s="19" t="str">
        <f>IFERROR(__xludf.DUMMYFUNCTION("""COMPUTED_VALUE"""),"ERIS (GENERIC)")</f>
        <v>ERIS (GENERIC)</v>
      </c>
    </row>
    <row r="1226">
      <c r="H1226" s="19" t="str">
        <f>IFERROR(__xludf.DUMMYFUNCTION("""COMPUTED_VALUE"""),"ERIS (INSPIRA)")</f>
        <v>ERIS (INSPIRA)</v>
      </c>
    </row>
    <row r="1227">
      <c r="H1227" s="19" t="str">
        <f>IFERROR(__xludf.DUMMYFUNCTION("""COMPUTED_VALUE"""),"ERIS (LIFE-I)")</f>
        <v>ERIS (LIFE-I)</v>
      </c>
    </row>
    <row r="1228">
      <c r="H1228" s="19" t="str">
        <f>IFERROR(__xludf.DUMMYFUNCTION("""COMPUTED_VALUE"""),"ERIS (LIFE-II)")</f>
        <v>ERIS (LIFE-II)</v>
      </c>
    </row>
    <row r="1229">
      <c r="H1229" s="19" t="str">
        <f>IFERROR(__xludf.DUMMYFUNCTION("""COMPUTED_VALUE"""),"ERIS (MONTANA)")</f>
        <v>ERIS (MONTANA)</v>
      </c>
    </row>
    <row r="1230">
      <c r="H1230" s="19" t="str">
        <f>IFERROR(__xludf.DUMMYFUNCTION("""COMPUTED_VALUE"""),"ERIS (NIKKOS)")</f>
        <v>ERIS (NIKKOS)</v>
      </c>
    </row>
    <row r="1231">
      <c r="H1231" s="19" t="str">
        <f>IFERROR(__xludf.DUMMYFUNCTION("""COMPUTED_VALUE"""),"ERIS (ONE)")</f>
        <v>ERIS (ONE)</v>
      </c>
    </row>
    <row r="1232">
      <c r="H1232" s="19" t="str">
        <f>IFERROR(__xludf.DUMMYFUNCTION("""COMPUTED_VALUE"""),"ERIS (PHOENIX)")</f>
        <v>ERIS (PHOENIX)</v>
      </c>
    </row>
    <row r="1233">
      <c r="H1233" s="19" t="str">
        <f>IFERROR(__xludf.DUMMYFUNCTION("""COMPUTED_VALUE"""),"ERIS (TWO)")</f>
        <v>ERIS (TWO)</v>
      </c>
    </row>
    <row r="1234">
      <c r="H1234" s="19" t="str">
        <f>IFERROR(__xludf.DUMMYFUNCTION("""COMPUTED_VALUE"""),"ERIS (VICTUS)")</f>
        <v>ERIS (VICTUS)</v>
      </c>
    </row>
    <row r="1235">
      <c r="H1235" s="19" t="str">
        <f>IFERROR(__xludf.DUMMYFUNCTION("""COMPUTED_VALUE"""),"Eris Life Sciences Pvt Ltd")</f>
        <v>Eris Life Sciences Pvt Ltd</v>
      </c>
    </row>
    <row r="1236">
      <c r="H1236" s="19" t="str">
        <f>IFERROR(__xludf.DUMMYFUNCTION("""COMPUTED_VALUE"""),"ERIS LIFESCIENCES PVT LTD.")</f>
        <v>ERIS LIFESCIENCES PVT LTD.</v>
      </c>
    </row>
    <row r="1237">
      <c r="H1237" s="19" t="str">
        <f>IFERROR(__xludf.DUMMYFUNCTION("""COMPUTED_VALUE"""),"ERNST PHARMACIA")</f>
        <v>ERNST PHARMACIA</v>
      </c>
    </row>
    <row r="1238">
      <c r="H1238" s="19" t="str">
        <f>IFERROR(__xludf.DUMMYFUNCTION("""COMPUTED_VALUE"""),"EROSE PHARMACEUTICALS")</f>
        <v>EROSE PHARMACEUTICALS</v>
      </c>
    </row>
    <row r="1239">
      <c r="H1239" s="19" t="str">
        <f>IFERROR(__xludf.DUMMYFUNCTION("""COMPUTED_VALUE"""),"ERYX HEALTHCARE P LTD")</f>
        <v>ERYX HEALTHCARE P LTD</v>
      </c>
    </row>
    <row r="1240">
      <c r="H1240" s="19" t="str">
        <f>IFERROR(__xludf.DUMMYFUNCTION("""COMPUTED_VALUE"""),"ESKAG PHARMA")</f>
        <v>ESKAG PHARMA</v>
      </c>
    </row>
    <row r="1241">
      <c r="H1241" s="19" t="str">
        <f>IFERROR(__xludf.DUMMYFUNCTION("""COMPUTED_VALUE"""),"ESTRELLAS LIFESCIENCES")</f>
        <v>ESTRELLAS LIFESCIENCES</v>
      </c>
    </row>
    <row r="1242">
      <c r="H1242" s="19" t="str">
        <f>IFERROR(__xludf.DUMMYFUNCTION("""COMPUTED_VALUE"""),"Ethicare Pharma")</f>
        <v>Ethicare Pharma</v>
      </c>
    </row>
    <row r="1243">
      <c r="H1243" s="19" t="str">
        <f>IFERROR(__xludf.DUMMYFUNCTION("""COMPUTED_VALUE"""),"Ethicare Remedies")</f>
        <v>Ethicare Remedies</v>
      </c>
    </row>
    <row r="1244">
      <c r="H1244" s="19" t="str">
        <f>IFERROR(__xludf.DUMMYFUNCTION("""COMPUTED_VALUE"""),"Ethilexhealth Care Guj Ltd")</f>
        <v>Ethilexhealth Care Guj Ltd</v>
      </c>
    </row>
    <row r="1245">
      <c r="H1245" s="19" t="str">
        <f>IFERROR(__xludf.DUMMYFUNCTION("""COMPUTED_VALUE"""),"Ethinext Pharma")</f>
        <v>Ethinext Pharma</v>
      </c>
    </row>
    <row r="1246">
      <c r="H1246" s="19" t="str">
        <f>IFERROR(__xludf.DUMMYFUNCTION("""COMPUTED_VALUE"""),"EU GENIA BIOCARE INTERNATIONAL")</f>
        <v>EU GENIA BIOCARE INTERNATIONAL</v>
      </c>
    </row>
    <row r="1247">
      <c r="H1247" s="19" t="str">
        <f>IFERROR(__xludf.DUMMYFUNCTION("""COMPUTED_VALUE"""),"EUCARE PHARMACEUTICALS PVT LTD")</f>
        <v>EUCARE PHARMACEUTICALS PVT LTD</v>
      </c>
    </row>
    <row r="1248">
      <c r="H1248" s="19" t="str">
        <f>IFERROR(__xludf.DUMMYFUNCTION("""COMPUTED_VALUE"""),"EUPHONY HEALTHCARE")</f>
        <v>EUPHONY HEALTHCARE</v>
      </c>
    </row>
    <row r="1249">
      <c r="H1249" s="19" t="str">
        <f>IFERROR(__xludf.DUMMYFUNCTION("""COMPUTED_VALUE"""),"EUPHORIA INDIA PHARMACEUTICALS")</f>
        <v>EUPHORIA INDIA PHARMACEUTICALS</v>
      </c>
    </row>
    <row r="1250">
      <c r="H1250" s="19" t="str">
        <f>IFERROR(__xludf.DUMMYFUNCTION("""COMPUTED_VALUE"""),"EUREKA")</f>
        <v>EUREKA</v>
      </c>
    </row>
    <row r="1251">
      <c r="H1251" s="19" t="str">
        <f>IFERROR(__xludf.DUMMYFUNCTION("""COMPUTED_VALUE"""),"EURO BIOLOGICALS")</f>
        <v>EURO BIOLOGICALS</v>
      </c>
    </row>
    <row r="1252">
      <c r="H1252" s="19" t="str">
        <f>IFERROR(__xludf.DUMMYFUNCTION("""COMPUTED_VALUE"""),"EURO BIOTECH")</f>
        <v>EURO BIOTECH</v>
      </c>
    </row>
    <row r="1253">
      <c r="H1253" s="19" t="str">
        <f>IFERROR(__xludf.DUMMYFUNCTION("""COMPUTED_VALUE"""),"EURO HEALTH &amp; BIOSEARCH")</f>
        <v>EURO HEALTH &amp; BIOSEARCH</v>
      </c>
    </row>
    <row r="1254">
      <c r="H1254" s="19" t="str">
        <f>IFERROR(__xludf.DUMMYFUNCTION("""COMPUTED_VALUE"""),"EUROCARE")</f>
        <v>EUROCARE</v>
      </c>
    </row>
    <row r="1255">
      <c r="H1255" s="19" t="str">
        <f>IFERROR(__xludf.DUMMYFUNCTION("""COMPUTED_VALUE"""),"EUROLIFE HEALTHCARE PVT LTD")</f>
        <v>EUROLIFE HEALTHCARE PVT LTD</v>
      </c>
    </row>
    <row r="1256">
      <c r="H1256" s="19" t="str">
        <f>IFERROR(__xludf.DUMMYFUNCTION("""COMPUTED_VALUE"""),"EUROPA HEALTH CARE")</f>
        <v>EUROPA HEALTH CARE</v>
      </c>
    </row>
    <row r="1257">
      <c r="H1257" s="19" t="str">
        <f>IFERROR(__xludf.DUMMYFUNCTION("""COMPUTED_VALUE"""),"EVANCE PHARMA")</f>
        <v>EVANCE PHARMA</v>
      </c>
    </row>
    <row r="1258">
      <c r="H1258" s="19" t="str">
        <f>IFERROR(__xludf.DUMMYFUNCTION("""COMPUTED_VALUE"""),"EVDOXIA LIFESCIENCES PVT LTD")</f>
        <v>EVDOXIA LIFESCIENCES PVT LTD</v>
      </c>
    </row>
    <row r="1259">
      <c r="H1259" s="19" t="str">
        <f>IFERROR(__xludf.DUMMYFUNCTION("""COMPUTED_VALUE"""),"EVEREN HEALTHCARE")</f>
        <v>EVEREN HEALTHCARE</v>
      </c>
    </row>
    <row r="1260">
      <c r="H1260" s="19" t="str">
        <f>IFERROR(__xludf.DUMMYFUNCTION("""COMPUTED_VALUE"""),"EVERVITAL LIFESCIENCES PVT LTD")</f>
        <v>EVERVITAL LIFESCIENCES PVT LTD</v>
      </c>
    </row>
    <row r="1261">
      <c r="H1261" s="19" t="str">
        <f>IFERROR(__xludf.DUMMYFUNCTION("""COMPUTED_VALUE"""),"EVERWELL PHARMA")</f>
        <v>EVERWELL PHARMA</v>
      </c>
    </row>
    <row r="1262">
      <c r="H1262" s="19" t="str">
        <f>IFERROR(__xludf.DUMMYFUNCTION("""COMPUTED_VALUE"""),"EVOK LIFESCIENCES PVT LTD")</f>
        <v>EVOK LIFESCIENCES PVT LTD</v>
      </c>
    </row>
    <row r="1263">
      <c r="H1263" s="19" t="str">
        <f>IFERROR(__xludf.DUMMYFUNCTION("""COMPUTED_VALUE"""),"EXAZAM MD")</f>
        <v>EXAZAM MD</v>
      </c>
    </row>
    <row r="1264">
      <c r="H1264" s="19" t="str">
        <f>IFERROR(__xludf.DUMMYFUNCTION("""COMPUTED_VALUE"""),"Eyekare Kilitch Limited")</f>
        <v>Eyekare Kilitch Limited</v>
      </c>
    </row>
    <row r="1265">
      <c r="H1265" s="19" t="str">
        <f>IFERROR(__xludf.DUMMYFUNCTION("""COMPUTED_VALUE"""),"EYEORA LIFESCIENCES")</f>
        <v>EYEORA LIFESCIENCES</v>
      </c>
    </row>
    <row r="1266">
      <c r="H1266" s="19" t="str">
        <f>IFERROR(__xludf.DUMMYFUNCTION("""COMPUTED_VALUE"""),"FAIR DERMA REMEDIES")</f>
        <v>FAIR DERMA REMEDIES</v>
      </c>
    </row>
    <row r="1267">
      <c r="H1267" s="19" t="str">
        <f>IFERROR(__xludf.DUMMYFUNCTION("""COMPUTED_VALUE"""),"FAIR FORD PHARMACEUTICAL")</f>
        <v>FAIR FORD PHARMACEUTICAL</v>
      </c>
    </row>
    <row r="1268">
      <c r="H1268" s="19" t="str">
        <f>IFERROR(__xludf.DUMMYFUNCTION("""COMPUTED_VALUE"""),"FAMEILY DRUGS")</f>
        <v>FAMEILY DRUGS</v>
      </c>
    </row>
    <row r="1269">
      <c r="H1269" s="19" t="str">
        <f>IFERROR(__xludf.DUMMYFUNCTION("""COMPUTED_VALUE"""),"FAMY CARE LTD")</f>
        <v>FAMY CARE LTD</v>
      </c>
    </row>
    <row r="1270">
      <c r="H1270" s="19" t="str">
        <f>IFERROR(__xludf.DUMMYFUNCTION("""COMPUTED_VALUE"""),"FARLEX PHARMACEUTICAL")</f>
        <v>FARLEX PHARMACEUTICAL</v>
      </c>
    </row>
    <row r="1271">
      <c r="H1271" s="19" t="str">
        <f>IFERROR(__xludf.DUMMYFUNCTION("""COMPUTED_VALUE"""),"FARMEXO HEALTHCARE PVT LTD")</f>
        <v>FARMEXO HEALTHCARE PVT LTD</v>
      </c>
    </row>
    <row r="1272">
      <c r="H1272" s="19" t="str">
        <f>IFERROR(__xludf.DUMMYFUNCTION("""COMPUTED_VALUE"""),"FATEH PHARMACY")</f>
        <v>FATEH PHARMACY</v>
      </c>
    </row>
    <row r="1273">
      <c r="H1273" s="19" t="str">
        <f>IFERROR(__xludf.DUMMYFUNCTION("""COMPUTED_VALUE"""),"FATHER MULLER")</f>
        <v>FATHER MULLER</v>
      </c>
    </row>
    <row r="1274">
      <c r="H1274" s="19" t="str">
        <f>IFERROR(__xludf.DUMMYFUNCTION("""COMPUTED_VALUE"""),"FAWN PHARMA")</f>
        <v>FAWN PHARMA</v>
      </c>
    </row>
    <row r="1275">
      <c r="H1275" s="19" t="str">
        <f>IFERROR(__xludf.DUMMYFUNCTION("""COMPUTED_VALUE"""),"FDC Ltd")</f>
        <v>FDC Ltd</v>
      </c>
    </row>
    <row r="1276">
      <c r="H1276" s="19" t="str">
        <f>IFERROR(__xludf.DUMMYFUNCTION("""COMPUTED_VALUE"""),"FDC Ltd (DILSE)")</f>
        <v>FDC Ltd (DILSE)</v>
      </c>
    </row>
    <row r="1277">
      <c r="H1277" s="19" t="str">
        <f>IFERROR(__xludf.DUMMYFUNCTION("""COMPUTED_VALUE"""),"FDC Ltd (ELECTRAL)")</f>
        <v>FDC Ltd (ELECTRAL)</v>
      </c>
    </row>
    <row r="1278">
      <c r="H1278" s="19" t="str">
        <f>IFERROR(__xludf.DUMMYFUNCTION("""COMPUTED_VALUE"""),"FDC Ltd (LUMINA)")</f>
        <v>FDC Ltd (LUMINA)</v>
      </c>
    </row>
    <row r="1279">
      <c r="H1279" s="19" t="str">
        <f>IFERROR(__xludf.DUMMYFUNCTION("""COMPUTED_VALUE"""),"FDC Ltd (PIXEL)")</f>
        <v>FDC Ltd (PIXEL)</v>
      </c>
    </row>
    <row r="1280">
      <c r="H1280" s="19" t="str">
        <f>IFERROR(__xludf.DUMMYFUNCTION("""COMPUTED_VALUE"""),"FDC Ltd (PROXIMA)")</f>
        <v>FDC Ltd (PROXIMA)</v>
      </c>
    </row>
    <row r="1281">
      <c r="H1281" s="19" t="str">
        <f>IFERROR(__xludf.DUMMYFUNCTION("""COMPUTED_VALUE"""),"FDC Ltd (SELECT)")</f>
        <v>FDC Ltd (SELECT)</v>
      </c>
    </row>
    <row r="1282">
      <c r="H1282" s="19" t="str">
        <f>IFERROR(__xludf.DUMMYFUNCTION("""COMPUTED_VALUE"""),"FDC Ltd (SPECTRA)")</f>
        <v>FDC Ltd (SPECTRA)</v>
      </c>
    </row>
    <row r="1283">
      <c r="H1283" s="19" t="str">
        <f>IFERROR(__xludf.DUMMYFUNCTION("""COMPUTED_VALUE"""),"FDC Ltd (VISTA)")</f>
        <v>FDC Ltd (VISTA)</v>
      </c>
    </row>
    <row r="1284">
      <c r="H1284" s="19" t="str">
        <f>IFERROR(__xludf.DUMMYFUNCTION("""COMPUTED_VALUE"""),"FDC LtdTED")</f>
        <v>FDC LtdTED</v>
      </c>
    </row>
    <row r="1285">
      <c r="H1285" s="19" t="str">
        <f>IFERROR(__xludf.DUMMYFUNCTION("""COMPUTED_VALUE"""),"FEDERAL BIOSCIENCES")</f>
        <v>FEDERAL BIOSCIENCES</v>
      </c>
    </row>
    <row r="1286">
      <c r="H1286" s="19" t="str">
        <f>IFERROR(__xludf.DUMMYFUNCTION("""COMPUTED_VALUE"""),"FEDERAL'S BIOS")</f>
        <v>FEDERAL'S BIOS</v>
      </c>
    </row>
    <row r="1287">
      <c r="H1287" s="19" t="str">
        <f>IFERROR(__xludf.DUMMYFUNCTION("""COMPUTED_VALUE"""),"Fem Care Pharma Ltd.")</f>
        <v>Fem Care Pharma Ltd.</v>
      </c>
    </row>
    <row r="1288">
      <c r="H1288" s="19" t="str">
        <f>IFERROR(__xludf.DUMMYFUNCTION("""COMPUTED_VALUE"""),"FEMINOR HEALTHCARE PVT LTD")</f>
        <v>FEMINOR HEALTHCARE PVT LTD</v>
      </c>
    </row>
    <row r="1289">
      <c r="H1289" s="19" t="str">
        <f>IFERROR(__xludf.DUMMYFUNCTION("""COMPUTED_VALUE"""),"FEMMIS HEALTHCARE PVT LTD")</f>
        <v>FEMMIS HEALTHCARE PVT LTD</v>
      </c>
    </row>
    <row r="1290">
      <c r="H1290" s="19" t="str">
        <f>IFERROR(__xludf.DUMMYFUNCTION("""COMPUTED_VALUE"""),"Ferring Pharmaceuticals")</f>
        <v>Ferring Pharmaceuticals</v>
      </c>
    </row>
    <row r="1291">
      <c r="H1291" s="19" t="str">
        <f>IFERROR(__xludf.DUMMYFUNCTION("""COMPUTED_VALUE"""),"Ferring Pharmaceuticals (IVF)")</f>
        <v>Ferring Pharmaceuticals (IVF)</v>
      </c>
    </row>
    <row r="1292">
      <c r="H1292" s="19" t="str">
        <f>IFERROR(__xludf.DUMMYFUNCTION("""COMPUTED_VALUE"""),"FERTILESURE PHARMA")</f>
        <v>FERTILESURE PHARMA</v>
      </c>
    </row>
    <row r="1293">
      <c r="H1293" s="19" t="str">
        <f>IFERROR(__xludf.DUMMYFUNCTION("""COMPUTED_VALUE"""),"Fiale Pharmaceuticals")</f>
        <v>Fiale Pharmaceuticals</v>
      </c>
    </row>
    <row r="1294">
      <c r="H1294" s="19" t="str">
        <f>IFERROR(__xludf.DUMMYFUNCTION("""COMPUTED_VALUE"""),"FIBOVIL PHARMACEUTICALS PVT LTD (WIN OVUALATION)")</f>
        <v>FIBOVIL PHARMACEUTICALS PVT LTD (WIN OVUALATION)</v>
      </c>
    </row>
    <row r="1295">
      <c r="H1295" s="19" t="str">
        <f>IFERROR(__xludf.DUMMYFUNCTION("""COMPUTED_VALUE"""),"Fidalgo Laboratories Pvt Ltd")</f>
        <v>Fidalgo Laboratories Pvt Ltd</v>
      </c>
    </row>
    <row r="1296">
      <c r="H1296" s="19" t="str">
        <f>IFERROR(__xludf.DUMMYFUNCTION("""COMPUTED_VALUE"""),"FIDELITY LIFESCIENCES")</f>
        <v>FIDELITY LIFESCIENCES</v>
      </c>
    </row>
    <row r="1297">
      <c r="H1297" s="19" t="str">
        <f>IFERROR(__xludf.DUMMYFUNCTION("""COMPUTED_VALUE"""),"FIDULIS BIO INC")</f>
        <v>FIDULIS BIO INC</v>
      </c>
    </row>
    <row r="1298">
      <c r="H1298" s="19" t="str">
        <f>IFERROR(__xludf.DUMMYFUNCTION("""COMPUTED_VALUE"""),"Figaro")</f>
        <v>Figaro</v>
      </c>
    </row>
    <row r="1299">
      <c r="H1299" s="19" t="str">
        <f>IFERROR(__xludf.DUMMYFUNCTION("""COMPUTED_VALUE"""),"FINECURE PHARMACEUTICAL INDORE")</f>
        <v>FINECURE PHARMACEUTICAL INDORE</v>
      </c>
    </row>
    <row r="1300">
      <c r="H1300" s="19" t="str">
        <f>IFERROR(__xludf.DUMMYFUNCTION("""COMPUTED_VALUE"""),"FITWEL PHARMACEUTICALS")</f>
        <v>FITWEL PHARMACEUTICALS</v>
      </c>
    </row>
    <row r="1301">
      <c r="H1301" s="19" t="str">
        <f>IFERROR(__xludf.DUMMYFUNCTION("""COMPUTED_VALUE"""),"FIXDERMA INDIA")</f>
        <v>FIXDERMA INDIA</v>
      </c>
    </row>
    <row r="1302">
      <c r="H1302" s="19" t="str">
        <f>IFERROR(__xludf.DUMMYFUNCTION("""COMPUTED_VALUE"""),"FIZARK HEALTHCARE")</f>
        <v>FIZARK HEALTHCARE</v>
      </c>
    </row>
    <row r="1303">
      <c r="H1303" s="19" t="str">
        <f>IFERROR(__xludf.DUMMYFUNCTION("""COMPUTED_VALUE"""),"FIZEN BIOSCIENCES")</f>
        <v>FIZEN BIOSCIENCES</v>
      </c>
    </row>
    <row r="1304">
      <c r="H1304" s="19" t="str">
        <f>IFERROR(__xludf.DUMMYFUNCTION("""COMPUTED_VALUE"""),"FLAGSHIP BIOTECH INTERNATIONAL PVT LTD")</f>
        <v>FLAGSHIP BIOTECH INTERNATIONAL PVT LTD</v>
      </c>
    </row>
    <row r="1305">
      <c r="H1305" s="19" t="str">
        <f>IFERROR(__xludf.DUMMYFUNCTION("""COMPUTED_VALUE"""),"FLAMINGO HEALTHCARE")</f>
        <v>FLAMINGO HEALTHCARE</v>
      </c>
    </row>
    <row r="1306">
      <c r="H1306" s="19" t="str">
        <f>IFERROR(__xludf.DUMMYFUNCTION("""COMPUTED_VALUE"""),"FLAMINGO PHARMACUTICALS LTD")</f>
        <v>FLAMINGO PHARMACUTICALS LTD</v>
      </c>
    </row>
    <row r="1307">
      <c r="H1307" s="19" t="str">
        <f>IFERROR(__xludf.DUMMYFUNCTION("""COMPUTED_VALUE"""),"FLANCA LIFE SCIENCES")</f>
        <v>FLANCA LIFE SCIENCES</v>
      </c>
    </row>
    <row r="1308">
      <c r="H1308" s="19" t="str">
        <f>IFERROR(__xludf.DUMMYFUNCTION("""COMPUTED_VALUE"""),"FOCUS HEALTHCARE PVT LTD")</f>
        <v>FOCUS HEALTHCARE PVT LTD</v>
      </c>
    </row>
    <row r="1309">
      <c r="H1309" s="19" t="str">
        <f>IFERROR(__xludf.DUMMYFUNCTION("""COMPUTED_VALUE"""),"FONCER PHARMA P LTD")</f>
        <v>FONCER PHARMA P LTD</v>
      </c>
    </row>
    <row r="1310">
      <c r="H1310" s="19" t="str">
        <f>IFERROR(__xludf.DUMMYFUNCTION("""COMPUTED_VALUE"""),"FONCER PHARMA PVT LTD")</f>
        <v>FONCER PHARMA PVT LTD</v>
      </c>
    </row>
    <row r="1311">
      <c r="H1311" s="19" t="str">
        <f>IFERROR(__xludf.DUMMYFUNCTION("""COMPUTED_VALUE"""),"FOREVER LIVING PRODUCTS INTERNATIONAL")</f>
        <v>FOREVER LIVING PRODUCTS INTERNATIONAL</v>
      </c>
    </row>
    <row r="1312">
      <c r="H1312" s="19" t="str">
        <f>IFERROR(__xludf.DUMMYFUNCTION("""COMPUTED_VALUE"""),"FORMAN MEDICS PVT LTD")</f>
        <v>FORMAN MEDICS PVT LTD</v>
      </c>
    </row>
    <row r="1313">
      <c r="H1313" s="19" t="str">
        <f>IFERROR(__xludf.DUMMYFUNCTION("""COMPUTED_VALUE"""),"FOSSIL REMEDIES")</f>
        <v>FOSSIL REMEDIES</v>
      </c>
    </row>
    <row r="1314">
      <c r="H1314" s="19" t="str">
        <f>IFERROR(__xludf.DUMMYFUNCTION("""COMPUTED_VALUE"""),"Fountil Life Sciences Pvt Ltd")</f>
        <v>Fountil Life Sciences Pvt Ltd</v>
      </c>
    </row>
    <row r="1315">
      <c r="H1315" s="19" t="str">
        <f>IFERROR(__xludf.DUMMYFUNCTION("""COMPUTED_VALUE"""),"FOURRTS INDIA LABORATORIES (NEPHRO)")</f>
        <v>FOURRTS INDIA LABORATORIES (NEPHRO)</v>
      </c>
    </row>
    <row r="1316">
      <c r="H1316" s="19" t="str">
        <f>IFERROR(__xludf.DUMMYFUNCTION("""COMPUTED_VALUE"""),"Fourrts India Laboratories Pvt Ltd")</f>
        <v>Fourrts India Laboratories Pvt Ltd</v>
      </c>
    </row>
    <row r="1317">
      <c r="H1317" s="19" t="str">
        <f>IFERROR(__xludf.DUMMYFUNCTION("""COMPUTED_VALUE"""),"Fourrts India Laboratories Pvt Ltd (DIABETO)")</f>
        <v>Fourrts India Laboratories Pvt Ltd (DIABETO)</v>
      </c>
    </row>
    <row r="1318">
      <c r="H1318" s="19" t="str">
        <f>IFERROR(__xludf.DUMMYFUNCTION("""COMPUTED_VALUE"""),"FRAGRANCE")</f>
        <v>FRAGRANCE</v>
      </c>
    </row>
    <row r="1319">
      <c r="H1319" s="19" t="str">
        <f>IFERROR(__xludf.DUMMYFUNCTION("""COMPUTED_VALUE"""),"FRANCESCA PHARMA")</f>
        <v>FRANCESCA PHARMA</v>
      </c>
    </row>
    <row r="1320">
      <c r="H1320" s="19" t="str">
        <f>IFERROR(__xludf.DUMMYFUNCTION("""COMPUTED_VALUE"""),"Franco-Indian Pharmaceuticals")</f>
        <v>Franco-Indian Pharmaceuticals</v>
      </c>
    </row>
    <row r="1321">
      <c r="H1321" s="19" t="str">
        <f>IFERROR(__xludf.DUMMYFUNCTION("""COMPUTED_VALUE"""),"Franco-Indian Pharmaceuticals (DIABETIC)")</f>
        <v>Franco-Indian Pharmaceuticals (DIABETIC)</v>
      </c>
    </row>
    <row r="1322">
      <c r="H1322" s="19" t="str">
        <f>IFERROR(__xludf.DUMMYFUNCTION("""COMPUTED_VALUE"""),"Franco-Indian Pharmaceuticals (MAIN)")</f>
        <v>Franco-Indian Pharmaceuticals (MAIN)</v>
      </c>
    </row>
    <row r="1323">
      <c r="H1323" s="19" t="str">
        <f>IFERROR(__xludf.DUMMYFUNCTION("""COMPUTED_VALUE"""),"Franco-Indian Pharmaceuticals (ZINDA)")</f>
        <v>Franco-Indian Pharmaceuticals (ZINDA)</v>
      </c>
    </row>
    <row r="1324">
      <c r="H1324" s="19" t="str">
        <f>IFERROR(__xludf.DUMMYFUNCTION("""COMPUTED_VALUE"""),"Franklin Laboratories India Pvt Ltd")</f>
        <v>Franklin Laboratories India Pvt Ltd</v>
      </c>
    </row>
    <row r="1325">
      <c r="H1325" s="19" t="str">
        <f>IFERROR(__xludf.DUMMYFUNCTION("""COMPUTED_VALUE"""),"FREIA")</f>
        <v>FREIA</v>
      </c>
    </row>
    <row r="1326">
      <c r="H1326" s="19" t="str">
        <f>IFERROR(__xludf.DUMMYFUNCTION("""COMPUTED_VALUE"""),"Fresenius Kabi India Pvt Ltd")</f>
        <v>Fresenius Kabi India Pvt Ltd</v>
      </c>
    </row>
    <row r="1327">
      <c r="H1327" s="19" t="str">
        <f>IFERROR(__xludf.DUMMYFUNCTION("""COMPUTED_VALUE"""),"FRESENIUS KABI INDIA PVT LTD (CRITICAL CARE)")</f>
        <v>FRESENIUS KABI INDIA PVT LTD (CRITICAL CARE)</v>
      </c>
    </row>
    <row r="1328">
      <c r="H1328" s="19" t="str">
        <f>IFERROR(__xludf.DUMMYFUNCTION("""COMPUTED_VALUE"""),"FRESENIUS KABI INDIA PVT LTD (NEPHRO)")</f>
        <v>FRESENIUS KABI INDIA PVT LTD (NEPHRO)</v>
      </c>
    </row>
    <row r="1329">
      <c r="H1329" s="19" t="str">
        <f>IFERROR(__xludf.DUMMYFUNCTION("""COMPUTED_VALUE"""),"FRIMLINE P LTD")</f>
        <v>FRIMLINE P LTD</v>
      </c>
    </row>
    <row r="1330">
      <c r="H1330" s="19" t="str">
        <f>IFERROR(__xludf.DUMMYFUNCTION("""COMPUTED_VALUE"""),"Fulford India Ltd")</f>
        <v>Fulford India Ltd</v>
      </c>
    </row>
    <row r="1331">
      <c r="H1331" s="19" t="str">
        <f>IFERROR(__xludf.DUMMYFUNCTION("""COMPUTED_VALUE"""),"FUSION HEALTHCARE PVT LTD")</f>
        <v>FUSION HEALTHCARE PVT LTD</v>
      </c>
    </row>
    <row r="1332">
      <c r="H1332" s="19" t="str">
        <f>IFERROR(__xludf.DUMMYFUNCTION("""COMPUTED_VALUE"""),"FUTURELIFE PHARMACEUTICALS PVT LTD")</f>
        <v>FUTURELIFE PHARMACEUTICALS PVT LTD</v>
      </c>
    </row>
    <row r="1333">
      <c r="H1333" s="19" t="str">
        <f>IFERROR(__xludf.DUMMYFUNCTION("""COMPUTED_VALUE"""),"G.S.K")</f>
        <v>G.S.K</v>
      </c>
    </row>
    <row r="1334">
      <c r="H1334" s="19" t="str">
        <f>IFERROR(__xludf.DUMMYFUNCTION("""COMPUTED_VALUE"""),"G&amp;G PHARMACY")</f>
        <v>G&amp;G PHARMACY</v>
      </c>
    </row>
    <row r="1335">
      <c r="H1335" s="19" t="str">
        <f>IFERROR(__xludf.DUMMYFUNCTION("""COMPUTED_VALUE"""),"GADIN BIOTECH")</f>
        <v>GADIN BIOTECH</v>
      </c>
    </row>
    <row r="1336">
      <c r="H1336" s="19" t="str">
        <f>IFERROR(__xludf.DUMMYFUNCTION("""COMPUTED_VALUE"""),"GAHARWAR PHARMA")</f>
        <v>GAHARWAR PHARMA</v>
      </c>
    </row>
    <row r="1337">
      <c r="H1337" s="19" t="str">
        <f>IFERROR(__xludf.DUMMYFUNCTION("""COMPUTED_VALUE"""),"GALACUS HEALTHCARE")</f>
        <v>GALACUS HEALTHCARE</v>
      </c>
    </row>
    <row r="1338">
      <c r="H1338" s="19" t="str">
        <f>IFERROR(__xludf.DUMMYFUNCTION("""COMPUTED_VALUE"""),"Galcare Pharmaceutical Pvt Ltd")</f>
        <v>Galcare Pharmaceutical Pvt Ltd</v>
      </c>
    </row>
    <row r="1339">
      <c r="H1339" s="19" t="str">
        <f>IFERROR(__xludf.DUMMYFUNCTION("""COMPUTED_VALUE"""),"Galderma India Pvt Ltd")</f>
        <v>Galderma India Pvt Ltd</v>
      </c>
    </row>
    <row r="1340">
      <c r="H1340" s="19" t="str">
        <f>IFERROR(__xludf.DUMMYFUNCTION("""COMPUTED_VALUE"""),"Galpha Laboratories Ltd")</f>
        <v>Galpha Laboratories Ltd</v>
      </c>
    </row>
    <row r="1341">
      <c r="H1341" s="19" t="str">
        <f>IFERROR(__xludf.DUMMYFUNCTION("""COMPUTED_VALUE"""),"GALTON MEDICA")</f>
        <v>GALTON MEDICA</v>
      </c>
    </row>
    <row r="1342">
      <c r="H1342" s="19" t="str">
        <f>IFERROR(__xludf.DUMMYFUNCTION("""COMPUTED_VALUE"""),"GAMANOL 400")</f>
        <v>GAMANOL 400</v>
      </c>
    </row>
    <row r="1343">
      <c r="H1343" s="19" t="str">
        <f>IFERROR(__xludf.DUMMYFUNCTION("""COMPUTED_VALUE"""),"GAMBIA BIOTECH")</f>
        <v>GAMBIA BIOTECH</v>
      </c>
    </row>
    <row r="1344">
      <c r="H1344" s="19" t="str">
        <f>IFERROR(__xludf.DUMMYFUNCTION("""COMPUTED_VALUE"""),"GANDHI HERBAL PVT LTD")</f>
        <v>GANDHI HERBAL PVT LTD</v>
      </c>
    </row>
    <row r="1345">
      <c r="H1345" s="19" t="str">
        <f>IFERROR(__xludf.DUMMYFUNCTION("""COMPUTED_VALUE"""),"GANPATI FOOD PRODUCTS")</f>
        <v>GANPATI FOOD PRODUCTS</v>
      </c>
    </row>
    <row r="1346">
      <c r="H1346" s="19" t="str">
        <f>IFERROR(__xludf.DUMMYFUNCTION("""COMPUTED_VALUE"""),"GARIMA HEALTHCARE")</f>
        <v>GARIMA HEALTHCARE</v>
      </c>
    </row>
    <row r="1347">
      <c r="H1347" s="19" t="str">
        <f>IFERROR(__xludf.DUMMYFUNCTION("""COMPUTED_VALUE"""),"Gary Pharmaceuticals Pvt Ltd")</f>
        <v>Gary Pharmaceuticals Pvt Ltd</v>
      </c>
    </row>
    <row r="1348">
      <c r="H1348" s="19" t="str">
        <f>IFERROR(__xludf.DUMMYFUNCTION("""COMPUTED_VALUE"""),"GATLE HEALTHCARE")</f>
        <v>GATLE HEALTHCARE</v>
      </c>
    </row>
    <row r="1349">
      <c r="H1349" s="19" t="str">
        <f>IFERROR(__xludf.DUMMYFUNCTION("""COMPUTED_VALUE"""),"GAU KRIPA")</f>
        <v>GAU KRIPA</v>
      </c>
    </row>
    <row r="1350">
      <c r="H1350" s="19" t="str">
        <f>IFERROR(__xludf.DUMMYFUNCTION("""COMPUTED_VALUE"""),"GAURANG REMEDIES INDIA PVT LTD")</f>
        <v>GAURANG REMEDIES INDIA PVT LTD</v>
      </c>
    </row>
    <row r="1351">
      <c r="H1351" s="19" t="str">
        <f>IFERROR(__xludf.DUMMYFUNCTION("""COMPUTED_VALUE"""),"GAVIT")</f>
        <v>GAVIT</v>
      </c>
    </row>
    <row r="1352">
      <c r="H1352" s="19" t="str">
        <f>IFERROR(__xludf.DUMMYFUNCTION("""COMPUTED_VALUE"""),"GD PHRMACEUTICALS LTD")</f>
        <v>GD PHRMACEUTICALS LTD</v>
      </c>
    </row>
    <row r="1353">
      <c r="H1353" s="19" t="str">
        <f>IFERROR(__xludf.DUMMYFUNCTION("""COMPUTED_VALUE"""),"GE WIPRO")</f>
        <v>GE WIPRO</v>
      </c>
    </row>
    <row r="1354">
      <c r="H1354" s="19" t="str">
        <f>IFERROR(__xludf.DUMMYFUNCTION("""COMPUTED_VALUE"""),"GELNOVA LABORATORIES (INDIA) PVT LTD")</f>
        <v>GELNOVA LABORATORIES (INDIA) PVT LTD</v>
      </c>
    </row>
    <row r="1355">
      <c r="H1355" s="19" t="str">
        <f>IFERROR(__xludf.DUMMYFUNCTION("""COMPUTED_VALUE"""),"GELUK PHARMA P LTD")</f>
        <v>GELUK PHARMA P LTD</v>
      </c>
    </row>
    <row r="1356">
      <c r="H1356" s="19" t="str">
        <f>IFERROR(__xludf.DUMMYFUNCTION("""COMPUTED_VALUE"""),"GENEES PHARMACEUTICAL PVT LTD")</f>
        <v>GENEES PHARMACEUTICAL PVT LTD</v>
      </c>
    </row>
    <row r="1357">
      <c r="H1357" s="19" t="str">
        <f>IFERROR(__xludf.DUMMYFUNCTION("""COMPUTED_VALUE"""),"GENESIS BIOTEC INC")</f>
        <v>GENESIS BIOTEC INC</v>
      </c>
    </row>
    <row r="1358">
      <c r="H1358" s="19" t="str">
        <f>IFERROR(__xludf.DUMMYFUNCTION("""COMPUTED_VALUE"""),"GENETIC PHARMA")</f>
        <v>GENETIC PHARMA</v>
      </c>
    </row>
    <row r="1359">
      <c r="H1359" s="19" t="str">
        <f>IFERROR(__xludf.DUMMYFUNCTION("""COMPUTED_VALUE"""),"GENEX PHARMA LIMITED")</f>
        <v>GENEX PHARMA LIMITED</v>
      </c>
    </row>
    <row r="1360">
      <c r="H1360" s="19" t="str">
        <f>IFERROR(__xludf.DUMMYFUNCTION("""COMPUTED_VALUE"""),"GENIAL HEALTHCARE")</f>
        <v>GENIAL HEALTHCARE</v>
      </c>
    </row>
    <row r="1361">
      <c r="H1361" s="19" t="str">
        <f>IFERROR(__xludf.DUMMYFUNCTION("""COMPUTED_VALUE"""),"GENIX PHARMA LTD")</f>
        <v>GENIX PHARMA LTD</v>
      </c>
    </row>
    <row r="1362">
      <c r="H1362" s="19" t="str">
        <f>IFERROR(__xludf.DUMMYFUNCTION("""COMPUTED_VALUE"""),"GENMAC")</f>
        <v>GENMAC</v>
      </c>
    </row>
    <row r="1363">
      <c r="H1363" s="19" t="str">
        <f>IFERROR(__xludf.DUMMYFUNCTION("""COMPUTED_VALUE"""),"Geno Pharmaceuticals Ltd")</f>
        <v>Geno Pharmaceuticals Ltd</v>
      </c>
    </row>
    <row r="1364">
      <c r="H1364" s="19" t="str">
        <f>IFERROR(__xludf.DUMMYFUNCTION("""COMPUTED_VALUE"""),"GENOTEK PHARMACEUTICALS")</f>
        <v>GENOTEK PHARMACEUTICALS</v>
      </c>
    </row>
    <row r="1365">
      <c r="H1365" s="19" t="str">
        <f>IFERROR(__xludf.DUMMYFUNCTION("""COMPUTED_VALUE"""),"GENOVA")</f>
        <v>GENOVA</v>
      </c>
    </row>
    <row r="1366">
      <c r="H1366" s="19" t="str">
        <f>IFERROR(__xludf.DUMMYFUNCTION("""COMPUTED_VALUE"""),"GENZYME BIOSURGARY")</f>
        <v>GENZYME BIOSURGARY</v>
      </c>
    </row>
    <row r="1367">
      <c r="H1367" s="19" t="str">
        <f>IFERROR(__xludf.DUMMYFUNCTION("""COMPUTED_VALUE"""),"GEO LIFESCIENCES")</f>
        <v>GEO LIFESCIENCES</v>
      </c>
    </row>
    <row r="1368">
      <c r="H1368" s="19" t="str">
        <f>IFERROR(__xludf.DUMMYFUNCTION("""COMPUTED_VALUE"""),"Geo Pharma Pvt Ltd")</f>
        <v>Geo Pharma Pvt Ltd</v>
      </c>
    </row>
    <row r="1369">
      <c r="H1369" s="19" t="str">
        <f>IFERROR(__xludf.DUMMYFUNCTION("""COMPUTED_VALUE"""),"GEOFFROI LABS P LTD")</f>
        <v>GEOFFROI LABS P LTD</v>
      </c>
    </row>
    <row r="1370">
      <c r="H1370" s="19" t="str">
        <f>IFERROR(__xludf.DUMMYFUNCTION("""COMPUTED_VALUE"""),"GEOLIFE SCIENCES")</f>
        <v>GEOLIFE SCIENCES</v>
      </c>
    </row>
    <row r="1371">
      <c r="H1371" s="19" t="str">
        <f>IFERROR(__xludf.DUMMYFUNCTION("""COMPUTED_VALUE"""),"GERMAN HEALTHCARE PVT LTD")</f>
        <v>GERMAN HEALTHCARE PVT LTD</v>
      </c>
    </row>
    <row r="1372">
      <c r="H1372" s="19" t="str">
        <f>IFERROR(__xludf.DUMMYFUNCTION("""COMPUTED_VALUE"""),"German Remedies")</f>
        <v>German Remedies</v>
      </c>
    </row>
    <row r="1373">
      <c r="H1373" s="19" t="str">
        <f>IFERROR(__xludf.DUMMYFUNCTION("""COMPUTED_VALUE"""),"GERMAN REMEDIES (AEROFORCE)")</f>
        <v>GERMAN REMEDIES (AEROFORCE)</v>
      </c>
    </row>
    <row r="1374">
      <c r="H1374" s="19" t="str">
        <f>IFERROR(__xludf.DUMMYFUNCTION("""COMPUTED_VALUE"""),"GERMAN REMEDIES (GYNEXT)")</f>
        <v>GERMAN REMEDIES (GYNEXT)</v>
      </c>
    </row>
    <row r="1375">
      <c r="H1375" s="19" t="str">
        <f>IFERROR(__xludf.DUMMYFUNCTION("""COMPUTED_VALUE"""),"GERMAN REMEDIES (GYNOVA)")</f>
        <v>GERMAN REMEDIES (GYNOVA)</v>
      </c>
    </row>
    <row r="1376">
      <c r="H1376" s="19" t="str">
        <f>IFERROR(__xludf.DUMMYFUNCTION("""COMPUTED_VALUE"""),"GERMAN REMEDIES (MAIN)")</f>
        <v>GERMAN REMEDIES (MAIN)</v>
      </c>
    </row>
    <row r="1377">
      <c r="H1377" s="19" t="str">
        <f>IFERROR(__xludf.DUMMYFUNCTION("""COMPUTED_VALUE"""),"GERMAN REMEDIES (RESPICARE)")</f>
        <v>GERMAN REMEDIES (RESPICARE)</v>
      </c>
    </row>
    <row r="1378">
      <c r="H1378" s="19" t="str">
        <f>IFERROR(__xludf.DUMMYFUNCTION("""COMPUTED_VALUE"""),"GERMAN REMEDIES (ZESPIRA)")</f>
        <v>GERMAN REMEDIES (ZESPIRA)</v>
      </c>
    </row>
    <row r="1379">
      <c r="H1379" s="19" t="str">
        <f>IFERROR(__xludf.DUMMYFUNCTION("""COMPUTED_VALUE"""),"Gerrysun Pharmaceuticals Pvt Ltd")</f>
        <v>Gerrysun Pharmaceuticals Pvt Ltd</v>
      </c>
    </row>
    <row r="1380">
      <c r="H1380" s="19" t="str">
        <f>IFERROR(__xludf.DUMMYFUNCTION("""COMPUTED_VALUE"""),"GETRON PHARMACEUTICAL")</f>
        <v>GETRON PHARMACEUTICAL</v>
      </c>
    </row>
    <row r="1381">
      <c r="H1381" s="19" t="str">
        <f>IFERROR(__xludf.DUMMYFUNCTION("""COMPUTED_VALUE"""),"GHANDHI JAIN KARYALAYA")</f>
        <v>GHANDHI JAIN KARYALAYA</v>
      </c>
    </row>
    <row r="1382">
      <c r="H1382" s="19" t="str">
        <f>IFERROR(__xludf.DUMMYFUNCTION("""COMPUTED_VALUE"""),"GHL")</f>
        <v>GHL</v>
      </c>
    </row>
    <row r="1383">
      <c r="H1383" s="19" t="str">
        <f>IFERROR(__xludf.DUMMYFUNCTION("""COMPUTED_VALUE"""),"GIOCON PHARMA LTD.")</f>
        <v>GIOCON PHARMA LTD.</v>
      </c>
    </row>
    <row r="1384">
      <c r="H1384" s="19" t="str">
        <f>IFERROR(__xludf.DUMMYFUNCTION("""COMPUTED_VALUE"""),"GIOM PHARMACECUTICALS PVT LTD")</f>
        <v>GIOM PHARMACECUTICALS PVT LTD</v>
      </c>
    </row>
    <row r="1385">
      <c r="H1385" s="19" t="str">
        <f>IFERROR(__xludf.DUMMYFUNCTION("""COMPUTED_VALUE"""),"GITUS HEALTH CARE PRIVATE LIMITED")</f>
        <v>GITUS HEALTH CARE PRIVATE LIMITED</v>
      </c>
    </row>
    <row r="1386">
      <c r="H1386" s="19" t="str">
        <f>IFERROR(__xludf.DUMMYFUNCTION("""COMPUTED_VALUE"""),"GK BURMAN HERBALS")</f>
        <v>GK BURMAN HERBALS</v>
      </c>
    </row>
    <row r="1387">
      <c r="H1387" s="19" t="str">
        <f>IFERROR(__xludf.DUMMYFUNCTION("""COMPUTED_VALUE"""),"GK ENTERPRISES")</f>
        <v>GK ENTERPRISES</v>
      </c>
    </row>
    <row r="1388">
      <c r="H1388" s="19" t="str">
        <f>IFERROR(__xludf.DUMMYFUNCTION("""COMPUTED_VALUE"""),"GLADDEN HEALTHCARE PVT LTD")</f>
        <v>GLADDEN HEALTHCARE PVT LTD</v>
      </c>
    </row>
    <row r="1389">
      <c r="H1389" s="19" t="str">
        <f>IFERROR(__xludf.DUMMYFUNCTION("""COMPUTED_VALUE"""),"GLAMDERMA INDIA PHARMACEUTICAL PRIVATE LIMITED")</f>
        <v>GLAMDERMA INDIA PHARMACEUTICAL PRIVATE LIMITED</v>
      </c>
    </row>
    <row r="1390">
      <c r="H1390" s="19" t="str">
        <f>IFERROR(__xludf.DUMMYFUNCTION("""COMPUTED_VALUE"""),"GLAND PHARMA LIMITED")</f>
        <v>GLAND PHARMA LIMITED</v>
      </c>
    </row>
    <row r="1391">
      <c r="H1391" s="19" t="str">
        <f>IFERROR(__xludf.DUMMYFUNCTION("""COMPUTED_VALUE"""),"GLANZ HEALTHCARE")</f>
        <v>GLANZ HEALTHCARE</v>
      </c>
    </row>
    <row r="1392">
      <c r="H1392" s="19" t="str">
        <f>IFERROR(__xludf.DUMMYFUNCTION("""COMPUTED_VALUE"""),"GLASIER WELLNESS INC")</f>
        <v>GLASIER WELLNESS INC</v>
      </c>
    </row>
    <row r="1393">
      <c r="H1393" s="19" t="str">
        <f>IFERROR(__xludf.DUMMYFUNCTION("""COMPUTED_VALUE"""),"GLAXO (1)")</f>
        <v>GLAXO (1)</v>
      </c>
    </row>
    <row r="1394">
      <c r="H1394" s="19" t="str">
        <f>IFERROR(__xludf.DUMMYFUNCTION("""COMPUTED_VALUE"""),"GLAXO (2)")</f>
        <v>GLAXO (2)</v>
      </c>
    </row>
    <row r="1395">
      <c r="H1395" s="19" t="str">
        <f>IFERROR(__xludf.DUMMYFUNCTION("""COMPUTED_VALUE"""),"GLAXO (3)")</f>
        <v>GLAXO (3)</v>
      </c>
    </row>
    <row r="1396">
      <c r="H1396" s="19" t="str">
        <f>IFERROR(__xludf.DUMMYFUNCTION("""COMPUTED_VALUE"""),"GLAXO (4)")</f>
        <v>GLAXO (4)</v>
      </c>
    </row>
    <row r="1397">
      <c r="H1397" s="19" t="str">
        <f>IFERROR(__xludf.DUMMYFUNCTION("""COMPUTED_VALUE"""),"GLAXO (5)")</f>
        <v>GLAXO (5)</v>
      </c>
    </row>
    <row r="1398">
      <c r="H1398" s="19" t="str">
        <f>IFERROR(__xludf.DUMMYFUNCTION("""COMPUTED_VALUE"""),"GLAXO (6)")</f>
        <v>GLAXO (6)</v>
      </c>
    </row>
    <row r="1399">
      <c r="H1399" s="19" t="str">
        <f>IFERROR(__xludf.DUMMYFUNCTION("""COMPUTED_VALUE"""),"GLAXO (7)")</f>
        <v>GLAXO (7)</v>
      </c>
    </row>
    <row r="1400">
      <c r="H1400" s="19" t="str">
        <f>IFERROR(__xludf.DUMMYFUNCTION("""COMPUTED_VALUE"""),"GLAXO (8)")</f>
        <v>GLAXO (8)</v>
      </c>
    </row>
    <row r="1401">
      <c r="H1401" s="19" t="str">
        <f>IFERROR(__xludf.DUMMYFUNCTION("""COMPUTED_VALUE"""),"GLAXO (BEECHEM)")</f>
        <v>GLAXO (BEECHEM)</v>
      </c>
    </row>
    <row r="1402">
      <c r="H1402" s="19" t="str">
        <f>IFERROR(__xludf.DUMMYFUNCTION("""COMPUTED_VALUE"""),"GLAXO (CNS)")</f>
        <v>GLAXO (CNS)</v>
      </c>
    </row>
    <row r="1403">
      <c r="H1403" s="19" t="str">
        <f>IFERROR(__xludf.DUMMYFUNCTION("""COMPUTED_VALUE"""),"GLAXO (CONSUMER)")</f>
        <v>GLAXO (CONSUMER)</v>
      </c>
    </row>
    <row r="1404">
      <c r="H1404" s="19" t="str">
        <f>IFERROR(__xludf.DUMMYFUNCTION("""COMPUTED_VALUE"""),"GLAXO (CTC)")</f>
        <v>GLAXO (CTC)</v>
      </c>
    </row>
    <row r="1405">
      <c r="H1405" s="19" t="str">
        <f>IFERROR(__xludf.DUMMYFUNCTION("""COMPUTED_VALUE"""),"GLAXO (DERMA ACE)")</f>
        <v>GLAXO (DERMA ACE)</v>
      </c>
    </row>
    <row r="1406">
      <c r="H1406" s="19" t="str">
        <f>IFERROR(__xludf.DUMMYFUNCTION("""COMPUTED_VALUE"""),"GLAXO (DERMA WINGS)")</f>
        <v>GLAXO (DERMA WINGS)</v>
      </c>
    </row>
    <row r="1407">
      <c r="H1407" s="19" t="str">
        <f>IFERROR(__xludf.DUMMYFUNCTION("""COMPUTED_VALUE"""),"GLAXO (FORTIOR)")</f>
        <v>GLAXO (FORTIOR)</v>
      </c>
    </row>
    <row r="1408">
      <c r="H1408" s="19" t="str">
        <f>IFERROR(__xludf.DUMMYFUNCTION("""COMPUTED_VALUE"""),"GLAXO (NEUROSCIENCES)")</f>
        <v>GLAXO (NEUROSCIENCES)</v>
      </c>
    </row>
    <row r="1409">
      <c r="H1409" s="19" t="str">
        <f>IFERROR(__xludf.DUMMYFUNCTION("""COMPUTED_VALUE"""),"GLAXO (OTC)")</f>
        <v>GLAXO (OTC)</v>
      </c>
    </row>
    <row r="1410">
      <c r="H1410" s="19" t="str">
        <f>IFERROR(__xludf.DUMMYFUNCTION("""COMPUTED_VALUE"""),"GLAXO (VACCINE)")</f>
        <v>GLAXO (VACCINE)</v>
      </c>
    </row>
    <row r="1411">
      <c r="H1411" s="19" t="str">
        <f>IFERROR(__xludf.DUMMYFUNCTION("""COMPUTED_VALUE"""),"Glaxo SmithKline Pharmaceuticals Ltd")</f>
        <v>Glaxo SmithKline Pharmaceuticals Ltd</v>
      </c>
    </row>
    <row r="1412">
      <c r="H1412" s="19" t="str">
        <f>IFERROR(__xludf.DUMMYFUNCTION("""COMPUTED_VALUE"""),"GLENMARK (CCD)")</f>
        <v>GLENMARK (CCD)</v>
      </c>
    </row>
    <row r="1413">
      <c r="H1413" s="19" t="str">
        <f>IFERROR(__xludf.DUMMYFUNCTION("""COMPUTED_VALUE"""),"GLENMARK (COSMOCARE)")</f>
        <v>GLENMARK (COSMOCARE)</v>
      </c>
    </row>
    <row r="1414">
      <c r="H1414" s="19" t="str">
        <f>IFERROR(__xludf.DUMMYFUNCTION("""COMPUTED_VALUE"""),"GLENMARK (CRITICAL CARE)")</f>
        <v>GLENMARK (CRITICAL CARE)</v>
      </c>
    </row>
    <row r="1415">
      <c r="H1415" s="19" t="str">
        <f>IFERROR(__xludf.DUMMYFUNCTION("""COMPUTED_VALUE"""),"GLENMARK (CV)")</f>
        <v>GLENMARK (CV)</v>
      </c>
    </row>
    <row r="1416">
      <c r="H1416" s="19" t="str">
        <f>IFERROR(__xludf.DUMMYFUNCTION("""COMPUTED_VALUE"""),"GLENMARK (DERMAX)")</f>
        <v>GLENMARK (DERMAX)</v>
      </c>
    </row>
    <row r="1417">
      <c r="H1417" s="19" t="str">
        <f>IFERROR(__xludf.DUMMYFUNCTION("""COMPUTED_VALUE"""),"GLENMARK (G&amp;G)")</f>
        <v>GLENMARK (G&amp;G)</v>
      </c>
    </row>
    <row r="1418">
      <c r="H1418" s="19" t="str">
        <f>IFERROR(__xludf.DUMMYFUNCTION("""COMPUTED_VALUE"""),"GLENMARK (GRACEWELL-SPECIALITIY)")</f>
        <v>GLENMARK (GRACEWELL-SPECIALITIY)</v>
      </c>
    </row>
    <row r="1419">
      <c r="H1419" s="19" t="str">
        <f>IFERROR(__xludf.DUMMYFUNCTION("""COMPUTED_VALUE"""),"GLENMARK (GRACEWELL)")</f>
        <v>GLENMARK (GRACEWELL)</v>
      </c>
    </row>
    <row r="1420">
      <c r="H1420" s="19" t="str">
        <f>IFERROR(__xludf.DUMMYFUNCTION("""COMPUTED_VALUE"""),"GLENMARK (HEALTHEON)")</f>
        <v>GLENMARK (HEALTHEON)</v>
      </c>
    </row>
    <row r="1421">
      <c r="H1421" s="19" t="str">
        <f>IFERROR(__xludf.DUMMYFUNCTION("""COMPUTED_VALUE"""),"GLENMARK (INTIGRACE)")</f>
        <v>GLENMARK (INTIGRACE)</v>
      </c>
    </row>
    <row r="1422">
      <c r="H1422" s="19" t="str">
        <f>IFERROR(__xludf.DUMMYFUNCTION("""COMPUTED_VALUE"""),"GLENMARK (MAGESTA)")</f>
        <v>GLENMARK (MAGESTA)</v>
      </c>
    </row>
    <row r="1423">
      <c r="H1423" s="19" t="str">
        <f>IFERROR(__xludf.DUMMYFUNCTION("""COMPUTED_VALUE"""),"GLENMARK (MILLIOUS)")</f>
        <v>GLENMARK (MILLIOUS)</v>
      </c>
    </row>
    <row r="1424">
      <c r="H1424" s="19" t="str">
        <f>IFERROR(__xludf.DUMMYFUNCTION("""COMPUTED_VALUE"""),"GLENMARK (OTC)")</f>
        <v>GLENMARK (OTC)</v>
      </c>
    </row>
    <row r="1425">
      <c r="H1425" s="19" t="str">
        <f>IFERROR(__xludf.DUMMYFUNCTION("""COMPUTED_VALUE"""),"GLENMARK (PHARMA)")</f>
        <v>GLENMARK (PHARMA)</v>
      </c>
    </row>
    <row r="1426">
      <c r="H1426" s="19" t="str">
        <f>IFERROR(__xludf.DUMMYFUNCTION("""COMPUTED_VALUE"""),"GLENMARK (RESPICARE)")</f>
        <v>GLENMARK (RESPICARE)</v>
      </c>
    </row>
    <row r="1427">
      <c r="H1427" s="19" t="str">
        <f>IFERROR(__xludf.DUMMYFUNCTION("""COMPUTED_VALUE"""),"GLENMARK (RESPIRATORY)")</f>
        <v>GLENMARK (RESPIRATORY)</v>
      </c>
    </row>
    <row r="1428">
      <c r="H1428" s="19" t="str">
        <f>IFERROR(__xludf.DUMMYFUNCTION("""COMPUTED_VALUE"""),"GLENMARK (SKINNORA)")</f>
        <v>GLENMARK (SKINNORA)</v>
      </c>
    </row>
    <row r="1429">
      <c r="H1429" s="19" t="str">
        <f>IFERROR(__xludf.DUMMYFUNCTION("""COMPUTED_VALUE"""),"GLENMARK (ZOLTAN CARE)")</f>
        <v>GLENMARK (ZOLTAN CARE)</v>
      </c>
    </row>
    <row r="1430">
      <c r="H1430" s="19" t="str">
        <f>IFERROR(__xludf.DUMMYFUNCTION("""COMPUTED_VALUE"""),"GLENMARK (ZOLTAN)")</f>
        <v>GLENMARK (ZOLTAN)</v>
      </c>
    </row>
    <row r="1431">
      <c r="H1431" s="19" t="str">
        <f>IFERROR(__xludf.DUMMYFUNCTION("""COMPUTED_VALUE"""),"Glenmark Pharmaceuticals Ltd")</f>
        <v>Glenmark Pharmaceuticals Ltd</v>
      </c>
    </row>
    <row r="1432">
      <c r="H1432" s="19" t="str">
        <f>IFERROR(__xludf.DUMMYFUNCTION("""COMPUTED_VALUE"""),"Glenmark Pharmaceuticals Ltd (GENERIC)")</f>
        <v>Glenmark Pharmaceuticals Ltd (GENERIC)</v>
      </c>
    </row>
    <row r="1433">
      <c r="H1433" s="19" t="str">
        <f>IFERROR(__xludf.DUMMYFUNCTION("""COMPUTED_VALUE"""),"Glenmark Pharmaceuticals Ltd (SPECIALITY)")</f>
        <v>Glenmark Pharmaceuticals Ltd (SPECIALITY)</v>
      </c>
    </row>
    <row r="1434">
      <c r="H1434" s="19" t="str">
        <f>IFERROR(__xludf.DUMMYFUNCTION("""COMPUTED_VALUE"""),"GLENSMITH LABS PVT LTD")</f>
        <v>GLENSMITH LABS PVT LTD</v>
      </c>
    </row>
    <row r="1435">
      <c r="H1435" s="19" t="str">
        <f>IFERROR(__xludf.DUMMYFUNCTION("""COMPUTED_VALUE"""),"GLISTER PHARMACEUTICALS")</f>
        <v>GLISTER PHARMACEUTICALS</v>
      </c>
    </row>
    <row r="1436">
      <c r="H1436" s="19" t="str">
        <f>IFERROR(__xludf.DUMMYFUNCTION("""COMPUTED_VALUE"""),"GLOBAL MEDICAMNETS LTD")</f>
        <v>GLOBAL MEDICAMNETS LTD</v>
      </c>
    </row>
    <row r="1437">
      <c r="H1437" s="19" t="str">
        <f>IFERROR(__xludf.DUMMYFUNCTION("""COMPUTED_VALUE"""),"GLOBAL PHARMAHERB CARE")</f>
        <v>GLOBAL PHARMAHERB CARE</v>
      </c>
    </row>
    <row r="1438">
      <c r="H1438" s="19" t="str">
        <f>IFERROR(__xludf.DUMMYFUNCTION("""COMPUTED_VALUE"""),"GLOBIN PHARMACEUTICALS P LTD")</f>
        <v>GLOBIN PHARMACEUTICALS P LTD</v>
      </c>
    </row>
    <row r="1439">
      <c r="H1439" s="19" t="str">
        <f>IFERROR(__xludf.DUMMYFUNCTION("""COMPUTED_VALUE"""),"GLOBUS LABS")</f>
        <v>GLOBUS LABS</v>
      </c>
    </row>
    <row r="1440">
      <c r="H1440" s="19" t="str">
        <f>IFERROR(__xludf.DUMMYFUNCTION("""COMPUTED_VALUE"""),"GLORIOUS HEATHCAR")</f>
        <v>GLORIOUS HEATHCAR</v>
      </c>
    </row>
    <row r="1441">
      <c r="H1441" s="19" t="str">
        <f>IFERROR(__xludf.DUMMYFUNCTION("""COMPUTED_VALUE"""),"Glow")</f>
        <v>Glow</v>
      </c>
    </row>
    <row r="1442">
      <c r="H1442" s="19" t="str">
        <f>IFERROR(__xludf.DUMMYFUNCTION("""COMPUTED_VALUE"""),"Glowderma Labs Pvt Ltd")</f>
        <v>Glowderma Labs Pvt Ltd</v>
      </c>
    </row>
    <row r="1443">
      <c r="H1443" s="19" t="str">
        <f>IFERROR(__xludf.DUMMYFUNCTION("""COMPUTED_VALUE"""),"GLS PHARMA")</f>
        <v>GLS PHARMA</v>
      </c>
    </row>
    <row r="1444">
      <c r="H1444" s="19" t="str">
        <f>IFERROR(__xludf.DUMMYFUNCTION("""COMPUTED_VALUE"""),"Gluconate Health Ltd")</f>
        <v>Gluconate Health Ltd</v>
      </c>
    </row>
    <row r="1445">
      <c r="H1445" s="19" t="str">
        <f>IFERROR(__xludf.DUMMYFUNCTION("""COMPUTED_VALUE"""),"GLUE BIOTECH")</f>
        <v>GLUE BIOTECH</v>
      </c>
    </row>
    <row r="1446">
      <c r="H1446" s="19" t="str">
        <f>IFERROR(__xludf.DUMMYFUNCTION("""COMPUTED_VALUE"""),"Glyco Remedies")</f>
        <v>Glyco Remedies</v>
      </c>
    </row>
    <row r="1447">
      <c r="H1447" s="19" t="str">
        <f>IFERROR(__xludf.DUMMYFUNCTION("""COMPUTED_VALUE"""),"GMH LABORATORIES")</f>
        <v>GMH LABORATORIES</v>
      </c>
    </row>
    <row r="1448">
      <c r="H1448" s="19" t="str">
        <f>IFERROR(__xludf.DUMMYFUNCTION("""COMPUTED_VALUE"""),"GNESIS ORGANICS")</f>
        <v>GNESIS ORGANICS</v>
      </c>
    </row>
    <row r="1449">
      <c r="H1449" s="19" t="str">
        <f>IFERROR(__xludf.DUMMYFUNCTION("""COMPUTED_VALUE"""),"Gnext Lab Pvt Ltd")</f>
        <v>Gnext Lab Pvt Ltd</v>
      </c>
    </row>
    <row r="1450">
      <c r="H1450" s="19" t="str">
        <f>IFERROR(__xludf.DUMMYFUNCTION("""COMPUTED_VALUE"""),"GNOVA BIOTECH")</f>
        <v>GNOVA BIOTECH</v>
      </c>
    </row>
    <row r="1451">
      <c r="H1451" s="19" t="str">
        <f>IFERROR(__xludf.DUMMYFUNCTION("""COMPUTED_VALUE"""),"GO-ISH REMEDIES LTD SOLAN")</f>
        <v>GO-ISH REMEDIES LTD SOLAN</v>
      </c>
    </row>
    <row r="1452">
      <c r="H1452" s="19" t="str">
        <f>IFERROR(__xludf.DUMMYFUNCTION("""COMPUTED_VALUE"""),"Goddres Pharmaceuticals")</f>
        <v>Goddres Pharmaceuticals</v>
      </c>
    </row>
    <row r="1453">
      <c r="H1453" s="19" t="str">
        <f>IFERROR(__xludf.DUMMYFUNCTION("""COMPUTED_VALUE"""),"GODREJ CONSUMER PRODUCTS LTD")</f>
        <v>GODREJ CONSUMER PRODUCTS LTD</v>
      </c>
    </row>
    <row r="1454">
      <c r="H1454" s="19" t="str">
        <f>IFERROR(__xludf.DUMMYFUNCTION("""COMPUTED_VALUE"""),"Gold Line")</f>
        <v>Gold Line</v>
      </c>
    </row>
    <row r="1455">
      <c r="H1455" s="19" t="str">
        <f>IFERROR(__xludf.DUMMYFUNCTION("""COMPUTED_VALUE"""),"GOMTESH LABORATORIES")</f>
        <v>GOMTESH LABORATORIES</v>
      </c>
    </row>
    <row r="1456">
      <c r="H1456" s="19" t="str">
        <f>IFERROR(__xludf.DUMMYFUNCTION("""COMPUTED_VALUE"""),"GONAN PHARMA")</f>
        <v>GONAN PHARMA</v>
      </c>
    </row>
    <row r="1457">
      <c r="H1457" s="19" t="str">
        <f>IFERROR(__xludf.DUMMYFUNCTION("""COMPUTED_VALUE"""),"GOOD HEALTH PVT LTD")</f>
        <v>GOOD HEALTH PVT LTD</v>
      </c>
    </row>
    <row r="1458">
      <c r="H1458" s="19" t="str">
        <f>IFERROR(__xludf.DUMMYFUNCTION("""COMPUTED_VALUE"""),"GOPAL LIFE SCIENCES UNIT II")</f>
        <v>GOPAL LIFE SCIENCES UNIT II</v>
      </c>
    </row>
    <row r="1459">
      <c r="H1459" s="19" t="str">
        <f>IFERROR(__xludf.DUMMYFUNCTION("""COMPUTED_VALUE"""),"GOPAL LIFESCIENCES (SOVIA ALTIS)")</f>
        <v>GOPAL LIFESCIENCES (SOVIA ALTIS)</v>
      </c>
    </row>
    <row r="1460">
      <c r="H1460" s="19" t="str">
        <f>IFERROR(__xludf.DUMMYFUNCTION("""COMPUTED_VALUE"""),"GOPISH PHARMA LTD")</f>
        <v>GOPISH PHARMA LTD</v>
      </c>
    </row>
    <row r="1461">
      <c r="H1461" s="19" t="str">
        <f>IFERROR(__xludf.DUMMYFUNCTION("""COMPUTED_VALUE"""),"GPP PVT LTD")</f>
        <v>GPP PVT LTD</v>
      </c>
    </row>
    <row r="1462">
      <c r="H1462" s="19" t="str">
        <f>IFERROR(__xludf.DUMMYFUNCTION("""COMPUTED_VALUE"""),"GRACEDERMA HELATHCARE")</f>
        <v>GRACEDERMA HELATHCARE</v>
      </c>
    </row>
    <row r="1463">
      <c r="H1463" s="19" t="str">
        <f>IFERROR(__xludf.DUMMYFUNCTION("""COMPUTED_VALUE"""),"GRACEWELL HEALTHCARE")</f>
        <v>GRACEWELL HEALTHCARE</v>
      </c>
    </row>
    <row r="1464">
      <c r="H1464" s="19" t="str">
        <f>IFERROR(__xludf.DUMMYFUNCTION("""COMPUTED_VALUE"""),"GRAF Laboratories Pvt Ltd")</f>
        <v>GRAF Laboratories Pvt Ltd</v>
      </c>
    </row>
    <row r="1465">
      <c r="H1465" s="19" t="str">
        <f>IFERROR(__xludf.DUMMYFUNCTION("""COMPUTED_VALUE"""),"GRANDIX PHARMACEUTICAL")</f>
        <v>GRANDIX PHARMACEUTICAL</v>
      </c>
    </row>
    <row r="1466">
      <c r="H1466" s="19" t="str">
        <f>IFERROR(__xludf.DUMMYFUNCTION("""COMPUTED_VALUE"""),"GRAPSUM HEALTHCARE P LTD")</f>
        <v>GRAPSUM HEALTHCARE P LTD</v>
      </c>
    </row>
    <row r="1467">
      <c r="H1467" s="19" t="str">
        <f>IFERROR(__xludf.DUMMYFUNCTION("""COMPUTED_VALUE"""),"GREEK PHARMA PVT LTD")</f>
        <v>GREEK PHARMA PVT LTD</v>
      </c>
    </row>
    <row r="1468">
      <c r="H1468" s="19" t="str">
        <f>IFERROR(__xludf.DUMMYFUNCTION("""COMPUTED_VALUE"""),"GRIFCON LIFE SCIENCES")</f>
        <v>GRIFCON LIFE SCIENCES</v>
      </c>
    </row>
    <row r="1469">
      <c r="H1469" s="19" t="str">
        <f>IFERROR(__xludf.DUMMYFUNCTION("""COMPUTED_VALUE"""),"GRINOLIFE CARE P LTD")</f>
        <v>GRINOLIFE CARE P LTD</v>
      </c>
    </row>
    <row r="1470">
      <c r="H1470" s="19" t="str">
        <f>IFERROR(__xludf.DUMMYFUNCTION("""COMPUTED_VALUE"""),"GRL GYNEXT")</f>
        <v>GRL GYNEXT</v>
      </c>
    </row>
    <row r="1471">
      <c r="H1471" s="19" t="str">
        <f>IFERROR(__xludf.DUMMYFUNCTION("""COMPUTED_VALUE"""),"GROUP PHARMA (DENTAL CARE)")</f>
        <v>GROUP PHARMA (DENTAL CARE)</v>
      </c>
    </row>
    <row r="1472">
      <c r="H1472" s="19" t="str">
        <f>IFERROR(__xludf.DUMMYFUNCTION("""COMPUTED_VALUE"""),"GROUP PHARMA (HEALTHCARE)")</f>
        <v>GROUP PHARMA (HEALTHCARE)</v>
      </c>
    </row>
    <row r="1473">
      <c r="H1473" s="19" t="str">
        <f>IFERROR(__xludf.DUMMYFUNCTION("""COMPUTED_VALUE"""),"Group Pharmaceuticals Ltd")</f>
        <v>Group Pharmaceuticals Ltd</v>
      </c>
    </row>
    <row r="1474">
      <c r="H1474" s="19" t="str">
        <f>IFERROR(__xludf.DUMMYFUNCTION("""COMPUTED_VALUE"""),"GROWELL VISION")</f>
        <v>GROWELL VISION</v>
      </c>
    </row>
    <row r="1475">
      <c r="H1475" s="19" t="str">
        <f>IFERROR(__xludf.DUMMYFUNCTION("""COMPUTED_VALUE"""),"GROWMAX MEDICARE PVT LTD")</f>
        <v>GROWMAX MEDICARE PVT LTD</v>
      </c>
    </row>
    <row r="1476">
      <c r="H1476" s="19" t="str">
        <f>IFERROR(__xludf.DUMMYFUNCTION("""COMPUTED_VALUE"""),"GUFIC (CRITICARE)")</f>
        <v>GUFIC (CRITICARE)</v>
      </c>
    </row>
    <row r="1477">
      <c r="H1477" s="19" t="str">
        <f>IFERROR(__xludf.DUMMYFUNCTION("""COMPUTED_VALUE"""),"Gufic Bioscience Ltd")</f>
        <v>Gufic Bioscience Ltd</v>
      </c>
    </row>
    <row r="1478">
      <c r="H1478" s="19" t="str">
        <f>IFERROR(__xludf.DUMMYFUNCTION("""COMPUTED_VALUE"""),"GUJARAT LIQUI PHARMACAPS")</f>
        <v>GUJARAT LIQUI PHARMACAPS</v>
      </c>
    </row>
    <row r="1479">
      <c r="H1479" s="19" t="str">
        <f>IFERROR(__xludf.DUMMYFUNCTION("""COMPUTED_VALUE"""),"GUJARAT PHARMA LAB PVT LTD")</f>
        <v>GUJARAT PHARMA LAB PVT LTD</v>
      </c>
    </row>
    <row r="1480">
      <c r="H1480" s="19" t="str">
        <f>IFERROR(__xludf.DUMMYFUNCTION("""COMPUTED_VALUE"""),"GUJARAT PHARMALAB PVT LTD")</f>
        <v>GUJARAT PHARMALAB PVT LTD</v>
      </c>
    </row>
    <row r="1481">
      <c r="H1481" s="19" t="str">
        <f>IFERROR(__xludf.DUMMYFUNCTION("""COMPUTED_VALUE"""),"Gujarat Terce Laboratories Ltd")</f>
        <v>Gujarat Terce Laboratories Ltd</v>
      </c>
    </row>
    <row r="1482">
      <c r="H1482" s="19" t="str">
        <f>IFERROR(__xludf.DUMMYFUNCTION("""COMPUTED_VALUE"""),"GURGRACE PHARMACETICALS")</f>
        <v>GURGRACE PHARMACETICALS</v>
      </c>
    </row>
    <row r="1483">
      <c r="H1483" s="19" t="str">
        <f>IFERROR(__xludf.DUMMYFUNCTION("""COMPUTED_VALUE"""),"GURUKRIPA CONSUMER CARE")</f>
        <v>GURUKRIPA CONSUMER CARE</v>
      </c>
    </row>
    <row r="1484">
      <c r="H1484" s="19" t="str">
        <f>IFERROR(__xludf.DUMMYFUNCTION("""COMPUTED_VALUE"""),"GURUKUL KANGDI PHARMACY")</f>
        <v>GURUKUL KANGDI PHARMACY</v>
      </c>
    </row>
    <row r="1485">
      <c r="H1485" s="19" t="str">
        <f>IFERROR(__xludf.DUMMYFUNCTION("""COMPUTED_VALUE"""),"GYMEX PHARMACEUTICALS")</f>
        <v>GYMEX PHARMACEUTICALS</v>
      </c>
    </row>
    <row r="1486">
      <c r="H1486" s="19" t="str">
        <f>IFERROR(__xludf.DUMMYFUNCTION("""COMPUTED_VALUE"""),"GYNOFEM HEALTHCARE (CAREON)")</f>
        <v>GYNOFEM HEALTHCARE (CAREON)</v>
      </c>
    </row>
    <row r="1487">
      <c r="H1487" s="19" t="str">
        <f>IFERROR(__xludf.DUMMYFUNCTION("""COMPUTED_VALUE"""),"GYNOFEM HEALTHCARE PVT LTD")</f>
        <v>GYNOFEM HEALTHCARE PVT LTD</v>
      </c>
    </row>
    <row r="1488">
      <c r="H1488" s="19" t="str">
        <f>IFERROR(__xludf.DUMMYFUNCTION("""COMPUTED_VALUE"""),"GYNORAMA HEALTHCARE PVT LTD")</f>
        <v>GYNORAMA HEALTHCARE PVT LTD</v>
      </c>
    </row>
    <row r="1489">
      <c r="H1489" s="19" t="str">
        <f>IFERROR(__xludf.DUMMYFUNCTION("""COMPUTED_VALUE"""),"H AND CARE INCORP INDIA")</f>
        <v>H AND CARE INCORP INDIA</v>
      </c>
    </row>
    <row r="1490">
      <c r="H1490" s="19" t="str">
        <f>IFERROR(__xludf.DUMMYFUNCTION("""COMPUTED_VALUE"""),"H&amp;B")</f>
        <v>H&amp;B</v>
      </c>
    </row>
    <row r="1491">
      <c r="H1491" s="19" t="str">
        <f>IFERROR(__xludf.DUMMYFUNCTION("""COMPUTED_VALUE"""),"H&amp;H (Hegde and Hegde) (COSMECEUTICAL)")</f>
        <v>H&amp;H (Hegde and Hegde) (COSMECEUTICAL)</v>
      </c>
    </row>
    <row r="1492">
      <c r="H1492" s="19" t="str">
        <f>IFERROR(__xludf.DUMMYFUNCTION("""COMPUTED_VALUE"""),"H&amp;H (Hegde and Hegde) (DERMATOLOGY)")</f>
        <v>H&amp;H (Hegde and Hegde) (DERMATOLOGY)</v>
      </c>
    </row>
    <row r="1493">
      <c r="H1493" s="19" t="str">
        <f>IFERROR(__xludf.DUMMYFUNCTION("""COMPUTED_VALUE"""),"H&amp;H (Hegde and Hegde) (Pharmaceutical)")</f>
        <v>H&amp;H (Hegde and Hegde) (Pharmaceutical)</v>
      </c>
    </row>
    <row r="1494">
      <c r="H1494" s="19" t="str">
        <f>IFERROR(__xludf.DUMMYFUNCTION("""COMPUTED_VALUE"""),"H&amp;H (Hegde and Hegde) (WELLNESS)")</f>
        <v>H&amp;H (Hegde and Hegde) (WELLNESS)</v>
      </c>
    </row>
    <row r="1495">
      <c r="H1495" s="19" t="str">
        <f>IFERROR(__xludf.DUMMYFUNCTION("""COMPUTED_VALUE"""),"HABABAN HARDE")</f>
        <v>HABABAN HARDE</v>
      </c>
    </row>
    <row r="1496">
      <c r="H1496" s="19" t="str">
        <f>IFERROR(__xludf.DUMMYFUNCTION("""COMPUTED_VALUE"""),"Hacks &amp; Slacks Healthcare")</f>
        <v>Hacks &amp; Slacks Healthcare</v>
      </c>
    </row>
    <row r="1497">
      <c r="H1497" s="19" t="str">
        <f>IFERROR(__xludf.DUMMYFUNCTION("""COMPUTED_VALUE"""),"HAITH PHARMACEUTICALS")</f>
        <v>HAITH PHARMACEUTICALS</v>
      </c>
    </row>
    <row r="1498">
      <c r="H1498" s="19" t="str">
        <f>IFERROR(__xludf.DUMMYFUNCTION("""COMPUTED_VALUE"""),"HALEDEW REMEDIES")</f>
        <v>HALEDEW REMEDIES</v>
      </c>
    </row>
    <row r="1499">
      <c r="H1499" s="19" t="str">
        <f>IFERROR(__xludf.DUMMYFUNCTION("""COMPUTED_VALUE"""),"HALEWOOD LABORATORIES PVT LTD")</f>
        <v>HALEWOOD LABORATORIES PVT LTD</v>
      </c>
    </row>
    <row r="1500">
      <c r="H1500" s="19" t="str">
        <f>IFERROR(__xludf.DUMMYFUNCTION("""COMPUTED_VALUE"""),"Hamdard Laboratories India")</f>
        <v>Hamdard Laboratories India</v>
      </c>
    </row>
    <row r="1501">
      <c r="H1501" s="19" t="str">
        <f>IFERROR(__xludf.DUMMYFUNCTION("""COMPUTED_VALUE"""),"HANNOR PHARMA PVT LTD")</f>
        <v>HANNOR PHARMA PVT LTD</v>
      </c>
    </row>
    <row r="1502">
      <c r="H1502" s="19" t="str">
        <f>IFERROR(__xludf.DUMMYFUNCTION("""COMPUTED_VALUE"""),"HANS CHEMICALS")</f>
        <v>HANS CHEMICALS</v>
      </c>
    </row>
    <row r="1503">
      <c r="H1503" s="19" t="str">
        <f>IFERROR(__xludf.DUMMYFUNCTION("""COMPUTED_VALUE"""),"HAPDCO")</f>
        <v>HAPDCO</v>
      </c>
    </row>
    <row r="1504">
      <c r="H1504" s="19" t="str">
        <f>IFERROR(__xludf.DUMMYFUNCTION("""COMPUTED_VALUE"""),"HAPPY PHARMA")</f>
        <v>HAPPY PHARMA</v>
      </c>
    </row>
    <row r="1505">
      <c r="H1505" s="19" t="str">
        <f>IFERROR(__xludf.DUMMYFUNCTION("""COMPUTED_VALUE"""),"HARBANSHRAM BHAGWANDAS")</f>
        <v>HARBANSHRAM BHAGWANDAS</v>
      </c>
    </row>
    <row r="1506">
      <c r="H1506" s="19" t="str">
        <f>IFERROR(__xludf.DUMMYFUNCTION("""COMPUTED_VALUE"""),"HARMATTAN LIFE SCIENCE")</f>
        <v>HARMATTAN LIFE SCIENCE</v>
      </c>
    </row>
    <row r="1507">
      <c r="H1507" s="19" t="str">
        <f>IFERROR(__xludf.DUMMYFUNCTION("""COMPUTED_VALUE"""),"HARMONY PHARMA")</f>
        <v>HARMONY PHARMA</v>
      </c>
    </row>
    <row r="1508">
      <c r="H1508" s="19" t="str">
        <f>IFERROR(__xludf.DUMMYFUNCTION("""COMPUTED_VALUE"""),"HARMONY PHARMA (GYN)")</f>
        <v>HARMONY PHARMA (GYN)</v>
      </c>
    </row>
    <row r="1509">
      <c r="H1509" s="19" t="str">
        <f>IFERROR(__xludf.DUMMYFUNCTION("""COMPUTED_VALUE"""),"HARSH AYURVED BHAVAN")</f>
        <v>HARSH AYURVED BHAVAN</v>
      </c>
    </row>
    <row r="1510">
      <c r="H1510" s="19" t="str">
        <f>IFERROR(__xludf.DUMMYFUNCTION("""COMPUTED_VALUE"""),"HARSON LABORATORIES P LTD")</f>
        <v>HARSON LABORATORIES P LTD</v>
      </c>
    </row>
    <row r="1511">
      <c r="H1511" s="19" t="str">
        <f>IFERROR(__xludf.DUMMYFUNCTION("""COMPUTED_VALUE"""),"HAUZ PHARMA P LTD")</f>
        <v>HAUZ PHARMA P LTD</v>
      </c>
    </row>
    <row r="1512">
      <c r="H1512" s="19" t="str">
        <f>IFERROR(__xludf.DUMMYFUNCTION("""COMPUTED_VALUE"""),"HAWABAN HARDE DEPOT")</f>
        <v>HAWABAN HARDE DEPOT</v>
      </c>
    </row>
    <row r="1513">
      <c r="H1513" s="19" t="str">
        <f>IFERROR(__xludf.DUMMYFUNCTION("""COMPUTED_VALUE"""),"HBC (ATRIA)")</f>
        <v>HBC (ATRIA)</v>
      </c>
    </row>
    <row r="1514">
      <c r="H1514" s="19" t="str">
        <f>IFERROR(__xludf.DUMMYFUNCTION("""COMPUTED_VALUE"""),"HBC (CARDIO)")</f>
        <v>HBC (CARDIO)</v>
      </c>
    </row>
    <row r="1515">
      <c r="H1515" s="19" t="str">
        <f>IFERROR(__xludf.DUMMYFUNCTION("""COMPUTED_VALUE"""),"HBC (DERMA)")</f>
        <v>HBC (DERMA)</v>
      </c>
    </row>
    <row r="1516">
      <c r="H1516" s="19" t="str">
        <f>IFERROR(__xludf.DUMMYFUNCTION("""COMPUTED_VALUE"""),"HBC (QURA)")</f>
        <v>HBC (QURA)</v>
      </c>
    </row>
    <row r="1517">
      <c r="H1517" s="19" t="str">
        <f>IFERROR(__xludf.DUMMYFUNCTION("""COMPUTED_VALUE"""),"HBC HEALTHCARE PVT LTD (NURA)")</f>
        <v>HBC HEALTHCARE PVT LTD (NURA)</v>
      </c>
    </row>
    <row r="1518">
      <c r="H1518" s="19" t="str">
        <f>IFERROR(__xludf.DUMMYFUNCTION("""COMPUTED_VALUE"""),"HBC Lifesciences Pvt Ltd")</f>
        <v>HBC Lifesciences Pvt Ltd</v>
      </c>
    </row>
    <row r="1519">
      <c r="H1519" s="19" t="str">
        <f>IFERROR(__xludf.DUMMYFUNCTION("""COMPUTED_VALUE"""),"HEAL ALL PHARMACETICALS")</f>
        <v>HEAL ALL PHARMACETICALS</v>
      </c>
    </row>
    <row r="1520">
      <c r="H1520" s="19" t="str">
        <f>IFERROR(__xludf.DUMMYFUNCTION("""COMPUTED_VALUE"""),"Heal India Laboratories")</f>
        <v>Heal India Laboratories</v>
      </c>
    </row>
    <row r="1521">
      <c r="H1521" s="19" t="str">
        <f>IFERROR(__xludf.DUMMYFUNCTION("""COMPUTED_VALUE"""),"HEALING PHARMA INDIA PVT LTD")</f>
        <v>HEALING PHARMA INDIA PVT LTD</v>
      </c>
    </row>
    <row r="1522">
      <c r="H1522" s="19" t="str">
        <f>IFERROR(__xludf.DUMMYFUNCTION("""COMPUTED_VALUE"""),"HEALTH BIOLOGICS")</f>
        <v>HEALTH BIOLOGICS</v>
      </c>
    </row>
    <row r="1523">
      <c r="H1523" s="19" t="str">
        <f>IFERROR(__xludf.DUMMYFUNCTION("""COMPUTED_VALUE"""),"Health Biomed Pharma")</f>
        <v>Health Biomed Pharma</v>
      </c>
    </row>
    <row r="1524">
      <c r="H1524" s="19" t="str">
        <f>IFERROR(__xludf.DUMMYFUNCTION("""COMPUTED_VALUE"""),"HEALTH BIOTECH")</f>
        <v>HEALTH BIOTECH</v>
      </c>
    </row>
    <row r="1525">
      <c r="H1525" s="19" t="str">
        <f>IFERROR(__xludf.DUMMYFUNCTION("""COMPUTED_VALUE"""),"Health Biotech Pvt Ltd")</f>
        <v>Health Biotech Pvt Ltd</v>
      </c>
    </row>
    <row r="1526">
      <c r="H1526" s="19" t="str">
        <f>IFERROR(__xludf.DUMMYFUNCTION("""COMPUTED_VALUE"""),"Health Care Formulations Pvt Ltd")</f>
        <v>Health Care Formulations Pvt Ltd</v>
      </c>
    </row>
    <row r="1527">
      <c r="H1527" s="19" t="str">
        <f>IFERROR(__xludf.DUMMYFUNCTION("""COMPUTED_VALUE"""),"Health Care Formulations Pvt. Ltd.")</f>
        <v>Health Care Formulations Pvt. Ltd.</v>
      </c>
    </row>
    <row r="1528">
      <c r="H1528" s="19" t="str">
        <f>IFERROR(__xludf.DUMMYFUNCTION("""COMPUTED_VALUE"""),"Health Guard (I) Pvt. Ltd.")</f>
        <v>Health Guard (I) Pvt. Ltd.</v>
      </c>
    </row>
    <row r="1529">
      <c r="H1529" s="19" t="str">
        <f>IFERROR(__xludf.DUMMYFUNCTION("""COMPUTED_VALUE"""),"HEALTH N U THERAPEUTICS PVT LTD")</f>
        <v>HEALTH N U THERAPEUTICS PVT LTD</v>
      </c>
    </row>
    <row r="1530">
      <c r="H1530" s="19" t="str">
        <f>IFERROR(__xludf.DUMMYFUNCTION("""COMPUTED_VALUE"""),"Health Plan")</f>
        <v>Health Plan</v>
      </c>
    </row>
    <row r="1531">
      <c r="H1531" s="19" t="str">
        <f>IFERROR(__xludf.DUMMYFUNCTION("""COMPUTED_VALUE"""),"HEALTHCARE HERBAL")</f>
        <v>HEALTHCARE HERBAL</v>
      </c>
    </row>
    <row r="1532">
      <c r="H1532" s="19" t="str">
        <f>IFERROR(__xludf.DUMMYFUNCTION("""COMPUTED_VALUE"""),"Healthkind Labs Pvt. Ltd.")</f>
        <v>Healthkind Labs Pvt. Ltd.</v>
      </c>
    </row>
    <row r="1533">
      <c r="H1533" s="19" t="str">
        <f>IFERROR(__xludf.DUMMYFUNCTION("""COMPUTED_VALUE"""),"HEILMITTEL PHARMA")</f>
        <v>HEILMITTEL PHARMA</v>
      </c>
    </row>
    <row r="1534">
      <c r="H1534" s="19" t="str">
        <f>IFERROR(__xludf.DUMMYFUNCTION("""COMPUTED_VALUE"""),"Heinz India Pvt Ltd")</f>
        <v>Heinz India Pvt Ltd</v>
      </c>
    </row>
    <row r="1535">
      <c r="H1535" s="19" t="str">
        <f>IFERROR(__xludf.DUMMYFUNCTION("""COMPUTED_VALUE"""),"HELAX HEALTHCARE P LTD")</f>
        <v>HELAX HEALTHCARE P LTD</v>
      </c>
    </row>
    <row r="1536">
      <c r="H1536" s="19" t="str">
        <f>IFERROR(__xludf.DUMMYFUNCTION("""COMPUTED_VALUE"""),"HELBREDE HEALTHCARE LTD")</f>
        <v>HELBREDE HEALTHCARE LTD</v>
      </c>
    </row>
    <row r="1537">
      <c r="H1537" s="19" t="str">
        <f>IFERROR(__xludf.DUMMYFUNCTION("""COMPUTED_VALUE"""),"HELIK PHARMACEUTICAL")</f>
        <v>HELIK PHARMACEUTICAL</v>
      </c>
    </row>
    <row r="1538">
      <c r="H1538" s="19" t="str">
        <f>IFERROR(__xludf.DUMMYFUNCTION("""COMPUTED_VALUE"""),"Helios Pharmaceuticals (GENERIC)")</f>
        <v>Helios Pharmaceuticals (GENERIC)</v>
      </c>
    </row>
    <row r="1539">
      <c r="H1539" s="19" t="str">
        <f>IFERROR(__xludf.DUMMYFUNCTION("""COMPUTED_VALUE"""),"HELLOBABY PVT LTD")</f>
        <v>HELLOBABY PVT LTD</v>
      </c>
    </row>
    <row r="1540">
      <c r="H1540" s="19" t="str">
        <f>IFERROR(__xludf.DUMMYFUNCTION("""COMPUTED_VALUE"""),"HEMRUS THEREPATICS PVT LTD")</f>
        <v>HEMRUS THEREPATICS PVT LTD</v>
      </c>
    </row>
    <row r="1541">
      <c r="H1541" s="19" t="str">
        <f>IFERROR(__xludf.DUMMYFUNCTION("""COMPUTED_VALUE"""),"HEPTAGON LIFESCIENCES PVT LTD")</f>
        <v>HEPTAGON LIFESCIENCES PVT LTD</v>
      </c>
    </row>
    <row r="1542">
      <c r="H1542" s="19" t="str">
        <f>IFERROR(__xludf.DUMMYFUNCTION("""COMPUTED_VALUE"""),"HERB EDGE HEALTH CARE PVT LTD")</f>
        <v>HERB EDGE HEALTH CARE PVT LTD</v>
      </c>
    </row>
    <row r="1543">
      <c r="H1543" s="19" t="str">
        <f>IFERROR(__xludf.DUMMYFUNCTION("""COMPUTED_VALUE"""),"HERBAL AYURVEDA &amp; RESEARCH CENTRE")</f>
        <v>HERBAL AYURVEDA &amp; RESEARCH CENTRE</v>
      </c>
    </row>
    <row r="1544">
      <c r="H1544" s="19" t="str">
        <f>IFERROR(__xludf.DUMMYFUNCTION("""COMPUTED_VALUE"""),"HERBAL CANADA")</f>
        <v>HERBAL CANADA</v>
      </c>
    </row>
    <row r="1545">
      <c r="H1545" s="19" t="str">
        <f>IFERROR(__xludf.DUMMYFUNCTION("""COMPUTED_VALUE"""),"HERBAL GANGA")</f>
        <v>HERBAL GANGA</v>
      </c>
    </row>
    <row r="1546">
      <c r="H1546" s="19" t="str">
        <f>IFERROR(__xludf.DUMMYFUNCTION("""COMPUTED_VALUE"""),"HERBO CHEM")</f>
        <v>HERBO CHEM</v>
      </c>
    </row>
    <row r="1547">
      <c r="H1547" s="19" t="str">
        <f>IFERROR(__xludf.DUMMYFUNCTION("""COMPUTED_VALUE"""),"HERTZ BIOTECH")</f>
        <v>HERTZ BIOTECH</v>
      </c>
    </row>
    <row r="1548">
      <c r="H1548" s="19" t="str">
        <f>IFERROR(__xludf.DUMMYFUNCTION("""COMPUTED_VALUE"""),"Hetero Drugs Ltd")</f>
        <v>Hetero Drugs Ltd</v>
      </c>
    </row>
    <row r="1549">
      <c r="H1549" s="19" t="str">
        <f>IFERROR(__xludf.DUMMYFUNCTION("""COMPUTED_VALUE"""),"Hetero Drugs Ltd (DIASPA)")</f>
        <v>Hetero Drugs Ltd (DIASPA)</v>
      </c>
    </row>
    <row r="1550">
      <c r="H1550" s="19" t="str">
        <f>IFERROR(__xludf.DUMMYFUNCTION("""COMPUTED_VALUE"""),"Hetero Drugs Ltd (GENIX -HIV)")</f>
        <v>Hetero Drugs Ltd (GENIX -HIV)</v>
      </c>
    </row>
    <row r="1551">
      <c r="H1551" s="19" t="str">
        <f>IFERROR(__xludf.DUMMYFUNCTION("""COMPUTED_VALUE"""),"Hetero Drugs Ltd (GENIX)")</f>
        <v>Hetero Drugs Ltd (GENIX)</v>
      </c>
    </row>
    <row r="1552">
      <c r="H1552" s="19" t="str">
        <f>IFERROR(__xludf.DUMMYFUNCTION("""COMPUTED_VALUE"""),"Hetero Drugs Ltd (KRIS)")</f>
        <v>Hetero Drugs Ltd (KRIS)</v>
      </c>
    </row>
    <row r="1553">
      <c r="H1553" s="19" t="str">
        <f>IFERROR(__xludf.DUMMYFUNCTION("""COMPUTED_VALUE"""),"Hetero Drugs Ltd (MAIN)")</f>
        <v>Hetero Drugs Ltd (MAIN)</v>
      </c>
    </row>
    <row r="1554">
      <c r="H1554" s="19" t="str">
        <f>IFERROR(__xludf.DUMMYFUNCTION("""COMPUTED_VALUE"""),"Hetero Drugs Ltd (NEURO)")</f>
        <v>Hetero Drugs Ltd (NEURO)</v>
      </c>
    </row>
    <row r="1555">
      <c r="H1555" s="19" t="str">
        <f>IFERROR(__xludf.DUMMYFUNCTION("""COMPUTED_VALUE"""),"Hetero Drugs Ltd (SPECIALITY)")</f>
        <v>Hetero Drugs Ltd (SPECIALITY)</v>
      </c>
    </row>
    <row r="1556">
      <c r="H1556" s="19" t="str">
        <f>IFERROR(__xludf.DUMMYFUNCTION("""COMPUTED_VALUE"""),"Hetero Drugs Ltd (VIROLOGY)")</f>
        <v>Hetero Drugs Ltd (VIROLOGY)</v>
      </c>
    </row>
    <row r="1557">
      <c r="H1557" s="19" t="str">
        <f>IFERROR(__xludf.DUMMYFUNCTION("""COMPUTED_VALUE"""),"HETERO HEALTHCARE")</f>
        <v>HETERO HEALTHCARE</v>
      </c>
    </row>
    <row r="1558">
      <c r="H1558" s="19" t="str">
        <f>IFERROR(__xludf.DUMMYFUNCTION("""COMPUTED_VALUE"""),"HETRO (COVIFOR)")</f>
        <v>HETRO (COVIFOR)</v>
      </c>
    </row>
    <row r="1559">
      <c r="H1559" s="19" t="str">
        <f>IFERROR(__xludf.DUMMYFUNCTION("""COMPUTED_VALUE"""),"HETRO (FRENZA)")</f>
        <v>HETRO (FRENZA)</v>
      </c>
    </row>
    <row r="1560">
      <c r="H1560" s="19" t="str">
        <f>IFERROR(__xludf.DUMMYFUNCTION("""COMPUTED_VALUE"""),"HETRO (RUMETO)")</f>
        <v>HETRO (RUMETO)</v>
      </c>
    </row>
    <row r="1561">
      <c r="H1561" s="19" t="str">
        <f>IFERROR(__xludf.DUMMYFUNCTION("""COMPUTED_VALUE"""),"HEXAGON NUTRITION")</f>
        <v>HEXAGON NUTRITION</v>
      </c>
    </row>
    <row r="1562">
      <c r="H1562" s="19" t="str">
        <f>IFERROR(__xludf.DUMMYFUNCTION("""COMPUTED_VALUE"""),"Hexagon Nutrition Pvt Ltd")</f>
        <v>Hexagon Nutrition Pvt Ltd</v>
      </c>
    </row>
    <row r="1563">
      <c r="H1563" s="19" t="str">
        <f>IFERROR(__xludf.DUMMYFUNCTION("""COMPUTED_VALUE"""),"Hi Tech Pharmaceuticals Pvt Ltd")</f>
        <v>Hi Tech Pharmaceuticals Pvt Ltd</v>
      </c>
    </row>
    <row r="1564">
      <c r="H1564" s="19" t="str">
        <f>IFERROR(__xludf.DUMMYFUNCTION("""COMPUTED_VALUE"""),"Hicare Pharma")</f>
        <v>Hicare Pharma</v>
      </c>
    </row>
    <row r="1565">
      <c r="H1565" s="19" t="str">
        <f>IFERROR(__xludf.DUMMYFUNCTION("""COMPUTED_VALUE"""),"HICKS")</f>
        <v>HICKS</v>
      </c>
    </row>
    <row r="1566">
      <c r="H1566" s="19" t="str">
        <f>IFERROR(__xludf.DUMMYFUNCTION("""COMPUTED_VALUE"""),"HIDUSTAN REMEDIES")</f>
        <v>HIDUSTAN REMEDIES</v>
      </c>
    </row>
    <row r="1567">
      <c r="H1567" s="19" t="str">
        <f>IFERROR(__xludf.DUMMYFUNCTION("""COMPUTED_VALUE"""),"HIGLANCE LABORATORIES")</f>
        <v>HIGLANCE LABORATORIES</v>
      </c>
    </row>
    <row r="1568">
      <c r="H1568" s="19" t="str">
        <f>IFERROR(__xludf.DUMMYFUNCTION("""COMPUTED_VALUE"""),"HIMALAYA (BABY CARE)")</f>
        <v>HIMALAYA (BABY CARE)</v>
      </c>
    </row>
    <row r="1569">
      <c r="H1569" s="19" t="str">
        <f>IFERROR(__xludf.DUMMYFUNCTION("""COMPUTED_VALUE"""),"HIMALAYA (HERBAL)")</f>
        <v>HIMALAYA (HERBAL)</v>
      </c>
    </row>
    <row r="1570">
      <c r="H1570" s="19" t="str">
        <f>IFERROR(__xludf.DUMMYFUNCTION("""COMPUTED_VALUE"""),"HIMALAYA (HOSPITAL &amp; DENTAL)")</f>
        <v>HIMALAYA (HOSPITAL &amp; DENTAL)</v>
      </c>
    </row>
    <row r="1571">
      <c r="H1571" s="19" t="str">
        <f>IFERROR(__xludf.DUMMYFUNCTION("""COMPUTED_VALUE"""),"HIMALAYA (OTX)")</f>
        <v>HIMALAYA (OTX)</v>
      </c>
    </row>
    <row r="1572">
      <c r="H1572" s="19" t="str">
        <f>IFERROR(__xludf.DUMMYFUNCTION("""COMPUTED_VALUE"""),"HIMALAYA (PET CARE)")</f>
        <v>HIMALAYA (PET CARE)</v>
      </c>
    </row>
    <row r="1573">
      <c r="H1573" s="19" t="str">
        <f>IFERROR(__xludf.DUMMYFUNCTION("""COMPUTED_VALUE"""),"HIMALAYA (ZANDRA)")</f>
        <v>HIMALAYA (ZANDRA)</v>
      </c>
    </row>
    <row r="1574">
      <c r="H1574" s="19" t="str">
        <f>IFERROR(__xludf.DUMMYFUNCTION("""COMPUTED_VALUE"""),"HIMALAYA (ZEAL)")</f>
        <v>HIMALAYA (ZEAL)</v>
      </c>
    </row>
    <row r="1575">
      <c r="H1575" s="19" t="str">
        <f>IFERROR(__xludf.DUMMYFUNCTION("""COMPUTED_VALUE"""),"HIMALAYA (ZENITH)")</f>
        <v>HIMALAYA (ZENITH)</v>
      </c>
    </row>
    <row r="1576">
      <c r="H1576" s="19" t="str">
        <f>IFERROR(__xludf.DUMMYFUNCTION("""COMPUTED_VALUE"""),"HIMALAYA (ZEUS)")</f>
        <v>HIMALAYA (ZEUS)</v>
      </c>
    </row>
    <row r="1577">
      <c r="H1577" s="19" t="str">
        <f>IFERROR(__xludf.DUMMYFUNCTION("""COMPUTED_VALUE"""),"HIMALAYA (ZINDEL)")</f>
        <v>HIMALAYA (ZINDEL)</v>
      </c>
    </row>
    <row r="1578">
      <c r="H1578" s="19" t="str">
        <f>IFERROR(__xludf.DUMMYFUNCTION("""COMPUTED_VALUE"""),"HIMALAYA (ZIVANKA)")</f>
        <v>HIMALAYA (ZIVANKA)</v>
      </c>
    </row>
    <row r="1579">
      <c r="H1579" s="19" t="str">
        <f>IFERROR(__xludf.DUMMYFUNCTION("""COMPUTED_VALUE"""),"Himalaya Drug Company")</f>
        <v>Himalaya Drug Company</v>
      </c>
    </row>
    <row r="1580">
      <c r="H1580" s="19" t="str">
        <f>IFERROR(__xludf.DUMMYFUNCTION("""COMPUTED_VALUE"""),"HIMALAYAN MEDICARE PVT LTD")</f>
        <v>HIMALAYAN MEDICARE PVT LTD</v>
      </c>
    </row>
    <row r="1581">
      <c r="H1581" s="19" t="str">
        <f>IFERROR(__xludf.DUMMYFUNCTION("""COMPUTED_VALUE"""),"HIMANI")</f>
        <v>HIMANI</v>
      </c>
    </row>
    <row r="1582">
      <c r="H1582" s="19" t="str">
        <f>IFERROR(__xludf.DUMMYFUNCTION("""COMPUTED_VALUE"""),"HIMANSHU PHARMACEUTICALS P LTD")</f>
        <v>HIMANSHU PHARMACEUTICALS P LTD</v>
      </c>
    </row>
    <row r="1583">
      <c r="H1583" s="19" t="str">
        <f>IFERROR(__xludf.DUMMYFUNCTION("""COMPUTED_VALUE"""),"HIMEROS PHARMA")</f>
        <v>HIMEROS PHARMA</v>
      </c>
    </row>
    <row r="1584">
      <c r="H1584" s="19" t="str">
        <f>IFERROR(__xludf.DUMMYFUNCTION("""COMPUTED_VALUE"""),"HIND C&amp;C WORKS")</f>
        <v>HIND C&amp;C WORKS</v>
      </c>
    </row>
    <row r="1585">
      <c r="H1585" s="19" t="str">
        <f>IFERROR(__xludf.DUMMYFUNCTION("""COMPUTED_VALUE"""),"HIND CHEMICALS")</f>
        <v>HIND CHEMICALS</v>
      </c>
    </row>
    <row r="1586">
      <c r="H1586" s="19" t="str">
        <f>IFERROR(__xludf.DUMMYFUNCTION("""COMPUTED_VALUE"""),"HINDUKUSH BIOPRODUCTS PVT LTD (EMAAR)")</f>
        <v>HINDUKUSH BIOPRODUCTS PVT LTD (EMAAR)</v>
      </c>
    </row>
    <row r="1587">
      <c r="H1587" s="19" t="str">
        <f>IFERROR(__xludf.DUMMYFUNCTION("""COMPUTED_VALUE"""),"HINDUSTAN LATEX FAMILY PLANNING PROMOTION TRUST (HLFPPT)")</f>
        <v>HINDUSTAN LATEX FAMILY PLANNING PROMOTION TRUST (HLFPPT)</v>
      </c>
    </row>
    <row r="1588">
      <c r="H1588" s="19" t="str">
        <f>IFERROR(__xludf.DUMMYFUNCTION("""COMPUTED_VALUE"""),"Hindustan Latex Ltd")</f>
        <v>Hindustan Latex Ltd</v>
      </c>
    </row>
    <row r="1589">
      <c r="H1589" s="19" t="str">
        <f>IFERROR(__xludf.DUMMYFUNCTION("""COMPUTED_VALUE"""),"HINDUSTAN LIFESCIENCES")</f>
        <v>HINDUSTAN LIFESCIENCES</v>
      </c>
    </row>
    <row r="1590">
      <c r="H1590" s="19" t="str">
        <f>IFERROR(__xludf.DUMMYFUNCTION("""COMPUTED_VALUE"""),"HINDUSTAN MEDICARE")</f>
        <v>HINDUSTAN MEDICARE</v>
      </c>
    </row>
    <row r="1591">
      <c r="H1591" s="19" t="str">
        <f>IFERROR(__xludf.DUMMYFUNCTION("""COMPUTED_VALUE"""),"HINDUSTAN PHARMA")</f>
        <v>HINDUSTAN PHARMA</v>
      </c>
    </row>
    <row r="1592">
      <c r="H1592" s="19" t="str">
        <f>IFERROR(__xludf.DUMMYFUNCTION("""COMPUTED_VALUE"""),"HINDUSTAN SYRINGES AND MEDICAL DEVICES")</f>
        <v>HINDUSTAN SYRINGES AND MEDICAL DEVICES</v>
      </c>
    </row>
    <row r="1593">
      <c r="H1593" s="19" t="str">
        <f>IFERROR(__xludf.DUMMYFUNCTION("""COMPUTED_VALUE"""),"HINDUSTAN UNILEVER")</f>
        <v>HINDUSTAN UNILEVER</v>
      </c>
    </row>
    <row r="1594">
      <c r="H1594" s="19" t="str">
        <f>IFERROR(__xludf.DUMMYFUNCTION("""COMPUTED_VALUE"""),"Hindustan Unilever Ltd")</f>
        <v>Hindustan Unilever Ltd</v>
      </c>
    </row>
    <row r="1595">
      <c r="H1595" s="19" t="str">
        <f>IFERROR(__xludf.DUMMYFUNCTION("""COMPUTED_VALUE"""),"HINIKAM DRUGS AND PHARMACEUTICALS")</f>
        <v>HINIKAM DRUGS AND PHARMACEUTICALS</v>
      </c>
    </row>
    <row r="1596">
      <c r="H1596" s="19" t="str">
        <f>IFERROR(__xludf.DUMMYFUNCTION("""COMPUTED_VALUE"""),"HL")</f>
        <v>HL</v>
      </c>
    </row>
    <row r="1597">
      <c r="H1597" s="19" t="str">
        <f>IFERROR(__xludf.DUMMYFUNCTION("""COMPUTED_VALUE"""),"HL HEALTHCARE")</f>
        <v>HL HEALTHCARE</v>
      </c>
    </row>
    <row r="1598">
      <c r="H1598" s="19" t="str">
        <f>IFERROR(__xludf.DUMMYFUNCTION("""COMPUTED_VALUE"""),"HLL Lifecare Ltd")</f>
        <v>HLL Lifecare Ltd</v>
      </c>
    </row>
    <row r="1599">
      <c r="H1599" s="19" t="str">
        <f>IFERROR(__xludf.DUMMYFUNCTION("""COMPUTED_VALUE"""),"HMD LTD")</f>
        <v>HMD LTD</v>
      </c>
    </row>
    <row r="1600">
      <c r="H1600" s="19" t="str">
        <f>IFERROR(__xludf.DUMMYFUNCTION("""COMPUTED_VALUE"""),"HOECHEST")</f>
        <v>HOECHEST</v>
      </c>
    </row>
    <row r="1601">
      <c r="H1601" s="19" t="str">
        <f>IFERROR(__xludf.DUMMYFUNCTION("""COMPUTED_VALUE"""),"HOME REMEDIES")</f>
        <v>HOME REMEDIES</v>
      </c>
    </row>
    <row r="1602">
      <c r="H1602" s="19" t="str">
        <f>IFERROR(__xludf.DUMMYFUNCTION("""COMPUTED_VALUE"""),"HORIZON BIOCEUTICALS PVT LTD")</f>
        <v>HORIZON BIOCEUTICALS PVT LTD</v>
      </c>
    </row>
    <row r="1603">
      <c r="H1603" s="19" t="str">
        <f>IFERROR(__xludf.DUMMYFUNCTION("""COMPUTED_VALUE"""),"HORIZON MEDICAMENT")</f>
        <v>HORIZON MEDICAMENT</v>
      </c>
    </row>
    <row r="1604">
      <c r="H1604" s="19" t="str">
        <f>IFERROR(__xludf.DUMMYFUNCTION("""COMPUTED_VALUE"""),"HORIZON PHARMACEUTICALS")</f>
        <v>HORIZON PHARMACEUTICALS</v>
      </c>
    </row>
    <row r="1605">
      <c r="H1605" s="19" t="str">
        <f>IFERROR(__xludf.DUMMYFUNCTION("""COMPUTED_VALUE"""),"HORWEIZ PHARMACEUTICAL")</f>
        <v>HORWEIZ PHARMACEUTICAL</v>
      </c>
    </row>
    <row r="1606">
      <c r="H1606" s="19" t="str">
        <f>IFERROR(__xludf.DUMMYFUNCTION("""COMPUTED_VALUE"""),"HOYA LENS INDIA")</f>
        <v>HOYA LENS INDIA</v>
      </c>
    </row>
    <row r="1607">
      <c r="H1607" s="19" t="str">
        <f>IFERROR(__xludf.DUMMYFUNCTION("""COMPUTED_VALUE"""),"HP")</f>
        <v>HP</v>
      </c>
    </row>
    <row r="1608">
      <c r="H1608" s="19" t="str">
        <f>IFERROR(__xludf.DUMMYFUNCTION("""COMPUTED_VALUE"""),"HRI HEALTHCARE")</f>
        <v>HRI HEALTHCARE</v>
      </c>
    </row>
    <row r="1609">
      <c r="H1609" s="19" t="str">
        <f>IFERROR(__xludf.DUMMYFUNCTION("""COMPUTED_VALUE"""),"HSL")</f>
        <v>HSL</v>
      </c>
    </row>
    <row r="1610">
      <c r="H1610" s="19" t="str">
        <f>IFERROR(__xludf.DUMMYFUNCTION("""COMPUTED_VALUE"""),"HUMAN BIO ORGANIC")</f>
        <v>HUMAN BIO ORGANIC</v>
      </c>
    </row>
    <row r="1611">
      <c r="H1611" s="19" t="str">
        <f>IFERROR(__xludf.DUMMYFUNCTION("""COMPUTED_VALUE"""),"HUMAN HEALTH CARE")</f>
        <v>HUMAN HEALTH CARE</v>
      </c>
    </row>
    <row r="1612">
      <c r="H1612" s="19" t="str">
        <f>IFERROR(__xludf.DUMMYFUNCTION("""COMPUTED_VALUE"""),"HUMANBIO-LOGICAL PVT LTD")</f>
        <v>HUMANBIO-LOGICAL PVT LTD</v>
      </c>
    </row>
    <row r="1613">
      <c r="H1613" s="19" t="str">
        <f>IFERROR(__xludf.DUMMYFUNCTION("""COMPUTED_VALUE"""),"HUMMOCK PHARMACEUTICALS PVT LTD")</f>
        <v>HUMMOCK PHARMACEUTICALS PVT LTD</v>
      </c>
    </row>
    <row r="1614">
      <c r="H1614" s="19" t="str">
        <f>IFERROR(__xludf.DUMMYFUNCTION("""COMPUTED_VALUE"""),"HUMONYX BIOSCIENCE PVT LTD")</f>
        <v>HUMONYX BIOSCIENCE PVT LTD</v>
      </c>
    </row>
    <row r="1615">
      <c r="H1615" s="19" t="str">
        <f>IFERROR(__xludf.DUMMYFUNCTION("""COMPUTED_VALUE"""),"HUMPS INDIA PVT LTD")</f>
        <v>HUMPS INDIA PVT LTD</v>
      </c>
    </row>
    <row r="1616">
      <c r="H1616" s="19" t="str">
        <f>IFERROR(__xludf.DUMMYFUNCTION("""COMPUTED_VALUE"""),"HYGEIA LABS")</f>
        <v>HYGEIA LABS</v>
      </c>
    </row>
    <row r="1617">
      <c r="H1617" s="19" t="str">
        <f>IFERROR(__xludf.DUMMYFUNCTION("""COMPUTED_VALUE"""),"HYGEIA LABS (H)")</f>
        <v>HYGEIA LABS (H)</v>
      </c>
    </row>
    <row r="1618">
      <c r="H1618" s="19" t="str">
        <f>IFERROR(__xludf.DUMMYFUNCTION("""COMPUTED_VALUE"""),"HYGIENIC RESEARCH INSTITUTE")</f>
        <v>HYGIENIC RESEARCH INSTITUTE</v>
      </c>
    </row>
    <row r="1619">
      <c r="H1619" s="19" t="str">
        <f>IFERROR(__xludf.DUMMYFUNCTION("""COMPUTED_VALUE"""),"HYMAX HEALTHCARE P LTD")</f>
        <v>HYMAX HEALTHCARE P LTD</v>
      </c>
    </row>
    <row r="1620">
      <c r="H1620" s="19" t="str">
        <f>IFERROR(__xludf.DUMMYFUNCTION("""COMPUTED_VALUE"""),"HYPATOS PHARMACEUTICALS PVT LTD")</f>
        <v>HYPATOS PHARMACEUTICALS PVT LTD</v>
      </c>
    </row>
    <row r="1621">
      <c r="H1621" s="19" t="str">
        <f>IFERROR(__xludf.DUMMYFUNCTION("""COMPUTED_VALUE"""),"HYPOLIN")</f>
        <v>HYPOLIN</v>
      </c>
    </row>
    <row r="1622">
      <c r="H1622" s="19" t="str">
        <f>IFERROR(__xludf.DUMMYFUNCTION("""COMPUTED_VALUE"""),"I CONNECT")</f>
        <v>I CONNECT</v>
      </c>
    </row>
    <row r="1623">
      <c r="H1623" s="19" t="str">
        <f>IFERROR(__xludf.DUMMYFUNCTION("""COMPUTED_VALUE"""),"IBERIA SKIN BRANDS INDIA PVT LTD")</f>
        <v>IBERIA SKIN BRANDS INDIA PVT LTD</v>
      </c>
    </row>
    <row r="1624">
      <c r="H1624" s="19" t="str">
        <f>IFERROR(__xludf.DUMMYFUNCTION("""COMPUTED_VALUE"""),"IBLUE (GENERIC)")</f>
        <v>IBLUE (GENERIC)</v>
      </c>
    </row>
    <row r="1625">
      <c r="H1625" s="19" t="str">
        <f>IFERROR(__xludf.DUMMYFUNCTION("""COMPUTED_VALUE"""),"ICON (IMPETUS)")</f>
        <v>ICON (IMPETUS)</v>
      </c>
    </row>
    <row r="1626">
      <c r="H1626" s="19" t="str">
        <f>IFERROR(__xludf.DUMMYFUNCTION("""COMPUTED_VALUE"""),"ICON (ITTRIA)")</f>
        <v>ICON (ITTRIA)</v>
      </c>
    </row>
    <row r="1627">
      <c r="H1627" s="19" t="str">
        <f>IFERROR(__xludf.DUMMYFUNCTION("""COMPUTED_VALUE"""),"ICON HEALTH CARE")</f>
        <v>ICON HEALTH CARE</v>
      </c>
    </row>
    <row r="1628">
      <c r="H1628" s="19" t="str">
        <f>IFERROR(__xludf.DUMMYFUNCTION("""COMPUTED_VALUE"""),"Icon Life Sciences")</f>
        <v>Icon Life Sciences</v>
      </c>
    </row>
    <row r="1629">
      <c r="H1629" s="19" t="str">
        <f>IFERROR(__xludf.DUMMYFUNCTION("""COMPUTED_VALUE"""),"Icon Pharma &amp; Surgicals Pvt Ltd")</f>
        <v>Icon Pharma &amp; Surgicals Pvt Ltd</v>
      </c>
    </row>
    <row r="1630">
      <c r="H1630" s="19" t="str">
        <f>IFERROR(__xludf.DUMMYFUNCTION("""COMPUTED_VALUE"""),"Icpa Health Products Ltd")</f>
        <v>Icpa Health Products Ltd</v>
      </c>
    </row>
    <row r="1631">
      <c r="H1631" s="19" t="str">
        <f>IFERROR(__xludf.DUMMYFUNCTION("""COMPUTED_VALUE"""),"IDEM HEALTH PRODUCTS PVT LTD")</f>
        <v>IDEM HEALTH PRODUCTS PVT LTD</v>
      </c>
    </row>
    <row r="1632">
      <c r="H1632" s="19" t="str">
        <f>IFERROR(__xludf.DUMMYFUNCTION("""COMPUTED_VALUE"""),"IIFA HEALTHCARE")</f>
        <v>IIFA HEALTHCARE</v>
      </c>
    </row>
    <row r="1633">
      <c r="H1633" s="19" t="str">
        <f>IFERROR(__xludf.DUMMYFUNCTION("""COMPUTED_VALUE"""),"Ikon Pharmachem Pvt Ltd")</f>
        <v>Ikon Pharmachem Pvt Ltd</v>
      </c>
    </row>
    <row r="1634">
      <c r="H1634" s="19" t="str">
        <f>IFERROR(__xludf.DUMMYFUNCTION("""COMPUTED_VALUE"""),"IKON REMEDIES")</f>
        <v>IKON REMEDIES</v>
      </c>
    </row>
    <row r="1635">
      <c r="H1635" s="19" t="str">
        <f>IFERROR(__xludf.DUMMYFUNCTION("""COMPUTED_VALUE"""),"IKON REMEDIES (GENERIC)")</f>
        <v>IKON REMEDIES (GENERIC)</v>
      </c>
    </row>
    <row r="1636">
      <c r="H1636" s="19" t="str">
        <f>IFERROR(__xludf.DUMMYFUNCTION("""COMPUTED_VALUE"""),"IKRAF LIFESCIENCES")</f>
        <v>IKRAF LIFESCIENCES</v>
      </c>
    </row>
    <row r="1637">
      <c r="H1637" s="19" t="str">
        <f>IFERROR(__xludf.DUMMYFUNCTION("""COMPUTED_VALUE"""),"IM")</f>
        <v>IM</v>
      </c>
    </row>
    <row r="1638">
      <c r="H1638" s="19" t="str">
        <f>IFERROR(__xludf.DUMMYFUNCTION("""COMPUTED_VALUE"""),"IMC")</f>
        <v>IMC</v>
      </c>
    </row>
    <row r="1639">
      <c r="H1639" s="19" t="str">
        <f>IFERROR(__xludf.DUMMYFUNCTION("""COMPUTED_VALUE"""),"IN MED THERAPEUTICS")</f>
        <v>IN MED THERAPEUTICS</v>
      </c>
    </row>
    <row r="1640">
      <c r="H1640" s="19" t="str">
        <f>IFERROR(__xludf.DUMMYFUNCTION("""COMPUTED_VALUE"""),"INAVARS BIOLOGICALS INC")</f>
        <v>INAVARS BIOLOGICALS INC</v>
      </c>
    </row>
    <row r="1641">
      <c r="H1641" s="19" t="str">
        <f>IFERROR(__xludf.DUMMYFUNCTION("""COMPUTED_VALUE"""),"INCEPTA PHARMACEUTICALS LTD")</f>
        <v>INCEPTA PHARMACEUTICALS LTD</v>
      </c>
    </row>
    <row r="1642">
      <c r="H1642" s="19" t="str">
        <f>IFERROR(__xludf.DUMMYFUNCTION("""COMPUTED_VALUE"""),"INCIPE PHARMACEUTICAL")</f>
        <v>INCIPE PHARMACEUTICAL</v>
      </c>
    </row>
    <row r="1643">
      <c r="H1643" s="19" t="str">
        <f>IFERROR(__xludf.DUMMYFUNCTION("""COMPUTED_VALUE"""),"IND RUSSIAN")</f>
        <v>IND RUSSIAN</v>
      </c>
    </row>
    <row r="1644">
      <c r="H1644" s="19" t="str">
        <f>IFERROR(__xludf.DUMMYFUNCTION("""COMPUTED_VALUE"""),"Ind Swift (CARDIOSWIFT)")</f>
        <v>Ind Swift (CARDIOSWIFT)</v>
      </c>
    </row>
    <row r="1645">
      <c r="H1645" s="19" t="str">
        <f>IFERROR(__xludf.DUMMYFUNCTION("""COMPUTED_VALUE"""),"Ind Swift (GYANOSWIFT)")</f>
        <v>Ind Swift (GYANOSWIFT)</v>
      </c>
    </row>
    <row r="1646">
      <c r="H1646" s="19" t="str">
        <f>IFERROR(__xludf.DUMMYFUNCTION("""COMPUTED_VALUE"""),"Ind Swift (MEGASWIFT)")</f>
        <v>Ind Swift (MEGASWIFT)</v>
      </c>
    </row>
    <row r="1647">
      <c r="H1647" s="19" t="str">
        <f>IFERROR(__xludf.DUMMYFUNCTION("""COMPUTED_VALUE"""),"Ind Swift (NEUTRAMATRIX)")</f>
        <v>Ind Swift (NEUTRAMATRIX)</v>
      </c>
    </row>
    <row r="1648">
      <c r="H1648" s="19" t="str">
        <f>IFERROR(__xludf.DUMMYFUNCTION("""COMPUTED_VALUE"""),"Ind Swift Laboratories (GENERIC)")</f>
        <v>Ind Swift Laboratories (GENERIC)</v>
      </c>
    </row>
    <row r="1649">
      <c r="H1649" s="19" t="str">
        <f>IFERROR(__xludf.DUMMYFUNCTION("""COMPUTED_VALUE"""),"Ind Swift Laboratories Ltd")</f>
        <v>Ind Swift Laboratories Ltd</v>
      </c>
    </row>
    <row r="1650">
      <c r="H1650" s="19" t="str">
        <f>IFERROR(__xludf.DUMMYFUNCTION("""COMPUTED_VALUE"""),"Indchemi Health Specialies Pvt Ltd")</f>
        <v>Indchemi Health Specialies Pvt Ltd</v>
      </c>
    </row>
    <row r="1651">
      <c r="H1651" s="19" t="str">
        <f>IFERROR(__xludf.DUMMYFUNCTION("""COMPUTED_VALUE"""),"INDEX PHARMA")</f>
        <v>INDEX PHARMA</v>
      </c>
    </row>
    <row r="1652">
      <c r="H1652" s="19" t="str">
        <f>IFERROR(__xludf.DUMMYFUNCTION("""COMPUTED_VALUE"""),"Indi Pharma")</f>
        <v>Indi Pharma</v>
      </c>
    </row>
    <row r="1653">
      <c r="H1653" s="19" t="str">
        <f>IFERROR(__xludf.DUMMYFUNCTION("""COMPUTED_VALUE"""),"INDIABULLS (CRITICA)")</f>
        <v>INDIABULLS (CRITICA)</v>
      </c>
    </row>
    <row r="1654">
      <c r="H1654" s="19" t="str">
        <f>IFERROR(__xludf.DUMMYFUNCTION("""COMPUTED_VALUE"""),"INDIABULLS (CVD)")</f>
        <v>INDIABULLS (CVD)</v>
      </c>
    </row>
    <row r="1655">
      <c r="H1655" s="19" t="str">
        <f>IFERROR(__xludf.DUMMYFUNCTION("""COMPUTED_VALUE"""),"INDIABULLS (DERMANEX 1)")</f>
        <v>INDIABULLS (DERMANEX 1)</v>
      </c>
    </row>
    <row r="1656">
      <c r="H1656" s="19" t="str">
        <f>IFERROR(__xludf.DUMMYFUNCTION("""COMPUTED_VALUE"""),"INDIABULLS (DERMANEX 2)")</f>
        <v>INDIABULLS (DERMANEX 2)</v>
      </c>
    </row>
    <row r="1657">
      <c r="H1657" s="19" t="str">
        <f>IFERROR(__xludf.DUMMYFUNCTION("""COMPUTED_VALUE"""),"INDIABULLS (DERMANEX 3)")</f>
        <v>INDIABULLS (DERMANEX 3)</v>
      </c>
    </row>
    <row r="1658">
      <c r="H1658" s="19" t="str">
        <f>IFERROR(__xludf.DUMMYFUNCTION("""COMPUTED_VALUE"""),"INDIABULLS (FEMINEX)")</f>
        <v>INDIABULLS (FEMINEX)</v>
      </c>
    </row>
    <row r="1659">
      <c r="H1659" s="19" t="str">
        <f>IFERROR(__xludf.DUMMYFUNCTION("""COMPUTED_VALUE"""),"INDIABULLS (INVICTA)")</f>
        <v>INDIABULLS (INVICTA)</v>
      </c>
    </row>
    <row r="1660">
      <c r="H1660" s="19" t="str">
        <f>IFERROR(__xludf.DUMMYFUNCTION("""COMPUTED_VALUE"""),"INDIABULLS (NEXPIRA)")</f>
        <v>INDIABULLS (NEXPIRA)</v>
      </c>
    </row>
    <row r="1661">
      <c r="H1661" s="19" t="str">
        <f>IFERROR(__xludf.DUMMYFUNCTION("""COMPUTED_VALUE"""),"INDIABULLS (PEDIA)")</f>
        <v>INDIABULLS (PEDIA)</v>
      </c>
    </row>
    <row r="1662">
      <c r="H1662" s="19" t="str">
        <f>IFERROR(__xludf.DUMMYFUNCTION("""COMPUTED_VALUE"""),"INDIABULLS (PHARMACEUTICAL)")</f>
        <v>INDIABULLS (PHARMACEUTICAL)</v>
      </c>
    </row>
    <row r="1663">
      <c r="H1663" s="19" t="str">
        <f>IFERROR(__xludf.DUMMYFUNCTION("""COMPUTED_VALUE"""),"INDIABULLS (PRIMA)")</f>
        <v>INDIABULLS (PRIMA)</v>
      </c>
    </row>
    <row r="1664">
      <c r="H1664" s="19" t="str">
        <f>IFERROR(__xludf.DUMMYFUNCTION("""COMPUTED_VALUE"""),"INDIABULLS (VESTA)")</f>
        <v>INDIABULLS (VESTA)</v>
      </c>
    </row>
    <row r="1665">
      <c r="H1665" s="19" t="str">
        <f>IFERROR(__xludf.DUMMYFUNCTION("""COMPUTED_VALUE"""),"INDIABULLS PHARMACEUTICAL")</f>
        <v>INDIABULLS PHARMACEUTICAL</v>
      </c>
    </row>
    <row r="1666">
      <c r="H1666" s="19" t="str">
        <f>IFERROR(__xludf.DUMMYFUNCTION("""COMPUTED_VALUE"""),"INDIAN CHEMICAL WORKS")</f>
        <v>INDIAN CHEMICAL WORKS</v>
      </c>
    </row>
    <row r="1667">
      <c r="H1667" s="19" t="str">
        <f>IFERROR(__xludf.DUMMYFUNCTION("""COMPUTED_VALUE"""),"Indian Immunologicals Ltd")</f>
        <v>Indian Immunologicals Ltd</v>
      </c>
    </row>
    <row r="1668">
      <c r="H1668" s="19" t="str">
        <f>IFERROR(__xludf.DUMMYFUNCTION("""COMPUTED_VALUE"""),"INDIAN TRADERS (OEP)")</f>
        <v>INDIAN TRADERS (OEP)</v>
      </c>
    </row>
    <row r="1669">
      <c r="H1669" s="19" t="str">
        <f>IFERROR(__xludf.DUMMYFUNCTION("""COMPUTED_VALUE"""),"Indica Laboratories Pvt Ltd")</f>
        <v>Indica Laboratories Pvt Ltd</v>
      </c>
    </row>
    <row r="1670">
      <c r="H1670" s="19" t="str">
        <f>IFERROR(__xludf.DUMMYFUNCTION("""COMPUTED_VALUE"""),"INDILINA PHARMACEUTICALS")</f>
        <v>INDILINA PHARMACEUTICALS</v>
      </c>
    </row>
    <row r="1671">
      <c r="H1671" s="19" t="str">
        <f>IFERROR(__xludf.DUMMYFUNCTION("""COMPUTED_VALUE"""),"Indkus Drugs &amp; Pharma Pvt. Ltd")</f>
        <v>Indkus Drugs &amp; Pharma Pvt. Ltd</v>
      </c>
    </row>
    <row r="1672">
      <c r="H1672" s="19" t="str">
        <f>IFERROR(__xludf.DUMMYFUNCTION("""COMPUTED_VALUE"""),"Indkus Drugs &amp; Pharma Pvt. Ltd.")</f>
        <v>Indkus Drugs &amp; Pharma Pvt. Ltd.</v>
      </c>
    </row>
    <row r="1673">
      <c r="H1673" s="19" t="str">
        <f>IFERROR(__xludf.DUMMYFUNCTION("""COMPUTED_VALUE"""),"INDOCO REMEDIES (WARREN-EXEL)")</f>
        <v>INDOCO REMEDIES (WARREN-EXEL)</v>
      </c>
    </row>
    <row r="1674">
      <c r="H1674" s="19" t="str">
        <f>IFERROR(__xludf.DUMMYFUNCTION("""COMPUTED_VALUE"""),"INDOCO REMEDIES (WARREN)")</f>
        <v>INDOCO REMEDIES (WARREN)</v>
      </c>
    </row>
    <row r="1675">
      <c r="H1675" s="19" t="str">
        <f>IFERROR(__xludf.DUMMYFUNCTION("""COMPUTED_VALUE"""),"Indoco Remedies Ltd")</f>
        <v>Indoco Remedies Ltd</v>
      </c>
    </row>
    <row r="1676">
      <c r="H1676" s="19" t="str">
        <f>IFERROR(__xludf.DUMMYFUNCTION("""COMPUTED_VALUE"""),"INDON HEALTHCARE LTD.")</f>
        <v>INDON HEALTHCARE LTD.</v>
      </c>
    </row>
    <row r="1677">
      <c r="H1677" s="19" t="str">
        <f>IFERROR(__xludf.DUMMYFUNCTION("""COMPUTED_VALUE"""),"INDORE MEDICINE HOUSE (COMMON)")</f>
        <v>INDORE MEDICINE HOUSE (COMMON)</v>
      </c>
    </row>
    <row r="1678">
      <c r="H1678" s="19" t="str">
        <f>IFERROR(__xludf.DUMMYFUNCTION("""COMPUTED_VALUE"""),"INDORE MEDICINE HOUSE (VETERINARY)")</f>
        <v>INDORE MEDICINE HOUSE (VETERINARY)</v>
      </c>
    </row>
    <row r="1679">
      <c r="H1679" s="19" t="str">
        <f>IFERROR(__xludf.DUMMYFUNCTION("""COMPUTED_VALUE"""),"INDOSS LIFE SCIENCES")</f>
        <v>INDOSS LIFE SCIENCES</v>
      </c>
    </row>
    <row r="1680">
      <c r="H1680" s="19" t="str">
        <f>IFERROR(__xludf.DUMMYFUNCTION("""COMPUTED_VALUE"""),"INDUS MEDITECH P LTD")</f>
        <v>INDUS MEDITECH P LTD</v>
      </c>
    </row>
    <row r="1681">
      <c r="H1681" s="19" t="str">
        <f>IFERROR(__xludf.DUMMYFUNCTION("""COMPUTED_VALUE"""),"INDUSKEN")</f>
        <v>INDUSKEN</v>
      </c>
    </row>
    <row r="1682">
      <c r="H1682" s="19" t="str">
        <f>IFERROR(__xludf.DUMMYFUNCTION("""COMPUTED_VALUE"""),"Infar (India) Ltd.")</f>
        <v>Infar (India) Ltd.</v>
      </c>
    </row>
    <row r="1683">
      <c r="H1683" s="19" t="str">
        <f>IFERROR(__xludf.DUMMYFUNCTION("""COMPUTED_VALUE"""),"INGA LABORATORIES")</f>
        <v>INGA LABORATORIES</v>
      </c>
    </row>
    <row r="1684">
      <c r="H1684" s="19" t="str">
        <f>IFERROR(__xludf.DUMMYFUNCTION("""COMPUTED_VALUE"""),"INGOLDSHIELD PHARMA")</f>
        <v>INGOLDSHIELD PHARMA</v>
      </c>
    </row>
    <row r="1685">
      <c r="H1685" s="19" t="str">
        <f>IFERROR(__xludf.DUMMYFUNCTION("""COMPUTED_VALUE"""),"INIZIA HEALTHCARE")</f>
        <v>INIZIA HEALTHCARE</v>
      </c>
    </row>
    <row r="1686">
      <c r="H1686" s="19" t="str">
        <f>IFERROR(__xludf.DUMMYFUNCTION("""COMPUTED_VALUE"""),"INIZIA HEALTHCARE (CENURA)")</f>
        <v>INIZIA HEALTHCARE (CENURA)</v>
      </c>
    </row>
    <row r="1687">
      <c r="H1687" s="19" t="str">
        <f>IFERROR(__xludf.DUMMYFUNCTION("""COMPUTED_VALUE"""),"INJAYS PHARMACEUTICALS P LTD")</f>
        <v>INJAYS PHARMACEUTICALS P LTD</v>
      </c>
    </row>
    <row r="1688">
      <c r="H1688" s="19" t="str">
        <f>IFERROR(__xludf.DUMMYFUNCTION("""COMPUTED_VALUE"""),"INJECT CARE PARENTERALS")</f>
        <v>INJECT CARE PARENTERALS</v>
      </c>
    </row>
    <row r="1689">
      <c r="H1689" s="19" t="str">
        <f>IFERROR(__xludf.DUMMYFUNCTION("""COMPUTED_VALUE"""),"INJECTO CAPTA PVT.LTD.")</f>
        <v>INJECTO CAPTA PVT.LTD.</v>
      </c>
    </row>
    <row r="1690">
      <c r="H1690" s="19" t="str">
        <f>IFERROR(__xludf.DUMMYFUNCTION("""COMPUTED_VALUE"""),"INNATE BIOTECH")</f>
        <v>INNATE BIOTECH</v>
      </c>
    </row>
    <row r="1691">
      <c r="H1691" s="19" t="str">
        <f>IFERROR(__xludf.DUMMYFUNCTION("""COMPUTED_VALUE"""),"INNOVA FORMULATION PVT LTD")</f>
        <v>INNOVA FORMULATION PVT LTD</v>
      </c>
    </row>
    <row r="1692">
      <c r="H1692" s="19" t="str">
        <f>IFERROR(__xludf.DUMMYFUNCTION("""COMPUTED_VALUE"""),"INNOVATIVE")</f>
        <v>INNOVATIVE</v>
      </c>
    </row>
    <row r="1693">
      <c r="H1693" s="19" t="str">
        <f>IFERROR(__xludf.DUMMYFUNCTION("""COMPUTED_VALUE"""),"Innovative Lifesciences")</f>
        <v>Innovative Lifesciences</v>
      </c>
    </row>
    <row r="1694">
      <c r="H1694" s="19" t="str">
        <f>IFERROR(__xludf.DUMMYFUNCTION("""COMPUTED_VALUE"""),"INNOVATIVE PHARMACEUTICALS (GENERIC)")</f>
        <v>INNOVATIVE PHARMACEUTICALS (GENERIC)</v>
      </c>
    </row>
    <row r="1695">
      <c r="H1695" s="19" t="str">
        <f>IFERROR(__xludf.DUMMYFUNCTION("""COMPUTED_VALUE"""),"INNOVCARE LIFESCIENCE (ALTIUS)")</f>
        <v>INNOVCARE LIFESCIENCE (ALTIUS)</v>
      </c>
    </row>
    <row r="1696">
      <c r="H1696" s="19" t="str">
        <f>IFERROR(__xludf.DUMMYFUNCTION("""COMPUTED_VALUE"""),"INNOVCARE LIFESCIENCES")</f>
        <v>INNOVCARE LIFESCIENCES</v>
      </c>
    </row>
    <row r="1697">
      <c r="H1697" s="19" t="str">
        <f>IFERROR(__xludf.DUMMYFUNCTION("""COMPUTED_VALUE"""),"INNOVEXIA LIFE SCIENCES")</f>
        <v>INNOVEXIA LIFE SCIENCES</v>
      </c>
    </row>
    <row r="1698">
      <c r="H1698" s="19" t="str">
        <f>IFERROR(__xludf.DUMMYFUNCTION("""COMPUTED_VALUE"""),"INNOVEXIA LIFE SCIENCES PVT LTD")</f>
        <v>INNOVEXIA LIFE SCIENCES PVT LTD</v>
      </c>
    </row>
    <row r="1699">
      <c r="H1699" s="19" t="str">
        <f>IFERROR(__xludf.DUMMYFUNCTION("""COMPUTED_VALUE"""),"INNOVWELL PHARMACEUTICALS PVT LTD")</f>
        <v>INNOVWELL PHARMACEUTICALS PVT LTD</v>
      </c>
    </row>
    <row r="1700">
      <c r="H1700" s="19" t="str">
        <f>IFERROR(__xludf.DUMMYFUNCTION("""COMPUTED_VALUE"""),"INOWELL PHARMA (GYNEAC)")</f>
        <v>INOWELL PHARMA (GYNEAC)</v>
      </c>
    </row>
    <row r="1701">
      <c r="H1701" s="19" t="str">
        <f>IFERROR(__xludf.DUMMYFUNCTION("""COMPUTED_VALUE"""),"INSIGHT EYECARE")</f>
        <v>INSIGHT EYECARE</v>
      </c>
    </row>
    <row r="1702">
      <c r="H1702" s="19" t="str">
        <f>IFERROR(__xludf.DUMMYFUNCTION("""COMPUTED_VALUE"""),"INTAS (ADRINA)")</f>
        <v>INTAS (ADRINA)</v>
      </c>
    </row>
    <row r="1703">
      <c r="H1703" s="19" t="str">
        <f>IFERROR(__xludf.DUMMYFUNCTION("""COMPUTED_VALUE"""),"INTAS (ALAIRA)")</f>
        <v>INTAS (ALAIRA)</v>
      </c>
    </row>
    <row r="1704">
      <c r="H1704" s="19" t="str">
        <f>IFERROR(__xludf.DUMMYFUNCTION("""COMPUTED_VALUE"""),"INTAS (ALECTA)")</f>
        <v>INTAS (ALECTA)</v>
      </c>
    </row>
    <row r="1705">
      <c r="H1705" s="19" t="str">
        <f>IFERROR(__xludf.DUMMYFUNCTION("""COMPUTED_VALUE"""),"INTAS (ALERON)")</f>
        <v>INTAS (ALERON)</v>
      </c>
    </row>
    <row r="1706">
      <c r="H1706" s="19" t="str">
        <f>IFERROR(__xludf.DUMMYFUNCTION("""COMPUTED_VALUE"""),"INTAS (ALTIMA)")</f>
        <v>INTAS (ALTIMA)</v>
      </c>
    </row>
    <row r="1707">
      <c r="H1707" s="19" t="str">
        <f>IFERROR(__xludf.DUMMYFUNCTION("""COMPUTED_VALUE"""),"INTAS (ALTIS)")</f>
        <v>INTAS (ALTIS)</v>
      </c>
    </row>
    <row r="1708">
      <c r="H1708" s="19" t="str">
        <f>IFERROR(__xludf.DUMMYFUNCTION("""COMPUTED_VALUE"""),"INTAS (ANDRE)")</f>
        <v>INTAS (ANDRE)</v>
      </c>
    </row>
    <row r="1709">
      <c r="H1709" s="19" t="str">
        <f>IFERROR(__xludf.DUMMYFUNCTION("""COMPUTED_VALUE"""),"INTAS (AQUILA)")</f>
        <v>INTAS (AQUILA)</v>
      </c>
    </row>
    <row r="1710">
      <c r="H1710" s="19" t="str">
        <f>IFERROR(__xludf.DUMMYFUNCTION("""COMPUTED_VALUE"""),"INTAS (ARRON)")</f>
        <v>INTAS (ARRON)</v>
      </c>
    </row>
    <row r="1711">
      <c r="H1711" s="19" t="str">
        <f>IFERROR(__xludf.DUMMYFUNCTION("""COMPUTED_VALUE"""),"INTAS (ASPIRA)")</f>
        <v>INTAS (ASPIRA)</v>
      </c>
    </row>
    <row r="1712">
      <c r="H1712" s="19" t="str">
        <f>IFERROR(__xludf.DUMMYFUNCTION("""COMPUTED_VALUE"""),"INTAS (ASTERA)")</f>
        <v>INTAS (ASTERA)</v>
      </c>
    </row>
    <row r="1713">
      <c r="H1713" s="19" t="str">
        <f>IFERROR(__xludf.DUMMYFUNCTION("""COMPUTED_VALUE"""),"INTAS (AVANTA)")</f>
        <v>INTAS (AVANTA)</v>
      </c>
    </row>
    <row r="1714">
      <c r="H1714" s="19" t="str">
        <f>IFERROR(__xludf.DUMMYFUNCTION("""COMPUTED_VALUE"""),"INTAS (AVIOR)")</f>
        <v>INTAS (AVIOR)</v>
      </c>
    </row>
    <row r="1715">
      <c r="H1715" s="19" t="str">
        <f>IFERROR(__xludf.DUMMYFUNCTION("""COMPUTED_VALUE"""),"INTAS (AYOKKA)")</f>
        <v>INTAS (AYOKKA)</v>
      </c>
    </row>
    <row r="1716">
      <c r="H1716" s="19" t="str">
        <f>IFERROR(__xludf.DUMMYFUNCTION("""COMPUTED_VALUE"""),"INTAS (INARA)")</f>
        <v>INTAS (INARA)</v>
      </c>
    </row>
    <row r="1717">
      <c r="H1717" s="19" t="str">
        <f>IFERROR(__xludf.DUMMYFUNCTION("""COMPUTED_VALUE"""),"INTAS (NEPHROLOGY)")</f>
        <v>INTAS (NEPHROLOGY)</v>
      </c>
    </row>
    <row r="1718">
      <c r="H1718" s="19" t="str">
        <f>IFERROR(__xludf.DUMMYFUNCTION("""COMPUTED_VALUE"""),"INTAS (ONCOLOGY)")</f>
        <v>INTAS (ONCOLOGY)</v>
      </c>
    </row>
    <row r="1719">
      <c r="H1719" s="19" t="str">
        <f>IFERROR(__xludf.DUMMYFUNCTION("""COMPUTED_VALUE"""),"INTAS (OPTIMA)")</f>
        <v>INTAS (OPTIMA)</v>
      </c>
    </row>
    <row r="1720">
      <c r="H1720" s="19" t="str">
        <f>IFERROR(__xludf.DUMMYFUNCTION("""COMPUTED_VALUE"""),"INTAS (PHARMA)")</f>
        <v>INTAS (PHARMA)</v>
      </c>
    </row>
    <row r="1721">
      <c r="H1721" s="19" t="str">
        <f>IFERROR(__xludf.DUMMYFUNCTION("""COMPUTED_VALUE"""),"INTAS (SPECIALITIES)")</f>
        <v>INTAS (SPECIALITIES)</v>
      </c>
    </row>
    <row r="1722">
      <c r="H1722" s="19" t="str">
        <f>IFERROR(__xludf.DUMMYFUNCTION("""COMPUTED_VALUE"""),"INTAS (SUPRIMA)")</f>
        <v>INTAS (SUPRIMA)</v>
      </c>
    </row>
    <row r="1723">
      <c r="H1723" s="19" t="str">
        <f>IFERROR(__xludf.DUMMYFUNCTION("""COMPUTED_VALUE"""),"INTAS (SUPRIVA)")</f>
        <v>INTAS (SUPRIVA)</v>
      </c>
    </row>
    <row r="1724">
      <c r="H1724" s="19" t="str">
        <f>IFERROR(__xludf.DUMMYFUNCTION("""COMPUTED_VALUE"""),"INTAS (SURIVA)")</f>
        <v>INTAS (SURIVA)</v>
      </c>
    </row>
    <row r="1725">
      <c r="H1725" s="19" t="str">
        <f>IFERROR(__xludf.DUMMYFUNCTION("""COMPUTED_VALUE"""),"INTAS (SYBELLA)")</f>
        <v>INTAS (SYBELLA)</v>
      </c>
    </row>
    <row r="1726">
      <c r="H1726" s="19" t="str">
        <f>IFERROR(__xludf.DUMMYFUNCTION("""COMPUTED_VALUE"""),"INTAS (UROLOGY)")</f>
        <v>INTAS (UROLOGY)</v>
      </c>
    </row>
    <row r="1727">
      <c r="H1727" s="19" t="str">
        <f>IFERROR(__xludf.DUMMYFUNCTION("""COMPUTED_VALUE"""),"INTAS (VECTOR)")</f>
        <v>INTAS (VECTOR)</v>
      </c>
    </row>
    <row r="1728">
      <c r="H1728" s="19" t="str">
        <f>IFERROR(__xludf.DUMMYFUNCTION("""COMPUTED_VALUE"""),"INTAS (VIVIA)")</f>
        <v>INTAS (VIVIA)</v>
      </c>
    </row>
    <row r="1729">
      <c r="H1729" s="19" t="str">
        <f>IFERROR(__xludf.DUMMYFUNCTION("""COMPUTED_VALUE"""),"INTAS (XENITH)")</f>
        <v>INTAS (XENITH)</v>
      </c>
    </row>
    <row r="1730">
      <c r="H1730" s="19" t="str">
        <f>IFERROR(__xludf.DUMMYFUNCTION("""COMPUTED_VALUE"""),"INTAS (ZONALTA)")</f>
        <v>INTAS (ZONALTA)</v>
      </c>
    </row>
    <row r="1731">
      <c r="H1731" s="19" t="str">
        <f>IFERROR(__xludf.DUMMYFUNCTION("""COMPUTED_VALUE"""),"Intas Pharmaceuticals Ltd")</f>
        <v>Intas Pharmaceuticals Ltd</v>
      </c>
    </row>
    <row r="1732">
      <c r="H1732" s="19" t="str">
        <f>IFERROR(__xludf.DUMMYFUNCTION("""COMPUTED_VALUE"""),"Intas Pharmaceuticals Ltd (GENERIC)")</f>
        <v>Intas Pharmaceuticals Ltd (GENERIC)</v>
      </c>
    </row>
    <row r="1733">
      <c r="H1733" s="19" t="str">
        <f>IFERROR(__xludf.DUMMYFUNCTION("""COMPUTED_VALUE"""),"Integra Life Sciences (P) Ltd. (Alfa Igra Inc.)")</f>
        <v>Integra Life Sciences (P) Ltd. (Alfa Igra Inc.)</v>
      </c>
    </row>
    <row r="1734">
      <c r="H1734" s="19" t="str">
        <f>IFERROR(__xludf.DUMMYFUNCTION("""COMPUTED_VALUE"""),"Integra Life Sciences (P) Ltd. (Alfa Igra Inc.)
")</f>
        <v>Integra Life Sciences (P) Ltd. (Alfa Igra Inc.)
</v>
      </c>
    </row>
    <row r="1735">
      <c r="H1735" s="19" t="str">
        <f>IFERROR(__xludf.DUMMYFUNCTION("""COMPUTED_VALUE"""),"INTEGRAL LIFE SCIENCES")</f>
        <v>INTEGRAL LIFE SCIENCES</v>
      </c>
    </row>
    <row r="1736">
      <c r="H1736" s="19" t="str">
        <f>IFERROR(__xludf.DUMMYFUNCTION("""COMPUTED_VALUE"""),"INTEGRAL LIFE SCIENCES (SS)")</f>
        <v>INTEGRAL LIFE SCIENCES (SS)</v>
      </c>
    </row>
    <row r="1737">
      <c r="H1737" s="19" t="str">
        <f>IFERROR(__xludf.DUMMYFUNCTION("""COMPUTED_VALUE"""),"INTEGRATED LABORATORIES PVT LTD")</f>
        <v>INTEGRATED LABORATORIES PVT LTD</v>
      </c>
    </row>
    <row r="1738">
      <c r="H1738" s="19" t="str">
        <f>IFERROR(__xludf.DUMMYFUNCTION("""COMPUTED_VALUE"""),"INTELICURE LIFESCIENCES")</f>
        <v>INTELICURE LIFESCIENCES</v>
      </c>
    </row>
    <row r="1739">
      <c r="H1739" s="19" t="str">
        <f>IFERROR(__xludf.DUMMYFUNCTION("""COMPUTED_VALUE"""),"Intermed Pharma Pvt Ltd")</f>
        <v>Intermed Pharma Pvt Ltd</v>
      </c>
    </row>
    <row r="1740">
      <c r="H1740" s="19" t="str">
        <f>IFERROR(__xludf.DUMMYFUNCTION("""COMPUTED_VALUE"""),"Intra Labs India Pvt. Ltd")</f>
        <v>Intra Labs India Pvt. Ltd</v>
      </c>
    </row>
    <row r="1741">
      <c r="H1741" s="19" t="str">
        <f>IFERROR(__xludf.DUMMYFUNCTION("""COMPUTED_VALUE"""),"Intra Labs India Pvt. Ltd. (Intra Life)")</f>
        <v>Intra Labs India Pvt. Ltd. (Intra Life)</v>
      </c>
    </row>
    <row r="1742">
      <c r="H1742" s="19" t="str">
        <f>IFERROR(__xludf.DUMMYFUNCTION("""COMPUTED_VALUE"""),"Intra Labs India Pvt. Ltd. (Inventure)")</f>
        <v>Intra Labs India Pvt. Ltd. (Inventure)</v>
      </c>
    </row>
    <row r="1743">
      <c r="H1743" s="19" t="str">
        <f>IFERROR(__xludf.DUMMYFUNCTION("""COMPUTED_VALUE"""),"Intra Life (Doxis Laboratories)")</f>
        <v>Intra Life (Doxis Laboratories)</v>
      </c>
    </row>
    <row r="1744">
      <c r="H1744" s="19" t="str">
        <f>IFERROR(__xludf.DUMMYFUNCTION("""COMPUTED_VALUE"""),"INTRA LIFE PVT LTD")</f>
        <v>INTRA LIFE PVT LTD</v>
      </c>
    </row>
    <row r="1745">
      <c r="H1745" s="19" t="str">
        <f>IFERROR(__xludf.DUMMYFUNCTION("""COMPUTED_VALUE"""),"INVEN PHARMACEUTICALS PVT LTD")</f>
        <v>INVEN PHARMACEUTICALS PVT LTD</v>
      </c>
    </row>
    <row r="1746">
      <c r="H1746" s="19" t="str">
        <f>IFERROR(__xludf.DUMMYFUNCTION("""COMPUTED_VALUE"""),"INVENTIVE (GENERIC)")</f>
        <v>INVENTIVE (GENERIC)</v>
      </c>
    </row>
    <row r="1747">
      <c r="H1747" s="19" t="str">
        <f>IFERROR(__xludf.DUMMYFUNCTION("""COMPUTED_VALUE"""),"Invida India Pvt. Ltd.")</f>
        <v>Invida India Pvt. Ltd.</v>
      </c>
    </row>
    <row r="1748">
      <c r="H1748" s="19" t="str">
        <f>IFERROR(__xludf.DUMMYFUNCTION("""COMPUTED_VALUE"""),"INVISCUS LIFE SCIENCES")</f>
        <v>INVISCUS LIFE SCIENCES</v>
      </c>
    </row>
    <row r="1749">
      <c r="H1749" s="19" t="str">
        <f>IFERROR(__xludf.DUMMYFUNCTION("""COMPUTED_VALUE"""),"Invision Medi Sciences Pvt. Ltd")</f>
        <v>Invision Medi Sciences Pvt. Ltd</v>
      </c>
    </row>
    <row r="1750">
      <c r="H1750" s="19" t="str">
        <f>IFERROR(__xludf.DUMMYFUNCTION("""COMPUTED_VALUE"""),"Invomed Cotab Pvt. Ltd")</f>
        <v>Invomed Cotab Pvt. Ltd</v>
      </c>
    </row>
    <row r="1751">
      <c r="H1751" s="19" t="str">
        <f>IFERROR(__xludf.DUMMYFUNCTION("""COMPUTED_VALUE"""),"ION HEALTHCARE")</f>
        <v>ION HEALTHCARE</v>
      </c>
    </row>
    <row r="1752">
      <c r="H1752" s="19" t="str">
        <f>IFERROR(__xludf.DUMMYFUNCTION("""COMPUTED_VALUE"""),"IPC HEALTHCARE PVT LTD")</f>
        <v>IPC HEALTHCARE PVT LTD</v>
      </c>
    </row>
    <row r="1753">
      <c r="H1753" s="19" t="str">
        <f>IFERROR(__xludf.DUMMYFUNCTION("""COMPUTED_VALUE"""),"IPCA (1)")</f>
        <v>IPCA (1)</v>
      </c>
    </row>
    <row r="1754">
      <c r="H1754" s="19" t="str">
        <f>IFERROR(__xludf.DUMMYFUNCTION("""COMPUTED_VALUE"""),"IPCA (2)")</f>
        <v>IPCA (2)</v>
      </c>
    </row>
    <row r="1755">
      <c r="H1755" s="19" t="str">
        <f>IFERROR(__xludf.DUMMYFUNCTION("""COMPUTED_VALUE"""),"IPCA (3C)")</f>
        <v>IPCA (3C)</v>
      </c>
    </row>
    <row r="1756">
      <c r="H1756" s="19" t="str">
        <f>IFERROR(__xludf.DUMMYFUNCTION("""COMPUTED_VALUE"""),"IPCA (3D)")</f>
        <v>IPCA (3D)</v>
      </c>
    </row>
    <row r="1757">
      <c r="H1757" s="19" t="str">
        <f>IFERROR(__xludf.DUMMYFUNCTION("""COMPUTED_VALUE"""),"IPCA (ACTIVA)")</f>
        <v>IPCA (ACTIVA)</v>
      </c>
    </row>
    <row r="1758">
      <c r="H1758" s="19" t="str">
        <f>IFERROR(__xludf.DUMMYFUNCTION("""COMPUTED_VALUE"""),"IPCA (BIONOVA  ACE)")</f>
        <v>IPCA (BIONOVA  ACE)</v>
      </c>
    </row>
    <row r="1759">
      <c r="H1759" s="19" t="str">
        <f>IFERROR(__xludf.DUMMYFUNCTION("""COMPUTED_VALUE"""),"IPCA (BIONOVA ACE)")</f>
        <v>IPCA (BIONOVA ACE)</v>
      </c>
    </row>
    <row r="1760">
      <c r="H1760" s="19" t="str">
        <f>IFERROR(__xludf.DUMMYFUNCTION("""COMPUTED_VALUE"""),"IPCA (BIONOVA SPECIALITY)")</f>
        <v>IPCA (BIONOVA SPECIALITY)</v>
      </c>
    </row>
    <row r="1761">
      <c r="H1761" s="19" t="str">
        <f>IFERROR(__xludf.DUMMYFUNCTION("""COMPUTED_VALUE"""),"IPCA (BIONOVA)")</f>
        <v>IPCA (BIONOVA)</v>
      </c>
    </row>
    <row r="1762">
      <c r="H1762" s="19" t="str">
        <f>IFERROR(__xludf.DUMMYFUNCTION("""COMPUTED_VALUE"""),"IPCA (CARDIMET)")</f>
        <v>IPCA (CARDIMET)</v>
      </c>
    </row>
    <row r="1763">
      <c r="H1763" s="19" t="str">
        <f>IFERROR(__xludf.DUMMYFUNCTION("""COMPUTED_VALUE"""),"IPCA (CARDINOVA)")</f>
        <v>IPCA (CARDINOVA)</v>
      </c>
    </row>
    <row r="1764">
      <c r="H1764" s="19" t="str">
        <f>IFERROR(__xludf.DUMMYFUNCTION("""COMPUTED_VALUE"""),"IPCA (DYNAMIX)")</f>
        <v>IPCA (DYNAMIX)</v>
      </c>
    </row>
    <row r="1765">
      <c r="H1765" s="19" t="str">
        <f>IFERROR(__xludf.DUMMYFUNCTION("""COMPUTED_VALUE"""),"IPCA (HYQ)")</f>
        <v>IPCA (HYQ)</v>
      </c>
    </row>
    <row r="1766">
      <c r="H1766" s="19" t="str">
        <f>IFERROR(__xludf.DUMMYFUNCTION("""COMPUTED_VALUE"""),"IPCA (INNOVA)")</f>
        <v>IPCA (INNOVA)</v>
      </c>
    </row>
    <row r="1767">
      <c r="H1767" s="19" t="str">
        <f>IFERROR(__xludf.DUMMYFUNCTION("""COMPUTED_VALUE"""),"IPCA (INTIMA)")</f>
        <v>IPCA (INTIMA)</v>
      </c>
    </row>
    <row r="1768">
      <c r="H1768" s="19" t="str">
        <f>IFERROR(__xludf.DUMMYFUNCTION("""COMPUTED_VALUE"""),"IPCA (IPM)")</f>
        <v>IPCA (IPM)</v>
      </c>
    </row>
    <row r="1769">
      <c r="H1769" s="19" t="str">
        <f>IFERROR(__xludf.DUMMYFUNCTION("""COMPUTED_VALUE"""),"IPCA (OPTIMA)")</f>
        <v>IPCA (OPTIMA)</v>
      </c>
    </row>
    <row r="1770">
      <c r="H1770" s="19" t="str">
        <f>IFERROR(__xludf.DUMMYFUNCTION("""COMPUTED_VALUE"""),"IPCA (PHARMA NEXT)")</f>
        <v>IPCA (PHARMA NEXT)</v>
      </c>
    </row>
    <row r="1771">
      <c r="H1771" s="19" t="str">
        <f>IFERROR(__xludf.DUMMYFUNCTION("""COMPUTED_VALUE"""),"IPCA (PHARMA)")</f>
        <v>IPCA (PHARMA)</v>
      </c>
    </row>
    <row r="1772">
      <c r="H1772" s="19" t="str">
        <f>IFERROR(__xludf.DUMMYFUNCTION("""COMPUTED_VALUE"""),"IPCA (URO SPECIALITY)")</f>
        <v>IPCA (URO SPECIALITY)</v>
      </c>
    </row>
    <row r="1773">
      <c r="H1773" s="19" t="str">
        <f>IFERROR(__xludf.DUMMYFUNCTION("""COMPUTED_VALUE"""),"IPCA (URO)")</f>
        <v>IPCA (URO)</v>
      </c>
    </row>
    <row r="1774">
      <c r="H1774" s="19" t="str">
        <f>IFERROR(__xludf.DUMMYFUNCTION("""COMPUTED_VALUE"""),"Ipca Laboratories Ltd")</f>
        <v>Ipca Laboratories Ltd</v>
      </c>
    </row>
    <row r="1775">
      <c r="H1775" s="19" t="str">
        <f>IFERROR(__xludf.DUMMYFUNCTION("""COMPUTED_VALUE"""),"Ipsa Labs Pvt Ltd")</f>
        <v>Ipsa Labs Pvt Ltd</v>
      </c>
    </row>
    <row r="1776">
      <c r="H1776" s="19" t="str">
        <f>IFERROR(__xludf.DUMMYFUNCTION("""COMPUTED_VALUE"""),"IQL HEALTHCARE P LTD")</f>
        <v>IQL HEALTHCARE P LTD</v>
      </c>
    </row>
    <row r="1777">
      <c r="H1777" s="19" t="str">
        <f>IFERROR(__xludf.DUMMYFUNCTION("""COMPUTED_VALUE"""),"IRX PHARMACEUTICALS PVT LTD")</f>
        <v>IRX PHARMACEUTICALS PVT LTD</v>
      </c>
    </row>
    <row r="1778">
      <c r="H1778" s="19" t="str">
        <f>IFERROR(__xludf.DUMMYFUNCTION("""COMPUTED_VALUE"""),"ISCON")</f>
        <v>ISCON</v>
      </c>
    </row>
    <row r="1779">
      <c r="H1779" s="19" t="str">
        <f>IFERROR(__xludf.DUMMYFUNCTION("""COMPUTED_VALUE"""),"ISCON LIFE SCIENCES")</f>
        <v>ISCON LIFE SCIENCES</v>
      </c>
    </row>
    <row r="1780">
      <c r="H1780" s="19" t="str">
        <f>IFERROR(__xludf.DUMMYFUNCTION("""COMPUTED_VALUE"""),"ISHAVARNI HEALTHCARE PVT LTD")</f>
        <v>ISHAVARNI HEALTHCARE PVT LTD</v>
      </c>
    </row>
    <row r="1781">
      <c r="H1781" s="19" t="str">
        <f>IFERROR(__xludf.DUMMYFUNCTION("""COMPUTED_VALUE"""),"ISIS Pharmaceuticals")</f>
        <v>ISIS Pharmaceuticals</v>
      </c>
    </row>
    <row r="1782">
      <c r="H1782" s="19" t="str">
        <f>IFERROR(__xludf.DUMMYFUNCTION("""COMPUTED_VALUE"""),"ISKON REMEDIES, SIRMOR")</f>
        <v>ISKON REMEDIES, SIRMOR</v>
      </c>
    </row>
    <row r="1783">
      <c r="H1783" s="19" t="str">
        <f>IFERROR(__xludf.DUMMYFUNCTION("""COMPUTED_VALUE"""),"ITC LIMITED")</f>
        <v>ITC LIMITED</v>
      </c>
    </row>
    <row r="1784">
      <c r="H1784" s="19" t="str">
        <f>IFERROR(__xludf.DUMMYFUNCTION("""COMPUTED_VALUE"""),"IVES DRUGS INDIA PVT LTD")</f>
        <v>IVES DRUGS INDIA PVT LTD</v>
      </c>
    </row>
    <row r="1785">
      <c r="H1785" s="19" t="str">
        <f>IFERROR(__xludf.DUMMYFUNCTION("""COMPUTED_VALUE"""),"IZAR HEALTHCARE")</f>
        <v>IZAR HEALTHCARE</v>
      </c>
    </row>
    <row r="1786">
      <c r="H1786" s="19" t="str">
        <f>IFERROR(__xludf.DUMMYFUNCTION("""COMPUTED_VALUE"""),"IZNG HEALTHCARE PVT LTD")</f>
        <v>IZNG HEALTHCARE PVT LTD</v>
      </c>
    </row>
    <row r="1787">
      <c r="H1787" s="19" t="str">
        <f>IFERROR(__xludf.DUMMYFUNCTION("""COMPUTED_VALUE"""),"J and J Dechane Pvt Ltd")</f>
        <v>J and J Dechane Pvt Ltd</v>
      </c>
    </row>
    <row r="1788">
      <c r="H1788" s="19" t="str">
        <f>IFERROR(__xludf.DUMMYFUNCTION("""COMPUTED_VALUE"""),"J L Morison India Ltd")</f>
        <v>J L Morison India Ltd</v>
      </c>
    </row>
    <row r="1789">
      <c r="H1789" s="19" t="str">
        <f>IFERROR(__xludf.DUMMYFUNCTION("""COMPUTED_VALUE"""),"J M REMEDIES")</f>
        <v>J M REMEDIES</v>
      </c>
    </row>
    <row r="1790">
      <c r="H1790" s="19" t="str">
        <f>IFERROR(__xludf.DUMMYFUNCTION("""COMPUTED_VALUE"""),"J M REMEDIES SOLAN")</f>
        <v>J M REMEDIES SOLAN</v>
      </c>
    </row>
    <row r="1791">
      <c r="H1791" s="19" t="str">
        <f>IFERROR(__xludf.DUMMYFUNCTION("""COMPUTED_VALUE"""),"J&amp;J BABY")</f>
        <v>J&amp;J BABY</v>
      </c>
    </row>
    <row r="1792">
      <c r="H1792" s="19" t="str">
        <f>IFERROR(__xludf.DUMMYFUNCTION("""COMPUTED_VALUE"""),"JABS BIOTECH")</f>
        <v>JABS BIOTECH</v>
      </c>
    </row>
    <row r="1793">
      <c r="H1793" s="19" t="str">
        <f>IFERROR(__xludf.DUMMYFUNCTION("""COMPUTED_VALUE"""),"JAGAT PHARMA")</f>
        <v>JAGAT PHARMA</v>
      </c>
    </row>
    <row r="1794">
      <c r="H1794" s="19" t="str">
        <f>IFERROR(__xludf.DUMMYFUNCTION("""COMPUTED_VALUE"""),"Jagdale Lifesciences")</f>
        <v>Jagdale Lifesciences</v>
      </c>
    </row>
    <row r="1795">
      <c r="H1795" s="19" t="str">
        <f>IFERROR(__xludf.DUMMYFUNCTION("""COMPUTED_VALUE"""),"JAGRAVE HERBAL PRODUCTS")</f>
        <v>JAGRAVE HERBAL PRODUCTS</v>
      </c>
    </row>
    <row r="1796">
      <c r="H1796" s="19" t="str">
        <f>IFERROR(__xludf.DUMMYFUNCTION("""COMPUTED_VALUE"""),"Jagsonpal Pharmaceuticals Ltd")</f>
        <v>Jagsonpal Pharmaceuticals Ltd</v>
      </c>
    </row>
    <row r="1797">
      <c r="H1797" s="19" t="str">
        <f>IFERROR(__xludf.DUMMYFUNCTION("""COMPUTED_VALUE"""),"JAIN GROUP PHARMACEUTICALS")</f>
        <v>JAIN GROUP PHARMACEUTICALS</v>
      </c>
    </row>
    <row r="1798">
      <c r="H1798" s="19" t="str">
        <f>IFERROR(__xludf.DUMMYFUNCTION("""COMPUTED_VALUE"""),"JAINSON BIOTECH")</f>
        <v>JAINSON BIOTECH</v>
      </c>
    </row>
    <row r="1799">
      <c r="H1799" s="19" t="str">
        <f>IFERROR(__xludf.DUMMYFUNCTION("""COMPUTED_VALUE"""),"JAINSON CHEMICALS")</f>
        <v>JAINSON CHEMICALS</v>
      </c>
    </row>
    <row r="1800">
      <c r="H1800" s="19" t="str">
        <f>IFERROR(__xludf.DUMMYFUNCTION("""COMPUTED_VALUE"""),"JAIWIK BIOTEK")</f>
        <v>JAIWIK BIOTEK</v>
      </c>
    </row>
    <row r="1801">
      <c r="H1801" s="19" t="str">
        <f>IFERROR(__xludf.DUMMYFUNCTION("""COMPUTED_VALUE"""),"JAMNA PHARMACEUTICALS")</f>
        <v>JAMNA PHARMACEUTICALS</v>
      </c>
    </row>
    <row r="1802">
      <c r="H1802" s="19" t="str">
        <f>IFERROR(__xludf.DUMMYFUNCTION("""COMPUTED_VALUE"""),"JAMSONS LABORTORIES")</f>
        <v>JAMSONS LABORTORIES</v>
      </c>
    </row>
    <row r="1803">
      <c r="H1803" s="19" t="str">
        <f>IFERROR(__xludf.DUMMYFUNCTION("""COMPUTED_VALUE"""),"JAMUWAY PHARMACEUTICALS")</f>
        <v>JAMUWAY PHARMACEUTICALS</v>
      </c>
    </row>
    <row r="1804">
      <c r="H1804" s="19" t="str">
        <f>IFERROR(__xludf.DUMMYFUNCTION("""COMPUTED_VALUE"""),"JANKEM LIFE SCIENCE")</f>
        <v>JANKEM LIFE SCIENCE</v>
      </c>
    </row>
    <row r="1805">
      <c r="H1805" s="19" t="str">
        <f>IFERROR(__xludf.DUMMYFUNCTION("""COMPUTED_VALUE"""),"JANMARK PHARMA LTD")</f>
        <v>JANMARK PHARMA LTD</v>
      </c>
    </row>
    <row r="1806">
      <c r="H1806" s="19" t="str">
        <f>IFERROR(__xludf.DUMMYFUNCTION("""COMPUTED_VALUE"""),"JANMERCH")</f>
        <v>JANMERCH</v>
      </c>
    </row>
    <row r="1807">
      <c r="H1807" s="19" t="str">
        <f>IFERROR(__xludf.DUMMYFUNCTION("""COMPUTED_VALUE"""),"JANTEC PHARMA")</f>
        <v>JANTEC PHARMA</v>
      </c>
    </row>
    <row r="1808">
      <c r="H1808" s="19" t="str">
        <f>IFERROR(__xludf.DUMMYFUNCTION("""COMPUTED_VALUE"""),"JANUS BIOTECH P LTD")</f>
        <v>JANUS BIOTECH P LTD</v>
      </c>
    </row>
    <row r="1809">
      <c r="H1809" s="19" t="str">
        <f>IFERROR(__xludf.DUMMYFUNCTION("""COMPUTED_VALUE"""),"JARK PHARMA PVT LTD")</f>
        <v>JARK PHARMA PVT LTD</v>
      </c>
    </row>
    <row r="1810">
      <c r="H1810" s="19" t="str">
        <f>IFERROR(__xludf.DUMMYFUNCTION("""COMPUTED_VALUE"""),"JARUN PHARMACEUTICALS")</f>
        <v>JARUN PHARMACEUTICALS</v>
      </c>
    </row>
    <row r="1811">
      <c r="H1811" s="19" t="str">
        <f>IFERROR(__xludf.DUMMYFUNCTION("""COMPUTED_VALUE"""),"JARVIS PHARMACEUTICALS")</f>
        <v>JARVIS PHARMACEUTICALS</v>
      </c>
    </row>
    <row r="1812">
      <c r="H1812" s="19" t="str">
        <f>IFERROR(__xludf.DUMMYFUNCTION("""COMPUTED_VALUE"""),"JASCO NUTRI FOODS")</f>
        <v>JASCO NUTRI FOODS</v>
      </c>
    </row>
    <row r="1813">
      <c r="H1813" s="19" t="str">
        <f>IFERROR(__xludf.DUMMYFUNCTION("""COMPUTED_VALUE"""),"JASVIC LABORATORIES ROORKE")</f>
        <v>JASVIC LABORATORIES ROORKE</v>
      </c>
    </row>
    <row r="1814">
      <c r="H1814" s="19" t="str">
        <f>IFERROR(__xludf.DUMMYFUNCTION("""COMPUTED_VALUE"""),"Jawa Pharmaceuticals (I) Pvt. Ltd")</f>
        <v>Jawa Pharmaceuticals (I) Pvt. Ltd</v>
      </c>
    </row>
    <row r="1815">
      <c r="H1815" s="19" t="str">
        <f>IFERROR(__xludf.DUMMYFUNCTION("""COMPUTED_VALUE"""),"JAY ELL HEALTHCARE P LTD")</f>
        <v>JAY ELL HEALTHCARE P LTD</v>
      </c>
    </row>
    <row r="1816">
      <c r="H1816" s="19" t="str">
        <f>IFERROR(__xludf.DUMMYFUNCTION("""COMPUTED_VALUE"""),"JAY HEALTHCARE")</f>
        <v>JAY HEALTHCARE</v>
      </c>
    </row>
    <row r="1817">
      <c r="H1817" s="19" t="str">
        <f>IFERROR(__xludf.DUMMYFUNCTION("""COMPUTED_VALUE"""),"JAY LIFECARE")</f>
        <v>JAY LIFECARE</v>
      </c>
    </row>
    <row r="1818">
      <c r="H1818" s="19" t="str">
        <f>IFERROR(__xludf.DUMMYFUNCTION("""COMPUTED_VALUE"""),"JAY SHREE PHARMACEUTICALS")</f>
        <v>JAY SHREE PHARMACEUTICALS</v>
      </c>
    </row>
    <row r="1819">
      <c r="H1819" s="19" t="str">
        <f>IFERROR(__xludf.DUMMYFUNCTION("""COMPUTED_VALUE"""),"JAYSHREE PHARMACEUTICALS")</f>
        <v>JAYSHREE PHARMACEUTICALS</v>
      </c>
    </row>
    <row r="1820">
      <c r="H1820" s="19" t="str">
        <f>IFERROR(__xludf.DUMMYFUNCTION("""COMPUTED_VALUE"""),"JB CHEMICAL")</f>
        <v>JB CHEMICAL</v>
      </c>
    </row>
    <row r="1821">
      <c r="H1821" s="19" t="str">
        <f>IFERROR(__xludf.DUMMYFUNCTION("""COMPUTED_VALUE"""),"JB Chemicals (DENTA)")</f>
        <v>JB Chemicals (DENTA)</v>
      </c>
    </row>
    <row r="1822">
      <c r="H1822" s="19" t="str">
        <f>IFERROR(__xludf.DUMMYFUNCTION("""COMPUTED_VALUE"""),"JB CHEMICALS (DIVA)")</f>
        <v>JB CHEMICALS (DIVA)</v>
      </c>
    </row>
    <row r="1823">
      <c r="H1823" s="19" t="str">
        <f>IFERROR(__xludf.DUMMYFUNCTION("""COMPUTED_VALUE"""),"JB CHEMICALS (IIVA)")</f>
        <v>JB CHEMICALS (IIVA)</v>
      </c>
    </row>
    <row r="1824">
      <c r="H1824" s="19" t="str">
        <f>IFERROR(__xludf.DUMMYFUNCTION("""COMPUTED_VALUE"""),"JB CHEMICALS (JIVA)")</f>
        <v>JB CHEMICALS (JIVA)</v>
      </c>
    </row>
    <row r="1825">
      <c r="H1825" s="19" t="str">
        <f>IFERROR(__xludf.DUMMYFUNCTION("""COMPUTED_VALUE"""),"JB CHEMICALS (NEPHRO-URO)")</f>
        <v>JB CHEMICALS (NEPHRO-URO)</v>
      </c>
    </row>
    <row r="1826">
      <c r="H1826" s="19" t="str">
        <f>IFERROR(__xludf.DUMMYFUNCTION("""COMPUTED_VALUE"""),"JB CHEMICALS (NEU)")</f>
        <v>JB CHEMICALS (NEU)</v>
      </c>
    </row>
    <row r="1827">
      <c r="H1827" s="19" t="str">
        <f>IFERROR(__xludf.DUMMYFUNCTION("""COMPUTED_VALUE"""),"JB CHEMICALS (NOVA)")</f>
        <v>JB CHEMICALS (NOVA)</v>
      </c>
    </row>
    <row r="1828">
      <c r="H1828" s="19" t="str">
        <f>IFERROR(__xludf.DUMMYFUNCTION("""COMPUTED_VALUE"""),"JB CHEMICALS (VIVA)")</f>
        <v>JB CHEMICALS (VIVA)</v>
      </c>
    </row>
    <row r="1829">
      <c r="H1829" s="19" t="str">
        <f>IFERROR(__xludf.DUMMYFUNCTION("""COMPUTED_VALUE"""),"JB Chemicals &amp; Pharmaceuticals Ltd")</f>
        <v>JB Chemicals &amp; Pharmaceuticals Ltd</v>
      </c>
    </row>
    <row r="1830">
      <c r="H1830" s="19" t="str">
        <f>IFERROR(__xludf.DUMMYFUNCTION("""COMPUTED_VALUE"""),"JB REMEDIES P LTD")</f>
        <v>JB REMEDIES P LTD</v>
      </c>
    </row>
    <row r="1831">
      <c r="H1831" s="19" t="str">
        <f>IFERROR(__xludf.DUMMYFUNCTION("""COMPUTED_VALUE"""),"JEEVAN JYOTI")</f>
        <v>JEEVAN JYOTI</v>
      </c>
    </row>
    <row r="1832">
      <c r="H1832" s="19" t="str">
        <f>IFERROR(__xludf.DUMMYFUNCTION("""COMPUTED_VALUE"""),"Jenburkt Pharmaceuticals Ltd")</f>
        <v>Jenburkt Pharmaceuticals Ltd</v>
      </c>
    </row>
    <row r="1833">
      <c r="H1833" s="19" t="str">
        <f>IFERROR(__xludf.DUMMYFUNCTION("""COMPUTED_VALUE"""),"JENOME BIOPHAR")</f>
        <v>JENOME BIOPHAR</v>
      </c>
    </row>
    <row r="1834">
      <c r="H1834" s="19" t="str">
        <f>IFERROR(__xludf.DUMMYFUNCTION("""COMPUTED_VALUE"""),"JHAWAR PHARMACY")</f>
        <v>JHAWAR PHARMACY</v>
      </c>
    </row>
    <row r="1835">
      <c r="H1835" s="19" t="str">
        <f>IFERROR(__xludf.DUMMYFUNCTION("""COMPUTED_VALUE"""),"JINESH PHARMA (OSP)")</f>
        <v>JINESH PHARMA (OSP)</v>
      </c>
    </row>
    <row r="1836">
      <c r="H1836" s="19" t="str">
        <f>IFERROR(__xludf.DUMMYFUNCTION("""COMPUTED_VALUE"""),"JIVYANA HEALTH CARE P LTD")</f>
        <v>JIVYANA HEALTH CARE P LTD</v>
      </c>
    </row>
    <row r="1837">
      <c r="H1837" s="19" t="str">
        <f>IFERROR(__xludf.DUMMYFUNCTION("""COMPUTED_VALUE"""),"JIWADAYA NETRAPRA")</f>
        <v>JIWADAYA NETRAPRA</v>
      </c>
    </row>
    <row r="1838">
      <c r="H1838" s="19" t="str">
        <f>IFERROR(__xludf.DUMMYFUNCTION("""COMPUTED_VALUE"""),"JK ANSELL P LTD")</f>
        <v>JK ANSELL P LTD</v>
      </c>
    </row>
    <row r="1839">
      <c r="H1839" s="19" t="str">
        <f>IFERROR(__xludf.DUMMYFUNCTION("""COMPUTED_VALUE"""),"JMK HEALTH CARE PVT LTD")</f>
        <v>JMK HEALTH CARE PVT LTD</v>
      </c>
    </row>
    <row r="1840">
      <c r="H1840" s="19" t="str">
        <f>IFERROR(__xludf.DUMMYFUNCTION("""COMPUTED_VALUE"""),"JNSON")</f>
        <v>JNSON</v>
      </c>
    </row>
    <row r="1841">
      <c r="H1841" s="19" t="str">
        <f>IFERROR(__xludf.DUMMYFUNCTION("""COMPUTED_VALUE"""),"John Biotech Pvt Ltd")</f>
        <v>John Biotech Pvt Ltd</v>
      </c>
    </row>
    <row r="1842">
      <c r="H1842" s="19" t="str">
        <f>IFERROR(__xludf.DUMMYFUNCTION("""COMPUTED_VALUE"""),"JOHNLEE PHARMACEUTICALS PVT LTD")</f>
        <v>JOHNLEE PHARMACEUTICALS PVT LTD</v>
      </c>
    </row>
    <row r="1843">
      <c r="H1843" s="19" t="str">
        <f>IFERROR(__xludf.DUMMYFUNCTION("""COMPUTED_VALUE"""),"Johnson &amp; Johnson")</f>
        <v>Johnson &amp; Johnson</v>
      </c>
    </row>
    <row r="1844">
      <c r="H1844" s="19" t="str">
        <f>IFERROR(__xludf.DUMMYFUNCTION("""COMPUTED_VALUE"""),"JOHNSON &amp; JOHNSON (CONSUMER)")</f>
        <v>JOHNSON &amp; JOHNSON (CONSUMER)</v>
      </c>
    </row>
    <row r="1845">
      <c r="H1845" s="19" t="str">
        <f>IFERROR(__xludf.DUMMYFUNCTION("""COMPUTED_VALUE"""),"JOHNSON &amp; JOHNSON (DERMA)")</f>
        <v>JOHNSON &amp; JOHNSON (DERMA)</v>
      </c>
    </row>
    <row r="1846">
      <c r="H1846" s="19" t="str">
        <f>IFERROR(__xludf.DUMMYFUNCTION("""COMPUTED_VALUE"""),"JOHNSON &amp; JOHNSON (ETHNOR)")</f>
        <v>JOHNSON &amp; JOHNSON (ETHNOR)</v>
      </c>
    </row>
    <row r="1847">
      <c r="H1847" s="19" t="str">
        <f>IFERROR(__xludf.DUMMYFUNCTION("""COMPUTED_VALUE"""),"JOHNSON &amp; JOHNSON (HOSPITAL)")</f>
        <v>JOHNSON &amp; JOHNSON (HOSPITAL)</v>
      </c>
    </row>
    <row r="1848">
      <c r="H1848" s="19" t="str">
        <f>IFERROR(__xludf.DUMMYFUNCTION("""COMPUTED_VALUE"""),"JOHNSON &amp; JOHNSON (MASS MARKET)")</f>
        <v>JOHNSON &amp; JOHNSON (MASS MARKET)</v>
      </c>
    </row>
    <row r="1849">
      <c r="H1849" s="19" t="str">
        <f>IFERROR(__xludf.DUMMYFUNCTION("""COMPUTED_VALUE"""),"JOHNSON &amp; JOHNSON (METABOLIX)")</f>
        <v>JOHNSON &amp; JOHNSON (METABOLIX)</v>
      </c>
    </row>
    <row r="1850">
      <c r="H1850" s="19" t="str">
        <f>IFERROR(__xludf.DUMMYFUNCTION("""COMPUTED_VALUE"""),"JOLLY HEALTH CARE")</f>
        <v>JOLLY HEALTH CARE</v>
      </c>
    </row>
    <row r="1851">
      <c r="H1851" s="19" t="str">
        <f>IFERROR(__xludf.DUMMYFUNCTION("""COMPUTED_VALUE"""),"JOY HEALTHCARE")</f>
        <v>JOY HEALTHCARE</v>
      </c>
    </row>
    <row r="1852">
      <c r="H1852" s="19" t="str">
        <f>IFERROR(__xludf.DUMMYFUNCTION("""COMPUTED_VALUE"""),"JOYCARE LIFE SCIENCES")</f>
        <v>JOYCARE LIFE SCIENCES</v>
      </c>
    </row>
    <row r="1853">
      <c r="H1853" s="19" t="str">
        <f>IFERROR(__xludf.DUMMYFUNCTION("""COMPUTED_VALUE"""),"JOYEAPCE HEALTHCARE")</f>
        <v>JOYEAPCE HEALTHCARE</v>
      </c>
    </row>
    <row r="1854">
      <c r="H1854" s="19" t="str">
        <f>IFERROR(__xludf.DUMMYFUNCTION("""COMPUTED_VALUE"""),"JUBILANT (SPICA)")</f>
        <v>JUBILANT (SPICA)</v>
      </c>
    </row>
    <row r="1855">
      <c r="H1855" s="19" t="str">
        <f>IFERROR(__xludf.DUMMYFUNCTION("""COMPUTED_VALUE"""),"JUBILANT (VEGA)")</f>
        <v>JUBILANT (VEGA)</v>
      </c>
    </row>
    <row r="1856">
      <c r="H1856" s="19" t="str">
        <f>IFERROR(__xludf.DUMMYFUNCTION("""COMPUTED_VALUE"""),"Jubilant Life Sciences")</f>
        <v>Jubilant Life Sciences</v>
      </c>
    </row>
    <row r="1857">
      <c r="H1857" s="19" t="str">
        <f>IFERROR(__xludf.DUMMYFUNCTION("""COMPUTED_VALUE"""),"Juggat Pharma")</f>
        <v>Juggat Pharma</v>
      </c>
    </row>
    <row r="1858">
      <c r="H1858" s="19" t="str">
        <f>IFERROR(__xludf.DUMMYFUNCTION("""COMPUTED_VALUE"""),"Jupiter Pharmaceutical Ltd")</f>
        <v>Jupiter Pharmaceutical Ltd</v>
      </c>
    </row>
    <row r="1859">
      <c r="H1859" s="19" t="str">
        <f>IFERROR(__xludf.DUMMYFUNCTION("""COMPUTED_VALUE"""),"JUPITER PHARMACEUTICALS (Ayurvedic)")</f>
        <v>JUPITER PHARMACEUTICALS (Ayurvedic)</v>
      </c>
    </row>
    <row r="1860">
      <c r="H1860" s="19" t="str">
        <f>IFERROR(__xludf.DUMMYFUNCTION("""COMPUTED_VALUE"""),"JUPIVEN PHARMA PVT LTD")</f>
        <v>JUPIVEN PHARMA PVT LTD</v>
      </c>
    </row>
    <row r="1861">
      <c r="H1861" s="19" t="str">
        <f>IFERROR(__xludf.DUMMYFUNCTION("""COMPUTED_VALUE"""),"JUVENOR PHARMACEUTICALS INC")</f>
        <v>JUVENOR PHARMACEUTICALS INC</v>
      </c>
    </row>
    <row r="1862">
      <c r="H1862" s="19" t="str">
        <f>IFERROR(__xludf.DUMMYFUNCTION("""COMPUTED_VALUE"""),"JV HEALTHCARE")</f>
        <v>JV HEALTHCARE</v>
      </c>
    </row>
    <row r="1863">
      <c r="H1863" s="19" t="str">
        <f>IFERROR(__xludf.DUMMYFUNCTION("""COMPUTED_VALUE"""),"JVJ PHARMACEUTICALS P LTD")</f>
        <v>JVJ PHARMACEUTICALS P LTD</v>
      </c>
    </row>
    <row r="1864">
      <c r="H1864" s="19" t="str">
        <f>IFERROR(__xludf.DUMMYFUNCTION("""COMPUTED_VALUE"""),"JVS")</f>
        <v>JVS</v>
      </c>
    </row>
    <row r="1865">
      <c r="H1865" s="19" t="str">
        <f>IFERROR(__xludf.DUMMYFUNCTION("""COMPUTED_VALUE"""),"JYOTHI")</f>
        <v>JYOTHI</v>
      </c>
    </row>
    <row r="1866">
      <c r="H1866" s="19" t="str">
        <f>IFERROR(__xludf.DUMMYFUNCTION("""COMPUTED_VALUE"""),"JYOTI HERBS (INDIA) P LTD")</f>
        <v>JYOTI HERBS (INDIA) P LTD</v>
      </c>
    </row>
    <row r="1867">
      <c r="H1867" s="19" t="str">
        <f>IFERROR(__xludf.DUMMYFUNCTION("""COMPUTED_VALUE"""),"K BIO HEARBS")</f>
        <v>K BIO HEARBS</v>
      </c>
    </row>
    <row r="1868">
      <c r="H1868" s="19" t="str">
        <f>IFERROR(__xludf.DUMMYFUNCTION("""COMPUTED_VALUE"""),"KABIR LIFESCIENCES AND RESEARCH PVT LTD")</f>
        <v>KABIR LIFESCIENCES AND RESEARCH PVT LTD</v>
      </c>
    </row>
    <row r="1869">
      <c r="H1869" s="19" t="str">
        <f>IFERROR(__xludf.DUMMYFUNCTION("""COMPUTED_VALUE"""),"KABRA DRUGS LTD")</f>
        <v>KABRA DRUGS LTD</v>
      </c>
    </row>
    <row r="1870">
      <c r="H1870" s="19" t="str">
        <f>IFERROR(__xludf.DUMMYFUNCTION("""COMPUTED_VALUE"""),"KAIYNAAT &amp; SABROZ")</f>
        <v>KAIYNAAT &amp; SABROZ</v>
      </c>
    </row>
    <row r="1871">
      <c r="H1871" s="19" t="str">
        <f>IFERROR(__xludf.DUMMYFUNCTION("""COMPUTED_VALUE"""),"KAIZEN LABORATORIES PVT LTD")</f>
        <v>KAIZEN LABORATORIES PVT LTD</v>
      </c>
    </row>
    <row r="1872">
      <c r="H1872" s="19" t="str">
        <f>IFERROR(__xludf.DUMMYFUNCTION("""COMPUTED_VALUE"""),"KAMAL &amp; SONS")</f>
        <v>KAMAL &amp; SONS</v>
      </c>
    </row>
    <row r="1873">
      <c r="H1873" s="19" t="str">
        <f>IFERROR(__xludf.DUMMYFUNCTION("""COMPUTED_VALUE"""),"KAMBRIL HEALTHCARE PVT LTD")</f>
        <v>KAMBRIL HEALTHCARE PVT LTD</v>
      </c>
    </row>
    <row r="1874">
      <c r="H1874" s="19" t="str">
        <f>IFERROR(__xludf.DUMMYFUNCTION("""COMPUTED_VALUE"""),"KANAM LATEX PVT LTD")</f>
        <v>KANAM LATEX PVT LTD</v>
      </c>
    </row>
    <row r="1875">
      <c r="H1875" s="19" t="str">
        <f>IFERROR(__xludf.DUMMYFUNCTION("""COMPUTED_VALUE"""),"KANGAROO")</f>
        <v>KANGAROO</v>
      </c>
    </row>
    <row r="1876">
      <c r="H1876" s="19" t="str">
        <f>IFERROR(__xludf.DUMMYFUNCTION("""COMPUTED_VALUE"""),"KANNU IMPEX INDIA PVT LTD")</f>
        <v>KANNU IMPEX INDIA PVT LTD</v>
      </c>
    </row>
    <row r="1877">
      <c r="H1877" s="19" t="str">
        <f>IFERROR(__xludf.DUMMYFUNCTION("""COMPUTED_VALUE"""),"KAPEETUS MEDICROP")</f>
        <v>KAPEETUS MEDICROP</v>
      </c>
    </row>
    <row r="1878">
      <c r="H1878" s="19" t="str">
        <f>IFERROR(__xludf.DUMMYFUNCTION("""COMPUTED_VALUE"""),"KAPIRET LIFESCIENCES")</f>
        <v>KAPIRET LIFESCIENCES</v>
      </c>
    </row>
    <row r="1879">
      <c r="H1879" s="19" t="str">
        <f>IFERROR(__xludf.DUMMYFUNCTION("""COMPUTED_VALUE"""),"KAPLIN HEALTHCARE PVT LTD")</f>
        <v>KAPLIN HEALTHCARE PVT LTD</v>
      </c>
    </row>
    <row r="1880">
      <c r="H1880" s="19" t="str">
        <f>IFERROR(__xludf.DUMMYFUNCTION("""COMPUTED_VALUE"""),"KARAM INDUSTRIES")</f>
        <v>KARAM INDUSTRIES</v>
      </c>
    </row>
    <row r="1881">
      <c r="H1881" s="19" t="str">
        <f>IFERROR(__xludf.DUMMYFUNCTION("""COMPUTED_VALUE"""),"KARNANI PHARMA")</f>
        <v>KARNANI PHARMA</v>
      </c>
    </row>
    <row r="1882">
      <c r="H1882" s="19" t="str">
        <f>IFERROR(__xludf.DUMMYFUNCTION("""COMPUTED_VALUE"""),"Karnataka Antibiotics &amp; Pharmaceuticals Ltd")</f>
        <v>Karnataka Antibiotics &amp; Pharmaceuticals Ltd</v>
      </c>
    </row>
    <row r="1883">
      <c r="H1883" s="19" t="str">
        <f>IFERROR(__xludf.DUMMYFUNCTION("""COMPUTED_VALUE"""),"KAVYA HEALTHCARE")</f>
        <v>KAVYA HEALTHCARE</v>
      </c>
    </row>
    <row r="1884">
      <c r="H1884" s="19" t="str">
        <f>IFERROR(__xludf.DUMMYFUNCTION("""COMPUTED_VALUE"""),"KAYTEE")</f>
        <v>KAYTEE</v>
      </c>
    </row>
    <row r="1885">
      <c r="H1885" s="19" t="str">
        <f>IFERROR(__xludf.DUMMYFUNCTION("""COMPUTED_VALUE"""),"KBS HERBAL INDIA")</f>
        <v>KBS HERBAL INDIA</v>
      </c>
    </row>
    <row r="1886">
      <c r="H1886" s="19" t="str">
        <f>IFERROR(__xludf.DUMMYFUNCTION("""COMPUTED_VALUE"""),"KD CHEM-PHARMA")</f>
        <v>KD CHEM-PHARMA</v>
      </c>
    </row>
    <row r="1887">
      <c r="H1887" s="19" t="str">
        <f>IFERROR(__xludf.DUMMYFUNCTION("""COMPUTED_VALUE"""),"KEDRION BIOPHARMA")</f>
        <v>KEDRION BIOPHARMA</v>
      </c>
    </row>
    <row r="1888">
      <c r="H1888" s="19" t="str">
        <f>IFERROR(__xludf.DUMMYFUNCTION("""COMPUTED_VALUE"""),"Kee Pharma")</f>
        <v>Kee Pharma</v>
      </c>
    </row>
    <row r="1889">
      <c r="H1889" s="19" t="str">
        <f>IFERROR(__xludf.DUMMYFUNCTION("""COMPUTED_VALUE"""),"KENN PHARMACEUTICALS PVT LTD
")</f>
        <v>KENN PHARMACEUTICALS PVT LTD
</v>
      </c>
    </row>
    <row r="1890">
      <c r="H1890" s="19" t="str">
        <f>IFERROR(__xludf.DUMMYFUNCTION("""COMPUTED_VALUE"""),"KENT PHARMACEUTICALS")</f>
        <v>KENT PHARMACEUTICALS</v>
      </c>
    </row>
    <row r="1891">
      <c r="H1891" s="19" t="str">
        <f>IFERROR(__xludf.DUMMYFUNCTION("""COMPUTED_VALUE"""),"KENTOSSA PHARMACEUTICAL")</f>
        <v>KENTOSSA PHARMACEUTICAL</v>
      </c>
    </row>
    <row r="1892">
      <c r="H1892" s="19" t="str">
        <f>IFERROR(__xludf.DUMMYFUNCTION("""COMPUTED_VALUE"""),"KENTRECK LABORATORIES")</f>
        <v>KENTRECK LABORATORIES</v>
      </c>
    </row>
    <row r="1893">
      <c r="H1893" s="19" t="str">
        <f>IFERROR(__xludf.DUMMYFUNCTION("""COMPUTED_VALUE"""),"KEPLER (DERMA)")</f>
        <v>KEPLER (DERMA)</v>
      </c>
    </row>
    <row r="1894">
      <c r="H1894" s="19" t="str">
        <f>IFERROR(__xludf.DUMMYFUNCTION("""COMPUTED_VALUE"""),"KEPLER (SKIN INFINITY)")</f>
        <v>KEPLER (SKIN INFINITY)</v>
      </c>
    </row>
    <row r="1895">
      <c r="H1895" s="19" t="str">
        <f>IFERROR(__xludf.DUMMYFUNCTION("""COMPUTED_VALUE"""),"KEPLER HEALTHCARE")</f>
        <v>KEPLER HEALTHCARE</v>
      </c>
    </row>
    <row r="1896">
      <c r="H1896" s="19" t="str">
        <f>IFERROR(__xludf.DUMMYFUNCTION("""COMPUTED_VALUE"""),"KERLA AYURVEDA LTD")</f>
        <v>KERLA AYURVEDA LTD</v>
      </c>
    </row>
    <row r="1897">
      <c r="H1897" s="19" t="str">
        <f>IFERROR(__xludf.DUMMYFUNCTION("""COMPUTED_VALUE"""),"KERMOUNT")</f>
        <v>KERMOUNT</v>
      </c>
    </row>
    <row r="1898">
      <c r="H1898" s="19" t="str">
        <f>IFERROR(__xludf.DUMMYFUNCTION("""COMPUTED_VALUE"""),"KESHRI HEALTHCARE")</f>
        <v>KESHRI HEALTHCARE</v>
      </c>
    </row>
    <row r="1899">
      <c r="H1899" s="19" t="str">
        <f>IFERROR(__xludf.DUMMYFUNCTION("""COMPUTED_VALUE"""),"KEVENTIS HEALTHCARE (KEVENTIS)")</f>
        <v>KEVENTIS HEALTHCARE (KEVENTIS)</v>
      </c>
    </row>
    <row r="1900">
      <c r="H1900" s="19" t="str">
        <f>IFERROR(__xludf.DUMMYFUNCTION("""COMPUTED_VALUE"""),"KEYA CORPORATION")</f>
        <v>KEYA CORPORATION</v>
      </c>
    </row>
    <row r="1901">
      <c r="H1901" s="19" t="str">
        <f>IFERROR(__xludf.DUMMYFUNCTION("""COMPUTED_VALUE"""),"KEYA PHARMAWIN")</f>
        <v>KEYA PHARMAWIN</v>
      </c>
    </row>
    <row r="1902">
      <c r="H1902" s="19" t="str">
        <f>IFERROR(__xludf.DUMMYFUNCTION("""COMPUTED_VALUE"""),"KG PHARMA")</f>
        <v>KG PHARMA</v>
      </c>
    </row>
    <row r="1903">
      <c r="H1903" s="19" t="str">
        <f>IFERROR(__xludf.DUMMYFUNCTION("""COMPUTED_VALUE"""),"KHANDELWAL LABORATORIES (GENERIC)")</f>
        <v>KHANDELWAL LABORATORIES (GENERIC)</v>
      </c>
    </row>
    <row r="1904">
      <c r="H1904" s="19" t="str">
        <f>IFERROR(__xludf.DUMMYFUNCTION("""COMPUTED_VALUE"""),"Khandelwal Laboratories Pvt Ltd")</f>
        <v>Khandelwal Laboratories Pvt Ltd</v>
      </c>
    </row>
    <row r="1905">
      <c r="H1905" s="19" t="str">
        <f>IFERROR(__xludf.DUMMYFUNCTION("""COMPUTED_VALUE"""),"KHONA CHEMICAL WORKS")</f>
        <v>KHONA CHEMICAL WORKS</v>
      </c>
    </row>
    <row r="1906">
      <c r="H1906" s="19" t="str">
        <f>IFERROR(__xludf.DUMMYFUNCTION("""COMPUTED_VALUE"""),"Kinedex Healthcare Pvt Ltd")</f>
        <v>Kinedex Healthcare Pvt Ltd</v>
      </c>
    </row>
    <row r="1907">
      <c r="H1907" s="19" t="str">
        <f>IFERROR(__xludf.DUMMYFUNCTION("""COMPUTED_VALUE"""),"KINESIS BIOCARE")</f>
        <v>KINESIS BIOCARE</v>
      </c>
    </row>
    <row r="1908">
      <c r="H1908" s="19" t="str">
        <f>IFERROR(__xludf.DUMMYFUNCTION("""COMPUTED_VALUE"""),"KINJAL BIOTECH PVT LTD")</f>
        <v>KINJAL BIOTECH PVT LTD</v>
      </c>
    </row>
    <row r="1909">
      <c r="H1909" s="19" t="str">
        <f>IFERROR(__xludf.DUMMYFUNCTION("""COMPUTED_VALUE"""),"KIRI LABORATORIES")</f>
        <v>KIRI LABORATORIES</v>
      </c>
    </row>
    <row r="1910">
      <c r="H1910" s="19" t="str">
        <f>IFERROR(__xludf.DUMMYFUNCTION("""COMPUTED_VALUE"""),"Kivi Labs (DERMA)")</f>
        <v>Kivi Labs (DERMA)</v>
      </c>
    </row>
    <row r="1911">
      <c r="H1911" s="19" t="str">
        <f>IFERROR(__xludf.DUMMYFUNCTION("""COMPUTED_VALUE"""),"Kivi Labs (ENDURA)")</f>
        <v>Kivi Labs (ENDURA)</v>
      </c>
    </row>
    <row r="1912">
      <c r="H1912" s="19" t="str">
        <f>IFERROR(__xludf.DUMMYFUNCTION("""COMPUTED_VALUE"""),"Kivi Labs (MAIN)")</f>
        <v>Kivi Labs (MAIN)</v>
      </c>
    </row>
    <row r="1913">
      <c r="H1913" s="19" t="str">
        <f>IFERROR(__xludf.DUMMYFUNCTION("""COMPUTED_VALUE"""),"Kivi Labs Ltd")</f>
        <v>Kivi Labs Ltd</v>
      </c>
    </row>
    <row r="1914">
      <c r="H1914" s="19" t="str">
        <f>IFERROR(__xludf.DUMMYFUNCTION("""COMPUTED_VALUE"""),"KIVILIFE HEALTHCARE (CNS)")</f>
        <v>KIVILIFE HEALTHCARE (CNS)</v>
      </c>
    </row>
    <row r="1915">
      <c r="H1915" s="19" t="str">
        <f>IFERROR(__xludf.DUMMYFUNCTION("""COMPUTED_VALUE"""),"KIVONYX HEALTHCARE PVT LTD")</f>
        <v>KIVONYX HEALTHCARE PVT LTD</v>
      </c>
    </row>
    <row r="1916">
      <c r="H1916" s="19" t="str">
        <f>IFERROR(__xludf.DUMMYFUNCTION("""COMPUTED_VALUE"""),"KLAR SEHEN")</f>
        <v>KLAR SEHEN</v>
      </c>
    </row>
    <row r="1917">
      <c r="H1917" s="19" t="str">
        <f>IFERROR(__xludf.DUMMYFUNCTION("""COMPUTED_VALUE"""),"KLITCH HEALTH CARE")</f>
        <v>KLITCH HEALTH CARE</v>
      </c>
    </row>
    <row r="1918">
      <c r="H1918" s="19" t="str">
        <f>IFERROR(__xludf.DUMMYFUNCTION("""COMPUTED_VALUE"""),"KLM (PEDI)")</f>
        <v>KLM (PEDI)</v>
      </c>
    </row>
    <row r="1919">
      <c r="H1919" s="19" t="str">
        <f>IFERROR(__xludf.DUMMYFUNCTION("""COMPUTED_VALUE"""),"KLM Laboratories (COSMO)")</f>
        <v>KLM Laboratories (COSMO)</v>
      </c>
    </row>
    <row r="1920">
      <c r="H1920" s="19" t="str">
        <f>IFERROR(__xludf.DUMMYFUNCTION("""COMPUTED_VALUE"""),"KLM LABORATORIES (COSMOQ)")</f>
        <v>KLM LABORATORIES (COSMOQ)</v>
      </c>
    </row>
    <row r="1921">
      <c r="H1921" s="19" t="str">
        <f>IFERROR(__xludf.DUMMYFUNCTION("""COMPUTED_VALUE"""),"KLM Laboratories (DERMA)")</f>
        <v>KLM Laboratories (DERMA)</v>
      </c>
    </row>
    <row r="1922">
      <c r="H1922" s="19" t="str">
        <f>IFERROR(__xludf.DUMMYFUNCTION("""COMPUTED_VALUE"""),"KLM LABORATORIES (EYE CARE)")</f>
        <v>KLM LABORATORIES (EYE CARE)</v>
      </c>
    </row>
    <row r="1923">
      <c r="H1923" s="19" t="str">
        <f>IFERROR(__xludf.DUMMYFUNCTION("""COMPUTED_VALUE"""),"KLM LABORATORIES (GYNAEC)")</f>
        <v>KLM LABORATORIES (GYNAEC)</v>
      </c>
    </row>
    <row r="1924">
      <c r="H1924" s="19" t="str">
        <f>IFERROR(__xludf.DUMMYFUNCTION("""COMPUTED_VALUE"""),"KLM LABORATORIES (ORTHO)")</f>
        <v>KLM LABORATORIES (ORTHO)</v>
      </c>
    </row>
    <row r="1925">
      <c r="H1925" s="19" t="str">
        <f>IFERROR(__xludf.DUMMYFUNCTION("""COMPUTED_VALUE"""),"KLM LABORATORIES (PHARMA)")</f>
        <v>KLM LABORATORIES (PHARMA)</v>
      </c>
    </row>
    <row r="1926">
      <c r="H1926" s="19" t="str">
        <f>IFERROR(__xludf.DUMMYFUNCTION("""COMPUTED_VALUE"""),"KLM Laboratories Pvt Ltd")</f>
        <v>KLM Laboratories Pvt Ltd</v>
      </c>
    </row>
    <row r="1927">
      <c r="H1927" s="19" t="str">
        <f>IFERROR(__xludf.DUMMYFUNCTION("""COMPUTED_VALUE"""),"KMS Health Center Pvt Ltd")</f>
        <v>KMS Health Center Pvt Ltd</v>
      </c>
    </row>
    <row r="1928">
      <c r="H1928" s="19" t="str">
        <f>IFERROR(__xludf.DUMMYFUNCTION("""COMPUTED_VALUE"""),"KN BIOTECH")</f>
        <v>KN BIOTECH</v>
      </c>
    </row>
    <row r="1929">
      <c r="H1929" s="19" t="str">
        <f>IFERROR(__xludf.DUMMYFUNCTION("""COMPUTED_VALUE"""),"Knoll Pharmaceuticals Ltd")</f>
        <v>Knoll Pharmaceuticals Ltd</v>
      </c>
    </row>
    <row r="1930">
      <c r="H1930" s="19" t="str">
        <f>IFERROR(__xludf.DUMMYFUNCTION("""COMPUTED_VALUE"""),"Knoll Pharmaceuticals Ltd (GENERIC)")</f>
        <v>Knoll Pharmaceuticals Ltd (GENERIC)</v>
      </c>
    </row>
    <row r="1931">
      <c r="H1931" s="19" t="str">
        <f>IFERROR(__xludf.DUMMYFUNCTION("""COMPUTED_VALUE"""),"KNOVIQ LIFESCIENCES")</f>
        <v>KNOVIQ LIFESCIENCES</v>
      </c>
    </row>
    <row r="1932">
      <c r="H1932" s="19" t="str">
        <f>IFERROR(__xludf.DUMMYFUNCTION("""COMPUTED_VALUE"""),"KONTEST CHEMICALS")</f>
        <v>KONTEST CHEMICALS</v>
      </c>
    </row>
    <row r="1933">
      <c r="H1933" s="19" t="str">
        <f>IFERROR(__xludf.DUMMYFUNCTION("""COMPUTED_VALUE"""),"KONVERGE HEALTHCARE")</f>
        <v>KONVERGE HEALTHCARE</v>
      </c>
    </row>
    <row r="1934">
      <c r="H1934" s="19" t="str">
        <f>IFERROR(__xludf.DUMMYFUNCTION("""COMPUTED_VALUE"""),"KOPRAN")</f>
        <v>KOPRAN</v>
      </c>
    </row>
    <row r="1935">
      <c r="H1935" s="19" t="str">
        <f>IFERROR(__xludf.DUMMYFUNCTION("""COMPUTED_VALUE"""),"KORNEPH")</f>
        <v>KORNEPH</v>
      </c>
    </row>
    <row r="1936">
      <c r="H1936" s="19" t="str">
        <f>IFERROR(__xludf.DUMMYFUNCTION("""COMPUTED_VALUE"""),"Koye Pharmaceuticals (CAIR)")</f>
        <v>Koye Pharmaceuticals (CAIR)</v>
      </c>
    </row>
    <row r="1937">
      <c r="H1937" s="19" t="str">
        <f>IFERROR(__xludf.DUMMYFUNCTION("""COMPUTED_VALUE"""),"Koye Pharmaceuticals (CARDIO)")</f>
        <v>Koye Pharmaceuticals (CARDIO)</v>
      </c>
    </row>
    <row r="1938">
      <c r="H1938" s="19" t="str">
        <f>IFERROR(__xludf.DUMMYFUNCTION("""COMPUTED_VALUE"""),"Koye Pharmaceuticals (GYNO)")</f>
        <v>Koye Pharmaceuticals (GYNO)</v>
      </c>
    </row>
    <row r="1939">
      <c r="H1939" s="19" t="str">
        <f>IFERROR(__xludf.DUMMYFUNCTION("""COMPUTED_VALUE"""),"Koye Pharmaceuticals (MAIN)")</f>
        <v>Koye Pharmaceuticals (MAIN)</v>
      </c>
    </row>
    <row r="1940">
      <c r="H1940" s="19" t="str">
        <f>IFERROR(__xludf.DUMMYFUNCTION("""COMPUTED_VALUE"""),"Koye Pharmaceuticals (ORIGYN)")</f>
        <v>Koye Pharmaceuticals (ORIGYN)</v>
      </c>
    </row>
    <row r="1941">
      <c r="H1941" s="19" t="str">
        <f>IFERROR(__xludf.DUMMYFUNCTION("""COMPUTED_VALUE"""),"koye Pharmaceuticals (OTC)")</f>
        <v>koye Pharmaceuticals (OTC)</v>
      </c>
    </row>
    <row r="1942">
      <c r="H1942" s="19" t="str">
        <f>IFERROR(__xludf.DUMMYFUNCTION("""COMPUTED_VALUE"""),"Koye Pharmaceuticals (OTH)")</f>
        <v>Koye Pharmaceuticals (OTH)</v>
      </c>
    </row>
    <row r="1943">
      <c r="H1943" s="19" t="str">
        <f>IFERROR(__xludf.DUMMYFUNCTION("""COMPUTED_VALUE"""),"Koye Pharmaceuticals Pvt ltd")</f>
        <v>Koye Pharmaceuticals Pvt ltd</v>
      </c>
    </row>
    <row r="1944">
      <c r="H1944" s="19" t="str">
        <f>IFERROR(__xludf.DUMMYFUNCTION("""COMPUTED_VALUE"""),"KR ENTERPRISES")</f>
        <v>KR ENTERPRISES</v>
      </c>
    </row>
    <row r="1945">
      <c r="H1945" s="19" t="str">
        <f>IFERROR(__xludf.DUMMYFUNCTION("""COMPUTED_VALUE"""),"KR INDO GERMAN")</f>
        <v>KR INDO GERMAN</v>
      </c>
    </row>
    <row r="1946">
      <c r="H1946" s="19" t="str">
        <f>IFERROR(__xludf.DUMMYFUNCTION("""COMPUTED_VALUE"""),"KRAFT INDIA FOOD LTD")</f>
        <v>KRAFT INDIA FOOD LTD</v>
      </c>
    </row>
    <row r="1947">
      <c r="H1947" s="19" t="str">
        <f>IFERROR(__xludf.DUMMYFUNCTION("""COMPUTED_VALUE"""),"KREIOS PHARMA")</f>
        <v>KREIOS PHARMA</v>
      </c>
    </row>
    <row r="1948">
      <c r="H1948" s="19" t="str">
        <f>IFERROR(__xludf.DUMMYFUNCTION("""COMPUTED_VALUE"""),"KRISHLAR PHARMACEUTICALS")</f>
        <v>KRISHLAR PHARMACEUTICALS</v>
      </c>
    </row>
    <row r="1949">
      <c r="H1949" s="19" t="str">
        <f>IFERROR(__xludf.DUMMYFUNCTION("""COMPUTED_VALUE"""),"KRISHNA GOPAL AYURVEDIC BHAWAN (KALEDA)")</f>
        <v>KRISHNA GOPAL AYURVEDIC BHAWAN (KALEDA)</v>
      </c>
    </row>
    <row r="1950">
      <c r="H1950" s="19" t="str">
        <f>IFERROR(__xludf.DUMMYFUNCTION("""COMPUTED_VALUE"""),"KRISHNA MANFACTURING COMPANY")</f>
        <v>KRISHNA MANFACTURING COMPANY</v>
      </c>
    </row>
    <row r="1951">
      <c r="H1951" s="19" t="str">
        <f>IFERROR(__xludf.DUMMYFUNCTION("""COMPUTED_VALUE"""),"KSHIPRA HEALTH SOLUTIONS")</f>
        <v>KSHIPRA HEALTH SOLUTIONS</v>
      </c>
    </row>
    <row r="1952">
      <c r="H1952" s="19" t="str">
        <f>IFERROR(__xludf.DUMMYFUNCTION("""COMPUTED_VALUE"""),"KUDOS")</f>
        <v>KUDOS</v>
      </c>
    </row>
    <row r="1953">
      <c r="H1953" s="19" t="str">
        <f>IFERROR(__xludf.DUMMYFUNCTION("""COMPUTED_VALUE"""),"KUNNATH PHARMACEUTICALS")</f>
        <v>KUNNATH PHARMACEUTICALS</v>
      </c>
    </row>
    <row r="1954">
      <c r="H1954" s="19" t="str">
        <f>IFERROR(__xludf.DUMMYFUNCTION("""COMPUTED_VALUE"""),"KUSUM HEALTHCARE PVT LTD")</f>
        <v>KUSUM HEALTHCARE PVT LTD</v>
      </c>
    </row>
    <row r="1955">
      <c r="H1955" s="19" t="str">
        <f>IFERROR(__xludf.DUMMYFUNCTION("""COMPUTED_VALUE"""),"KWALITY PHARMACEUTICALS LTD")</f>
        <v>KWALITY PHARMACEUTICALS LTD</v>
      </c>
    </row>
    <row r="1956">
      <c r="H1956" s="19" t="str">
        <f>IFERROR(__xludf.DUMMYFUNCTION("""COMPUTED_VALUE"""),"KWIK HEALTHCARE")</f>
        <v>KWIK HEALTHCARE</v>
      </c>
    </row>
    <row r="1957">
      <c r="H1957" s="19" t="str">
        <f>IFERROR(__xludf.DUMMYFUNCTION("""COMPUTED_VALUE"""),"L AND V PHARMA")</f>
        <v>L AND V PHARMA</v>
      </c>
    </row>
    <row r="1958">
      <c r="H1958" s="19" t="str">
        <f>IFERROR(__xludf.DUMMYFUNCTION("""COMPUTED_VALUE"""),"L V LIFE SCIENCE SOLAN")</f>
        <v>L V LIFE SCIENCE SOLAN</v>
      </c>
    </row>
    <row r="1959">
      <c r="H1959" s="19" t="str">
        <f>IFERROR(__xludf.DUMMYFUNCTION("""COMPUTED_VALUE"""),"L'AMAR HEALTHCARE")</f>
        <v>L'AMAR HEALTHCARE</v>
      </c>
    </row>
    <row r="1960">
      <c r="H1960" s="19" t="str">
        <f>IFERROR(__xludf.DUMMYFUNCTION("""COMPUTED_VALUE"""),"L&amp;T PHARMA")</f>
        <v>L&amp;T PHARMA</v>
      </c>
    </row>
    <row r="1961">
      <c r="H1961" s="19" t="str">
        <f>IFERROR(__xludf.DUMMYFUNCTION("""COMPUTED_VALUE"""),"LA MANTE HEALTHCARE")</f>
        <v>LA MANTE HEALTHCARE</v>
      </c>
    </row>
    <row r="1962">
      <c r="H1962" s="19" t="str">
        <f>IFERROR(__xludf.DUMMYFUNCTION("""COMPUTED_VALUE"""),"LA MED INDIA")</f>
        <v>LA MED INDIA</v>
      </c>
    </row>
    <row r="1963">
      <c r="H1963" s="19" t="str">
        <f>IFERROR(__xludf.DUMMYFUNCTION("""COMPUTED_VALUE"""),"LA PENSER LIFE SCIENCES")</f>
        <v>LA PENSER LIFE SCIENCES</v>
      </c>
    </row>
    <row r="1964">
      <c r="H1964" s="19" t="str">
        <f>IFERROR(__xludf.DUMMYFUNCTION("""COMPUTED_VALUE"""),"LA PIEL BIOTECH P LTD")</f>
        <v>LA PIEL BIOTECH P LTD</v>
      </c>
    </row>
    <row r="1965">
      <c r="H1965" s="19" t="str">
        <f>IFERROR(__xludf.DUMMYFUNCTION("""COMPUTED_VALUE"""),"LA PRISTINE BIOCEUTICALS P LTD")</f>
        <v>LA PRISTINE BIOCEUTICALS P LTD</v>
      </c>
    </row>
    <row r="1966">
      <c r="H1966" s="19" t="str">
        <f>IFERROR(__xludf.DUMMYFUNCTION("""COMPUTED_VALUE"""),"LA RENON (CARDIO METABOLIC)")</f>
        <v>LA RENON (CARDIO METABOLIC)</v>
      </c>
    </row>
    <row r="1967">
      <c r="H1967" s="19" t="str">
        <f>IFERROR(__xludf.DUMMYFUNCTION("""COMPUTED_VALUE"""),"LA RENON (CNS-1)")</f>
        <v>LA RENON (CNS-1)</v>
      </c>
    </row>
    <row r="1968">
      <c r="H1968" s="19" t="str">
        <f>IFERROR(__xludf.DUMMYFUNCTION("""COMPUTED_VALUE"""),"LA RENON (CNS-2)")</f>
        <v>LA RENON (CNS-2)</v>
      </c>
    </row>
    <row r="1969">
      <c r="H1969" s="19" t="str">
        <f>IFERROR(__xludf.DUMMYFUNCTION("""COMPUTED_VALUE"""),"LA RENON (CRITICAL CARE)")</f>
        <v>LA RENON (CRITICAL CARE)</v>
      </c>
    </row>
    <row r="1970">
      <c r="H1970" s="19" t="str">
        <f>IFERROR(__xludf.DUMMYFUNCTION("""COMPUTED_VALUE"""),"LA RENON (GYNAECOLOGY)")</f>
        <v>LA RENON (GYNAECOLOGY)</v>
      </c>
    </row>
    <row r="1971">
      <c r="H1971" s="19" t="str">
        <f>IFERROR(__xludf.DUMMYFUNCTION("""COMPUTED_VALUE"""),"LA RENON (KIRRUS)")</f>
        <v>LA RENON (KIRRUS)</v>
      </c>
    </row>
    <row r="1972">
      <c r="H1972" s="19" t="str">
        <f>IFERROR(__xludf.DUMMYFUNCTION("""COMPUTED_VALUE"""),"LA RENON (LAETOR)")</f>
        <v>LA RENON (LAETOR)</v>
      </c>
    </row>
    <row r="1973">
      <c r="H1973" s="19" t="str">
        <f>IFERROR(__xludf.DUMMYFUNCTION("""COMPUTED_VALUE"""),"LA RENON (LAUREATE)")</f>
        <v>LA RENON (LAUREATE)</v>
      </c>
    </row>
    <row r="1974">
      <c r="H1974" s="19" t="str">
        <f>IFERROR(__xludf.DUMMYFUNCTION("""COMPUTED_VALUE"""),"LA RENON (LAUREUS)")</f>
        <v>LA RENON (LAUREUS)</v>
      </c>
    </row>
    <row r="1975">
      <c r="H1975" s="19" t="str">
        <f>IFERROR(__xludf.DUMMYFUNCTION("""COMPUTED_VALUE"""),"LA RENON (LAVIATOR)")</f>
        <v>LA RENON (LAVIATOR)</v>
      </c>
    </row>
    <row r="1976">
      <c r="H1976" s="19" t="str">
        <f>IFERROR(__xludf.DUMMYFUNCTION("""COMPUTED_VALUE"""),"LA RENON (NEPHRO)")</f>
        <v>LA RENON (NEPHRO)</v>
      </c>
    </row>
    <row r="1977">
      <c r="H1977" s="19" t="str">
        <f>IFERROR(__xludf.DUMMYFUNCTION("""COMPUTED_VALUE"""),"LA RENON (ULTRA)")</f>
        <v>LA RENON (ULTRA)</v>
      </c>
    </row>
    <row r="1978">
      <c r="H1978" s="19" t="str">
        <f>IFERROR(__xludf.DUMMYFUNCTION("""COMPUTED_VALUE"""),"LA RENON (UROLOGY)")</f>
        <v>LA RENON (UROLOGY)</v>
      </c>
    </row>
    <row r="1979">
      <c r="H1979" s="19" t="str">
        <f>IFERROR(__xludf.DUMMYFUNCTION("""COMPUTED_VALUE"""),"La Renon Healthcare Pvt Ltd")</f>
        <v>La Renon Healthcare Pvt Ltd</v>
      </c>
    </row>
    <row r="1980">
      <c r="H1980" s="19" t="str">
        <f>IFERROR(__xludf.DUMMYFUNCTION("""COMPUTED_VALUE"""),"LA SERENA FORMULATIONS")</f>
        <v>LA SERENA FORMULATIONS</v>
      </c>
    </row>
    <row r="1981">
      <c r="H1981" s="19" t="str">
        <f>IFERROR(__xludf.DUMMYFUNCTION("""COMPUTED_VALUE"""),"LA VELLA HEALTHCARE")</f>
        <v>LA VELLA HEALTHCARE</v>
      </c>
    </row>
    <row r="1982">
      <c r="H1982" s="19" t="str">
        <f>IFERROR(__xludf.DUMMYFUNCTION("""COMPUTED_VALUE"""),"LA-MED")</f>
        <v>LA-MED</v>
      </c>
    </row>
    <row r="1983">
      <c r="H1983" s="19" t="str">
        <f>IFERROR(__xludf.DUMMYFUNCTION("""COMPUTED_VALUE"""),"Laborate (GENERIC)")</f>
        <v>Laborate (GENERIC)</v>
      </c>
    </row>
    <row r="1984">
      <c r="H1984" s="19" t="str">
        <f>IFERROR(__xludf.DUMMYFUNCTION("""COMPUTED_VALUE"""),"LABORATE PHARMA")</f>
        <v>LABORATE PHARMA</v>
      </c>
    </row>
    <row r="1985">
      <c r="H1985" s="19" t="str">
        <f>IFERROR(__xludf.DUMMYFUNCTION("""COMPUTED_VALUE"""),"LABORATE PHARMACEUTICALS INDIA LTD")</f>
        <v>LABORATE PHARMACEUTICALS INDIA LTD</v>
      </c>
    </row>
    <row r="1986">
      <c r="H1986" s="19" t="str">
        <f>IFERROR(__xludf.DUMMYFUNCTION("""COMPUTED_VALUE"""),"LACELLE")</f>
        <v>LACELLE</v>
      </c>
    </row>
    <row r="1987">
      <c r="H1987" s="19" t="str">
        <f>IFERROR(__xludf.DUMMYFUNCTION("""COMPUTED_VALUE"""),"LAKSHYA")</f>
        <v>LAKSHYA</v>
      </c>
    </row>
    <row r="1988">
      <c r="H1988" s="19" t="str">
        <f>IFERROR(__xludf.DUMMYFUNCTION("""COMPUTED_VALUE"""),"LALIT PHARMACY")</f>
        <v>LALIT PHARMACY</v>
      </c>
    </row>
    <row r="1989">
      <c r="H1989" s="19" t="str">
        <f>IFERROR(__xludf.DUMMYFUNCTION("""COMPUTED_VALUE"""),"LAMAR HEALTHCARE")</f>
        <v>LAMAR HEALTHCARE</v>
      </c>
    </row>
    <row r="1990">
      <c r="H1990" s="19" t="str">
        <f>IFERROR(__xludf.DUMMYFUNCTION("""COMPUTED_VALUE"""),"LAPIEL BIOTECH PVT LTD")</f>
        <v>LAPIEL BIOTECH PVT LTD</v>
      </c>
    </row>
    <row r="1991">
      <c r="H1991" s="19" t="str">
        <f>IFERROR(__xludf.DUMMYFUNCTION("""COMPUTED_VALUE"""),"LARK LABORATORIES LTD")</f>
        <v>LARK LABORATORIES LTD</v>
      </c>
    </row>
    <row r="1992">
      <c r="H1992" s="19" t="str">
        <f>IFERROR(__xludf.DUMMYFUNCTION("""COMPUTED_VALUE"""),"LAUREL LIFE SCIENCE")</f>
        <v>LAUREL LIFE SCIENCE</v>
      </c>
    </row>
    <row r="1993">
      <c r="H1993" s="19" t="str">
        <f>IFERROR(__xludf.DUMMYFUNCTION("""COMPUTED_VALUE"""),"LAVANYA BIOTECH")</f>
        <v>LAVANYA BIOTECH</v>
      </c>
    </row>
    <row r="1994">
      <c r="H1994" s="19" t="str">
        <f>IFERROR(__xludf.DUMMYFUNCTION("""COMPUTED_VALUE"""),"Laxian Incorporation")</f>
        <v>Laxian Incorporation</v>
      </c>
    </row>
    <row r="1995">
      <c r="H1995" s="19" t="str">
        <f>IFERROR(__xludf.DUMMYFUNCTION("""COMPUTED_VALUE"""),"LAXIAN PHARMACEUTICALS")</f>
        <v>LAXIAN PHARMACEUTICALS</v>
      </c>
    </row>
    <row r="1996">
      <c r="H1996" s="19" t="str">
        <f>IFERROR(__xludf.DUMMYFUNCTION("""COMPUTED_VALUE"""),"LAXMI DISTIBUTORS")</f>
        <v>LAXMI DISTIBUTORS</v>
      </c>
    </row>
    <row r="1997">
      <c r="H1997" s="19" t="str">
        <f>IFERROR(__xludf.DUMMYFUNCTION("""COMPUTED_VALUE"""),"LAXMI DRUG HOUSE (OTHER GENERAL PRODUCTS)")</f>
        <v>LAXMI DRUG HOUSE (OTHER GENERAL PRODUCTS)</v>
      </c>
    </row>
    <row r="1998">
      <c r="H1998" s="19" t="str">
        <f>IFERROR(__xludf.DUMMYFUNCTION("""COMPUTED_VALUE"""),"LAXO MEDICARE PVT LTD")</f>
        <v>LAXO MEDICARE PVT LTD</v>
      </c>
    </row>
    <row r="1999">
      <c r="H1999" s="19" t="str">
        <f>IFERROR(__xludf.DUMMYFUNCTION("""COMPUTED_VALUE"""),"LDD BIOSCIENCE PVT LTD")</f>
        <v>LDD BIOSCIENCE PVT LTD</v>
      </c>
    </row>
    <row r="2000">
      <c r="H2000" s="19" t="str">
        <f>IFERROR(__xludf.DUMMYFUNCTION("""COMPUTED_VALUE"""),"LE-VANZA PHARMA PVT LTD")</f>
        <v>LE-VANZA PHARMA PVT LTD</v>
      </c>
    </row>
    <row r="2001">
      <c r="H2001" s="19" t="str">
        <f>IFERROR(__xludf.DUMMYFUNCTION("""COMPUTED_VALUE"""),"LEAD CARE INTERNATIONAL")</f>
        <v>LEAD CARE INTERNATIONAL</v>
      </c>
    </row>
    <row r="2002">
      <c r="H2002" s="19" t="str">
        <f>IFERROR(__xludf.DUMMYFUNCTION("""COMPUTED_VALUE"""),"LEADERS HEALTHCARE LTD")</f>
        <v>LEADERS HEALTHCARE LTD</v>
      </c>
    </row>
    <row r="2003">
      <c r="H2003" s="19" t="str">
        <f>IFERROR(__xludf.DUMMYFUNCTION("""COMPUTED_VALUE"""),"LEBEN LABORATORIES PVT LTD")</f>
        <v>LEBEN LABORATORIES PVT LTD</v>
      </c>
    </row>
    <row r="2004">
      <c r="H2004" s="19" t="str">
        <f>IFERROR(__xludf.DUMMYFUNCTION("""COMPUTED_VALUE"""),"LEDERLE PHARMA")</f>
        <v>LEDERLE PHARMA</v>
      </c>
    </row>
    <row r="2005">
      <c r="H2005" s="19" t="str">
        <f>IFERROR(__xludf.DUMMYFUNCTION("""COMPUTED_VALUE"""),"LEE BENZ LIFESCIENCES")</f>
        <v>LEE BENZ LIFESCIENCES</v>
      </c>
    </row>
    <row r="2006">
      <c r="H2006" s="19" t="str">
        <f>IFERROR(__xludf.DUMMYFUNCTION("""COMPUTED_VALUE"""),"LEEFORD (COSMIC)")</f>
        <v>LEEFORD (COSMIC)</v>
      </c>
    </row>
    <row r="2007">
      <c r="H2007" s="19" t="str">
        <f>IFERROR(__xludf.DUMMYFUNCTION("""COMPUTED_VALUE"""),"LEEFORD (GENERIC)")</f>
        <v>LEEFORD (GENERIC)</v>
      </c>
    </row>
    <row r="2008">
      <c r="H2008" s="19" t="str">
        <f>IFERROR(__xludf.DUMMYFUNCTION("""COMPUTED_VALUE"""),"LEEFORD (HEALTHCARE)")</f>
        <v>LEEFORD (HEALTHCARE)</v>
      </c>
    </row>
    <row r="2009">
      <c r="H2009" s="19" t="str">
        <f>IFERROR(__xludf.DUMMYFUNCTION("""COMPUTED_VALUE"""),"LEEFORD (WELLNESS)")</f>
        <v>LEEFORD (WELLNESS)</v>
      </c>
    </row>
    <row r="2010">
      <c r="H2010" s="19" t="str">
        <f>IFERROR(__xludf.DUMMYFUNCTION("""COMPUTED_VALUE"""),"LEESUN PHARMACEUTICALS")</f>
        <v>LEESUN PHARMACEUTICALS</v>
      </c>
    </row>
    <row r="2011">
      <c r="H2011" s="19" t="str">
        <f>IFERROR(__xludf.DUMMYFUNCTION("""COMPUTED_VALUE"""),"LEEZA BIOTECH")</f>
        <v>LEEZA BIOTECH</v>
      </c>
    </row>
    <row r="2012">
      <c r="H2012" s="19" t="str">
        <f>IFERROR(__xludf.DUMMYFUNCTION("""COMPUTED_VALUE"""),"LEGITIMED HEALTHCARE PVT LTD")</f>
        <v>LEGITIMED HEALTHCARE PVT LTD</v>
      </c>
    </row>
    <row r="2013">
      <c r="H2013" s="19" t="str">
        <f>IFERROR(__xludf.DUMMYFUNCTION("""COMPUTED_VALUE"""),"LENVANIB 10MG")</f>
        <v>LENVANIB 10MG</v>
      </c>
    </row>
    <row r="2014">
      <c r="H2014" s="19" t="str">
        <f>IFERROR(__xludf.DUMMYFUNCTION("""COMPUTED_VALUE"""),"LENVANIB 4MG")</f>
        <v>LENVANIB 4MG</v>
      </c>
    </row>
    <row r="2015">
      <c r="H2015" s="19" t="str">
        <f>IFERROR(__xludf.DUMMYFUNCTION("""COMPUTED_VALUE"""),"LEO CHEMICALS")</f>
        <v>LEO CHEMICALS</v>
      </c>
    </row>
    <row r="2016">
      <c r="H2016" s="19" t="str">
        <f>IFERROR(__xludf.DUMMYFUNCTION("""COMPUTED_VALUE"""),"LEO FORMULATION P LTD")</f>
        <v>LEO FORMULATION P LTD</v>
      </c>
    </row>
    <row r="2017">
      <c r="H2017" s="19" t="str">
        <f>IFERROR(__xludf.DUMMYFUNCTION("""COMPUTED_VALUE"""),"LEOLIFE SCIENCES PVT LTD")</f>
        <v>LEOLIFE SCIENCES PVT LTD</v>
      </c>
    </row>
    <row r="2018">
      <c r="H2018" s="19" t="str">
        <f>IFERROR(__xludf.DUMMYFUNCTION("""COMPUTED_VALUE"""),"LEXA LABS")</f>
        <v>LEXA LABS</v>
      </c>
    </row>
    <row r="2019">
      <c r="H2019" s="19" t="str">
        <f>IFERROR(__xludf.DUMMYFUNCTION("""COMPUTED_VALUE"""),"LEZAA BIOTECH")</f>
        <v>LEZAA BIOTECH</v>
      </c>
    </row>
    <row r="2020">
      <c r="H2020" s="19" t="str">
        <f>IFERROR(__xludf.DUMMYFUNCTION("""COMPUTED_VALUE"""),"LEZAPIN MD")</f>
        <v>LEZAPIN MD</v>
      </c>
    </row>
    <row r="2021">
      <c r="H2021" s="19" t="str">
        <f>IFERROR(__xludf.DUMMYFUNCTION("""COMPUTED_VALUE"""),"LG Lifesciences")</f>
        <v>LG Lifesciences</v>
      </c>
    </row>
    <row r="2022">
      <c r="H2022" s="19" t="str">
        <f>IFERROR(__xludf.DUMMYFUNCTION("""COMPUTED_VALUE"""),"LIFE HERBALS")</f>
        <v>LIFE HERBALS</v>
      </c>
    </row>
    <row r="2023">
      <c r="H2023" s="19" t="str">
        <f>IFERROR(__xludf.DUMMYFUNCTION("""COMPUTED_VALUE"""),"LIFE LINE BIOTECH LTD")</f>
        <v>LIFE LINE BIOTECH LTD</v>
      </c>
    </row>
    <row r="2024">
      <c r="H2024" s="19" t="str">
        <f>IFERROR(__xludf.DUMMYFUNCTION("""COMPUTED_VALUE"""),"LIFE MEDICARE &amp; BIOTECH PVT.LT")</f>
        <v>LIFE MEDICARE &amp; BIOTECH PVT.LT</v>
      </c>
    </row>
    <row r="2025">
      <c r="H2025" s="19" t="str">
        <f>IFERROR(__xludf.DUMMYFUNCTION("""COMPUTED_VALUE"""),"LIFE O LINE TECHNOLOGIST")</f>
        <v>LIFE O LINE TECHNOLOGIST</v>
      </c>
    </row>
    <row r="2026">
      <c r="H2026" s="19" t="str">
        <f>IFERROR(__xludf.DUMMYFUNCTION("""COMPUTED_VALUE"""),"LIFE PHARMACEUTICALS PVT LTD")</f>
        <v>LIFE PHARMACEUTICALS PVT LTD</v>
      </c>
    </row>
    <row r="2027">
      <c r="H2027" s="19" t="str">
        <f>IFERROR(__xludf.DUMMYFUNCTION("""COMPUTED_VALUE"""),"LIFE VISION HEALTHCARE")</f>
        <v>LIFE VISION HEALTHCARE</v>
      </c>
    </row>
    <row r="2028">
      <c r="H2028" s="19" t="str">
        <f>IFERROR(__xludf.DUMMYFUNCTION("""COMPUTED_VALUE"""),"LIFECARE NEURO PRODUCTS LTD")</f>
        <v>LIFECARE NEURO PRODUCTS LTD</v>
      </c>
    </row>
    <row r="2029">
      <c r="H2029" s="19" t="str">
        <f>IFERROR(__xludf.DUMMYFUNCTION("""COMPUTED_VALUE"""),"LIFECOM PHARMACEUTICALS INDIA PVT LTD")</f>
        <v>LIFECOM PHARMACEUTICALS INDIA PVT LTD</v>
      </c>
    </row>
    <row r="2030">
      <c r="H2030" s="19" t="str">
        <f>IFERROR(__xludf.DUMMYFUNCTION("""COMPUTED_VALUE"""),"LIFEGATE REMEDIES")</f>
        <v>LIFEGATE REMEDIES</v>
      </c>
    </row>
    <row r="2031">
      <c r="H2031" s="19" t="str">
        <f>IFERROR(__xludf.DUMMYFUNCTION("""COMPUTED_VALUE"""),"LIFEKYOR PHARMA")</f>
        <v>LIFEKYOR PHARMA</v>
      </c>
    </row>
    <row r="2032">
      <c r="H2032" s="19" t="str">
        <f>IFERROR(__xludf.DUMMYFUNCTION("""COMPUTED_VALUE"""),"LIFESOL MEDICAL LIMITED")</f>
        <v>LIFESOL MEDICAL LIMITED</v>
      </c>
    </row>
    <row r="2033">
      <c r="H2033" s="19" t="str">
        <f>IFERROR(__xludf.DUMMYFUNCTION("""COMPUTED_VALUE"""),"LIFEZ")</f>
        <v>LIFEZ</v>
      </c>
    </row>
    <row r="2034">
      <c r="H2034" s="19" t="str">
        <f>IFERROR(__xludf.DUMMYFUNCTION("""COMPUTED_VALUE"""),"LIFT LIFE BIOTECH")</f>
        <v>LIFT LIFE BIOTECH</v>
      </c>
    </row>
    <row r="2035">
      <c r="H2035" s="19" t="str">
        <f>IFERROR(__xludf.DUMMYFUNCTION("""COMPUTED_VALUE"""),"LIKAMEDA PHARMACEUTICALS PVT LTD")</f>
        <v>LIKAMEDA PHARMACEUTICALS PVT LTD</v>
      </c>
    </row>
    <row r="2036">
      <c r="H2036" s="19" t="str">
        <f>IFERROR(__xludf.DUMMYFUNCTION("""COMPUTED_VALUE"""),"LILANIA MEDICORP (INDIA) P LTD")</f>
        <v>LILANIA MEDICORP (INDIA) P LTD</v>
      </c>
    </row>
    <row r="2037">
      <c r="H2037" s="19" t="str">
        <f>IFERROR(__xludf.DUMMYFUNCTION("""COMPUTED_VALUE"""),"LIMBIC LIFE SCIENCES P LTD")</f>
        <v>LIMBIC LIFE SCIENCES P LTD</v>
      </c>
    </row>
    <row r="2038">
      <c r="H2038" s="19" t="str">
        <f>IFERROR(__xludf.DUMMYFUNCTION("""COMPUTED_VALUE"""),"LINCOLN (LORDS)")</f>
        <v>LINCOLN (LORDS)</v>
      </c>
    </row>
    <row r="2039">
      <c r="H2039" s="19" t="str">
        <f>IFERROR(__xludf.DUMMYFUNCTION("""COMPUTED_VALUE"""),"LINCOLN (TERESA)")</f>
        <v>LINCOLN (TERESA)</v>
      </c>
    </row>
    <row r="2040">
      <c r="H2040" s="19" t="str">
        <f>IFERROR(__xludf.DUMMYFUNCTION("""COMPUTED_VALUE"""),"Lincoln Pharmaceuticals Ltd")</f>
        <v>Lincoln Pharmaceuticals Ltd</v>
      </c>
    </row>
    <row r="2041">
      <c r="H2041" s="19" t="str">
        <f>IFERROR(__xludf.DUMMYFUNCTION("""COMPUTED_VALUE"""),"LINGDAO HEALTHCARE")</f>
        <v>LINGDAO HEALTHCARE</v>
      </c>
    </row>
    <row r="2042">
      <c r="H2042" s="19" t="str">
        <f>IFERROR(__xludf.DUMMYFUNCTION("""COMPUTED_VALUE"""),"LINK PHARMA")</f>
        <v>LINK PHARMA</v>
      </c>
    </row>
    <row r="2043">
      <c r="H2043" s="19" t="str">
        <f>IFERROR(__xludf.DUMMYFUNCTION("""COMPUTED_VALUE"""),"LINUX (INFINA)")</f>
        <v>LINUX (INFINA)</v>
      </c>
    </row>
    <row r="2044">
      <c r="H2044" s="19" t="str">
        <f>IFERROR(__xludf.DUMMYFUNCTION("""COMPUTED_VALUE"""),"Linux Laboratories")</f>
        <v>Linux Laboratories</v>
      </c>
    </row>
    <row r="2045">
      <c r="H2045" s="19" t="str">
        <f>IFERROR(__xludf.DUMMYFUNCTION("""COMPUTED_VALUE"""),"LION BRAND")</f>
        <v>LION BRAND</v>
      </c>
    </row>
    <row r="2046">
      <c r="H2046" s="19" t="str">
        <f>IFERROR(__xludf.DUMMYFUNCTION("""COMPUTED_VALUE"""),"LIP PINK")</f>
        <v>LIP PINK</v>
      </c>
    </row>
    <row r="2047">
      <c r="H2047" s="19" t="str">
        <f>IFERROR(__xludf.DUMMYFUNCTION("""COMPUTED_VALUE"""),"ListApp Technologies")</f>
        <v>ListApp Technologies</v>
      </c>
    </row>
    <row r="2048">
      <c r="H2048" s="19" t="str">
        <f>IFERROR(__xludf.DUMMYFUNCTION("""COMPUTED_VALUE"""),"LITAKA PHARMACEUTICALS LTD")</f>
        <v>LITAKA PHARMACEUTICALS LTD</v>
      </c>
    </row>
    <row r="2049">
      <c r="H2049" s="19" t="str">
        <f>IFERROR(__xludf.DUMMYFUNCTION("""COMPUTED_VALUE"""),"LITTLE ANGEL")</f>
        <v>LITTLE ANGEL</v>
      </c>
    </row>
    <row r="2050">
      <c r="H2050" s="19" t="str">
        <f>IFERROR(__xludf.DUMMYFUNCTION("""COMPUTED_VALUE"""),"Little Greave Pharmaceuticals Pvt. Ltd.")</f>
        <v>Little Greave Pharmaceuticals Pvt. Ltd.</v>
      </c>
    </row>
    <row r="2051">
      <c r="H2051" s="19" t="str">
        <f>IFERROR(__xludf.DUMMYFUNCTION("""COMPUTED_VALUE"""),"Liva Healthcare Ltd")</f>
        <v>Liva Healthcare Ltd</v>
      </c>
    </row>
    <row r="2052">
      <c r="H2052" s="19" t="str">
        <f>IFERROR(__xludf.DUMMYFUNCTION("""COMPUTED_VALUE"""),"LIVEASY")</f>
        <v>LIVEASY</v>
      </c>
    </row>
    <row r="2053">
      <c r="H2053" s="19" t="str">
        <f>IFERROR(__xludf.DUMMYFUNCTION("""COMPUTED_VALUE"""),"LIVEON HEALTHCARE")</f>
        <v>LIVEON HEALTHCARE</v>
      </c>
    </row>
    <row r="2054">
      <c r="H2054" s="19" t="str">
        <f>IFERROR(__xludf.DUMMYFUNCTION("""COMPUTED_VALUE"""),"LIWEL HEALTHCARE")</f>
        <v>LIWEL HEALTHCARE</v>
      </c>
    </row>
    <row r="2055">
      <c r="H2055" s="19" t="str">
        <f>IFERROR(__xludf.DUMMYFUNCTION("""COMPUTED_VALUE"""),"LOK BETA PHARMACEUTICAL")</f>
        <v>LOK BETA PHARMACEUTICAL</v>
      </c>
    </row>
    <row r="2056">
      <c r="H2056" s="19" t="str">
        <f>IFERROR(__xludf.DUMMYFUNCTION("""COMPUTED_VALUE"""),"LORDS")</f>
        <v>LORDS</v>
      </c>
    </row>
    <row r="2057">
      <c r="H2057" s="19" t="str">
        <f>IFERROR(__xludf.DUMMYFUNCTION("""COMPUTED_VALUE"""),"LOTUS NUTRATECH")</f>
        <v>LOTUS NUTRATECH</v>
      </c>
    </row>
    <row r="2058">
      <c r="H2058" s="19" t="str">
        <f>IFERROR(__xludf.DUMMYFUNCTION("""COMPUTED_VALUE"""),"LOUIES LIFE SCIENCES")</f>
        <v>LOUIES LIFE SCIENCES</v>
      </c>
    </row>
    <row r="2059">
      <c r="H2059" s="19" t="str">
        <f>IFERROR(__xludf.DUMMYFUNCTION("""COMPUTED_VALUE"""),"LT&amp;T PHARMA PVT LTD")</f>
        <v>LT&amp;T PHARMA PVT LTD</v>
      </c>
    </row>
    <row r="2060">
      <c r="H2060" s="19" t="str">
        <f>IFERROR(__xludf.DUMMYFUNCTION("""COMPUTED_VALUE"""),"LUCARE")</f>
        <v>LUCARE</v>
      </c>
    </row>
    <row r="2061">
      <c r="H2061" s="19" t="str">
        <f>IFERROR(__xludf.DUMMYFUNCTION("""COMPUTED_VALUE"""),"LUCIFER AND HESPER (INDIA) PVT LTD")</f>
        <v>LUCIFER AND HESPER (INDIA) PVT LTD</v>
      </c>
    </row>
    <row r="2062">
      <c r="H2062" s="19" t="str">
        <f>IFERROR(__xludf.DUMMYFUNCTION("""COMPUTED_VALUE"""),"LUCKYS PHARMA")</f>
        <v>LUCKYS PHARMA</v>
      </c>
    </row>
    <row r="2063">
      <c r="H2063" s="19" t="str">
        <f>IFERROR(__xludf.DUMMYFUNCTION("""COMPUTED_VALUE"""),"LUCO HEALTHCARE")</f>
        <v>LUCO HEALTHCARE</v>
      </c>
    </row>
    <row r="2064">
      <c r="H2064" s="19" t="str">
        <f>IFERROR(__xludf.DUMMYFUNCTION("""COMPUTED_VALUE"""),"LUNARIA LIFE SCIENCE")</f>
        <v>LUNARIA LIFE SCIENCE</v>
      </c>
    </row>
    <row r="2065">
      <c r="H2065" s="19" t="str">
        <f>IFERROR(__xludf.DUMMYFUNCTION("""COMPUTED_VALUE"""),"Lundbeck India Pvt Ltd")</f>
        <v>Lundbeck India Pvt Ltd</v>
      </c>
    </row>
    <row r="2066">
      <c r="H2066" s="19" t="str">
        <f>IFERROR(__xludf.DUMMYFUNCTION("""COMPUTED_VALUE"""),"LUPIN (ASCENDER)")</f>
        <v>LUPIN (ASCENDER)</v>
      </c>
    </row>
    <row r="2067">
      <c r="H2067" s="19" t="str">
        <f>IFERROR(__xludf.DUMMYFUNCTION("""COMPUTED_VALUE"""),"LUPIN (ASPIRA)")</f>
        <v>LUPIN (ASPIRA)</v>
      </c>
    </row>
    <row r="2068">
      <c r="H2068" s="19" t="str">
        <f>IFERROR(__xludf.DUMMYFUNCTION("""COMPUTED_VALUE"""),"LUPIN (BLUE EYES)")</f>
        <v>LUPIN (BLUE EYES)</v>
      </c>
    </row>
    <row r="2069">
      <c r="H2069" s="19" t="str">
        <f>IFERROR(__xludf.DUMMYFUNCTION("""COMPUTED_VALUE"""),"LUPIN (DERMA)")</f>
        <v>LUPIN (DERMA)</v>
      </c>
    </row>
    <row r="2070">
      <c r="H2070" s="19" t="str">
        <f>IFERROR(__xludf.DUMMYFUNCTION("""COMPUTED_VALUE"""),"LUPIN (DIABETES CARE)")</f>
        <v>LUPIN (DIABETES CARE)</v>
      </c>
    </row>
    <row r="2071">
      <c r="H2071" s="19" t="str">
        <f>IFERROR(__xludf.DUMMYFUNCTION("""COMPUTED_VALUE"""),"LUPIN (ENDEAVOUR)")</f>
        <v>LUPIN (ENDEAVOUR)</v>
      </c>
    </row>
    <row r="2072">
      <c r="H2072" s="19" t="str">
        <f>IFERROR(__xludf.DUMMYFUNCTION("""COMPUTED_VALUE"""),"LUPIN (FEMINA)")</f>
        <v>LUPIN (FEMINA)</v>
      </c>
    </row>
    <row r="2073">
      <c r="H2073" s="19" t="str">
        <f>IFERROR(__xludf.DUMMYFUNCTION("""COMPUTED_VALUE"""),"LUPIN (FORMICA)")</f>
        <v>LUPIN (FORMICA)</v>
      </c>
    </row>
    <row r="2074">
      <c r="H2074" s="19" t="str">
        <f>IFERROR(__xludf.DUMMYFUNCTION("""COMPUTED_VALUE"""),"LUPIN (GENERIC)")</f>
        <v>LUPIN (GENERIC)</v>
      </c>
    </row>
    <row r="2075">
      <c r="H2075" s="19" t="str">
        <f>IFERROR(__xludf.DUMMYFUNCTION("""COMPUTED_VALUE"""),"LUPIN (IKONIC)")</f>
        <v>LUPIN (IKONIC)</v>
      </c>
    </row>
    <row r="2076">
      <c r="H2076" s="19" t="str">
        <f>IFERROR(__xludf.DUMMYFUNCTION("""COMPUTED_VALUE"""),"LUPIN (LIFE)")</f>
        <v>LUPIN (LIFE)</v>
      </c>
    </row>
    <row r="2077">
      <c r="H2077" s="19" t="str">
        <f>IFERROR(__xludf.DUMMYFUNCTION("""COMPUTED_VALUE"""),"LUPIN (MAXTER)")</f>
        <v>LUPIN (MAXTER)</v>
      </c>
    </row>
    <row r="2078">
      <c r="H2078" s="19" t="str">
        <f>IFERROR(__xludf.DUMMYFUNCTION("""COMPUTED_VALUE"""),"LUPIN (METABOLICS)")</f>
        <v>LUPIN (METABOLICS)</v>
      </c>
    </row>
    <row r="2079">
      <c r="H2079" s="19" t="str">
        <f>IFERROR(__xludf.DUMMYFUNCTION("""COMPUTED_VALUE"""),"LUPIN (MIND VISION)")</f>
        <v>LUPIN (MIND VISION)</v>
      </c>
    </row>
    <row r="2080">
      <c r="H2080" s="19" t="str">
        <f>IFERROR(__xludf.DUMMYFUNCTION("""COMPUTED_VALUE"""),"LUPIN (NEPHRO)")</f>
        <v>LUPIN (NEPHRO)</v>
      </c>
    </row>
    <row r="2081">
      <c r="H2081" s="19" t="str">
        <f>IFERROR(__xludf.DUMMYFUNCTION("""COMPUTED_VALUE"""),"LUPIN (NOVINA)")</f>
        <v>LUPIN (NOVINA)</v>
      </c>
    </row>
    <row r="2082">
      <c r="H2082" s="19" t="str">
        <f>IFERROR(__xludf.DUMMYFUNCTION("""COMPUTED_VALUE"""),"LUPIN (PHOENIX)")</f>
        <v>LUPIN (PHOENIX)</v>
      </c>
    </row>
    <row r="2083">
      <c r="H2083" s="19" t="str">
        <f>IFERROR(__xludf.DUMMYFUNCTION("""COMPUTED_VALUE"""),"LUPIN (PINACALLE)")</f>
        <v>LUPIN (PINACALLE)</v>
      </c>
    </row>
    <row r="2084">
      <c r="H2084" s="19" t="str">
        <f>IFERROR(__xludf.DUMMYFUNCTION("""COMPUTED_VALUE"""),"LUPIN (PINNACLE CVN)")</f>
        <v>LUPIN (PINNACLE CVN)</v>
      </c>
    </row>
    <row r="2085">
      <c r="H2085" s="19" t="str">
        <f>IFERROR(__xludf.DUMMYFUNCTION("""COMPUTED_VALUE"""),"LUPIN (PRIMUSO)")</f>
        <v>LUPIN (PRIMUSO)</v>
      </c>
    </row>
    <row r="2086">
      <c r="H2086" s="19" t="str">
        <f>IFERROR(__xludf.DUMMYFUNCTION("""COMPUTED_VALUE"""),"LUPIN (RESPIRA SPIRITUS)")</f>
        <v>LUPIN (RESPIRA SPIRITUS)</v>
      </c>
    </row>
    <row r="2087">
      <c r="H2087" s="19" t="str">
        <f>IFERROR(__xludf.DUMMYFUNCTION("""COMPUTED_VALUE"""),"LUPIN (RESPIRA-SPECIALITY)")</f>
        <v>LUPIN (RESPIRA-SPECIALITY)</v>
      </c>
    </row>
    <row r="2088">
      <c r="H2088" s="19" t="str">
        <f>IFERROR(__xludf.DUMMYFUNCTION("""COMPUTED_VALUE"""),"LUPIN (RESPIRA)")</f>
        <v>LUPIN (RESPIRA)</v>
      </c>
    </row>
    <row r="2089">
      <c r="H2089" s="19" t="str">
        <f>IFERROR(__xludf.DUMMYFUNCTION("""COMPUTED_VALUE"""),"LUPIN (STELLAR)")</f>
        <v>LUPIN (STELLAR)</v>
      </c>
    </row>
    <row r="2090">
      <c r="H2090" s="19" t="str">
        <f>IFERROR(__xludf.DUMMYFUNCTION("""COMPUTED_VALUE"""),"LUPIN (SYNOX)")</f>
        <v>LUPIN (SYNOX)</v>
      </c>
    </row>
    <row r="2091">
      <c r="H2091" s="19" t="str">
        <f>IFERROR(__xludf.DUMMYFUNCTION("""COMPUTED_VALUE"""),"LUPIN (TB)")</f>
        <v>LUPIN (TB)</v>
      </c>
    </row>
    <row r="2092">
      <c r="H2092" s="19" t="str">
        <f>IFERROR(__xludf.DUMMYFUNCTION("""COMPUTED_VALUE"""),"Lupin Ltd")</f>
        <v>Lupin Ltd</v>
      </c>
    </row>
    <row r="2093">
      <c r="H2093" s="19" t="str">
        <f>IFERROR(__xludf.DUMMYFUNCTION("""COMPUTED_VALUE"""),"LUSAN PHARMACEUTICALS")</f>
        <v>LUSAN PHARMACEUTICALS</v>
      </c>
    </row>
    <row r="2094">
      <c r="H2094" s="19" t="str">
        <f>IFERROR(__xludf.DUMMYFUNCTION("""COMPUTED_VALUE"""),"LUSTRE PHARMACEUTICAL PVT LTD")</f>
        <v>LUSTRE PHARMACEUTICAL PVT LTD</v>
      </c>
    </row>
    <row r="2095">
      <c r="H2095" s="19" t="str">
        <f>IFERROR(__xludf.DUMMYFUNCTION("""COMPUTED_VALUE"""),"LUVIA LIFESCIENCES")</f>
        <v>LUVIA LIFESCIENCES</v>
      </c>
    </row>
    <row r="2096">
      <c r="H2096" s="19" t="str">
        <f>IFERROR(__xludf.DUMMYFUNCTION("""COMPUTED_VALUE"""),"LXIR MEDILABS PVT LTD")</f>
        <v>LXIR MEDILABS PVT LTD</v>
      </c>
    </row>
    <row r="2097">
      <c r="H2097" s="19" t="str">
        <f>IFERROR(__xludf.DUMMYFUNCTION("""COMPUTED_VALUE"""),"LYCON HEALTHCARE PVT LTD")</f>
        <v>LYCON HEALTHCARE PVT LTD</v>
      </c>
    </row>
    <row r="2098">
      <c r="H2098" s="19" t="str">
        <f>IFERROR(__xludf.DUMMYFUNCTION("""COMPUTED_VALUE"""),"LYF HEALTHCARE")</f>
        <v>LYF HEALTHCARE</v>
      </c>
    </row>
    <row r="2099">
      <c r="H2099" s="19" t="str">
        <f>IFERROR(__xludf.DUMMYFUNCTION("""COMPUTED_VALUE"""),"LYKA LABS LTD")</f>
        <v>LYKA LABS LTD</v>
      </c>
    </row>
    <row r="2100">
      <c r="H2100" s="19" t="str">
        <f>IFERROR(__xludf.DUMMYFUNCTION("""COMPUTED_VALUE"""),"LYRA LABORATORIES PVT LTD")</f>
        <v>LYRA LABORATORIES PVT LTD</v>
      </c>
    </row>
    <row r="2101">
      <c r="H2101" s="19" t="str">
        <f>IFERROR(__xludf.DUMMYFUNCTION("""COMPUTED_VALUE"""),"LYSTEN GLOBAL PHARMACEUTICAL")</f>
        <v>LYSTEN GLOBAL PHARMACEUTICAL</v>
      </c>
    </row>
    <row r="2102">
      <c r="H2102" s="19" t="str">
        <f>IFERROR(__xludf.DUMMYFUNCTION("""COMPUTED_VALUE"""),"M &amp; M PHARMA")</f>
        <v>M &amp; M PHARMA</v>
      </c>
    </row>
    <row r="2103">
      <c r="H2103" s="19" t="str">
        <f>IFERROR(__xludf.DUMMYFUNCTION("""COMPUTED_VALUE"""),"M H JAVERIAN N SONS")</f>
        <v>M H JAVERIAN N SONS</v>
      </c>
    </row>
    <row r="2104">
      <c r="H2104" s="19" t="str">
        <f>IFERROR(__xludf.DUMMYFUNCTION("""COMPUTED_VALUE"""),"MAA CHAMUNDA HEALTHCARE")</f>
        <v>MAA CHAMUNDA HEALTHCARE</v>
      </c>
    </row>
    <row r="2105">
      <c r="H2105" s="19" t="str">
        <f>IFERROR(__xludf.DUMMYFUNCTION("""COMPUTED_VALUE"""),"MAAN PHARMACEUTICAL LTD")</f>
        <v>MAAN PHARMACEUTICAL LTD</v>
      </c>
    </row>
    <row r="2106">
      <c r="H2106" s="19" t="str">
        <f>IFERROR(__xludf.DUMMYFUNCTION("""COMPUTED_VALUE"""),"MACELODS (CV)")</f>
        <v>MACELODS (CV)</v>
      </c>
    </row>
    <row r="2107">
      <c r="H2107" s="19" t="str">
        <f>IFERROR(__xludf.DUMMYFUNCTION("""COMPUTED_VALUE"""),"MACFORD PHARMACEUTICALS")</f>
        <v>MACFORD PHARMACEUTICALS</v>
      </c>
    </row>
    <row r="2108">
      <c r="H2108" s="19" t="str">
        <f>IFERROR(__xludf.DUMMYFUNCTION("""COMPUTED_VALUE"""),"MACIN'S PHARMA")</f>
        <v>MACIN'S PHARMA</v>
      </c>
    </row>
    <row r="2109">
      <c r="H2109" s="19" t="str">
        <f>IFERROR(__xludf.DUMMYFUNCTION("""COMPUTED_VALUE"""),"MACLAN PHARMACEUTICALS PVT LTD")</f>
        <v>MACLAN PHARMACEUTICALS PVT LTD</v>
      </c>
    </row>
    <row r="2110">
      <c r="H2110" s="19" t="str">
        <f>IFERROR(__xludf.DUMMYFUNCTION("""COMPUTED_VALUE"""),"MACLEODS (ACCUPHAR)")</f>
        <v>MACLEODS (ACCUPHAR)</v>
      </c>
    </row>
    <row r="2111">
      <c r="H2111" s="19" t="str">
        <f>IFERROR(__xludf.DUMMYFUNCTION("""COMPUTED_VALUE"""),"MACLEODS (AEROMAC)")</f>
        <v>MACLEODS (AEROMAC)</v>
      </c>
    </row>
    <row r="2112">
      <c r="H2112" s="19" t="str">
        <f>IFERROR(__xludf.DUMMYFUNCTION("""COMPUTED_VALUE"""),"MACLEODS (GEN CARE)")</f>
        <v>MACLEODS (GEN CARE)</v>
      </c>
    </row>
    <row r="2113">
      <c r="H2113" s="19" t="str">
        <f>IFERROR(__xludf.DUMMYFUNCTION("""COMPUTED_VALUE"""),"MACLEODS (MACPHAR)")</f>
        <v>MACLEODS (MACPHAR)</v>
      </c>
    </row>
    <row r="2114">
      <c r="H2114" s="19" t="str">
        <f>IFERROR(__xludf.DUMMYFUNCTION("""COMPUTED_VALUE"""),"MACLEODS (OSTEVA)")</f>
        <v>MACLEODS (OSTEVA)</v>
      </c>
    </row>
    <row r="2115">
      <c r="H2115" s="19" t="str">
        <f>IFERROR(__xludf.DUMMYFUNCTION("""COMPUTED_VALUE"""),"MACLEODS (OXALIS)")</f>
        <v>MACLEODS (OXALIS)</v>
      </c>
    </row>
    <row r="2116">
      <c r="H2116" s="19" t="str">
        <f>IFERROR(__xludf.DUMMYFUNCTION("""COMPUTED_VALUE"""),"MACLEODS (PHARMACORE)")</f>
        <v>MACLEODS (PHARMACORE)</v>
      </c>
    </row>
    <row r="2117">
      <c r="H2117" s="19" t="str">
        <f>IFERROR(__xludf.DUMMYFUNCTION("""COMPUTED_VALUE"""),"MACLEODS (PROCARE-AHT)")</f>
        <v>MACLEODS (PROCARE-AHT)</v>
      </c>
    </row>
    <row r="2118">
      <c r="H2118" s="19" t="str">
        <f>IFERROR(__xludf.DUMMYFUNCTION("""COMPUTED_VALUE"""),"MACLEODS (PROCARE-AHT2)")</f>
        <v>MACLEODS (PROCARE-AHT2)</v>
      </c>
    </row>
    <row r="2119">
      <c r="H2119" s="19" t="str">
        <f>IFERROR(__xludf.DUMMYFUNCTION("""COMPUTED_VALUE"""),"MACLEODS (PROCARE-CV)")</f>
        <v>MACLEODS (PROCARE-CV)</v>
      </c>
    </row>
    <row r="2120">
      <c r="H2120" s="19" t="str">
        <f>IFERROR(__xludf.DUMMYFUNCTION("""COMPUTED_VALUE"""),"MACLEODS (PROCARE-HD)")</f>
        <v>MACLEODS (PROCARE-HD)</v>
      </c>
    </row>
    <row r="2121">
      <c r="H2121" s="19" t="str">
        <f>IFERROR(__xludf.DUMMYFUNCTION("""COMPUTED_VALUE"""),"MACLEODS (TB CARE)")</f>
        <v>MACLEODS (TB CARE)</v>
      </c>
    </row>
    <row r="2122">
      <c r="H2122" s="19" t="str">
        <f>IFERROR(__xludf.DUMMYFUNCTION("""COMPUTED_VALUE"""),"MACLEODS PHARMA (MAIN)")</f>
        <v>MACLEODS PHARMA (MAIN)</v>
      </c>
    </row>
    <row r="2123">
      <c r="H2123" s="19" t="str">
        <f>IFERROR(__xludf.DUMMYFUNCTION("""COMPUTED_VALUE"""),"Macleods Pharmaceuticals Pvt Ltd")</f>
        <v>Macleods Pharmaceuticals Pvt Ltd</v>
      </c>
    </row>
    <row r="2124">
      <c r="H2124" s="19" t="str">
        <f>IFERROR(__xludf.DUMMYFUNCTION("""COMPUTED_VALUE"""),"MACLIFE BIOTECH P LTD")</f>
        <v>MACLIFE BIOTECH P LTD</v>
      </c>
    </row>
    <row r="2125">
      <c r="H2125" s="19" t="str">
        <f>IFERROR(__xludf.DUMMYFUNCTION("""COMPUTED_VALUE"""),"MACLIVE PHARMACEUTICALS PVT LTD")</f>
        <v>MACLIVE PHARMACEUTICALS PVT LTD</v>
      </c>
    </row>
    <row r="2126">
      <c r="H2126" s="19" t="str">
        <f>IFERROR(__xludf.DUMMYFUNCTION("""COMPUTED_VALUE"""),"MACLOEDS (PROCARE-HD)")</f>
        <v>MACLOEDS (PROCARE-HD)</v>
      </c>
    </row>
    <row r="2127">
      <c r="H2127" s="19" t="str">
        <f>IFERROR(__xludf.DUMMYFUNCTION("""COMPUTED_VALUE"""),"MACLOWIN LIFE SCIENCE")</f>
        <v>MACLOWIN LIFE SCIENCE</v>
      </c>
    </row>
    <row r="2128">
      <c r="H2128" s="19" t="str">
        <f>IFERROR(__xludf.DUMMYFUNCTION("""COMPUTED_VALUE"""),"MACPHAR REMEDIES")</f>
        <v>MACPHAR REMEDIES</v>
      </c>
    </row>
    <row r="2129">
      <c r="H2129" s="19" t="str">
        <f>IFERROR(__xludf.DUMMYFUNCTION("""COMPUTED_VALUE"""),"MACTEC LIFE SCIENCES")</f>
        <v>MACTEC LIFE SCIENCES</v>
      </c>
    </row>
    <row r="2130">
      <c r="H2130" s="19" t="str">
        <f>IFERROR(__xludf.DUMMYFUNCTION("""COMPUTED_VALUE"""),"MACWAY BIOTECH PVT LTD")</f>
        <v>MACWAY BIOTECH PVT LTD</v>
      </c>
    </row>
    <row r="2131">
      <c r="H2131" s="19" t="str">
        <f>IFERROR(__xludf.DUMMYFUNCTION("""COMPUTED_VALUE"""),"MACWELL PHARMACEUTICALS")</f>
        <v>MACWELL PHARMACEUTICALS</v>
      </c>
    </row>
    <row r="2132">
      <c r="H2132" s="19" t="str">
        <f>IFERROR(__xludf.DUMMYFUNCTION("""COMPUTED_VALUE"""),"MACWIN PHARMACEUTICALS PVT LTD")</f>
        <v>MACWIN PHARMACEUTICALS PVT LTD</v>
      </c>
    </row>
    <row r="2133">
      <c r="H2133" s="19" t="str">
        <f>IFERROR(__xludf.DUMMYFUNCTION("""COMPUTED_VALUE"""),"MADBRIS LIFESCIENCES PVT LTD")</f>
        <v>MADBRIS LIFESCIENCES PVT LTD</v>
      </c>
    </row>
    <row r="2134">
      <c r="H2134" s="19" t="str">
        <f>IFERROR(__xludf.DUMMYFUNCTION("""COMPUTED_VALUE"""),"MADHU TRADERS")</f>
        <v>MADHU TRADERS</v>
      </c>
    </row>
    <row r="2135">
      <c r="H2135" s="19" t="str">
        <f>IFERROR(__xludf.DUMMYFUNCTION("""COMPUTED_VALUE"""),"MAESTROS MEDILINE SYSTEMS LIMITED")</f>
        <v>MAESTROS MEDILINE SYSTEMS LIMITED</v>
      </c>
    </row>
    <row r="2136">
      <c r="H2136" s="19" t="str">
        <f>IFERROR(__xludf.DUMMYFUNCTION("""COMPUTED_VALUE"""),"MAGMA ALLIANZ")</f>
        <v>MAGMA ALLIANZ</v>
      </c>
    </row>
    <row r="2137">
      <c r="H2137" s="19" t="str">
        <f>IFERROR(__xludf.DUMMYFUNCTION("""COMPUTED_VALUE"""),"Maharishi Ayurveda Products Pvt Ltd")</f>
        <v>Maharishi Ayurveda Products Pvt Ltd</v>
      </c>
    </row>
    <row r="2138">
      <c r="H2138" s="19" t="str">
        <f>IFERROR(__xludf.DUMMYFUNCTION("""COMPUTED_VALUE"""),"MAHARSHI BADRI PHARMACEUTICALS")</f>
        <v>MAHARSHI BADRI PHARMACEUTICALS</v>
      </c>
    </row>
    <row r="2139">
      <c r="H2139" s="19" t="str">
        <f>IFERROR(__xludf.DUMMYFUNCTION("""COMPUTED_VALUE"""),"MAHESHWARI FARMACEUTICAL LTD")</f>
        <v>MAHESHWARI FARMACEUTICAL LTD</v>
      </c>
    </row>
    <row r="2140">
      <c r="H2140" s="19" t="str">
        <f>IFERROR(__xludf.DUMMYFUNCTION("""COMPUTED_VALUE"""),"MAKERS LABORATORIES LTD")</f>
        <v>MAKERS LABORATORIES LTD</v>
      </c>
    </row>
    <row r="2141">
      <c r="H2141" s="19" t="str">
        <f>IFERROR(__xludf.DUMMYFUNCTION("""COMPUTED_VALUE"""),"MAKEWELL PHARMACEUTICAL")</f>
        <v>MAKEWELL PHARMACEUTICAL</v>
      </c>
    </row>
    <row r="2142">
      <c r="H2142" s="19" t="str">
        <f>IFERROR(__xludf.DUMMYFUNCTION("""COMPUTED_VALUE"""),"MAKIN LABORATORIES PVT LTD")</f>
        <v>MAKIN LABORATORIES PVT LTD</v>
      </c>
    </row>
    <row r="2143">
      <c r="H2143" s="19" t="str">
        <f>IFERROR(__xludf.DUMMYFUNCTION("""COMPUTED_VALUE"""),"MAKSUN BIOTECH P LTD")</f>
        <v>MAKSUN BIOTECH P LTD</v>
      </c>
    </row>
    <row r="2144">
      <c r="H2144" s="19" t="str">
        <f>IFERROR(__xludf.DUMMYFUNCTION("""COMPUTED_VALUE"""),"MAMTA PHARMACEUTICALS PVT LTD")</f>
        <v>MAMTA PHARMACEUTICALS PVT LTD</v>
      </c>
    </row>
    <row r="2145">
      <c r="H2145" s="19" t="str">
        <f>IFERROR(__xludf.DUMMYFUNCTION("""COMPUTED_VALUE"""),"MAN SERVE PHARMA")</f>
        <v>MAN SERVE PHARMA</v>
      </c>
    </row>
    <row r="2146">
      <c r="H2146" s="19" t="str">
        <f>IFERROR(__xludf.DUMMYFUNCTION("""COMPUTED_VALUE"""),"MANCARE LABS PVT LTD")</f>
        <v>MANCARE LABS PVT LTD</v>
      </c>
    </row>
    <row r="2147">
      <c r="H2147" s="19" t="str">
        <f>IFERROR(__xludf.DUMMYFUNCTION("""COMPUTED_VALUE"""),"MANEESH HEALTH CARE")</f>
        <v>MANEESH HEALTH CARE</v>
      </c>
    </row>
    <row r="2148">
      <c r="H2148" s="19" t="str">
        <f>IFERROR(__xludf.DUMMYFUNCTION("""COMPUTED_VALUE"""),"Maneesh Pharmaceuticals")</f>
        <v>Maneesh Pharmaceuticals</v>
      </c>
    </row>
    <row r="2149">
      <c r="H2149" s="19" t="str">
        <f>IFERROR(__xludf.DUMMYFUNCTION("""COMPUTED_VALUE"""),"MANKIND (3D)")</f>
        <v>MANKIND (3D)</v>
      </c>
    </row>
    <row r="2150">
      <c r="H2150" s="19" t="str">
        <f>IFERROR(__xludf.DUMMYFUNCTION("""COMPUTED_VALUE"""),"MANKIND (ASPIRA)")</f>
        <v>MANKIND (ASPIRA)</v>
      </c>
    </row>
    <row r="2151">
      <c r="H2151" s="19" t="str">
        <f>IFERROR(__xludf.DUMMYFUNCTION("""COMPUTED_VALUE"""),"MANKIND (CEREBRIS)")</f>
        <v>MANKIND (CEREBRIS)</v>
      </c>
    </row>
    <row r="2152">
      <c r="H2152" s="19" t="str">
        <f>IFERROR(__xludf.DUMMYFUNCTION("""COMPUTED_VALUE"""),"MANKIND (CURIS)")</f>
        <v>MANKIND (CURIS)</v>
      </c>
    </row>
    <row r="2153">
      <c r="H2153" s="19" t="str">
        <f>IFERROR(__xludf.DUMMYFUNCTION("""COMPUTED_VALUE"""),"MANKIND (DISCOVERY)")</f>
        <v>MANKIND (DISCOVERY)</v>
      </c>
    </row>
    <row r="2154">
      <c r="H2154" s="19" t="str">
        <f>IFERROR(__xludf.DUMMYFUNCTION("""COMPUTED_VALUE"""),"MANKIND (FUTURE)")</f>
        <v>MANKIND (FUTURE)</v>
      </c>
    </row>
    <row r="2155">
      <c r="H2155" s="19" t="str">
        <f>IFERROR(__xludf.DUMMYFUNCTION("""COMPUTED_VALUE"""),"MANKIND (GENERIC-AMAZING)")</f>
        <v>MANKIND (GENERIC-AMAZING)</v>
      </c>
    </row>
    <row r="2156">
      <c r="H2156" s="19" t="str">
        <f>IFERROR(__xludf.DUMMYFUNCTION("""COMPUTED_VALUE"""),"MANKIND (GENERIC)")</f>
        <v>MANKIND (GENERIC)</v>
      </c>
    </row>
    <row r="2157">
      <c r="H2157" s="19" t="str">
        <f>IFERROR(__xludf.DUMMYFUNCTION("""COMPUTED_VALUE"""),"MANKIND (GRAVITAS)")</f>
        <v>MANKIND (GRAVITAS)</v>
      </c>
    </row>
    <row r="2158">
      <c r="H2158" s="19" t="str">
        <f>IFERROR(__xludf.DUMMYFUNCTION("""COMPUTED_VALUE"""),"MANKIND (LIFESTAR-1)")</f>
        <v>MANKIND (LIFESTAR-1)</v>
      </c>
    </row>
    <row r="2159">
      <c r="H2159" s="19" t="str">
        <f>IFERROR(__xludf.DUMMYFUNCTION("""COMPUTED_VALUE"""),"MANKIND (LIFESTAR-2)")</f>
        <v>MANKIND (LIFESTAR-2)</v>
      </c>
    </row>
    <row r="2160">
      <c r="H2160" s="19" t="str">
        <f>IFERROR(__xludf.DUMMYFUNCTION("""COMPUTED_VALUE"""),"MANKIND (LIFESTAR-3)")</f>
        <v>MANKIND (LIFESTAR-3)</v>
      </c>
    </row>
    <row r="2161">
      <c r="H2161" s="19" t="str">
        <f>IFERROR(__xludf.DUMMYFUNCTION("""COMPUTED_VALUE"""),"MANKIND (MAGNET)")</f>
        <v>MANKIND (MAGNET)</v>
      </c>
    </row>
    <row r="2162">
      <c r="H2162" s="19" t="str">
        <f>IFERROR(__xludf.DUMMYFUNCTION("""COMPUTED_VALUE"""),"MANKIND (MAIN)")</f>
        <v>MANKIND (MAIN)</v>
      </c>
    </row>
    <row r="2163">
      <c r="H2163" s="19" t="str">
        <f>IFERROR(__xludf.DUMMYFUNCTION("""COMPUTED_VALUE"""),"MANKIND (NOBELIS)")</f>
        <v>MANKIND (NOBELIS)</v>
      </c>
    </row>
    <row r="2164">
      <c r="H2164" s="19" t="str">
        <f>IFERROR(__xludf.DUMMYFUNCTION("""COMPUTED_VALUE"""),"MANKIND (OCULARIS)")</f>
        <v>MANKIND (OCULARIS)</v>
      </c>
    </row>
    <row r="2165">
      <c r="H2165" s="19" t="str">
        <f>IFERROR(__xludf.DUMMYFUNCTION("""COMPUTED_VALUE"""),"MANKIND (PRIME)")</f>
        <v>MANKIND (PRIME)</v>
      </c>
    </row>
    <row r="2166">
      <c r="H2166" s="19" t="str">
        <f>IFERROR(__xludf.DUMMYFUNCTION("""COMPUTED_VALUE"""),"MANKIND (PROCARE)")</f>
        <v>MANKIND (PROCARE)</v>
      </c>
    </row>
    <row r="2167">
      <c r="H2167" s="19" t="str">
        <f>IFERROR(__xludf.DUMMYFUNCTION("""COMPUTED_VALUE"""),"MANKIND (SPECIAL)")</f>
        <v>MANKIND (SPECIAL)</v>
      </c>
    </row>
    <row r="2168">
      <c r="H2168" s="19" t="str">
        <f>IFERROR(__xludf.DUMMYFUNCTION("""COMPUTED_VALUE"""),"MANKIND (ZESTEVA)")</f>
        <v>MANKIND (ZESTEVA)</v>
      </c>
    </row>
    <row r="2169">
      <c r="H2169" s="19" t="str">
        <f>IFERROR(__xludf.DUMMYFUNCTION("""COMPUTED_VALUE"""),"Mankind Pharma Ltd")</f>
        <v>Mankind Pharma Ltd</v>
      </c>
    </row>
    <row r="2170">
      <c r="H2170" s="19" t="str">
        <f>IFERROR(__xludf.DUMMYFUNCTION("""COMPUTED_VALUE"""),"MANTIS REMEDIES")</f>
        <v>MANTIS REMEDIES</v>
      </c>
    </row>
    <row r="2171">
      <c r="H2171" s="19" t="str">
        <f>IFERROR(__xludf.DUMMYFUNCTION("""COMPUTED_VALUE"""),"MANTRA PHARMACEUTICALS")</f>
        <v>MANTRA PHARMACEUTICALS</v>
      </c>
    </row>
    <row r="2172">
      <c r="H2172" s="19" t="str">
        <f>IFERROR(__xludf.DUMMYFUNCTION("""COMPUTED_VALUE"""),"MANTRAX HEALTHCARE")</f>
        <v>MANTRAX HEALTHCARE</v>
      </c>
    </row>
    <row r="2173">
      <c r="H2173" s="19" t="str">
        <f>IFERROR(__xludf.DUMMYFUNCTION("""COMPUTED_VALUE"""),"MAPLE DRUGS")</f>
        <v>MAPLE DRUGS</v>
      </c>
    </row>
    <row r="2174">
      <c r="H2174" s="19" t="str">
        <f>IFERROR(__xludf.DUMMYFUNCTION("""COMPUTED_VALUE"""),"MAPLE DRUGS &amp; PHARMACEUTICALS")</f>
        <v>MAPLE DRUGS &amp; PHARMACEUTICALS</v>
      </c>
    </row>
    <row r="2175">
      <c r="H2175" s="19" t="str">
        <f>IFERROR(__xludf.DUMMYFUNCTION("""COMPUTED_VALUE"""),"Mapra Laboratories Pvt Ltd")</f>
        <v>Mapra Laboratories Pvt Ltd</v>
      </c>
    </row>
    <row r="2176">
      <c r="H2176" s="19" t="str">
        <f>IFERROR(__xludf.DUMMYFUNCTION("""COMPUTED_VALUE"""),"MAPRO")</f>
        <v>MAPRO</v>
      </c>
    </row>
    <row r="2177">
      <c r="H2177" s="19" t="str">
        <f>IFERROR(__xludf.DUMMYFUNCTION("""COMPUTED_VALUE"""),"MAPRO LIFESCIENCE")</f>
        <v>MAPRO LIFESCIENCE</v>
      </c>
    </row>
    <row r="2178">
      <c r="H2178" s="19" t="str">
        <f>IFERROR(__xludf.DUMMYFUNCTION("""COMPUTED_VALUE"""),"MAPSCURC SUSPENSION")</f>
        <v>MAPSCURC SUSPENSION</v>
      </c>
    </row>
    <row r="2179">
      <c r="H2179" s="19" t="str">
        <f>IFERROR(__xludf.DUMMYFUNCTION("""COMPUTED_VALUE"""),"MAPSCURC TAB")</f>
        <v>MAPSCURC TAB</v>
      </c>
    </row>
    <row r="2180">
      <c r="H2180" s="19" t="str">
        <f>IFERROR(__xludf.DUMMYFUNCTION("""COMPUTED_VALUE"""),"MAPSCURE GEL")</f>
        <v>MAPSCURE GEL</v>
      </c>
    </row>
    <row r="2181">
      <c r="H2181" s="19" t="str">
        <f>IFERROR(__xludf.DUMMYFUNCTION("""COMPUTED_VALUE"""),"MAPSCURE TAB")</f>
        <v>MAPSCURE TAB</v>
      </c>
    </row>
    <row r="2182">
      <c r="H2182" s="19" t="str">
        <f>IFERROR(__xludf.DUMMYFUNCTION("""COMPUTED_VALUE"""),"MAPSGEM 1000")</f>
        <v>MAPSGEM 1000</v>
      </c>
    </row>
    <row r="2183">
      <c r="H2183" s="19" t="str">
        <f>IFERROR(__xludf.DUMMYFUNCTION("""COMPUTED_VALUE"""),"MAPSONIB 200MG")</f>
        <v>MAPSONIB 200MG</v>
      </c>
    </row>
    <row r="2184">
      <c r="H2184" s="19" t="str">
        <f>IFERROR(__xludf.DUMMYFUNCTION("""COMPUTED_VALUE"""),"MAPSTABINE 500MG")</f>
        <v>MAPSTABINE 500MG</v>
      </c>
    </row>
    <row r="2185">
      <c r="H2185" s="19" t="str">
        <f>IFERROR(__xludf.DUMMYFUNCTION("""COMPUTED_VALUE"""),"MAPSTHIONE 250MG")</f>
        <v>MAPSTHIONE 250MG</v>
      </c>
    </row>
    <row r="2186">
      <c r="H2186" s="19" t="str">
        <f>IFERROR(__xludf.DUMMYFUNCTION("""COMPUTED_VALUE"""),"Marc Laboratories Pvt Ltd")</f>
        <v>Marc Laboratories Pvt Ltd</v>
      </c>
    </row>
    <row r="2187">
      <c r="H2187" s="19" t="str">
        <f>IFERROR(__xludf.DUMMYFUNCTION("""COMPUTED_VALUE"""),"MARCAS HEALTHCARE")</f>
        <v>MARCAS HEALTHCARE</v>
      </c>
    </row>
    <row r="2188">
      <c r="H2188" s="19" t="str">
        <f>IFERROR(__xludf.DUMMYFUNCTION("""COMPUTED_VALUE"""),"Marck Biosciences Ltd")</f>
        <v>Marck Biosciences Ltd</v>
      </c>
    </row>
    <row r="2189">
      <c r="H2189" s="19" t="str">
        <f>IFERROR(__xludf.DUMMYFUNCTION("""COMPUTED_VALUE"""),"MARDIA PHARMACEUTICALS")</f>
        <v>MARDIA PHARMACEUTICALS</v>
      </c>
    </row>
    <row r="2190">
      <c r="H2190" s="19" t="str">
        <f>IFERROR(__xludf.DUMMYFUNCTION("""COMPUTED_VALUE"""),"Mark India")</f>
        <v>Mark India</v>
      </c>
    </row>
    <row r="2191">
      <c r="H2191" s="19" t="str">
        <f>IFERROR(__xludf.DUMMYFUNCTION("""COMPUTED_VALUE"""),"MARKSANS PHARMA LTD (CNS CEREBELLA)")</f>
        <v>MARKSANS PHARMA LTD (CNS CEREBELLA)</v>
      </c>
    </row>
    <row r="2192">
      <c r="H2192" s="19" t="str">
        <f>IFERROR(__xludf.DUMMYFUNCTION("""COMPUTED_VALUE"""),"MARS COMMERCE (VALERIE)")</f>
        <v>MARS COMMERCE (VALERIE)</v>
      </c>
    </row>
    <row r="2193">
      <c r="H2193" s="19" t="str">
        <f>IFERROR(__xludf.DUMMYFUNCTION("""COMPUTED_VALUE"""),"MARTIN &amp; BROWN BIOSCIENCES")</f>
        <v>MARTIN &amp; BROWN BIOSCIENCES</v>
      </c>
    </row>
    <row r="2194">
      <c r="H2194" s="19" t="str">
        <f>IFERROR(__xludf.DUMMYFUNCTION("""COMPUTED_VALUE"""),"Martin &amp; Harris Pvt Ltd")</f>
        <v>Martin &amp; Harris Pvt Ltd</v>
      </c>
    </row>
    <row r="2195">
      <c r="H2195" s="19" t="str">
        <f>IFERROR(__xludf.DUMMYFUNCTION("""COMPUTED_VALUE"""),"MARVEK BIOSCIENCES")</f>
        <v>MARVEK BIOSCIENCES</v>
      </c>
    </row>
    <row r="2196">
      <c r="H2196" s="19" t="str">
        <f>IFERROR(__xludf.DUMMYFUNCTION("""COMPUTED_VALUE"""),"MARVEL BIOSCIENCES")</f>
        <v>MARVEL BIOSCIENCES</v>
      </c>
    </row>
    <row r="2197">
      <c r="H2197" s="19" t="str">
        <f>IFERROR(__xludf.DUMMYFUNCTION("""COMPUTED_VALUE"""),"MARX PHARMA")</f>
        <v>MARX PHARMA</v>
      </c>
    </row>
    <row r="2198">
      <c r="H2198" s="19" t="str">
        <f>IFERROR(__xludf.DUMMYFUNCTION("""COMPUTED_VALUE"""),"MARX REMEDIES")</f>
        <v>MARX REMEDIES</v>
      </c>
    </row>
    <row r="2199">
      <c r="H2199" s="19" t="str">
        <f>IFERROR(__xludf.DUMMYFUNCTION("""COMPUTED_VALUE"""),"MAS HEALTHCARE P LTD")</f>
        <v>MAS HEALTHCARE P LTD</v>
      </c>
    </row>
    <row r="2200">
      <c r="H2200" s="19" t="str">
        <f>IFERROR(__xludf.DUMMYFUNCTION("""COMPUTED_VALUE"""),"MAS PHARMACHEM SOLAN")</f>
        <v>MAS PHARMACHEM SOLAN</v>
      </c>
    </row>
    <row r="2201">
      <c r="H2201" s="19" t="str">
        <f>IFERROR(__xludf.DUMMYFUNCTION("""COMPUTED_VALUE"""),"MASCOT BIOTECH")</f>
        <v>MASCOT BIOTECH</v>
      </c>
    </row>
    <row r="2202">
      <c r="H2202" s="19" t="str">
        <f>IFERROR(__xludf.DUMMYFUNCTION("""COMPUTED_VALUE"""),"MASCOT HEALTH SERIES PVT LTD")</f>
        <v>MASCOT HEALTH SERIES PVT LTD</v>
      </c>
    </row>
    <row r="2203">
      <c r="H2203" s="19" t="str">
        <f>IFERROR(__xludf.DUMMYFUNCTION("""COMPUTED_VALUE"""),"MASCOT LIFESCIENCE P LTD")</f>
        <v>MASCOT LIFESCIENCE P LTD</v>
      </c>
    </row>
    <row r="2204">
      <c r="H2204" s="19" t="str">
        <f>IFERROR(__xludf.DUMMYFUNCTION("""COMPUTED_VALUE"""),"MASTRO BIOLOGICALS PVT LTD")</f>
        <v>MASTRO BIOLOGICALS PVT LTD</v>
      </c>
    </row>
    <row r="2205">
      <c r="H2205" s="19" t="str">
        <f>IFERROR(__xludf.DUMMYFUNCTION("""COMPUTED_VALUE"""),"MATIAS HEALTHCARE")</f>
        <v>MATIAS HEALTHCARE</v>
      </c>
    </row>
    <row r="2206">
      <c r="H2206" s="19" t="str">
        <f>IFERROR(__xludf.DUMMYFUNCTION("""COMPUTED_VALUE"""),"MATINS PHARMA")</f>
        <v>MATINS PHARMA</v>
      </c>
    </row>
    <row r="2207">
      <c r="H2207" s="19" t="str">
        <f>IFERROR(__xludf.DUMMYFUNCTION("""COMPUTED_VALUE"""),"MATRIA MEDICA")</f>
        <v>MATRIA MEDICA</v>
      </c>
    </row>
    <row r="2208">
      <c r="H2208" s="19" t="str">
        <f>IFERROR(__xludf.DUMMYFUNCTION("""COMPUTED_VALUE"""),"MATRIS CURAM PVT LTD")</f>
        <v>MATRIS CURAM PVT LTD</v>
      </c>
    </row>
    <row r="2209">
      <c r="H2209" s="19" t="str">
        <f>IFERROR(__xludf.DUMMYFUNCTION("""COMPUTED_VALUE"""),"MATRIXX FORMULATION")</f>
        <v>MATRIXX FORMULATION</v>
      </c>
    </row>
    <row r="2210">
      <c r="H2210" s="19" t="str">
        <f>IFERROR(__xludf.DUMMYFUNCTION("""COMPUTED_VALUE"""),"MATTEO (CVD)")</f>
        <v>MATTEO (CVD)</v>
      </c>
    </row>
    <row r="2211">
      <c r="H2211" s="19" t="str">
        <f>IFERROR(__xludf.DUMMYFUNCTION("""COMPUTED_VALUE"""),"MATTEO HEALTHCARE PVT LTD")</f>
        <v>MATTEO HEALTHCARE PVT LTD</v>
      </c>
    </row>
    <row r="2212">
      <c r="H2212" s="19" t="str">
        <f>IFERROR(__xludf.DUMMYFUNCTION("""COMPUTED_VALUE"""),"MAX CHEMICALS (INDIA)")</f>
        <v>MAX CHEMICALS (INDIA)</v>
      </c>
    </row>
    <row r="2213">
      <c r="H2213" s="19" t="str">
        <f>IFERROR(__xludf.DUMMYFUNCTION("""COMPUTED_VALUE"""),"MAX PHARMA")</f>
        <v>MAX PHARMA</v>
      </c>
    </row>
    <row r="2214">
      <c r="H2214" s="19" t="str">
        <f>IFERROR(__xludf.DUMMYFUNCTION("""COMPUTED_VALUE"""),"MAXCARE PHARMACEUTICAL PVT LTD")</f>
        <v>MAXCARE PHARMACEUTICAL PVT LTD</v>
      </c>
    </row>
    <row r="2215">
      <c r="H2215" s="19" t="str">
        <f>IFERROR(__xludf.DUMMYFUNCTION("""COMPUTED_VALUE"""),"MAXFORD HEALTHCARE")</f>
        <v>MAXFORD HEALTHCARE</v>
      </c>
    </row>
    <row r="2216">
      <c r="H2216" s="19" t="str">
        <f>IFERROR(__xludf.DUMMYFUNCTION("""COMPUTED_VALUE"""),"MAXFORD LABS PVT LTD")</f>
        <v>MAXFORD LABS PVT LTD</v>
      </c>
    </row>
    <row r="2217">
      <c r="H2217" s="19" t="str">
        <f>IFERROR(__xludf.DUMMYFUNCTION("""COMPUTED_VALUE"""),"MAXIMAA PROYURVEDA")</f>
        <v>MAXIMAA PROYURVEDA</v>
      </c>
    </row>
    <row r="2218">
      <c r="H2218" s="19" t="str">
        <f>IFERROR(__xludf.DUMMYFUNCTION("""COMPUTED_VALUE"""),"MAXIMUM LABS")</f>
        <v>MAXIMUM LABS</v>
      </c>
    </row>
    <row r="2219">
      <c r="H2219" s="19" t="str">
        <f>IFERROR(__xludf.DUMMYFUNCTION("""COMPUTED_VALUE"""),"MAXNOVA HEALTHCARE")</f>
        <v>MAXNOVA HEALTHCARE</v>
      </c>
    </row>
    <row r="2220">
      <c r="H2220" s="19" t="str">
        <f>IFERROR(__xludf.DUMMYFUNCTION("""COMPUTED_VALUE"""),"MAXQURE LABS")</f>
        <v>MAXQURE LABS</v>
      </c>
    </row>
    <row r="2221">
      <c r="H2221" s="19" t="str">
        <f>IFERROR(__xludf.DUMMYFUNCTION("""COMPUTED_VALUE"""),"MAXUS PHARMA")</f>
        <v>MAXUS PHARMA</v>
      </c>
    </row>
    <row r="2222">
      <c r="H2222" s="19" t="str">
        <f>IFERROR(__xludf.DUMMYFUNCTION("""COMPUTED_VALUE"""),"MAXX FARMACIA")</f>
        <v>MAXX FARMACIA</v>
      </c>
    </row>
    <row r="2223">
      <c r="H2223" s="19" t="str">
        <f>IFERROR(__xludf.DUMMYFUNCTION("""COMPUTED_VALUE"""),"MAXZEN BIOTECH")</f>
        <v>MAXZEN BIOTECH</v>
      </c>
    </row>
    <row r="2224">
      <c r="H2224" s="19" t="str">
        <f>IFERROR(__xludf.DUMMYFUNCTION("""COMPUTED_VALUE"""),"MAXZIMAA PHARMACEUTICALS")</f>
        <v>MAXZIMAA PHARMACEUTICALS</v>
      </c>
    </row>
    <row r="2225">
      <c r="H2225" s="19" t="str">
        <f>IFERROR(__xludf.DUMMYFUNCTION("""COMPUTED_VALUE"""),"MAY &amp; BAKER")</f>
        <v>MAY &amp; BAKER</v>
      </c>
    </row>
    <row r="2226">
      <c r="H2226" s="19" t="str">
        <f>IFERROR(__xludf.DUMMYFUNCTION("""COMPUTED_VALUE"""),"Mayflower India (MARIGOLD)")</f>
        <v>Mayflower India (MARIGOLD)</v>
      </c>
    </row>
    <row r="2227">
      <c r="H2227" s="19" t="str">
        <f>IFERROR(__xludf.DUMMYFUNCTION("""COMPUTED_VALUE"""),"MAYGRISS HEALTHCARE PVT LTD")</f>
        <v>MAYGRISS HEALTHCARE PVT LTD</v>
      </c>
    </row>
    <row r="2228">
      <c r="H2228" s="19" t="str">
        <f>IFERROR(__xludf.DUMMYFUNCTION("""COMPUTED_VALUE"""),"Mcastro Pharma")</f>
        <v>Mcastro Pharma</v>
      </c>
    </row>
    <row r="2229">
      <c r="H2229" s="19" t="str">
        <f>IFERROR(__xludf.DUMMYFUNCTION("""COMPUTED_VALUE"""),"MCFORDS PHARMACEUTICALS PVT LTD")</f>
        <v>MCFORDS PHARMACEUTICALS PVT LTD</v>
      </c>
    </row>
    <row r="2230">
      <c r="H2230" s="19" t="str">
        <f>IFERROR(__xludf.DUMMYFUNCTION("""COMPUTED_VALUE"""),"McW Healthcare")</f>
        <v>McW Healthcare</v>
      </c>
    </row>
    <row r="2231">
      <c r="H2231" s="19" t="str">
        <f>IFERROR(__xludf.DUMMYFUNCTION("""COMPUTED_VALUE"""),"MCWEL HEALTHCARE P LTD")</f>
        <v>MCWEL HEALTHCARE P LTD</v>
      </c>
    </row>
    <row r="2232">
      <c r="H2232" s="19" t="str">
        <f>IFERROR(__xludf.DUMMYFUNCTION("""COMPUTED_VALUE"""),"MDC PHARMACEUTICALS PVT LTD")</f>
        <v>MDC PHARMACEUTICALS PVT LTD</v>
      </c>
    </row>
    <row r="2233">
      <c r="H2233" s="19" t="str">
        <f>IFERROR(__xludf.DUMMYFUNCTION("""COMPUTED_VALUE"""),"MEAD JOHNSON &amp; COMPANY")</f>
        <v>MEAD JOHNSON &amp; COMPANY</v>
      </c>
    </row>
    <row r="2234">
      <c r="H2234" s="19" t="str">
        <f>IFERROR(__xludf.DUMMYFUNCTION("""COMPUTED_VALUE"""),"MECARTUS HEALTH CARE P LTD")</f>
        <v>MECARTUS HEALTH CARE P LTD</v>
      </c>
    </row>
    <row r="2235">
      <c r="H2235" s="19" t="str">
        <f>IFERROR(__xludf.DUMMYFUNCTION("""COMPUTED_VALUE"""),"MECOSON LABS")</f>
        <v>MECOSON LABS</v>
      </c>
    </row>
    <row r="2236">
      <c r="H2236" s="19" t="str">
        <f>IFERROR(__xludf.DUMMYFUNCTION("""COMPUTED_VALUE"""),"MED MANOR (GLORIA)")</f>
        <v>MED MANOR (GLORIA)</v>
      </c>
    </row>
    <row r="2237">
      <c r="H2237" s="19" t="str">
        <f>IFERROR(__xludf.DUMMYFUNCTION("""COMPUTED_VALUE"""),"MED MANOR (PEDIA)")</f>
        <v>MED MANOR (PEDIA)</v>
      </c>
    </row>
    <row r="2238">
      <c r="H2238" s="19" t="str">
        <f>IFERROR(__xludf.DUMMYFUNCTION("""COMPUTED_VALUE"""),"Med Manor Organics Pvt Ltd")</f>
        <v>Med Manor Organics Pvt Ltd</v>
      </c>
    </row>
    <row r="2239">
      <c r="H2239" s="19" t="str">
        <f>IFERROR(__xludf.DUMMYFUNCTION("""COMPUTED_VALUE"""),"MEDARTH BIOTECH PVT LTD")</f>
        <v>MEDARTH BIOTECH PVT LTD</v>
      </c>
    </row>
    <row r="2240">
      <c r="H2240" s="19" t="str">
        <f>IFERROR(__xludf.DUMMYFUNCTION("""COMPUTED_VALUE"""),"MEDCONIC HEALTHCARE")</f>
        <v>MEDCONIC HEALTHCARE</v>
      </c>
    </row>
    <row r="2241">
      <c r="H2241" s="19" t="str">
        <f>IFERROR(__xludf.DUMMYFUNCTION("""COMPUTED_VALUE"""),"MEDCURE ORGANIC")</f>
        <v>MEDCURE ORGANIC</v>
      </c>
    </row>
    <row r="2242">
      <c r="H2242" s="19" t="str">
        <f>IFERROR(__xludf.DUMMYFUNCTION("""COMPUTED_VALUE"""),"MEDFE")</f>
        <v>MEDFE</v>
      </c>
    </row>
    <row r="2243">
      <c r="H2243" s="19" t="str">
        <f>IFERROR(__xludf.DUMMYFUNCTION("""COMPUTED_VALUE"""),"MEDFOR BIOSCIENCES PVT LTD")</f>
        <v>MEDFOR BIOSCIENCES PVT LTD</v>
      </c>
    </row>
    <row r="2244">
      <c r="H2244" s="19" t="str">
        <f>IFERROR(__xludf.DUMMYFUNCTION("""COMPUTED_VALUE"""),"MEDI JOHN BIOTECH")</f>
        <v>MEDI JOHN BIOTECH</v>
      </c>
    </row>
    <row r="2245">
      <c r="H2245" s="19" t="str">
        <f>IFERROR(__xludf.DUMMYFUNCTION("""COMPUTED_VALUE"""),"MEDI SURGE IMPEX")</f>
        <v>MEDI SURGE IMPEX</v>
      </c>
    </row>
    <row r="2246">
      <c r="H2246" s="19" t="str">
        <f>IFERROR(__xludf.DUMMYFUNCTION("""COMPUTED_VALUE"""),"MEDIART LIFESCIENCES")</f>
        <v>MEDIART LIFESCIENCES</v>
      </c>
    </row>
    <row r="2247">
      <c r="H2247" s="19" t="str">
        <f>IFERROR(__xludf.DUMMYFUNCTION("""COMPUTED_VALUE"""),"MEDIC")</f>
        <v>MEDIC</v>
      </c>
    </row>
    <row r="2248">
      <c r="H2248" s="19" t="str">
        <f>IFERROR(__xludf.DUMMYFUNCTION("""COMPUTED_VALUE"""),"MEDIC REMEDIES")</f>
        <v>MEDIC REMEDIES</v>
      </c>
    </row>
    <row r="2249">
      <c r="H2249" s="19" t="str">
        <f>IFERROR(__xludf.DUMMYFUNCTION("""COMPUTED_VALUE"""),"MEDICA HEALTHCARE")</f>
        <v>MEDICA HEALTHCARE</v>
      </c>
    </row>
    <row r="2250">
      <c r="H2250" s="19" t="str">
        <f>IFERROR(__xludf.DUMMYFUNCTION("""COMPUTED_VALUE"""),"MEDICAL INTERVENTIONS PVT LTD")</f>
        <v>MEDICAL INTERVENTIONS PVT LTD</v>
      </c>
    </row>
    <row r="2251">
      <c r="H2251" s="19" t="str">
        <f>IFERROR(__xludf.DUMMYFUNCTION("""COMPUTED_VALUE"""),"MEDICELL")</f>
        <v>MEDICELL</v>
      </c>
    </row>
    <row r="2252">
      <c r="H2252" s="19" t="str">
        <f>IFERROR(__xludf.DUMMYFUNCTION("""COMPUTED_VALUE"""),"MEDICEVO HEALTHCARE")</f>
        <v>MEDICEVO HEALTHCARE</v>
      </c>
    </row>
    <row r="2253">
      <c r="H2253" s="19" t="str">
        <f>IFERROR(__xludf.DUMMYFUNCTION("""COMPUTED_VALUE"""),"MEDICHI BIO CARE")</f>
        <v>MEDICHI BIO CARE</v>
      </c>
    </row>
    <row r="2254">
      <c r="H2254" s="19" t="str">
        <f>IFERROR(__xludf.DUMMYFUNCTION("""COMPUTED_VALUE"""),"MEDICINUM HEALTHCARE PVT LTD")</f>
        <v>MEDICINUM HEALTHCARE PVT LTD</v>
      </c>
    </row>
    <row r="2255">
      <c r="H2255" s="19" t="str">
        <f>IFERROR(__xludf.DUMMYFUNCTION("""COMPUTED_VALUE"""),"MEDICIS LIFE SCIENCES")</f>
        <v>MEDICIS LIFE SCIENCES</v>
      </c>
    </row>
    <row r="2256">
      <c r="H2256" s="19" t="str">
        <f>IFERROR(__xludf.DUMMYFUNCTION("""COMPUTED_VALUE"""),"MEDICO HEALTHCARE")</f>
        <v>MEDICO HEALTHCARE</v>
      </c>
    </row>
    <row r="2257">
      <c r="H2257" s="19" t="str">
        <f>IFERROR(__xludf.DUMMYFUNCTION("""COMPUTED_VALUE"""),"MEDICRUX HEALTHCARE")</f>
        <v>MEDICRUX HEALTHCARE</v>
      </c>
    </row>
    <row r="2258">
      <c r="H2258" s="19" t="str">
        <f>IFERROR(__xludf.DUMMYFUNCTION("""COMPUTED_VALUE"""),"MEDICULE HEALTHCARE")</f>
        <v>MEDICULE HEALTHCARE</v>
      </c>
    </row>
    <row r="2259">
      <c r="H2259" s="19" t="str">
        <f>IFERROR(__xludf.DUMMYFUNCTION("""COMPUTED_VALUE"""),"MEDICUS HEALTH")</f>
        <v>MEDICUS HEALTH</v>
      </c>
    </row>
    <row r="2260">
      <c r="H2260" s="19" t="str">
        <f>IFERROR(__xludf.DUMMYFUNCTION("""COMPUTED_VALUE"""),"MEDICUS LABS")</f>
        <v>MEDICUS LABS</v>
      </c>
    </row>
    <row r="2261">
      <c r="H2261" s="19" t="str">
        <f>IFERROR(__xludf.DUMMYFUNCTION("""COMPUTED_VALUE"""),"MEDIEX HEALTHCARE")</f>
        <v>MEDIEX HEALTHCARE</v>
      </c>
    </row>
    <row r="2262">
      <c r="H2262" s="19" t="str">
        <f>IFERROR(__xludf.DUMMYFUNCTION("""COMPUTED_VALUE"""),"MEDIFAITH BIOTECH")</f>
        <v>MEDIFAITH BIOTECH</v>
      </c>
    </row>
    <row r="2263">
      <c r="H2263" s="19" t="str">
        <f>IFERROR(__xludf.DUMMYFUNCTION("""COMPUTED_VALUE"""),"MEDIFILL")</f>
        <v>MEDIFILL</v>
      </c>
    </row>
    <row r="2264">
      <c r="H2264" s="19" t="str">
        <f>IFERROR(__xludf.DUMMYFUNCTION("""COMPUTED_VALUE"""),"MEDIFIT")</f>
        <v>MEDIFIT</v>
      </c>
    </row>
    <row r="2265">
      <c r="H2265" s="19" t="str">
        <f>IFERROR(__xludf.DUMMYFUNCTION("""COMPUTED_VALUE"""),"MEDIFLOW")</f>
        <v>MEDIFLOW</v>
      </c>
    </row>
    <row r="2266">
      <c r="H2266" s="19" t="str">
        <f>IFERROR(__xludf.DUMMYFUNCTION("""COMPUTED_VALUE"""),"MEDIGRIP (PRECISION COATINGS PVT LTD)")</f>
        <v>MEDIGRIP (PRECISION COATINGS PVT LTD)</v>
      </c>
    </row>
    <row r="2267">
      <c r="H2267" s="19" t="str">
        <f>IFERROR(__xludf.DUMMYFUNCTION("""COMPUTED_VALUE"""),"MEDIGROWTH PHARMACEUTICALS PVT LTD")</f>
        <v>MEDIGROWTH PHARMACEUTICALS PVT LTD</v>
      </c>
    </row>
    <row r="2268">
      <c r="H2268" s="19" t="str">
        <f>IFERROR(__xludf.DUMMYFUNCTION("""COMPUTED_VALUE"""),"MEDIGUARD MARKETING")</f>
        <v>MEDIGUARD MARKETING</v>
      </c>
    </row>
    <row r="2269">
      <c r="H2269" s="19" t="str">
        <f>IFERROR(__xludf.DUMMYFUNCTION("""COMPUTED_VALUE"""),"MEDILANCE HEALTHCARE")</f>
        <v>MEDILANCE HEALTHCARE</v>
      </c>
    </row>
    <row r="2270">
      <c r="H2270" s="19" t="str">
        <f>IFERROR(__xludf.DUMMYFUNCTION("""COMPUTED_VALUE"""),"MEDIMARK BIOTECH")</f>
        <v>MEDIMARK BIOTECH</v>
      </c>
    </row>
    <row r="2271">
      <c r="H2271" s="19" t="str">
        <f>IFERROR(__xludf.DUMMYFUNCTION("""COMPUTED_VALUE"""),"MEDINN BELLE HERBAL CARE PVT LTD")</f>
        <v>MEDINN BELLE HERBAL CARE PVT LTD</v>
      </c>
    </row>
    <row r="2272">
      <c r="H2272" s="19" t="str">
        <f>IFERROR(__xludf.DUMMYFUNCTION("""COMPUTED_VALUE"""),"MEDINOVA")</f>
        <v>MEDINOVA</v>
      </c>
    </row>
    <row r="2273">
      <c r="H2273" s="19" t="str">
        <f>IFERROR(__xludf.DUMMYFUNCTION("""COMPUTED_VALUE"""),"MEDIQUEST PHARMA")</f>
        <v>MEDIQUEST PHARMA</v>
      </c>
    </row>
    <row r="2274">
      <c r="H2274" s="19" t="str">
        <f>IFERROR(__xludf.DUMMYFUNCTION("""COMPUTED_VALUE"""),"Medispan Ltd")</f>
        <v>Medispan Ltd</v>
      </c>
    </row>
    <row r="2275">
      <c r="H2275" s="19" t="str">
        <f>IFERROR(__xludf.DUMMYFUNCTION("""COMPUTED_VALUE"""),"MEDISTRA REMEDIES PVT LTD")</f>
        <v>MEDISTRA REMEDIES PVT LTD</v>
      </c>
    </row>
    <row r="2276">
      <c r="H2276" s="19" t="str">
        <f>IFERROR(__xludf.DUMMYFUNCTION("""COMPUTED_VALUE"""),"MEDITECH DEVICES")</f>
        <v>MEDITECH DEVICES</v>
      </c>
    </row>
    <row r="2277">
      <c r="H2277" s="19" t="str">
        <f>IFERROR(__xludf.DUMMYFUNCTION("""COMPUTED_VALUE"""),"MEDITEK INDIA")</f>
        <v>MEDITEK INDIA</v>
      </c>
    </row>
    <row r="2278">
      <c r="H2278" s="19" t="str">
        <f>IFERROR(__xludf.DUMMYFUNCTION("""COMPUTED_VALUE"""),"MEDITEX PHARMA PVT LTD")</f>
        <v>MEDITEX PHARMA PVT LTD</v>
      </c>
    </row>
    <row r="2279">
      <c r="H2279" s="19" t="str">
        <f>IFERROR(__xludf.DUMMYFUNCTION("""COMPUTED_VALUE"""),"MEDIVAXIA PHARMA")</f>
        <v>MEDIVAXIA PHARMA</v>
      </c>
    </row>
    <row r="2280">
      <c r="H2280" s="19" t="str">
        <f>IFERROR(__xludf.DUMMYFUNCTION("""COMPUTED_VALUE"""),"MEDIVISON PHARM")</f>
        <v>MEDIVISON PHARM</v>
      </c>
    </row>
    <row r="2281">
      <c r="H2281" s="19" t="str">
        <f>IFERROR(__xludf.DUMMYFUNCTION("""COMPUTED_VALUE"""),"MEDIVISTA LIFE SCIENCES P LTD")</f>
        <v>MEDIVISTA LIFE SCIENCES P LTD</v>
      </c>
    </row>
    <row r="2282">
      <c r="H2282" s="19" t="str">
        <f>IFERROR(__xludf.DUMMYFUNCTION("""COMPUTED_VALUE"""),"MEDLEY (GLYCEKARE)")</f>
        <v>MEDLEY (GLYCEKARE)</v>
      </c>
    </row>
    <row r="2283">
      <c r="H2283" s="19" t="str">
        <f>IFERROR(__xludf.DUMMYFUNCTION("""COMPUTED_VALUE"""),"MEDLEY (NUTRAKARE)")</f>
        <v>MEDLEY (NUTRAKARE)</v>
      </c>
    </row>
    <row r="2284">
      <c r="H2284" s="19" t="str">
        <f>IFERROR(__xludf.DUMMYFUNCTION("""COMPUTED_VALUE"""),"MEDLEY (OSTEOCARE)")</f>
        <v>MEDLEY (OSTEOCARE)</v>
      </c>
    </row>
    <row r="2285">
      <c r="H2285" s="19" t="str">
        <f>IFERROR(__xludf.DUMMYFUNCTION("""COMPUTED_VALUE"""),"MEDLEY (OTC)")</f>
        <v>MEDLEY (OTC)</v>
      </c>
    </row>
    <row r="2286">
      <c r="H2286" s="19" t="str">
        <f>IFERROR(__xludf.DUMMYFUNCTION("""COMPUTED_VALUE"""),"MEDLEY (SUPRAKARE)")</f>
        <v>MEDLEY (SUPRAKARE)</v>
      </c>
    </row>
    <row r="2287">
      <c r="H2287" s="19" t="str">
        <f>IFERROR(__xludf.DUMMYFUNCTION("""COMPUTED_VALUE"""),"MEDLEY (VAZOKARE)")</f>
        <v>MEDLEY (VAZOKARE)</v>
      </c>
    </row>
    <row r="2288">
      <c r="H2288" s="19" t="str">
        <f>IFERROR(__xludf.DUMMYFUNCTION("""COMPUTED_VALUE"""),"MEDLEY (ZENKARE)")</f>
        <v>MEDLEY (ZENKARE)</v>
      </c>
    </row>
    <row r="2289">
      <c r="H2289" s="19" t="str">
        <f>IFERROR(__xludf.DUMMYFUNCTION("""COMPUTED_VALUE"""),"Medley Pharmaceuticals")</f>
        <v>Medley Pharmaceuticals</v>
      </c>
    </row>
    <row r="2290">
      <c r="H2290" s="19" t="str">
        <f>IFERROR(__xludf.DUMMYFUNCTION("""COMPUTED_VALUE"""),"Medley Pharmaceuticals (GENERIC)")</f>
        <v>Medley Pharmaceuticals (GENERIC)</v>
      </c>
    </row>
    <row r="2291">
      <c r="H2291" s="19" t="str">
        <f>IFERROR(__xludf.DUMMYFUNCTION("""COMPUTED_VALUE"""),"MEDLOCK HEALTHCARE PVT LTD")</f>
        <v>MEDLOCK HEALTHCARE PVT LTD</v>
      </c>
    </row>
    <row r="2292">
      <c r="H2292" s="19" t="str">
        <f>IFERROR(__xludf.DUMMYFUNCTION("""COMPUTED_VALUE"""),"Medo Pharma")</f>
        <v>Medo Pharma</v>
      </c>
    </row>
    <row r="2293">
      <c r="H2293" s="19" t="str">
        <f>IFERROR(__xludf.DUMMYFUNCTION("""COMPUTED_VALUE"""),"MEDO PHARMA (CARDICARE)")</f>
        <v>MEDO PHARMA (CARDICARE)</v>
      </c>
    </row>
    <row r="2294">
      <c r="H2294" s="19" t="str">
        <f>IFERROR(__xludf.DUMMYFUNCTION("""COMPUTED_VALUE"""),"MEDO PHARMA (DIABETIC)")</f>
        <v>MEDO PHARMA (DIABETIC)</v>
      </c>
    </row>
    <row r="2295">
      <c r="H2295" s="19" t="str">
        <f>IFERROR(__xludf.DUMMYFUNCTION("""COMPUTED_VALUE"""),"MEDOK LIFESCIENCES PVT LTD")</f>
        <v>MEDOK LIFESCIENCES PVT LTD</v>
      </c>
    </row>
    <row r="2296">
      <c r="H2296" s="19" t="str">
        <f>IFERROR(__xludf.DUMMYFUNCTION("""COMPUTED_VALUE"""),"MEDOPHARM (JUBILANT)")</f>
        <v>MEDOPHARM (JUBILANT)</v>
      </c>
    </row>
    <row r="2297">
      <c r="H2297" s="19" t="str">
        <f>IFERROR(__xludf.DUMMYFUNCTION("""COMPUTED_VALUE"""),"MEDOZ PHARMA")</f>
        <v>MEDOZ PHARMA</v>
      </c>
    </row>
    <row r="2298">
      <c r="H2298" s="19" t="str">
        <f>IFERROR(__xludf.DUMMYFUNCTION("""COMPUTED_VALUE"""),"MEDPURE LIFE SCIENCE")</f>
        <v>MEDPURE LIFE SCIENCE</v>
      </c>
    </row>
    <row r="2299">
      <c r="H2299" s="19" t="str">
        <f>IFERROR(__xludf.DUMMYFUNCTION("""COMPUTED_VALUE"""),"Medreich Lifecare Ltd (SAIMIRA)")</f>
        <v>Medreich Lifecare Ltd (SAIMIRA)</v>
      </c>
    </row>
    <row r="2300">
      <c r="H2300" s="19" t="str">
        <f>IFERROR(__xludf.DUMMYFUNCTION("""COMPUTED_VALUE"""),"Medsol India Overseas Pvt Ltd")</f>
        <v>Medsol India Overseas Pvt Ltd</v>
      </c>
    </row>
    <row r="2301">
      <c r="H2301" s="19" t="str">
        <f>IFERROR(__xludf.DUMMYFUNCTION("""COMPUTED_VALUE"""),"MEDTRONIC")</f>
        <v>MEDTRONIC</v>
      </c>
    </row>
    <row r="2302">
      <c r="H2302" s="19" t="str">
        <f>IFERROR(__xludf.DUMMYFUNCTION("""COMPUTED_VALUE"""),"MEDWIN IMPEX PVT LTD")</f>
        <v>MEDWIN IMPEX PVT LTD</v>
      </c>
    </row>
    <row r="2303">
      <c r="H2303" s="19" t="str">
        <f>IFERROR(__xludf.DUMMYFUNCTION("""COMPUTED_VALUE"""),"MEDWIN PHARMA")</f>
        <v>MEDWIN PHARMA</v>
      </c>
    </row>
    <row r="2304">
      <c r="H2304" s="19" t="str">
        <f>IFERROR(__xludf.DUMMYFUNCTION("""COMPUTED_VALUE"""),"MEETHI PHARMACEUTICALS")</f>
        <v>MEETHI PHARMACEUTICALS</v>
      </c>
    </row>
    <row r="2305">
      <c r="H2305" s="19" t="str">
        <f>IFERROR(__xludf.DUMMYFUNCTION("""COMPUTED_VALUE"""),"Mefro Pharmaceuticals (P) Ltd")</f>
        <v>Mefro Pharmaceuticals (P) Ltd</v>
      </c>
    </row>
    <row r="2306">
      <c r="H2306" s="19" t="str">
        <f>IFERROR(__xludf.DUMMYFUNCTION("""COMPUTED_VALUE"""),"Megacorp Healthcare Pvt Ltd")</f>
        <v>Megacorp Healthcare Pvt Ltd</v>
      </c>
    </row>
    <row r="2307">
      <c r="H2307" s="19" t="str">
        <f>IFERROR(__xludf.DUMMYFUNCTION("""COMPUTED_VALUE"""),"MEGHDOOT GRAM UDYOG")</f>
        <v>MEGHDOOT GRAM UDYOG</v>
      </c>
    </row>
    <row r="2308">
      <c r="H2308" s="19" t="str">
        <f>IFERROR(__xludf.DUMMYFUNCTION("""COMPUTED_VALUE"""),"MEGHMANI ORGANICS LTD")</f>
        <v>MEGHMANI ORGANICS LTD</v>
      </c>
    </row>
    <row r="2309">
      <c r="H2309" s="19" t="str">
        <f>IFERROR(__xludf.DUMMYFUNCTION("""COMPUTED_VALUE"""),"MEGMA HEALTHCARE")</f>
        <v>MEGMA HEALTHCARE</v>
      </c>
    </row>
    <row r="2310">
      <c r="H2310" s="19" t="str">
        <f>IFERROR(__xludf.DUMMYFUNCTION("""COMPUTED_VALUE"""),"MEHAR LABORATORIE")</f>
        <v>MEHAR LABORATORIE</v>
      </c>
    </row>
    <row r="2311">
      <c r="H2311" s="19" t="str">
        <f>IFERROR(__xludf.DUMMYFUNCTION("""COMPUTED_VALUE"""),"MEHAR LABORATORIES")</f>
        <v>MEHAR LABORATORIES</v>
      </c>
    </row>
    <row r="2312">
      <c r="H2312" s="19" t="str">
        <f>IFERROR(__xludf.DUMMYFUNCTION("""COMPUTED_VALUE"""),"MEHTA PHARMACEUTICALS PVT LTD")</f>
        <v>MEHTA PHARMACEUTICALS PVT LTD</v>
      </c>
    </row>
    <row r="2313">
      <c r="H2313" s="19" t="str">
        <f>IFERROR(__xludf.DUMMYFUNCTION("""COMPUTED_VALUE"""),"Menarini India Pvt Ltd")</f>
        <v>Menarini India Pvt Ltd</v>
      </c>
    </row>
    <row r="2314">
      <c r="H2314" s="19" t="str">
        <f>IFERROR(__xludf.DUMMYFUNCTION("""COMPUTED_VALUE"""),"MENDCURE LIFE SCIENCES PVT LTD")</f>
        <v>MENDCURE LIFE SCIENCES PVT LTD</v>
      </c>
    </row>
    <row r="2315">
      <c r="H2315" s="19" t="str">
        <f>IFERROR(__xludf.DUMMYFUNCTION("""COMPUTED_VALUE"""),"MENSA FUTURA LIFE SCIENCES PVT LTD")</f>
        <v>MENSA FUTURA LIFE SCIENCES PVT LTD</v>
      </c>
    </row>
    <row r="2316">
      <c r="H2316" s="19" t="str">
        <f>IFERROR(__xludf.DUMMYFUNCTION("""COMPUTED_VALUE"""),"MERCK (P&amp;G)")</f>
        <v>MERCK (P&amp;G)</v>
      </c>
    </row>
    <row r="2317">
      <c r="H2317" s="19" t="str">
        <f>IFERROR(__xludf.DUMMYFUNCTION("""COMPUTED_VALUE"""),"Merck Ltd")</f>
        <v>Merck Ltd</v>
      </c>
    </row>
    <row r="2318">
      <c r="H2318" s="19" t="str">
        <f>IFERROR(__xludf.DUMMYFUNCTION("""COMPUTED_VALUE"""),"Merck Ltd (CHC)")</f>
        <v>Merck Ltd (CHC)</v>
      </c>
    </row>
    <row r="2319">
      <c r="H2319" s="19" t="str">
        <f>IFERROR(__xludf.DUMMYFUNCTION("""COMPUTED_VALUE"""),"Merck Ltd (CMC)")</f>
        <v>Merck Ltd (CMC)</v>
      </c>
    </row>
    <row r="2320">
      <c r="H2320" s="19" t="str">
        <f>IFERROR(__xludf.DUMMYFUNCTION("""COMPUTED_VALUE"""),"Merck Ltd (GENERAL MEDCINE)")</f>
        <v>Merck Ltd (GENERAL MEDCINE)</v>
      </c>
    </row>
    <row r="2321">
      <c r="H2321" s="19" t="str">
        <f>IFERROR(__xludf.DUMMYFUNCTION("""COMPUTED_VALUE"""),"Merck Ltd (MCH)")</f>
        <v>Merck Ltd (MCH)</v>
      </c>
    </row>
    <row r="2322">
      <c r="H2322" s="19" t="str">
        <f>IFERROR(__xludf.DUMMYFUNCTION("""COMPUTED_VALUE"""),"Merck Ltd (OTX)")</f>
        <v>Merck Ltd (OTX)</v>
      </c>
    </row>
    <row r="2323">
      <c r="H2323" s="19" t="str">
        <f>IFERROR(__xludf.DUMMYFUNCTION("""COMPUTED_VALUE"""),"Merck Ltd (WHC)")</f>
        <v>Merck Ltd (WHC)</v>
      </c>
    </row>
    <row r="2324">
      <c r="H2324" s="19" t="str">
        <f>IFERROR(__xludf.DUMMYFUNCTION("""COMPUTED_VALUE"""),"MERCK SPECIALITIES PVT LTD")</f>
        <v>MERCK SPECIALITIES PVT LTD</v>
      </c>
    </row>
    <row r="2325">
      <c r="H2325" s="19" t="str">
        <f>IFERROR(__xludf.DUMMYFUNCTION("""COMPUTED_VALUE"""),"Mercury Healthcare Pvt Ltd")</f>
        <v>Mercury Healthcare Pvt Ltd</v>
      </c>
    </row>
    <row r="2326">
      <c r="H2326" s="19" t="str">
        <f>IFERROR(__xludf.DUMMYFUNCTION("""COMPUTED_VALUE"""),"MERCURY LABORATORIES")</f>
        <v>MERCURY LABORATORIES</v>
      </c>
    </row>
    <row r="2327">
      <c r="H2327" s="19" t="str">
        <f>IFERROR(__xludf.DUMMYFUNCTION("""COMPUTED_VALUE"""),"MERIDIAN ENTERPRISES")</f>
        <v>MERIDIAN ENTERPRISES</v>
      </c>
    </row>
    <row r="2328">
      <c r="H2328" s="19" t="str">
        <f>IFERROR(__xludf.DUMMYFUNCTION("""COMPUTED_VALUE"""),"Meridian Medicare Ltd")</f>
        <v>Meridian Medicare Ltd</v>
      </c>
    </row>
    <row r="2329">
      <c r="H2329" s="19" t="str">
        <f>IFERROR(__xludf.DUMMYFUNCTION("""COMPUTED_VALUE"""),"MERIL LIFE")</f>
        <v>MERIL LIFE</v>
      </c>
    </row>
    <row r="2330">
      <c r="H2330" s="19" t="str">
        <f>IFERROR(__xludf.DUMMYFUNCTION("""COMPUTED_VALUE"""),"Merion Care")</f>
        <v>Merion Care</v>
      </c>
    </row>
    <row r="2331">
      <c r="H2331" s="19" t="str">
        <f>IFERROR(__xludf.DUMMYFUNCTION("""COMPUTED_VALUE"""),"MERLIN PHARMA PVT LTD")</f>
        <v>MERLIN PHARMA PVT LTD</v>
      </c>
    </row>
    <row r="2332">
      <c r="H2332" s="19" t="str">
        <f>IFERROR(__xludf.DUMMYFUNCTION("""COMPUTED_VALUE"""),"MERRUT HOMOEO PHARMACY")</f>
        <v>MERRUT HOMOEO PHARMACY</v>
      </c>
    </row>
    <row r="2333">
      <c r="H2333" s="19" t="str">
        <f>IFERROR(__xludf.DUMMYFUNCTION("""COMPUTED_VALUE"""),"MERRYBELL BIOCEUTICALS")</f>
        <v>MERRYBELL BIOCEUTICALS</v>
      </c>
    </row>
    <row r="2334">
      <c r="H2334" s="19" t="str">
        <f>IFERROR(__xludf.DUMMYFUNCTION("""COMPUTED_VALUE"""),"Meryl Pharma")</f>
        <v>Meryl Pharma</v>
      </c>
    </row>
    <row r="2335">
      <c r="H2335" s="19" t="str">
        <f>IFERROR(__xludf.DUMMYFUNCTION("""COMPUTED_VALUE"""),"MESOVA PHARMACEUTICAL")</f>
        <v>MESOVA PHARMACEUTICAL</v>
      </c>
    </row>
    <row r="2336">
      <c r="H2336" s="19" t="str">
        <f>IFERROR(__xludf.DUMMYFUNCTION("""COMPUTED_VALUE"""),"METTA LIFE SCIENCES")</f>
        <v>METTA LIFE SCIENCES</v>
      </c>
    </row>
    <row r="2337">
      <c r="H2337" s="19" t="str">
        <f>IFERROR(__xludf.DUMMYFUNCTION("""COMPUTED_VALUE"""),"MEWAR AYURVEDIC WORKS")</f>
        <v>MEWAR AYURVEDIC WORKS</v>
      </c>
    </row>
    <row r="2338">
      <c r="H2338" s="19" t="str">
        <f>IFERROR(__xludf.DUMMYFUNCTION("""COMPUTED_VALUE"""),"MEWELL BIOTECH")</f>
        <v>MEWELL BIOTECH</v>
      </c>
    </row>
    <row r="2339">
      <c r="H2339" s="19" t="str">
        <f>IFERROR(__xludf.DUMMYFUNCTION("""COMPUTED_VALUE"""),"MEXX VISION PHARMA")</f>
        <v>MEXX VISION PHARMA</v>
      </c>
    </row>
    <row r="2340">
      <c r="H2340" s="19" t="str">
        <f>IFERROR(__xludf.DUMMYFUNCTION("""COMPUTED_VALUE"""),"MEYER ORGANICS (CELLAGE)")</f>
        <v>MEYER ORGANICS (CELLAGE)</v>
      </c>
    </row>
    <row r="2341">
      <c r="H2341" s="19" t="str">
        <f>IFERROR(__xludf.DUMMYFUNCTION("""COMPUTED_VALUE"""),"MEYER ORGANICS (EXCEL)")</f>
        <v>MEYER ORGANICS (EXCEL)</v>
      </c>
    </row>
    <row r="2342">
      <c r="H2342" s="19" t="str">
        <f>IFERROR(__xludf.DUMMYFUNCTION("""COMPUTED_VALUE"""),"MEYER ORGANICS (SALES)")</f>
        <v>MEYER ORGANICS (SALES)</v>
      </c>
    </row>
    <row r="2343">
      <c r="H2343" s="19" t="str">
        <f>IFERROR(__xludf.DUMMYFUNCTION("""COMPUTED_VALUE"""),"Meyer Organics Pvt Ltd")</f>
        <v>Meyer Organics Pvt Ltd</v>
      </c>
    </row>
    <row r="2344">
      <c r="H2344" s="19" t="str">
        <f>IFERROR(__xludf.DUMMYFUNCTION("""COMPUTED_VALUE"""),"MIBSONS PHARMACEUTICAL")</f>
        <v>MIBSONS PHARMACEUTICAL</v>
      </c>
    </row>
    <row r="2345">
      <c r="H2345" s="19" t="str">
        <f>IFERROR(__xludf.DUMMYFUNCTION("""COMPUTED_VALUE"""),"MICO")</f>
        <v>MICO</v>
      </c>
    </row>
    <row r="2346">
      <c r="H2346" s="19" t="str">
        <f>IFERROR(__xludf.DUMMYFUNCTION("""COMPUTED_VALUE"""),"MICRO (CARDICARE)")</f>
        <v>MICRO (CARDICARE)</v>
      </c>
    </row>
    <row r="2347">
      <c r="H2347" s="19" t="str">
        <f>IFERROR(__xludf.DUMMYFUNCTION("""COMPUTED_VALUE"""),"MICRO (CARSYON II)")</f>
        <v>MICRO (CARSYON II)</v>
      </c>
    </row>
    <row r="2348">
      <c r="H2348" s="19" t="str">
        <f>IFERROR(__xludf.DUMMYFUNCTION("""COMPUTED_VALUE"""),"MICRO (CARSYON III)")</f>
        <v>MICRO (CARSYON III)</v>
      </c>
    </row>
    <row r="2349">
      <c r="H2349" s="19" t="str">
        <f>IFERROR(__xludf.DUMMYFUNCTION("""COMPUTED_VALUE"""),"MICRO (CARSYON)")</f>
        <v>MICRO (CARSYON)</v>
      </c>
    </row>
    <row r="2350">
      <c r="H2350" s="19" t="str">
        <f>IFERROR(__xludf.DUMMYFUNCTION("""COMPUTED_VALUE"""),"MICRO (DERMA)")</f>
        <v>MICRO (DERMA)</v>
      </c>
    </row>
    <row r="2351">
      <c r="H2351" s="19" t="str">
        <f>IFERROR(__xludf.DUMMYFUNCTION("""COMPUTED_VALUE"""),"MICRO (DTF)")</f>
        <v>MICRO (DTF)</v>
      </c>
    </row>
    <row r="2352">
      <c r="H2352" s="19" t="str">
        <f>IFERROR(__xludf.DUMMYFUNCTION("""COMPUTED_VALUE"""),"MICRO (GENERIC)")</f>
        <v>MICRO (GENERIC)</v>
      </c>
    </row>
    <row r="2353">
      <c r="H2353" s="19" t="str">
        <f>IFERROR(__xludf.DUMMYFUNCTION("""COMPUTED_VALUE"""),"MICRO (GRATIA)")</f>
        <v>MICRO (GRATIA)</v>
      </c>
    </row>
    <row r="2354">
      <c r="H2354" s="19" t="str">
        <f>IFERROR(__xludf.DUMMYFUNCTION("""COMPUTED_VALUE"""),"MICRO (GTF II)")</f>
        <v>MICRO (GTF II)</v>
      </c>
    </row>
    <row r="2355">
      <c r="H2355" s="19" t="str">
        <f>IFERROR(__xludf.DUMMYFUNCTION("""COMPUTED_VALUE"""),"MICRO (GTF)")</f>
        <v>MICRO (GTF)</v>
      </c>
    </row>
    <row r="2356">
      <c r="H2356" s="19" t="str">
        <f>IFERROR(__xludf.DUMMYFUNCTION("""COMPUTED_VALUE"""),"MICRO (LUMIRA)")</f>
        <v>MICRO (LUMIRA)</v>
      </c>
    </row>
    <row r="2357">
      <c r="H2357" s="19" t="str">
        <f>IFERROR(__xludf.DUMMYFUNCTION("""COMPUTED_VALUE"""),"MICRO (MAIN)")</f>
        <v>MICRO (MAIN)</v>
      </c>
    </row>
    <row r="2358">
      <c r="H2358" s="19" t="str">
        <f>IFERROR(__xludf.DUMMYFUNCTION("""COMPUTED_VALUE"""),"MICRO (NUTRICA)")</f>
        <v>MICRO (NUTRICA)</v>
      </c>
    </row>
    <row r="2359">
      <c r="H2359" s="19" t="str">
        <f>IFERROR(__xludf.DUMMYFUNCTION("""COMPUTED_VALUE"""),"MICRO (OTF)")</f>
        <v>MICRO (OTF)</v>
      </c>
    </row>
    <row r="2360">
      <c r="H2360" s="19" t="str">
        <f>IFERROR(__xludf.DUMMYFUNCTION("""COMPUTED_VALUE"""),"MICRO (VISION 1)")</f>
        <v>MICRO (VISION 1)</v>
      </c>
    </row>
    <row r="2361">
      <c r="H2361" s="19" t="str">
        <f>IFERROR(__xludf.DUMMYFUNCTION("""COMPUTED_VALUE"""),"MICRO (VISION 2)")</f>
        <v>MICRO (VISION 2)</v>
      </c>
    </row>
    <row r="2362">
      <c r="H2362" s="19" t="str">
        <f>IFERROR(__xludf.DUMMYFUNCTION("""COMPUTED_VALUE"""),"MICRO (VIVAA)")</f>
        <v>MICRO (VIVAA)</v>
      </c>
    </row>
    <row r="2363">
      <c r="H2363" s="19" t="str">
        <f>IFERROR(__xludf.DUMMYFUNCTION("""COMPUTED_VALUE"""),"MICRO CARSYON CARDIAC")</f>
        <v>MICRO CARSYON CARDIAC</v>
      </c>
    </row>
    <row r="2364">
      <c r="H2364" s="19" t="str">
        <f>IFERROR(__xludf.DUMMYFUNCTION("""COMPUTED_VALUE"""),"MICRO HELTHCARE LTD.")</f>
        <v>MICRO HELTHCARE LTD.</v>
      </c>
    </row>
    <row r="2365">
      <c r="H2365" s="19" t="str">
        <f>IFERROR(__xludf.DUMMYFUNCTION("""COMPUTED_VALUE"""),"Micro Labs (BROWN &amp; BURK)")</f>
        <v>Micro Labs (BROWN &amp; BURK)</v>
      </c>
    </row>
    <row r="2366">
      <c r="H2366" s="19" t="str">
        <f>IFERROR(__xludf.DUMMYFUNCTION("""COMPUTED_VALUE"""),"Micro Labs Ltd")</f>
        <v>Micro Labs Ltd</v>
      </c>
    </row>
    <row r="2367">
      <c r="H2367" s="19" t="str">
        <f>IFERROR(__xludf.DUMMYFUNCTION("""COMPUTED_VALUE"""),"Micro Labs Ltd (NOVA)")</f>
        <v>Micro Labs Ltd (NOVA)</v>
      </c>
    </row>
    <row r="2368">
      <c r="H2368" s="19" t="str">
        <f>IFERROR(__xludf.DUMMYFUNCTION("""COMPUTED_VALUE"""),"Micro Labs Ltd (SPECIALITY)")</f>
        <v>Micro Labs Ltd (SPECIALITY)</v>
      </c>
    </row>
    <row r="2369">
      <c r="H2369" s="19" t="str">
        <f>IFERROR(__xludf.DUMMYFUNCTION("""COMPUTED_VALUE"""),"MICRO VISION (SKIN)")</f>
        <v>MICRO VISION (SKIN)</v>
      </c>
    </row>
    <row r="2370">
      <c r="H2370" s="19" t="str">
        <f>IFERROR(__xludf.DUMMYFUNCTION("""COMPUTED_VALUE"""),"MICROGEN HYGIENE PVT LTD")</f>
        <v>MICROGEN HYGIENE PVT LTD</v>
      </c>
    </row>
    <row r="2371">
      <c r="H2371" s="19" t="str">
        <f>IFERROR(__xludf.DUMMYFUNCTION("""COMPUTED_VALUE"""),"MICRONS")</f>
        <v>MICRONS</v>
      </c>
    </row>
    <row r="2372">
      <c r="H2372" s="19" t="str">
        <f>IFERROR(__xludf.DUMMYFUNCTION("""COMPUTED_VALUE"""),"MICROPARK LOGISTICS PVT LTD (WELLNESS)")</f>
        <v>MICROPARK LOGISTICS PVT LTD (WELLNESS)</v>
      </c>
    </row>
    <row r="2373">
      <c r="H2373" s="19" t="str">
        <f>IFERROR(__xludf.DUMMYFUNCTION("""COMPUTED_VALUE"""),"MICROPOLIS LIFESCIENCES PVT LTD")</f>
        <v>MICROPOLIS LIFESCIENCES PVT LTD</v>
      </c>
    </row>
    <row r="2374">
      <c r="H2374" s="19" t="str">
        <f>IFERROR(__xludf.DUMMYFUNCTION("""COMPUTED_VALUE"""),"MICROPOLIS LIFESCIENCES PVT LTD (WIN FERTILITY)")</f>
        <v>MICROPOLIS LIFESCIENCES PVT LTD (WIN FERTILITY)</v>
      </c>
    </row>
    <row r="2375">
      <c r="H2375" s="19" t="str">
        <f>IFERROR(__xludf.DUMMYFUNCTION("""COMPUTED_VALUE"""),"MICROWIN LABORATORIES LTD")</f>
        <v>MICROWIN LABORATORIES LTD</v>
      </c>
    </row>
    <row r="2376">
      <c r="H2376" s="19" t="str">
        <f>IFERROR(__xludf.DUMMYFUNCTION("""COMPUTED_VALUE"""),"Midas Healthcare Ltd")</f>
        <v>Midas Healthcare Ltd</v>
      </c>
    </row>
    <row r="2377">
      <c r="H2377" s="19" t="str">
        <f>IFERROR(__xludf.DUMMYFUNCTION("""COMPUTED_VALUE"""),"MidasCare Pharmaceuticals Pvt Ltd")</f>
        <v>MidasCare Pharmaceuticals Pvt Ltd</v>
      </c>
    </row>
    <row r="2378">
      <c r="H2378" s="19" t="str">
        <f>IFERROR(__xludf.DUMMYFUNCTION("""COMPUTED_VALUE"""),"MILESTONE LIFESCIENCES")</f>
        <v>MILESTONE LIFESCIENCES</v>
      </c>
    </row>
    <row r="2379">
      <c r="H2379" s="19" t="str">
        <f>IFERROR(__xludf.DUMMYFUNCTION("""COMPUTED_VALUE"""),"Millennium Herbal Care")</f>
        <v>Millennium Herbal Care</v>
      </c>
    </row>
    <row r="2380">
      <c r="H2380" s="19" t="str">
        <f>IFERROR(__xludf.DUMMYFUNCTION("""COMPUTED_VALUE"""),"MILLENNIUM HERBAL CARE LIMITED")</f>
        <v>MILLENNIUM HERBAL CARE LIMITED</v>
      </c>
    </row>
    <row r="2381">
      <c r="H2381" s="19" t="str">
        <f>IFERROR(__xludf.DUMMYFUNCTION("""COMPUTED_VALUE"""),"MINT LIFE SCIENCES PVT LTD")</f>
        <v>MINT LIFE SCIENCES PVT LTD</v>
      </c>
    </row>
    <row r="2382">
      <c r="H2382" s="19" t="str">
        <f>IFERROR(__xludf.DUMMYFUNCTION("""COMPUTED_VALUE"""),"MIRACALUS")</f>
        <v>MIRACALUS</v>
      </c>
    </row>
    <row r="2383">
      <c r="H2383" s="19" t="str">
        <f>IFERROR(__xludf.DUMMYFUNCTION("""COMPUTED_VALUE"""),"MIRACALUS PHARMA PVT LTD")</f>
        <v>MIRACALUS PHARMA PVT LTD</v>
      </c>
    </row>
    <row r="2384">
      <c r="H2384" s="19" t="str">
        <f>IFERROR(__xludf.DUMMYFUNCTION("""COMPUTED_VALUE"""),"MIRAQUAL REMEDIES LLP")</f>
        <v>MIRAQUAL REMEDIES LLP</v>
      </c>
    </row>
    <row r="2385">
      <c r="H2385" s="19" t="str">
        <f>IFERROR(__xludf.DUMMYFUNCTION("""COMPUTED_VALUE"""),"MIRCO ( SYNAPSE)")</f>
        <v>MIRCO ( SYNAPSE)</v>
      </c>
    </row>
    <row r="2386">
      <c r="H2386" s="19" t="str">
        <f>IFERROR(__xludf.DUMMYFUNCTION("""COMPUTED_VALUE"""),"MIRCO (CNS)")</f>
        <v>MIRCO (CNS)</v>
      </c>
    </row>
    <row r="2387">
      <c r="H2387" s="19" t="str">
        <f>IFERROR(__xludf.DUMMYFUNCTION("""COMPUTED_VALUE"""),"MIRCO (SYNAPSE)")</f>
        <v>MIRCO (SYNAPSE)</v>
      </c>
    </row>
    <row r="2388">
      <c r="H2388" s="19" t="str">
        <f>IFERROR(__xludf.DUMMYFUNCTION("""COMPUTED_VALUE"""),"MIRIX LABORATORIES")</f>
        <v>MIRIX LABORATORIES</v>
      </c>
    </row>
    <row r="2389">
      <c r="H2389" s="19" t="str">
        <f>IFERROR(__xludf.DUMMYFUNCTION("""COMPUTED_VALUE"""),"MISHA AYURVEDA")</f>
        <v>MISHA AYURVEDA</v>
      </c>
    </row>
    <row r="2390">
      <c r="H2390" s="19" t="str">
        <f>IFERROR(__xludf.DUMMYFUNCTION("""COMPUTED_VALUE"""),"MISSION RESEARCH LAB")</f>
        <v>MISSION RESEARCH LAB</v>
      </c>
    </row>
    <row r="2391">
      <c r="H2391" s="19" t="str">
        <f>IFERROR(__xludf.DUMMYFUNCTION("""COMPUTED_VALUE"""),"ML")</f>
        <v>ML</v>
      </c>
    </row>
    <row r="2392">
      <c r="H2392" s="19" t="str">
        <f>IFERROR(__xludf.DUMMYFUNCTION("""COMPUTED_VALUE"""),"MMC HEALTHCARE")</f>
        <v>MMC HEALTHCARE</v>
      </c>
    </row>
    <row r="2393">
      <c r="H2393" s="19" t="str">
        <f>IFERROR(__xludf.DUMMYFUNCTION("""COMPUTED_VALUE"""),"MMG HEALTH CARE")</f>
        <v>MMG HEALTH CARE</v>
      </c>
    </row>
    <row r="2394">
      <c r="H2394" s="19" t="str">
        <f>IFERROR(__xludf.DUMMYFUNCTION("""COMPUTED_VALUE"""),"MODI MUNDI PHARMA (GROVIVA)")</f>
        <v>MODI MUNDI PHARMA (GROVIVA)</v>
      </c>
    </row>
    <row r="2395">
      <c r="H2395" s="19" t="str">
        <f>IFERROR(__xludf.DUMMYFUNCTION("""COMPUTED_VALUE"""),"MODI MUNDI PHARMA (MAXVIDA)")</f>
        <v>MODI MUNDI PHARMA (MAXVIDA)</v>
      </c>
    </row>
    <row r="2396">
      <c r="H2396" s="19" t="str">
        <f>IFERROR(__xludf.DUMMYFUNCTION("""COMPUTED_VALUE"""),"Modi Mundi Pharma Pvt Ltd")</f>
        <v>Modi Mundi Pharma Pvt Ltd</v>
      </c>
    </row>
    <row r="2397">
      <c r="H2397" s="19" t="str">
        <f>IFERROR(__xludf.DUMMYFUNCTION("""COMPUTED_VALUE"""),"MOHAMMEDIA PRODUCTS")</f>
        <v>MOHAMMEDIA PRODUCTS</v>
      </c>
    </row>
    <row r="2398">
      <c r="H2398" s="19" t="str">
        <f>IFERROR(__xludf.DUMMYFUNCTION("""COMPUTED_VALUE"""),"Molekule India Pvt Ltd")</f>
        <v>Molekule India Pvt Ltd</v>
      </c>
    </row>
    <row r="2399">
      <c r="H2399" s="19" t="str">
        <f>IFERROR(__xludf.DUMMYFUNCTION("""COMPUTED_VALUE"""),"MONJI VISHRAM &amp; COMPANY")</f>
        <v>MONJI VISHRAM &amp; COMPANY</v>
      </c>
    </row>
    <row r="2400">
      <c r="H2400" s="19" t="str">
        <f>IFERROR(__xludf.DUMMYFUNCTION("""COMPUTED_VALUE"""),"MONOPHARMA P LTD")</f>
        <v>MONOPHARMA P LTD</v>
      </c>
    </row>
    <row r="2401">
      <c r="H2401" s="19" t="str">
        <f>IFERROR(__xludf.DUMMYFUNCTION("""COMPUTED_VALUE"""),"MONTA REMEDIES")</f>
        <v>MONTA REMEDIES</v>
      </c>
    </row>
    <row r="2402">
      <c r="H2402" s="19" t="str">
        <f>IFERROR(__xludf.DUMMYFUNCTION("""COMPUTED_VALUE"""),"MONTANA REMEDIES")</f>
        <v>MONTANA REMEDIES</v>
      </c>
    </row>
    <row r="2403">
      <c r="H2403" s="19" t="str">
        <f>IFERROR(__xludf.DUMMYFUNCTION("""COMPUTED_VALUE"""),"MOREPEN LABORATORIES (GENERIC)")</f>
        <v>MOREPEN LABORATORIES (GENERIC)</v>
      </c>
    </row>
    <row r="2404">
      <c r="H2404" s="19" t="str">
        <f>IFERROR(__xludf.DUMMYFUNCTION("""COMPUTED_VALUE"""),"Morepen Laboratories Ltd")</f>
        <v>Morepen Laboratories Ltd</v>
      </c>
    </row>
    <row r="2405">
      <c r="H2405" s="19" t="str">
        <f>IFERROR(__xludf.DUMMYFUNCTION("""COMPUTED_VALUE"""),"MORPHUS PHARMACEUTICALS P LTD")</f>
        <v>MORPHUS PHARMACEUTICALS P LTD</v>
      </c>
    </row>
    <row r="2406">
      <c r="H2406" s="19" t="str">
        <f>IFERROR(__xludf.DUMMYFUNCTION("""COMPUTED_VALUE"""),"MORVIN")</f>
        <v>MORVIN</v>
      </c>
    </row>
    <row r="2407">
      <c r="H2407" s="19" t="str">
        <f>IFERROR(__xludf.DUMMYFUNCTION("""COMPUTED_VALUE"""),"MORWIN BIOPHARMA")</f>
        <v>MORWIN BIOPHARMA</v>
      </c>
    </row>
    <row r="2408">
      <c r="H2408" s="19" t="str">
        <f>IFERROR(__xludf.DUMMYFUNCTION("""COMPUTED_VALUE"""),"Mova Pharmaceutical Pvt Ltd")</f>
        <v>Mova Pharmaceutical Pvt Ltd</v>
      </c>
    </row>
    <row r="2409">
      <c r="H2409" s="19" t="str">
        <f>IFERROR(__xludf.DUMMYFUNCTION("""COMPUTED_VALUE"""),"MOVEO PHARMA")</f>
        <v>MOVEO PHARMA</v>
      </c>
    </row>
    <row r="2410">
      <c r="H2410" s="19" t="str">
        <f>IFERROR(__xludf.DUMMYFUNCTION("""COMPUTED_VALUE"""),"MOXY LABORATORIES PVT LTD")</f>
        <v>MOXY LABORATORIES PVT LTD</v>
      </c>
    </row>
    <row r="2411">
      <c r="H2411" s="19" t="str">
        <f>IFERROR(__xludf.DUMMYFUNCTION("""COMPUTED_VALUE"""),"MP PHARMA")</f>
        <v>MP PHARMA</v>
      </c>
    </row>
    <row r="2412">
      <c r="H2412" s="19" t="str">
        <f>IFERROR(__xludf.DUMMYFUNCTION("""COMPUTED_VALUE"""),"MRG LABORATORIES")</f>
        <v>MRG LABORATORIES</v>
      </c>
    </row>
    <row r="2413">
      <c r="H2413" s="19" t="str">
        <f>IFERROR(__xludf.DUMMYFUNCTION("""COMPUTED_VALUE"""),"MRG PHARMACEUTICALS")</f>
        <v>MRG PHARMACEUTICALS</v>
      </c>
    </row>
    <row r="2414">
      <c r="H2414" s="19" t="str">
        <f>IFERROR(__xludf.DUMMYFUNCTION("""COMPUTED_VALUE"""),"MRHM PHARMACEUTICALS PVT LTD")</f>
        <v>MRHM PHARMACEUTICALS PVT LTD</v>
      </c>
    </row>
    <row r="2415">
      <c r="H2415" s="19" t="str">
        <f>IFERROR(__xludf.DUMMYFUNCTION("""COMPUTED_VALUE"""),"MSD (FULFORD)")</f>
        <v>MSD (FULFORD)</v>
      </c>
    </row>
    <row r="2416">
      <c r="H2416" s="19" t="str">
        <f>IFERROR(__xludf.DUMMYFUNCTION("""COMPUTED_VALUE"""),"MSD (META)")</f>
        <v>MSD (META)</v>
      </c>
    </row>
    <row r="2417">
      <c r="H2417" s="19" t="str">
        <f>IFERROR(__xludf.DUMMYFUNCTION("""COMPUTED_VALUE"""),"MSD (ORGANON)")</f>
        <v>MSD (ORGANON)</v>
      </c>
    </row>
    <row r="2418">
      <c r="H2418" s="19" t="str">
        <f>IFERROR(__xludf.DUMMYFUNCTION("""COMPUTED_VALUE"""),"MSD Pharmaceuticals")</f>
        <v>MSD Pharmaceuticals</v>
      </c>
    </row>
    <row r="2419">
      <c r="H2419" s="19" t="str">
        <f>IFERROR(__xludf.DUMMYFUNCTION("""COMPUTED_VALUE"""),"MSN (CARDIAC)")</f>
        <v>MSN (CARDIAC)</v>
      </c>
    </row>
    <row r="2420">
      <c r="H2420" s="19" t="str">
        <f>IFERROR(__xludf.DUMMYFUNCTION("""COMPUTED_VALUE"""),"MSN (CNS)")</f>
        <v>MSN (CNS)</v>
      </c>
    </row>
    <row r="2421">
      <c r="H2421" s="19" t="str">
        <f>IFERROR(__xludf.DUMMYFUNCTION("""COMPUTED_VALUE"""),"MSN (CV 1)")</f>
        <v>MSN (CV 1)</v>
      </c>
    </row>
    <row r="2422">
      <c r="H2422" s="19" t="str">
        <f>IFERROR(__xludf.DUMMYFUNCTION("""COMPUTED_VALUE"""),"MSN (CV 2)")</f>
        <v>MSN (CV 2)</v>
      </c>
    </row>
    <row r="2423">
      <c r="H2423" s="19" t="str">
        <f>IFERROR(__xludf.DUMMYFUNCTION("""COMPUTED_VALUE"""),"MSN (NEPHRO)")</f>
        <v>MSN (NEPHRO)</v>
      </c>
    </row>
    <row r="2424">
      <c r="H2424" s="19" t="str">
        <f>IFERROR(__xludf.DUMMYFUNCTION("""COMPUTED_VALUE"""),"MSN (NEURO)")</f>
        <v>MSN (NEURO)</v>
      </c>
    </row>
    <row r="2425">
      <c r="H2425" s="19" t="str">
        <f>IFERROR(__xludf.DUMMYFUNCTION("""COMPUTED_VALUE"""),"MSN (NEW)")</f>
        <v>MSN (NEW)</v>
      </c>
    </row>
    <row r="2426">
      <c r="H2426" s="19" t="str">
        <f>IFERROR(__xludf.DUMMYFUNCTION("""COMPUTED_VALUE"""),"MSN (URO)")</f>
        <v>MSN (URO)</v>
      </c>
    </row>
    <row r="2427">
      <c r="H2427" s="19" t="str">
        <f>IFERROR(__xludf.DUMMYFUNCTION("""COMPUTED_VALUE"""),"MSN Laboratories")</f>
        <v>MSN Laboratories</v>
      </c>
    </row>
    <row r="2428">
      <c r="H2428" s="19" t="str">
        <f>IFERROR(__xludf.DUMMYFUNCTION("""COMPUTED_VALUE"""),"MU AMRELIA")</f>
        <v>MU AMRELIA</v>
      </c>
    </row>
    <row r="2429">
      <c r="H2429" s="19" t="str">
        <f>IFERROR(__xludf.DUMMYFUNCTION("""COMPUTED_VALUE"""),"MUCOS PHARMA(INDIA)PVT LTD")</f>
        <v>MUCOS PHARMA(INDIA)PVT LTD</v>
      </c>
    </row>
    <row r="2430">
      <c r="H2430" s="19" t="str">
        <f>IFERROR(__xludf.DUMMYFUNCTION("""COMPUTED_VALUE"""),"MULLER &amp; PHIPPS LTD")</f>
        <v>MULLER &amp; PHIPPS LTD</v>
      </c>
    </row>
    <row r="2431">
      <c r="H2431" s="19" t="str">
        <f>IFERROR(__xludf.DUMMYFUNCTION("""COMPUTED_VALUE"""),"MULTANI PHARMACEUTICALS")</f>
        <v>MULTANI PHARMACEUTICALS</v>
      </c>
    </row>
    <row r="2432">
      <c r="H2432" s="19" t="str">
        <f>IFERROR(__xludf.DUMMYFUNCTION("""COMPUTED_VALUE"""),"MULTI FOCAL")</f>
        <v>MULTI FOCAL</v>
      </c>
    </row>
    <row r="2433">
      <c r="H2433" s="19" t="str">
        <f>IFERROR(__xludf.DUMMYFUNCTION("""COMPUTED_VALUE"""),"MUNIMJI &amp;SONS")</f>
        <v>MUNIMJI &amp;SONS</v>
      </c>
    </row>
    <row r="2434">
      <c r="H2434" s="19" t="str">
        <f>IFERROR(__xludf.DUMMYFUNCTION("""COMPUTED_VALUE"""),"MUSHROOM WORLD AYURVED&amp; FOOD")</f>
        <v>MUSHROOM WORLD AYURVED&amp; FOOD</v>
      </c>
    </row>
    <row r="2435">
      <c r="H2435" s="19" t="str">
        <f>IFERROR(__xludf.DUMMYFUNCTION("""COMPUTED_VALUE"""),"MV ENTERPRISES")</f>
        <v>MV ENTERPRISES</v>
      </c>
    </row>
    <row r="2436">
      <c r="H2436" s="19" t="str">
        <f>IFERROR(__xludf.DUMMYFUNCTION("""COMPUTED_VALUE"""),"MVM BIOSCIENCE")</f>
        <v>MVM BIOSCIENCE</v>
      </c>
    </row>
    <row r="2437">
      <c r="H2437" s="19" t="str">
        <f>IFERROR(__xludf.DUMMYFUNCTION("""COMPUTED_VALUE"""),"MYCORION PHARMACEUTICAL")</f>
        <v>MYCORION PHARMACEUTICAL</v>
      </c>
    </row>
    <row r="2438">
      <c r="H2438" s="19" t="str">
        <f>IFERROR(__xludf.DUMMYFUNCTION("""COMPUTED_VALUE"""),"MYLAN PHARMA")</f>
        <v>MYLAN PHARMA</v>
      </c>
    </row>
    <row r="2439">
      <c r="H2439" s="19" t="str">
        <f>IFERROR(__xludf.DUMMYFUNCTION("""COMPUTED_VALUE"""),"NAGARJUN PHARMA")</f>
        <v>NAGARJUN PHARMA</v>
      </c>
    </row>
    <row r="2440">
      <c r="H2440" s="19" t="str">
        <f>IFERROR(__xludf.DUMMYFUNCTION("""COMPUTED_VALUE"""),"NAGARJUNA HERBAL CONCENTRATES")</f>
        <v>NAGARJUNA HERBAL CONCENTRATES</v>
      </c>
    </row>
    <row r="2441">
      <c r="H2441" s="19" t="str">
        <f>IFERROR(__xludf.DUMMYFUNCTION("""COMPUTED_VALUE"""),"NAMAN INDIA")</f>
        <v>NAMAN INDIA</v>
      </c>
    </row>
    <row r="2442">
      <c r="H2442" s="19" t="str">
        <f>IFERROR(__xludf.DUMMYFUNCTION("""COMPUTED_VALUE"""),"NAMCARE BIOTECH LLP")</f>
        <v>NAMCARE BIOTECH LLP</v>
      </c>
    </row>
    <row r="2443">
      <c r="H2443" s="19" t="str">
        <f>IFERROR(__xludf.DUMMYFUNCTION("""COMPUTED_VALUE"""),"NANDADEVI FOOTCARE LTD.")</f>
        <v>NANDADEVI FOOTCARE LTD.</v>
      </c>
    </row>
    <row r="2444">
      <c r="H2444" s="19" t="str">
        <f>IFERROR(__xludf.DUMMYFUNCTION("""COMPUTED_VALUE"""),"NANDEVI FOOT CARE LTD.")</f>
        <v>NANDEVI FOOT CARE LTD.</v>
      </c>
    </row>
    <row r="2445">
      <c r="H2445" s="19" t="str">
        <f>IFERROR(__xludf.DUMMYFUNCTION("""COMPUTED_VALUE"""),"NANO PHARMACEUTICALS")</f>
        <v>NANO PHARMACEUTICALS</v>
      </c>
    </row>
    <row r="2446">
      <c r="H2446" s="19" t="str">
        <f>IFERROR(__xludf.DUMMYFUNCTION("""COMPUTED_VALUE"""),"NANZ MED SCIENCE PHARMA PV")</f>
        <v>NANZ MED SCIENCE PHARMA PV</v>
      </c>
    </row>
    <row r="2447">
      <c r="H2447" s="19" t="str">
        <f>IFERROR(__xludf.DUMMYFUNCTION("""COMPUTED_VALUE"""),"NAR NARAYAN AYURVEDIC PHARMACY")</f>
        <v>NAR NARAYAN AYURVEDIC PHARMACY</v>
      </c>
    </row>
    <row r="2448">
      <c r="H2448" s="19" t="str">
        <f>IFERROR(__xludf.DUMMYFUNCTION("""COMPUTED_VALUE"""),"NAREENA LIFESCIENCES PVT LTD")</f>
        <v>NAREENA LIFESCIENCES PVT LTD</v>
      </c>
    </row>
    <row r="2449">
      <c r="H2449" s="19" t="str">
        <f>IFERROR(__xludf.DUMMYFUNCTION("""COMPUTED_VALUE"""),"NASEBERRY LABORATORIES")</f>
        <v>NASEBERRY LABORATORIES</v>
      </c>
    </row>
    <row r="2450">
      <c r="H2450" s="19" t="str">
        <f>IFERROR(__xludf.DUMMYFUNCTION("""COMPUTED_VALUE"""),"Natco Pharma Ltd")</f>
        <v>Natco Pharma Ltd</v>
      </c>
    </row>
    <row r="2451">
      <c r="H2451" s="19" t="str">
        <f>IFERROR(__xludf.DUMMYFUNCTION("""COMPUTED_VALUE"""),"Natco Pharma Ltd (CND DIVISION)")</f>
        <v>Natco Pharma Ltd (CND DIVISION)</v>
      </c>
    </row>
    <row r="2452">
      <c r="H2452" s="19" t="str">
        <f>IFERROR(__xludf.DUMMYFUNCTION("""COMPUTED_VALUE"""),"Natco Pharma Ltd (ONCO DIVISION)")</f>
        <v>Natco Pharma Ltd (ONCO DIVISION)</v>
      </c>
    </row>
    <row r="2453">
      <c r="H2453" s="19" t="str">
        <f>IFERROR(__xludf.DUMMYFUNCTION("""COMPUTED_VALUE"""),"Natco Pharma Ltd (REACH DIVISION)")</f>
        <v>Natco Pharma Ltd (REACH DIVISION)</v>
      </c>
    </row>
    <row r="2454">
      <c r="H2454" s="19" t="str">
        <f>IFERROR(__xludf.DUMMYFUNCTION("""COMPUTED_VALUE"""),"Natco Pharma Ltd (SPL DIVISION)")</f>
        <v>Natco Pharma Ltd (SPL DIVISION)</v>
      </c>
    </row>
    <row r="2455">
      <c r="H2455" s="19" t="str">
        <f>IFERROR(__xludf.DUMMYFUNCTION("""COMPUTED_VALUE"""),"NATIONAL CHEMICAL &amp; PHARMACEUTICAL WORKS")</f>
        <v>NATIONAL CHEMICAL &amp; PHARMACEUTICAL WORKS</v>
      </c>
    </row>
    <row r="2456">
      <c r="H2456" s="19" t="str">
        <f>IFERROR(__xludf.DUMMYFUNCTION("""COMPUTED_VALUE"""),"NATIVE NATURAL HERBAL PRODUCT PVT LTD")</f>
        <v>NATIVE NATURAL HERBAL PRODUCT PVT LTD</v>
      </c>
    </row>
    <row r="2457">
      <c r="H2457" s="19" t="str">
        <f>IFERROR(__xludf.DUMMYFUNCTION("""COMPUTED_VALUE"""),"NATURAL LOOK")</f>
        <v>NATURAL LOOK</v>
      </c>
    </row>
    <row r="2458">
      <c r="H2458" s="19" t="str">
        <f>IFERROR(__xludf.DUMMYFUNCTION("""COMPUTED_VALUE"""),"NATURAL REMEDIS PVT LTD")</f>
        <v>NATURAL REMEDIS PVT LTD</v>
      </c>
    </row>
    <row r="2459">
      <c r="H2459" s="19" t="str">
        <f>IFERROR(__xludf.DUMMYFUNCTION("""COMPUTED_VALUE"""),"NATURESOL HEALTHCARE PVT LTD")</f>
        <v>NATURESOL HEALTHCARE PVT LTD</v>
      </c>
    </row>
    <row r="2460">
      <c r="H2460" s="19" t="str">
        <f>IFERROR(__xludf.DUMMYFUNCTION("""COMPUTED_VALUE"""),"NAVI PHARMACEUTICALS PVT LTD")</f>
        <v>NAVI PHARMACEUTICALS PVT LTD</v>
      </c>
    </row>
    <row r="2461">
      <c r="H2461" s="19" t="str">
        <f>IFERROR(__xludf.DUMMYFUNCTION("""COMPUTED_VALUE"""),"NAVIKA REMEDIESR")</f>
        <v>NAVIKA REMEDIESR</v>
      </c>
    </row>
    <row r="2462">
      <c r="H2462" s="19" t="str">
        <f>IFERROR(__xludf.DUMMYFUNCTION("""COMPUTED_VALUE"""),"NAVIL LABORATORIES PVT LTD")</f>
        <v>NAVIL LABORATORIES PVT LTD</v>
      </c>
    </row>
    <row r="2463">
      <c r="H2463" s="19" t="str">
        <f>IFERROR(__xludf.DUMMYFUNCTION("""COMPUTED_VALUE"""),"NAVIL LABS (LIVAN)")</f>
        <v>NAVIL LABS (LIVAN)</v>
      </c>
    </row>
    <row r="2464">
      <c r="H2464" s="19" t="str">
        <f>IFERROR(__xludf.DUMMYFUNCTION("""COMPUTED_VALUE"""),"NAVKAR")</f>
        <v>NAVKAR</v>
      </c>
    </row>
    <row r="2465">
      <c r="H2465" s="19" t="str">
        <f>IFERROR(__xludf.DUMMYFUNCTION("""COMPUTED_VALUE"""),"NAXPAR HEALTH CONCEPTS PVT LTD")</f>
        <v>NAXPAR HEALTH CONCEPTS PVT LTD</v>
      </c>
    </row>
    <row r="2466">
      <c r="H2466" s="19" t="str">
        <f>IFERROR(__xludf.DUMMYFUNCTION("""COMPUTED_VALUE"""),"NECTAR BIOPHARMA PVT LTD")</f>
        <v>NECTAR BIOPHARMA PVT LTD</v>
      </c>
    </row>
    <row r="2467">
      <c r="H2467" s="19" t="str">
        <f>IFERROR(__xludf.DUMMYFUNCTION("""COMPUTED_VALUE"""),"Nectar Lifesciences Ltd.")</f>
        <v>Nectar Lifesciences Ltd.</v>
      </c>
    </row>
    <row r="2468">
      <c r="H2468" s="19" t="str">
        <f>IFERROR(__xludf.DUMMYFUNCTION("""COMPUTED_VALUE"""),"NECTAR MEDIPHARMA")</f>
        <v>NECTAR MEDIPHARMA</v>
      </c>
    </row>
    <row r="2469">
      <c r="H2469" s="19" t="str">
        <f>IFERROR(__xludf.DUMMYFUNCTION("""COMPUTED_VALUE"""),"NEISS LABS")</f>
        <v>NEISS LABS</v>
      </c>
    </row>
    <row r="2470">
      <c r="H2470" s="19" t="str">
        <f>IFERROR(__xludf.DUMMYFUNCTION("""COMPUTED_VALUE"""),"NEM LABORATORIES")</f>
        <v>NEM LABORATORIES</v>
      </c>
    </row>
    <row r="2471">
      <c r="H2471" s="19" t="str">
        <f>IFERROR(__xludf.DUMMYFUNCTION("""COMPUTED_VALUE"""),"NEMMY PHARMA")</f>
        <v>NEMMY PHARMA</v>
      </c>
    </row>
    <row r="2472">
      <c r="H2472" s="19" t="str">
        <f>IFERROR(__xludf.DUMMYFUNCTION("""COMPUTED_VALUE"""),"NEMUS PHARMACEUTICALS PVT LTD")</f>
        <v>NEMUS PHARMACEUTICALS PVT LTD</v>
      </c>
    </row>
    <row r="2473">
      <c r="H2473" s="19" t="str">
        <f>IFERROR(__xludf.DUMMYFUNCTION("""COMPUTED_VALUE"""),"NEO HERBS PHARMA")</f>
        <v>NEO HERBS PHARMA</v>
      </c>
    </row>
    <row r="2474">
      <c r="H2474" s="19" t="str">
        <f>IFERROR(__xludf.DUMMYFUNCTION("""COMPUTED_VALUE"""),"Neo Vedic Drug Pharma")</f>
        <v>Neo Vedic Drug Pharma</v>
      </c>
    </row>
    <row r="2475">
      <c r="H2475" s="19" t="str">
        <f>IFERROR(__xludf.DUMMYFUNCTION("""COMPUTED_VALUE"""),"NEOCARDIAB CARE")</f>
        <v>NEOCARDIAB CARE</v>
      </c>
    </row>
    <row r="2476">
      <c r="H2476" s="19" t="str">
        <f>IFERROR(__xludf.DUMMYFUNCTION("""COMPUTED_VALUE"""),"NEOLINA PHARMACEUTICALS")</f>
        <v>NEOLINA PHARMACEUTICALS</v>
      </c>
    </row>
    <row r="2477">
      <c r="H2477" s="19" t="str">
        <f>IFERROR(__xludf.DUMMYFUNCTION("""COMPUTED_VALUE"""),"NEOMATIS PHARMA PVT LTD")</f>
        <v>NEOMATIS PHARMA PVT LTD</v>
      </c>
    </row>
    <row r="2478">
      <c r="H2478" s="19" t="str">
        <f>IFERROR(__xludf.DUMMYFUNCTION("""COMPUTED_VALUE"""),"NEOMATRIS PHARMA")</f>
        <v>NEOMATRIS PHARMA</v>
      </c>
    </row>
    <row r="2479">
      <c r="H2479" s="19" t="str">
        <f>IFERROR(__xludf.DUMMYFUNCTION("""COMPUTED_VALUE"""),"Neon Laboratories Ltd")</f>
        <v>Neon Laboratories Ltd</v>
      </c>
    </row>
    <row r="2480">
      <c r="H2480" s="19" t="str">
        <f>IFERROR(__xludf.DUMMYFUNCTION("""COMPUTED_VALUE"""),"Neon Laboratories Ltd (ANESTHESIA)")</f>
        <v>Neon Laboratories Ltd (ANESTHESIA)</v>
      </c>
    </row>
    <row r="2481">
      <c r="H2481" s="19" t="str">
        <f>IFERROR(__xludf.DUMMYFUNCTION("""COMPUTED_VALUE"""),"Neon Laboratories Ltd (CANCER)")</f>
        <v>Neon Laboratories Ltd (CANCER)</v>
      </c>
    </row>
    <row r="2482">
      <c r="H2482" s="19" t="str">
        <f>IFERROR(__xludf.DUMMYFUNCTION("""COMPUTED_VALUE"""),"Neon Laboratories Ltd (CRITICAL CARE)")</f>
        <v>Neon Laboratories Ltd (CRITICAL CARE)</v>
      </c>
    </row>
    <row r="2483">
      <c r="H2483" s="19" t="str">
        <f>IFERROR(__xludf.DUMMYFUNCTION("""COMPUTED_VALUE"""),"Neon Laboratories Ltd (GYNAECOLOGY)")</f>
        <v>Neon Laboratories Ltd (GYNAECOLOGY)</v>
      </c>
    </row>
    <row r="2484">
      <c r="H2484" s="19" t="str">
        <f>IFERROR(__xludf.DUMMYFUNCTION("""COMPUTED_VALUE"""),"Neon Laboratories Ltd (STELLAR)")</f>
        <v>Neon Laboratories Ltd (STELLAR)</v>
      </c>
    </row>
    <row r="2485">
      <c r="H2485" s="19" t="str">
        <f>IFERROR(__xludf.DUMMYFUNCTION("""COMPUTED_VALUE"""),"NEOVAP BIOPHARMACEUTICALS")</f>
        <v>NEOVAP BIOPHARMACEUTICALS</v>
      </c>
    </row>
    <row r="2486">
      <c r="H2486" s="19" t="str">
        <f>IFERROR(__xludf.DUMMYFUNCTION("""COMPUTED_VALUE"""),"NEOVITA BIOPHARMACEUTICAL PVT LTD")</f>
        <v>NEOVITA BIOPHARMACEUTICAL PVT LTD</v>
      </c>
    </row>
    <row r="2487">
      <c r="H2487" s="19" t="str">
        <f>IFERROR(__xludf.DUMMYFUNCTION("""COMPUTED_VALUE"""),"NEPHUROCARE PHARMA (NEPHRO)")</f>
        <v>NEPHUROCARE PHARMA (NEPHRO)</v>
      </c>
    </row>
    <row r="2488">
      <c r="H2488" s="19" t="str">
        <f>IFERROR(__xludf.DUMMYFUNCTION("""COMPUTED_VALUE"""),"NEPTUNE LIFE SCIENCE P LTD")</f>
        <v>NEPTUNE LIFE SCIENCE P LTD</v>
      </c>
    </row>
    <row r="2489">
      <c r="H2489" s="19" t="str">
        <f>IFERROR(__xludf.DUMMYFUNCTION("""COMPUTED_VALUE"""),"NERV-ERA LIFESCIENCES")</f>
        <v>NERV-ERA LIFESCIENCES</v>
      </c>
    </row>
    <row r="2490">
      <c r="H2490" s="19" t="str">
        <f>IFERROR(__xludf.DUMMYFUNCTION("""COMPUTED_VALUE"""),"NESTLE INDIA LIMITED")</f>
        <v>NESTLE INDIA LIMITED</v>
      </c>
    </row>
    <row r="2491">
      <c r="H2491" s="19" t="str">
        <f>IFERROR(__xludf.DUMMYFUNCTION("""COMPUTED_VALUE"""),"NETOLA FITNESS (INDIA) LTD")</f>
        <v>NETOLA FITNESS (INDIA) LTD</v>
      </c>
    </row>
    <row r="2492">
      <c r="H2492" s="19" t="str">
        <f>IFERROR(__xludf.DUMMYFUNCTION("""COMPUTED_VALUE"""),"NETSURF")</f>
        <v>NETSURF</v>
      </c>
    </row>
    <row r="2493">
      <c r="H2493" s="19" t="str">
        <f>IFERROR(__xludf.DUMMYFUNCTION("""COMPUTED_VALUE"""),"NEUCLOX")</f>
        <v>NEUCLOX</v>
      </c>
    </row>
    <row r="2494">
      <c r="H2494" s="19" t="str">
        <f>IFERROR(__xludf.DUMMYFUNCTION("""COMPUTED_VALUE"""),"NEUCURE (GLACIA)")</f>
        <v>NEUCURE (GLACIA)</v>
      </c>
    </row>
    <row r="2495">
      <c r="H2495" s="19" t="str">
        <f>IFERROR(__xludf.DUMMYFUNCTION("""COMPUTED_VALUE"""),"NEUCURE (MAGNA)")</f>
        <v>NEUCURE (MAGNA)</v>
      </c>
    </row>
    <row r="2496">
      <c r="H2496" s="19" t="str">
        <f>IFERROR(__xludf.DUMMYFUNCTION("""COMPUTED_VALUE"""),"NEUCURE LIFESCIENCES P. LTD.")</f>
        <v>NEUCURE LIFESCIENCES P. LTD.</v>
      </c>
    </row>
    <row r="2497">
      <c r="H2497" s="19" t="str">
        <f>IFERROR(__xludf.DUMMYFUNCTION("""COMPUTED_VALUE"""),"NEURACLE LIFESCIENCES")</f>
        <v>NEURACLE LIFESCIENCES</v>
      </c>
    </row>
    <row r="2498">
      <c r="H2498" s="19" t="str">
        <f>IFERROR(__xludf.DUMMYFUNCTION("""COMPUTED_VALUE"""),"NEUTEC HEALTHCARE PVT LTD")</f>
        <v>NEUTEC HEALTHCARE PVT LTD</v>
      </c>
    </row>
    <row r="2499">
      <c r="H2499" s="19" t="str">
        <f>IFERROR(__xludf.DUMMYFUNCTION("""COMPUTED_VALUE"""),"NEUTECHEALTHCARE PVT")</f>
        <v>NEUTECHEALTHCARE PVT</v>
      </c>
    </row>
    <row r="2500">
      <c r="H2500" s="19" t="str">
        <f>IFERROR(__xludf.DUMMYFUNCTION("""COMPUTED_VALUE"""),"NEW CONCEPT BIOTECH")</f>
        <v>NEW CONCEPT BIOTECH</v>
      </c>
    </row>
    <row r="2501">
      <c r="H2501" s="19" t="str">
        <f>IFERROR(__xludf.DUMMYFUNCTION("""COMPUTED_VALUE"""),"NEW GENERATION LIFE SCIENCES")</f>
        <v>NEW GENERATION LIFE SCIENCES</v>
      </c>
    </row>
    <row r="2502">
      <c r="H2502" s="19" t="str">
        <f>IFERROR(__xludf.DUMMYFUNCTION("""COMPUTED_VALUE"""),"NEW LIFE")</f>
        <v>NEW LIFE</v>
      </c>
    </row>
    <row r="2503">
      <c r="H2503" s="19" t="str">
        <f>IFERROR(__xludf.DUMMYFUNCTION("""COMPUTED_VALUE"""),"NEW MEDICON PHARMA LAB PVT.LTD")</f>
        <v>NEW MEDICON PHARMA LAB PVT.LTD</v>
      </c>
    </row>
    <row r="2504">
      <c r="H2504" s="19" t="str">
        <f>IFERROR(__xludf.DUMMYFUNCTION("""COMPUTED_VALUE"""),"NEW SHAMA")</f>
        <v>NEW SHAMA</v>
      </c>
    </row>
    <row r="2505">
      <c r="H2505" s="19" t="str">
        <f>IFERROR(__xludf.DUMMYFUNCTION("""COMPUTED_VALUE"""),"NEW WORLD PHARMA P LTD")</f>
        <v>NEW WORLD PHARMA P LTD</v>
      </c>
    </row>
    <row r="2506">
      <c r="H2506" s="19" t="str">
        <f>IFERROR(__xludf.DUMMYFUNCTION("""COMPUTED_VALUE"""),"NEWTRAMAX HEALTHCARE, SIRMOR")</f>
        <v>NEWTRAMAX HEALTHCARE, SIRMOR</v>
      </c>
    </row>
    <row r="2507">
      <c r="H2507" s="19" t="str">
        <f>IFERROR(__xludf.DUMMYFUNCTION("""COMPUTED_VALUE"""),"NEWWORLD PHARMACEUTICALS P LTD")</f>
        <v>NEWWORLD PHARMACEUTICALS P LTD</v>
      </c>
    </row>
    <row r="2508">
      <c r="H2508" s="19" t="str">
        <f>IFERROR(__xludf.DUMMYFUNCTION("""COMPUTED_VALUE"""),"NEXA HEALTHCARE PVT LTD")</f>
        <v>NEXA HEALTHCARE PVT LTD</v>
      </c>
    </row>
    <row r="2509">
      <c r="H2509" s="19" t="str">
        <f>IFERROR(__xludf.DUMMYFUNCTION("""COMPUTED_VALUE"""),"NEXGEN LIFESCIENCES")</f>
        <v>NEXGEN LIFESCIENCES</v>
      </c>
    </row>
    <row r="2510">
      <c r="H2510" s="19" t="str">
        <f>IFERROR(__xludf.DUMMYFUNCTION("""COMPUTED_VALUE"""),"NEXGEN PHARMA")</f>
        <v>NEXGEN PHARMA</v>
      </c>
    </row>
    <row r="2511">
      <c r="H2511" s="19" t="str">
        <f>IFERROR(__xludf.DUMMYFUNCTION("""COMPUTED_VALUE"""),"NEXINA CD CARE PVT LTD")</f>
        <v>NEXINA CD CARE PVT LTD</v>
      </c>
    </row>
    <row r="2512">
      <c r="H2512" s="19" t="str">
        <f>IFERROR(__xludf.DUMMYFUNCTION("""COMPUTED_VALUE"""),"NEXINA LIFE SCIENCES")</f>
        <v>NEXINA LIFE SCIENCES</v>
      </c>
    </row>
    <row r="2513">
      <c r="H2513" s="19" t="str">
        <f>IFERROR(__xludf.DUMMYFUNCTION("""COMPUTED_VALUE"""),"NEXKEM PHARMA")</f>
        <v>NEXKEM PHARMA</v>
      </c>
    </row>
    <row r="2514">
      <c r="H2514" s="19" t="str">
        <f>IFERROR(__xludf.DUMMYFUNCTION("""COMPUTED_VALUE"""),"NEXTERA PHARMACEUTICALS PVT LTD")</f>
        <v>NEXTERA PHARMACEUTICALS PVT LTD</v>
      </c>
    </row>
    <row r="2515">
      <c r="H2515" s="19" t="str">
        <f>IFERROR(__xludf.DUMMYFUNCTION("""COMPUTED_VALUE"""),"NEXTGEN HEALTHCARE")</f>
        <v>NEXTGEN HEALTHCARE</v>
      </c>
    </row>
    <row r="2516">
      <c r="H2516" s="19" t="str">
        <f>IFERROR(__xludf.DUMMYFUNCTION("""COMPUTED_VALUE"""),"NEXTGEN PHARMACEUTICAL AND FORMULATIONS PVT LTD")</f>
        <v>NEXTGEN PHARMACEUTICAL AND FORMULATIONS PVT LTD</v>
      </c>
    </row>
    <row r="2517">
      <c r="H2517" s="19" t="str">
        <f>IFERROR(__xludf.DUMMYFUNCTION("""COMPUTED_VALUE"""),"NEXUS PHARMACEUTICALS")</f>
        <v>NEXUS PHARMACEUTICALS</v>
      </c>
    </row>
    <row r="2518">
      <c r="H2518" s="19" t="str">
        <f>IFERROR(__xludf.DUMMYFUNCTION("""COMPUTED_VALUE"""),"NEXWIN PHARMA")</f>
        <v>NEXWIN PHARMA</v>
      </c>
    </row>
    <row r="2519">
      <c r="H2519" s="19" t="str">
        <f>IFERROR(__xludf.DUMMYFUNCTION("""COMPUTED_VALUE"""),"NICHOLAS (AAKAR)")</f>
        <v>NICHOLAS (AAKAR)</v>
      </c>
    </row>
    <row r="2520">
      <c r="H2520" s="19" t="str">
        <f>IFERROR(__xludf.DUMMYFUNCTION("""COMPUTED_VALUE"""),"NICHOLAS (ACTIS)")</f>
        <v>NICHOLAS (ACTIS)</v>
      </c>
    </row>
    <row r="2521">
      <c r="H2521" s="19" t="str">
        <f>IFERROR(__xludf.DUMMYFUNCTION("""COMPUTED_VALUE"""),"NICHOLAS (ANNANT)")</f>
        <v>NICHOLAS (ANNANT)</v>
      </c>
    </row>
    <row r="2522">
      <c r="H2522" s="19" t="str">
        <f>IFERROR(__xludf.DUMMYFUNCTION("""COMPUTED_VALUE"""),"NICHOLAS (BOOTS)")</f>
        <v>NICHOLAS (BOOTS)</v>
      </c>
    </row>
    <row r="2523">
      <c r="H2523" s="19" t="str">
        <f>IFERROR(__xludf.DUMMYFUNCTION("""COMPUTED_VALUE"""),"NICHOLAS (CADENCE)")</f>
        <v>NICHOLAS (CADENCE)</v>
      </c>
    </row>
    <row r="2524">
      <c r="H2524" s="19" t="str">
        <f>IFERROR(__xludf.DUMMYFUNCTION("""COMPUTED_VALUE"""),"NICHOLAS (COGNEX)")</f>
        <v>NICHOLAS (COGNEX)</v>
      </c>
    </row>
    <row r="2525">
      <c r="H2525" s="19" t="str">
        <f>IFERROR(__xludf.DUMMYFUNCTION("""COMPUTED_VALUE"""),"NICHOLAS (DIABETES)")</f>
        <v>NICHOLAS (DIABETES)</v>
      </c>
    </row>
    <row r="2526">
      <c r="H2526" s="19" t="str">
        <f>IFERROR(__xludf.DUMMYFUNCTION("""COMPUTED_VALUE"""),"NICHOLAS (EXTRA CARE)")</f>
        <v>NICHOLAS (EXTRA CARE)</v>
      </c>
    </row>
    <row r="2527">
      <c r="H2527" s="19" t="str">
        <f>IFERROR(__xludf.DUMMYFUNCTION("""COMPUTED_VALUE"""),"NICHOLAS (GENERIC)")</f>
        <v>NICHOLAS (GENERIC)</v>
      </c>
    </row>
    <row r="2528">
      <c r="H2528" s="19" t="str">
        <f>IFERROR(__xludf.DUMMYFUNCTION("""COMPUTED_VALUE"""),"NICHOLAS (GLOTEK)")</f>
        <v>NICHOLAS (GLOTEK)</v>
      </c>
    </row>
    <row r="2529">
      <c r="H2529" s="19" t="str">
        <f>IFERROR(__xludf.DUMMYFUNCTION("""COMPUTED_VALUE"""),"NICHOLAS (MS)")</f>
        <v>NICHOLAS (MS)</v>
      </c>
    </row>
    <row r="2530">
      <c r="H2530" s="19" t="str">
        <f>IFERROR(__xludf.DUMMYFUNCTION("""COMPUTED_VALUE"""),"NICHOLAS (MS2)")</f>
        <v>NICHOLAS (MS2)</v>
      </c>
    </row>
    <row r="2531">
      <c r="H2531" s="19" t="str">
        <f>IFERROR(__xludf.DUMMYFUNCTION("""COMPUTED_VALUE"""),"NICHOLAS (PULSE)")</f>
        <v>NICHOLAS (PULSE)</v>
      </c>
    </row>
    <row r="2532">
      <c r="H2532" s="19" t="str">
        <f>IFERROR(__xludf.DUMMYFUNCTION("""COMPUTED_VALUE"""),"NICHOLAS (SOLITAIRE)")</f>
        <v>NICHOLAS (SOLITAIRE)</v>
      </c>
    </row>
    <row r="2533">
      <c r="H2533" s="19" t="str">
        <f>IFERROR(__xludf.DUMMYFUNCTION("""COMPUTED_VALUE"""),"NICHOLAS (ZESTEK)")</f>
        <v>NICHOLAS (ZESTEK)</v>
      </c>
    </row>
    <row r="2534">
      <c r="H2534" s="19" t="str">
        <f>IFERROR(__xludf.DUMMYFUNCTION("""COMPUTED_VALUE"""),"NICHOLAS (ZIVON)")</f>
        <v>NICHOLAS (ZIVON)</v>
      </c>
    </row>
    <row r="2535">
      <c r="H2535" s="19" t="str">
        <f>IFERROR(__xludf.DUMMYFUNCTION("""COMPUTED_VALUE"""),"NICHOLAS PIRAMAL INDIA LTD")</f>
        <v>NICHOLAS PIRAMAL INDIA LTD</v>
      </c>
    </row>
    <row r="2536">
      <c r="H2536" s="19" t="str">
        <f>IFERROR(__xludf.DUMMYFUNCTION("""COMPUTED_VALUE"""),"NICIA")</f>
        <v>NICIA</v>
      </c>
    </row>
    <row r="2537">
      <c r="H2537" s="19" t="str">
        <f>IFERROR(__xludf.DUMMYFUNCTION("""COMPUTED_VALUE"""),"NICKS CORPORATION")</f>
        <v>NICKS CORPORATION</v>
      </c>
    </row>
    <row r="2538">
      <c r="H2538" s="19" t="str">
        <f>IFERROR(__xludf.DUMMYFUNCTION("""COMPUTED_VALUE"""),"NIKIR")</f>
        <v>NIKIR</v>
      </c>
    </row>
    <row r="2539">
      <c r="H2539" s="19" t="str">
        <f>IFERROR(__xludf.DUMMYFUNCTION("""COMPUTED_VALUE"""),"NILRISE PHARMACEUTICALS")</f>
        <v>NILRISE PHARMACEUTICALS</v>
      </c>
    </row>
    <row r="2540">
      <c r="H2540" s="19" t="str">
        <f>IFERROR(__xludf.DUMMYFUNCTION("""COMPUTED_VALUE"""),"NINELABS INDIA P LTD")</f>
        <v>NINELABS INDIA P LTD</v>
      </c>
    </row>
    <row r="2541">
      <c r="H2541" s="19" t="str">
        <f>IFERROR(__xludf.DUMMYFUNCTION("""COMPUTED_VALUE"""),"NIPM SURGICALS")</f>
        <v>NIPM SURGICALS</v>
      </c>
    </row>
    <row r="2542">
      <c r="H2542" s="19" t="str">
        <f>IFERROR(__xludf.DUMMYFUNCTION("""COMPUTED_VALUE"""),"NIPPON SEIYAKU")</f>
        <v>NIPPON SEIYAKU</v>
      </c>
    </row>
    <row r="2543">
      <c r="H2543" s="19" t="str">
        <f>IFERROR(__xludf.DUMMYFUNCTION("""COMPUTED_VALUE"""),"NIPRO")</f>
        <v>NIPRO</v>
      </c>
    </row>
    <row r="2544">
      <c r="H2544" s="19" t="str">
        <f>IFERROR(__xludf.DUMMYFUNCTION("""COMPUTED_VALUE"""),"NIRAMANCE HEALTH CARE")</f>
        <v>NIRAMANCE HEALTH CARE</v>
      </c>
    </row>
    <row r="2545">
      <c r="H2545" s="19" t="str">
        <f>IFERROR(__xludf.DUMMYFUNCTION("""COMPUTED_VALUE"""),"NIRAV HEALTHCARE")</f>
        <v>NIRAV HEALTHCARE</v>
      </c>
    </row>
    <row r="2546">
      <c r="H2546" s="19" t="str">
        <f>IFERROR(__xludf.DUMMYFUNCTION("""COMPUTED_VALUE"""),"NIRIX DERMA")</f>
        <v>NIRIX DERMA</v>
      </c>
    </row>
    <row r="2547">
      <c r="H2547" s="19" t="str">
        <f>IFERROR(__xludf.DUMMYFUNCTION("""COMPUTED_VALUE"""),"NIRLIFE")</f>
        <v>NIRLIFE</v>
      </c>
    </row>
    <row r="2548">
      <c r="H2548" s="19" t="str">
        <f>IFERROR(__xludf.DUMMYFUNCTION("""COMPUTED_VALUE"""),"NIRMA LTD")</f>
        <v>NIRMA LTD</v>
      </c>
    </row>
    <row r="2549">
      <c r="H2549" s="19" t="str">
        <f>IFERROR(__xludf.DUMMYFUNCTION("""COMPUTED_VALUE"""),"NIROG PHARMA")</f>
        <v>NIROG PHARMA</v>
      </c>
    </row>
    <row r="2550">
      <c r="H2550" s="19" t="str">
        <f>IFERROR(__xludf.DUMMYFUNCTION("""COMPUTED_VALUE"""),"NIROWELL HEALTHCARE PVT LTD")</f>
        <v>NIROWELL HEALTHCARE PVT LTD</v>
      </c>
    </row>
    <row r="2551">
      <c r="H2551" s="19" t="str">
        <f>IFERROR(__xludf.DUMMYFUNCTION("""COMPUTED_VALUE"""),"NISHI MEDICOSE (OTHER PRODUCTS)")</f>
        <v>NISHI MEDICOSE (OTHER PRODUCTS)</v>
      </c>
    </row>
    <row r="2552">
      <c r="H2552" s="19" t="str">
        <f>IFERROR(__xludf.DUMMYFUNCTION("""COMPUTED_VALUE"""),"NISHIRA PHARMA")</f>
        <v>NISHIRA PHARMA</v>
      </c>
    </row>
    <row r="2553">
      <c r="H2553" s="19" t="str">
        <f>IFERROR(__xludf.DUMMYFUNCTION("""COMPUTED_VALUE"""),"NISORIA")</f>
        <v>NISORIA</v>
      </c>
    </row>
    <row r="2554">
      <c r="H2554" s="19" t="str">
        <f>IFERROR(__xludf.DUMMYFUNCTION("""COMPUTED_VALUE"""),"NITHYASHA HEALTHCARE PVT LTD")</f>
        <v>NITHYASHA HEALTHCARE PVT LTD</v>
      </c>
    </row>
    <row r="2555">
      <c r="H2555" s="19" t="str">
        <f>IFERROR(__xludf.DUMMYFUNCTION("""COMPUTED_VALUE"""),"Nitin Lifesciences Ltd")</f>
        <v>Nitin Lifesciences Ltd</v>
      </c>
    </row>
    <row r="2556">
      <c r="H2556" s="19" t="str">
        <f>IFERROR(__xludf.DUMMYFUNCTION("""COMPUTED_VALUE"""),"NITRO ORGANICES")</f>
        <v>NITRO ORGANICES</v>
      </c>
    </row>
    <row r="2557">
      <c r="H2557" s="19" t="str">
        <f>IFERROR(__xludf.DUMMYFUNCTION("""COMPUTED_VALUE"""),"NIYAMBA PHARMA")</f>
        <v>NIYAMBA PHARMA</v>
      </c>
    </row>
    <row r="2558">
      <c r="H2558" s="19" t="str">
        <f>IFERROR(__xludf.DUMMYFUNCTION("""COMPUTED_VALUE"""),"NOBLE DRUGS PVT.LTD.")</f>
        <v>NOBLE DRUGS PVT.LTD.</v>
      </c>
    </row>
    <row r="2559">
      <c r="H2559" s="19" t="str">
        <f>IFERROR(__xludf.DUMMYFUNCTION("""COMPUTED_VALUE"""),"NOEL PHARMA INDIA PVT LTD")</f>
        <v>NOEL PHARMA INDIA PVT LTD</v>
      </c>
    </row>
    <row r="2560">
      <c r="H2560" s="19" t="str">
        <f>IFERROR(__xludf.DUMMYFUNCTION("""COMPUTED_VALUE"""),"NONI BIOTECH P LTD")</f>
        <v>NONI BIOTECH P LTD</v>
      </c>
    </row>
    <row r="2561">
      <c r="H2561" s="19" t="str">
        <f>IFERROR(__xludf.DUMMYFUNCTION("""COMPUTED_VALUE"""),"NORCHEM HEALTHCARE PVT LTD")</f>
        <v>NORCHEM HEALTHCARE PVT LTD</v>
      </c>
    </row>
    <row r="2562">
      <c r="H2562" s="19" t="str">
        <f>IFERROR(__xludf.DUMMYFUNCTION("""COMPUTED_VALUE"""),"NORRIS MEDICINES LTD.")</f>
        <v>NORRIS MEDICINES LTD.</v>
      </c>
    </row>
    <row r="2563">
      <c r="H2563" s="19" t="str">
        <f>IFERROR(__xludf.DUMMYFUNCTION("""COMPUTED_VALUE"""),"NORTIC HEALTHCARE")</f>
        <v>NORTIC HEALTHCARE</v>
      </c>
    </row>
    <row r="2564">
      <c r="H2564" s="19" t="str">
        <f>IFERROR(__xludf.DUMMYFUNCTION("""COMPUTED_VALUE"""),"NOSTRUM REMEDIES")</f>
        <v>NOSTRUM REMEDIES</v>
      </c>
    </row>
    <row r="2565">
      <c r="H2565" s="19" t="str">
        <f>IFERROR(__xludf.DUMMYFUNCTION("""COMPUTED_VALUE"""),"NOT TO BE ADDED")</f>
        <v>NOT TO BE ADDED</v>
      </c>
    </row>
    <row r="2566">
      <c r="H2566" s="19" t="str">
        <f>IFERROR(__xludf.DUMMYFUNCTION("""COMPUTED_VALUE"""),"NOURIER LAB")</f>
        <v>NOURIER LAB</v>
      </c>
    </row>
    <row r="2567">
      <c r="H2567" s="19" t="str">
        <f>IFERROR(__xludf.DUMMYFUNCTION("""COMPUTED_VALUE"""),"Nouveau Medicament Pvt Ltd")</f>
        <v>Nouveau Medicament Pvt Ltd</v>
      </c>
    </row>
    <row r="2568">
      <c r="H2568" s="19" t="str">
        <f>IFERROR(__xludf.DUMMYFUNCTION("""COMPUTED_VALUE"""),"NOVACHEM LAB")</f>
        <v>NOVACHEM LAB</v>
      </c>
    </row>
    <row r="2569">
      <c r="H2569" s="19" t="str">
        <f>IFERROR(__xludf.DUMMYFUNCTION("""COMPUTED_VALUE"""),"NOVACURE HEALTHCARE")</f>
        <v>NOVACURE HEALTHCARE</v>
      </c>
    </row>
    <row r="2570">
      <c r="H2570" s="19" t="str">
        <f>IFERROR(__xludf.DUMMYFUNCTION("""COMPUTED_VALUE"""),"NOVAGEN PHARMACEUTICALS")</f>
        <v>NOVAGEN PHARMACEUTICALS</v>
      </c>
    </row>
    <row r="2571">
      <c r="H2571" s="19" t="str">
        <f>IFERROR(__xludf.DUMMYFUNCTION("""COMPUTED_VALUE"""),"NOVALIFE HEALTHCARE")</f>
        <v>NOVALIFE HEALTHCARE</v>
      </c>
    </row>
    <row r="2572">
      <c r="H2572" s="19" t="str">
        <f>IFERROR(__xludf.DUMMYFUNCTION("""COMPUTED_VALUE"""),"NOVARTIS (BETA)")</f>
        <v>NOVARTIS (BETA)</v>
      </c>
    </row>
    <row r="2573">
      <c r="H2573" s="19" t="str">
        <f>IFERROR(__xludf.DUMMYFUNCTION("""COMPUTED_VALUE"""),"NOVARTIS (CARDIC)")</f>
        <v>NOVARTIS (CARDIC)</v>
      </c>
    </row>
    <row r="2574">
      <c r="H2574" s="19" t="str">
        <f>IFERROR(__xludf.DUMMYFUNCTION("""COMPUTED_VALUE"""),"NOVARTIS (CVM)")</f>
        <v>NOVARTIS (CVM)</v>
      </c>
    </row>
    <row r="2575">
      <c r="H2575" s="19" t="str">
        <f>IFERROR(__xludf.DUMMYFUNCTION("""COMPUTED_VALUE"""),"NOVARTIS (EMBU)")</f>
        <v>NOVARTIS (EMBU)</v>
      </c>
    </row>
    <row r="2576">
      <c r="H2576" s="19" t="str">
        <f>IFERROR(__xludf.DUMMYFUNCTION("""COMPUTED_VALUE"""),"NOVARTIS (GY)")</f>
        <v>NOVARTIS (GY)</v>
      </c>
    </row>
    <row r="2577">
      <c r="H2577" s="19" t="str">
        <f>IFERROR(__xludf.DUMMYFUNCTION("""COMPUTED_VALUE"""),"NOVARTIS (NEURO PSYCHIATRY)")</f>
        <v>NOVARTIS (NEURO PSYCHIATRY)</v>
      </c>
    </row>
    <row r="2578">
      <c r="H2578" s="19" t="str">
        <f>IFERROR(__xludf.DUMMYFUNCTION("""COMPUTED_VALUE"""),"NOVARTIS (PRASAAR)")</f>
        <v>NOVARTIS (PRASAAR)</v>
      </c>
    </row>
    <row r="2579">
      <c r="H2579" s="19" t="str">
        <f>IFERROR(__xludf.DUMMYFUNCTION("""COMPUTED_VALUE"""),"NOVARTIS (SANDOZ)")</f>
        <v>NOVARTIS (SANDOZ)</v>
      </c>
    </row>
    <row r="2580">
      <c r="H2580" s="19" t="str">
        <f>IFERROR(__xludf.DUMMYFUNCTION("""COMPUTED_VALUE"""),"NOVARTIS (TEAM)")</f>
        <v>NOVARTIS (TEAM)</v>
      </c>
    </row>
    <row r="2581">
      <c r="H2581" s="19" t="str">
        <f>IFERROR(__xludf.DUMMYFUNCTION("""COMPUTED_VALUE"""),"NOVARTIS (VACCINE)")</f>
        <v>NOVARTIS (VACCINE)</v>
      </c>
    </row>
    <row r="2582">
      <c r="H2582" s="19" t="str">
        <f>IFERROR(__xludf.DUMMYFUNCTION("""COMPUTED_VALUE"""),"Novartis India Ltd")</f>
        <v>Novartis India Ltd</v>
      </c>
    </row>
    <row r="2583">
      <c r="H2583" s="19" t="str">
        <f>IFERROR(__xludf.DUMMYFUNCTION("""COMPUTED_VALUE"""),"NOVASCOTT (GENERIC)")</f>
        <v>NOVASCOTT (GENERIC)</v>
      </c>
    </row>
    <row r="2584">
      <c r="H2584" s="19" t="str">
        <f>IFERROR(__xludf.DUMMYFUNCTION("""COMPUTED_VALUE"""),"NOVASURE HEALTHCARE")</f>
        <v>NOVASURE HEALTHCARE</v>
      </c>
    </row>
    <row r="2585">
      <c r="H2585" s="19" t="str">
        <f>IFERROR(__xludf.DUMMYFUNCTION("""COMPUTED_VALUE"""),"NOVAZING PHARMA")</f>
        <v>NOVAZING PHARMA</v>
      </c>
    </row>
    <row r="2586">
      <c r="H2586" s="19" t="str">
        <f>IFERROR(__xludf.DUMMYFUNCTION("""COMPUTED_VALUE"""),"NOVELTY HEALTHSHINE")</f>
        <v>NOVELTY HEALTHSHINE</v>
      </c>
    </row>
    <row r="2587">
      <c r="H2587" s="19" t="str">
        <f>IFERROR(__xludf.DUMMYFUNCTION("""COMPUTED_VALUE"""),"NOVIQUE LIFE SCIENCES PVT")</f>
        <v>NOVIQUE LIFE SCIENCES PVT</v>
      </c>
    </row>
    <row r="2588">
      <c r="H2588" s="19" t="str">
        <f>IFERROR(__xludf.DUMMYFUNCTION("""COMPUTED_VALUE"""),"NOVITA HEALTHCARE PVT LTD")</f>
        <v>NOVITA HEALTHCARE PVT LTD</v>
      </c>
    </row>
    <row r="2589">
      <c r="H2589" s="19" t="str">
        <f>IFERROR(__xludf.DUMMYFUNCTION("""COMPUTED_VALUE"""),"NOVITAS HEALTHCARE")</f>
        <v>NOVITAS HEALTHCARE</v>
      </c>
    </row>
    <row r="2590">
      <c r="H2590" s="19" t="str">
        <f>IFERROR(__xludf.DUMMYFUNCTION("""COMPUTED_VALUE"""),"NOVO INDUS PHARMACEUTICALS")</f>
        <v>NOVO INDUS PHARMACEUTICALS</v>
      </c>
    </row>
    <row r="2591">
      <c r="H2591" s="19" t="str">
        <f>IFERROR(__xludf.DUMMYFUNCTION("""COMPUTED_VALUE"""),"NOVO MEDI SCIENCES PVT LTD")</f>
        <v>NOVO MEDI SCIENCES PVT LTD</v>
      </c>
    </row>
    <row r="2592">
      <c r="H2592" s="19" t="str">
        <f>IFERROR(__xludf.DUMMYFUNCTION("""COMPUTED_VALUE"""),"NOVO MEDI SCIENCES PVT LTD (PEDIA)")</f>
        <v>NOVO MEDI SCIENCES PVT LTD (PEDIA)</v>
      </c>
    </row>
    <row r="2593">
      <c r="H2593" s="19" t="str">
        <f>IFERROR(__xludf.DUMMYFUNCTION("""COMPUTED_VALUE"""),"Novo Nordisk India Pvt Ltd")</f>
        <v>Novo Nordisk India Pvt Ltd</v>
      </c>
    </row>
    <row r="2594">
      <c r="H2594" s="19" t="str">
        <f>IFERROR(__xludf.DUMMYFUNCTION("""COMPUTED_VALUE"""),"NOVOGEN CAPTAB")</f>
        <v>NOVOGEN CAPTAB</v>
      </c>
    </row>
    <row r="2595">
      <c r="H2595" s="19" t="str">
        <f>IFERROR(__xludf.DUMMYFUNCTION("""COMPUTED_VALUE"""),"NOVOLILLY PHARMACEUTICAL PVT LTD")</f>
        <v>NOVOLILLY PHARMACEUTICAL PVT LTD</v>
      </c>
    </row>
    <row r="2596">
      <c r="H2596" s="19" t="str">
        <f>IFERROR(__xludf.DUMMYFUNCTION("""COMPUTED_VALUE"""),"NOVOSAVIOR")</f>
        <v>NOVOSAVIOR</v>
      </c>
    </row>
    <row r="2597">
      <c r="H2597" s="19" t="str">
        <f>IFERROR(__xludf.DUMMYFUNCTION("""COMPUTED_VALUE"""),"NOVUS BIOLOGICALS LLC")</f>
        <v>NOVUS BIOLOGICALS LLC</v>
      </c>
    </row>
    <row r="2598">
      <c r="H2598" s="19" t="str">
        <f>IFERROR(__xludf.DUMMYFUNCTION("""COMPUTED_VALUE"""),"NRI VISION CARE INDIA LTD")</f>
        <v>NRI VISION CARE INDIA LTD</v>
      </c>
    </row>
    <row r="2599">
      <c r="H2599" s="19" t="str">
        <f>IFERROR(__xludf.DUMMYFUNCTION("""COMPUTED_VALUE"""),"NUCLEO REMEDIES")</f>
        <v>NUCLEO REMEDIES</v>
      </c>
    </row>
    <row r="2600">
      <c r="H2600" s="19" t="str">
        <f>IFERROR(__xludf.DUMMYFUNCTION("""COMPUTED_VALUE"""),"NUKIND (MEDICYES)")</f>
        <v>NUKIND (MEDICYES)</v>
      </c>
    </row>
    <row r="2601">
      <c r="H2601" s="19" t="str">
        <f>IFERROR(__xludf.DUMMYFUNCTION("""COMPUTED_VALUE"""),"NUKIND HEALTHCARE PVT LTD")</f>
        <v>NUKIND HEALTHCARE PVT LTD</v>
      </c>
    </row>
    <row r="2602">
      <c r="H2602" s="19" t="str">
        <f>IFERROR(__xludf.DUMMYFUNCTION("""COMPUTED_VALUE"""),"NuLife Pharmaceuticals")</f>
        <v>NuLife Pharmaceuticals</v>
      </c>
    </row>
    <row r="2603">
      <c r="H2603" s="19" t="str">
        <f>IFERROR(__xludf.DUMMYFUNCTION("""COMPUTED_VALUE"""),"NUMAC HEALTHCARE PVT LTD")</f>
        <v>NUMAC HEALTHCARE PVT LTD</v>
      </c>
    </row>
    <row r="2604">
      <c r="H2604" s="19" t="str">
        <f>IFERROR(__xludf.DUMMYFUNCTION("""COMPUTED_VALUE"""),"NUSMITH PHARMA PVT LTD")</f>
        <v>NUSMITH PHARMA PVT LTD</v>
      </c>
    </row>
    <row r="2605">
      <c r="H2605" s="19" t="str">
        <f>IFERROR(__xludf.DUMMYFUNCTION("""COMPUTED_VALUE"""),"NUTRA IMMUNOLOGICALS PVT LTD")</f>
        <v>NUTRA IMMUNOLOGICALS PVT LTD</v>
      </c>
    </row>
    <row r="2606">
      <c r="H2606" s="19" t="str">
        <f>IFERROR(__xludf.DUMMYFUNCTION("""COMPUTED_VALUE"""),"NUTRA WELLNESS")</f>
        <v>NUTRA WELLNESS</v>
      </c>
    </row>
    <row r="2607">
      <c r="H2607" s="19" t="str">
        <f>IFERROR(__xludf.DUMMYFUNCTION("""COMPUTED_VALUE"""),"NUTRACARE NUTRITION")</f>
        <v>NUTRACARE NUTRITION</v>
      </c>
    </row>
    <row r="2608">
      <c r="H2608" s="19" t="str">
        <f>IFERROR(__xludf.DUMMYFUNCTION("""COMPUTED_VALUE"""),"NUTRACOS LIFESCIENECES PVT LTD")</f>
        <v>NUTRACOS LIFESCIENECES PVT LTD</v>
      </c>
    </row>
    <row r="2609">
      <c r="H2609" s="19" t="str">
        <f>IFERROR(__xludf.DUMMYFUNCTION("""COMPUTED_VALUE"""),"NUTRAMEDICA INC.")</f>
        <v>NUTRAMEDICA INC.</v>
      </c>
    </row>
    <row r="2610">
      <c r="H2610" s="19" t="str">
        <f>IFERROR(__xludf.DUMMYFUNCTION("""COMPUTED_VALUE"""),"Nutricia International Pvt Ltd")</f>
        <v>Nutricia International Pvt Ltd</v>
      </c>
    </row>
    <row r="2611">
      <c r="H2611" s="19" t="str">
        <f>IFERROR(__xludf.DUMMYFUNCTION("""COMPUTED_VALUE"""),"NUTRINO HEALTH CARE")</f>
        <v>NUTRINO HEALTH CARE</v>
      </c>
    </row>
    <row r="2612">
      <c r="H2612" s="19" t="str">
        <f>IFERROR(__xludf.DUMMYFUNCTION("""COMPUTED_VALUE"""),"NUTRISROT")</f>
        <v>NUTRISROT</v>
      </c>
    </row>
    <row r="2613">
      <c r="H2613" s="19" t="str">
        <f>IFERROR(__xludf.DUMMYFUNCTION("""COMPUTED_VALUE"""),"NV Lifecare Pvt. Ltd.")</f>
        <v>NV Lifecare Pvt. Ltd.</v>
      </c>
    </row>
    <row r="2614">
      <c r="H2614" s="19" t="str">
        <f>IFERROR(__xludf.DUMMYFUNCTION("""COMPUTED_VALUE"""),"NYSUS BIOTECH PVT LTD")</f>
        <v>NYSUS BIOTECH PVT LTD</v>
      </c>
    </row>
    <row r="2615">
      <c r="H2615" s="19" t="str">
        <f>IFERROR(__xludf.DUMMYFUNCTION("""COMPUTED_VALUE"""),"OAKNET HEALTHCARE PVT LTD")</f>
        <v>OAKNET HEALTHCARE PVT LTD</v>
      </c>
    </row>
    <row r="2616">
      <c r="H2616" s="19" t="str">
        <f>IFERROR(__xludf.DUMMYFUNCTION("""COMPUTED_VALUE"""),"OAKNET HEALTHCARE PVT LTD (COSMECARE)")</f>
        <v>OAKNET HEALTHCARE PVT LTD (COSMECARE)</v>
      </c>
    </row>
    <row r="2617">
      <c r="H2617" s="19" t="str">
        <f>IFERROR(__xludf.DUMMYFUNCTION("""COMPUTED_VALUE"""),"OAKNET HEALTHCARE PVT LTD (SKINCARE)")</f>
        <v>OAKNET HEALTHCARE PVT LTD (SKINCARE)</v>
      </c>
    </row>
    <row r="2618">
      <c r="H2618" s="19" t="str">
        <f>IFERROR(__xludf.DUMMYFUNCTION("""COMPUTED_VALUE"""),"OAKNET LIFESCIENCES PVT LTD")</f>
        <v>OAKNET LIFESCIENCES PVT LTD</v>
      </c>
    </row>
    <row r="2619">
      <c r="H2619" s="19" t="str">
        <f>IFERROR(__xludf.DUMMYFUNCTION("""COMPUTED_VALUE"""),"OASIS BIOTECH PVT LTD")</f>
        <v>OASIS BIOTECH PVT LTD</v>
      </c>
    </row>
    <row r="2620">
      <c r="H2620" s="19" t="str">
        <f>IFERROR(__xludf.DUMMYFUNCTION("""COMPUTED_VALUE"""),"OATH HEALTHCARE")</f>
        <v>OATH HEALTHCARE</v>
      </c>
    </row>
    <row r="2621">
      <c r="H2621" s="19" t="str">
        <f>IFERROR(__xludf.DUMMYFUNCTION("""COMPUTED_VALUE"""),"OBERLIN HEALTHCARE")</f>
        <v>OBERLIN HEALTHCARE</v>
      </c>
    </row>
    <row r="2622">
      <c r="H2622" s="19" t="str">
        <f>IFERROR(__xludf.DUMMYFUNCTION("""COMPUTED_VALUE"""),"OCEAN CARE")</f>
        <v>OCEAN CARE</v>
      </c>
    </row>
    <row r="2623">
      <c r="H2623" s="19" t="str">
        <f>IFERROR(__xludf.DUMMYFUNCTION("""COMPUTED_VALUE"""),"OCEAN FORMULATIONS")</f>
        <v>OCEAN FORMULATIONS</v>
      </c>
    </row>
    <row r="2624">
      <c r="H2624" s="19" t="str">
        <f>IFERROR(__xludf.DUMMYFUNCTION("""COMPUTED_VALUE"""),"OCEAN HERBAL &amp; LIFECARE")</f>
        <v>OCEAN HERBAL &amp; LIFECARE</v>
      </c>
    </row>
    <row r="2625">
      <c r="H2625" s="19" t="str">
        <f>IFERROR(__xludf.DUMMYFUNCTION("""COMPUTED_VALUE"""),"OCEAN OPHTHALMICS")</f>
        <v>OCEAN OPHTHALMICS</v>
      </c>
    </row>
    <row r="2626">
      <c r="H2626" s="19" t="str">
        <f>IFERROR(__xludf.DUMMYFUNCTION("""COMPUTED_VALUE"""),"OCHOA LABORATORIES")</f>
        <v>OCHOA LABORATORIES</v>
      </c>
    </row>
    <row r="2627">
      <c r="H2627" s="19" t="str">
        <f>IFERROR(__xludf.DUMMYFUNCTION("""COMPUTED_VALUE"""),"OCTALIFE PHARMA")</f>
        <v>OCTALIFE PHARMA</v>
      </c>
    </row>
    <row r="2628">
      <c r="H2628" s="19" t="str">
        <f>IFERROR(__xludf.DUMMYFUNCTION("""COMPUTED_VALUE"""),"OCUSIGHT PHARMA")</f>
        <v>OCUSIGHT PHARMA</v>
      </c>
    </row>
    <row r="2629">
      <c r="H2629" s="19" t="str">
        <f>IFERROR(__xludf.DUMMYFUNCTION("""COMPUTED_VALUE"""),"OJAL LIFESCIENCES P LTD")</f>
        <v>OJAL LIFESCIENCES P LTD</v>
      </c>
    </row>
    <row r="2630">
      <c r="H2630" s="19" t="str">
        <f>IFERROR(__xludf.DUMMYFUNCTION("""COMPUTED_VALUE"""),"OJAL PHARMACEUTICAL PVT LTD")</f>
        <v>OJAL PHARMACEUTICAL PVT LTD</v>
      </c>
    </row>
    <row r="2631">
      <c r="H2631" s="19" t="str">
        <f>IFERROR(__xludf.DUMMYFUNCTION("""COMPUTED_VALUE"""),"OJAL PHARMACEUTICALS")</f>
        <v>OJAL PHARMACEUTICALS</v>
      </c>
    </row>
    <row r="2632">
      <c r="H2632" s="19" t="str">
        <f>IFERROR(__xludf.DUMMYFUNCTION("""COMPUTED_VALUE"""),"OJAS HUMAN SCIENCES INDIA PVT LTD")</f>
        <v>OJAS HUMAN SCIENCES INDIA PVT LTD</v>
      </c>
    </row>
    <row r="2633">
      <c r="H2633" s="19" t="str">
        <f>IFERROR(__xludf.DUMMYFUNCTION("""COMPUTED_VALUE"""),"OLAMIC HEALTH CARE")</f>
        <v>OLAMIC HEALTH CARE</v>
      </c>
    </row>
    <row r="2634">
      <c r="H2634" s="19" t="str">
        <f>IFERROR(__xludf.DUMMYFUNCTION("""COMPUTED_VALUE"""),"OLAMIC HEALTHCARE")</f>
        <v>OLAMIC HEALTHCARE</v>
      </c>
    </row>
    <row r="2635">
      <c r="H2635" s="19" t="str">
        <f>IFERROR(__xludf.DUMMYFUNCTION("""COMPUTED_VALUE"""),"OLCARE LABORATORIES")</f>
        <v>OLCARE LABORATORIES</v>
      </c>
    </row>
    <row r="2636">
      <c r="H2636" s="19" t="str">
        <f>IFERROR(__xludf.DUMMYFUNCTION("""COMPUTED_VALUE"""),"OLCARE LABORATORIES PVT LTD")</f>
        <v>OLCARE LABORATORIES PVT LTD</v>
      </c>
    </row>
    <row r="2637">
      <c r="H2637" s="19" t="str">
        <f>IFERROR(__xludf.DUMMYFUNCTION("""COMPUTED_VALUE"""),"OLWEN LIFESCIENCES PVT LTD")</f>
        <v>OLWEN LIFESCIENCES PVT LTD</v>
      </c>
    </row>
    <row r="2638">
      <c r="H2638" s="19" t="str">
        <f>IFERROR(__xludf.DUMMYFUNCTION("""COMPUTED_VALUE"""),"OLYMPUS CONTROL")</f>
        <v>OLYMPUS CONTROL</v>
      </c>
    </row>
    <row r="2639">
      <c r="H2639" s="19" t="str">
        <f>IFERROR(__xludf.DUMMYFUNCTION("""COMPUTED_VALUE"""),"OM S INTERNATIONAL P LTD")</f>
        <v>OM S INTERNATIONAL P LTD</v>
      </c>
    </row>
    <row r="2640">
      <c r="H2640" s="19" t="str">
        <f>IFERROR(__xludf.DUMMYFUNCTION("""COMPUTED_VALUE"""),"OMCURE BIOTECH")</f>
        <v>OMCURE BIOTECH</v>
      </c>
    </row>
    <row r="2641">
      <c r="H2641" s="19" t="str">
        <f>IFERROR(__xludf.DUMMYFUNCTION("""COMPUTED_VALUE"""),"ON&amp;ON")</f>
        <v>ON&amp;ON</v>
      </c>
    </row>
    <row r="2642">
      <c r="H2642" s="19" t="str">
        <f>IFERROR(__xludf.DUMMYFUNCTION("""COMPUTED_VALUE"""),"ONCARE LIFE SCIENSES")</f>
        <v>ONCARE LIFE SCIENSES</v>
      </c>
    </row>
    <row r="2643">
      <c r="H2643" s="19" t="str">
        <f>IFERROR(__xludf.DUMMYFUNCTION("""COMPUTED_VALUE"""),"ONCOBIOTEK DRUG PVT.LTD")</f>
        <v>ONCOBIOTEK DRUG PVT.LTD</v>
      </c>
    </row>
    <row r="2644">
      <c r="H2644" s="19" t="str">
        <f>IFERROR(__xludf.DUMMYFUNCTION("""COMPUTED_VALUE"""),"ONESTEP HEALTHCARE")</f>
        <v>ONESTEP HEALTHCARE</v>
      </c>
    </row>
    <row r="2645">
      <c r="H2645" s="19" t="str">
        <f>IFERROR(__xludf.DUMMYFUNCTION("""COMPUTED_VALUE"""),"ONEX")</f>
        <v>ONEX</v>
      </c>
    </row>
    <row r="2646">
      <c r="H2646" s="19" t="str">
        <f>IFERROR(__xludf.DUMMYFUNCTION("""COMPUTED_VALUE"""),"ONEX (GINPAX)")</f>
        <v>ONEX (GINPAX)</v>
      </c>
    </row>
    <row r="2647">
      <c r="H2647" s="19" t="str">
        <f>IFERROR(__xludf.DUMMYFUNCTION("""COMPUTED_VALUE"""),"ONIDA HEALTHCARE")</f>
        <v>ONIDA HEALTHCARE</v>
      </c>
    </row>
    <row r="2648">
      <c r="H2648" s="19" t="str">
        <f>IFERROR(__xludf.DUMMYFUNCTION("""COMPUTED_VALUE"""),"OPCIN PHARMA")</f>
        <v>OPCIN PHARMA</v>
      </c>
    </row>
    <row r="2649">
      <c r="H2649" s="19" t="str">
        <f>IFERROR(__xludf.DUMMYFUNCTION("""COMPUTED_VALUE"""),"OPCIN PHARMA PVT LTD")</f>
        <v>OPCIN PHARMA PVT LTD</v>
      </c>
    </row>
    <row r="2650">
      <c r="H2650" s="19" t="str">
        <f>IFERROR(__xludf.DUMMYFUNCTION("""COMPUTED_VALUE"""),"OPSISCARE LIFESCIENCES PVT LTD")</f>
        <v>OPSISCARE LIFESCIENCES PVT LTD</v>
      </c>
    </row>
    <row r="2651">
      <c r="H2651" s="19" t="str">
        <f>IFERROR(__xludf.DUMMYFUNCTION("""COMPUTED_VALUE"""),"OPTHAL REMEDIES PVT LTD")</f>
        <v>OPTHAL REMEDIES PVT LTD</v>
      </c>
    </row>
    <row r="2652">
      <c r="H2652" s="19" t="str">
        <f>IFERROR(__xludf.DUMMYFUNCTION("""COMPUTED_VALUE"""),"OPTHO REMEDIES (LIFE SCIENCES)")</f>
        <v>OPTHO REMEDIES (LIFE SCIENCES)</v>
      </c>
    </row>
    <row r="2653">
      <c r="H2653" s="19" t="str">
        <f>IFERROR(__xludf.DUMMYFUNCTION("""COMPUTED_VALUE"""),"Optho Remedies Pvt Ltd")</f>
        <v>Optho Remedies Pvt Ltd</v>
      </c>
    </row>
    <row r="2654">
      <c r="H2654" s="19" t="str">
        <f>IFERROR(__xludf.DUMMYFUNCTION("""COMPUTED_VALUE"""),"OPTIDERMA SKINCARE")</f>
        <v>OPTIDERMA SKINCARE</v>
      </c>
    </row>
    <row r="2655">
      <c r="H2655" s="19" t="str">
        <f>IFERROR(__xludf.DUMMYFUNCTION("""COMPUTED_VALUE"""),"OPTIGMA HEALTHCARE P LTD")</f>
        <v>OPTIGMA HEALTHCARE P LTD</v>
      </c>
    </row>
    <row r="2656">
      <c r="H2656" s="19" t="str">
        <f>IFERROR(__xludf.DUMMYFUNCTION("""COMPUTED_VALUE"""),"OPTIM HEALTH")</f>
        <v>OPTIM HEALTH</v>
      </c>
    </row>
    <row r="2657">
      <c r="H2657" s="19" t="str">
        <f>IFERROR(__xludf.DUMMYFUNCTION("""COMPUTED_VALUE"""),"OPTIMA HEALTHCARE")</f>
        <v>OPTIMA HEALTHCARE</v>
      </c>
    </row>
    <row r="2658">
      <c r="H2658" s="19" t="str">
        <f>IFERROR(__xludf.DUMMYFUNCTION("""COMPUTED_VALUE"""),"OPTIMA LENS")</f>
        <v>OPTIMA LENS</v>
      </c>
    </row>
    <row r="2659">
      <c r="H2659" s="19" t="str">
        <f>IFERROR(__xludf.DUMMYFUNCTION("""COMPUTED_VALUE"""),"OPTIMUS HEALTH CARE")</f>
        <v>OPTIMUS HEALTH CARE</v>
      </c>
    </row>
    <row r="2660">
      <c r="H2660" s="19" t="str">
        <f>IFERROR(__xludf.DUMMYFUNCTION("""COMPUTED_VALUE"""),"ORAGYN CURIS P LTD")</f>
        <v>ORAGYN CURIS P LTD</v>
      </c>
    </row>
    <row r="2661">
      <c r="H2661" s="19" t="str">
        <f>IFERROR(__xludf.DUMMYFUNCTION("""COMPUTED_VALUE"""),"ORAMA LIFESCIENCES")</f>
        <v>ORAMA LIFESCIENCES</v>
      </c>
    </row>
    <row r="2662">
      <c r="H2662" s="19" t="str">
        <f>IFERROR(__xludf.DUMMYFUNCTION("""COMPUTED_VALUE"""),"ORANGE BIOTECH PVT LTD")</f>
        <v>ORANGE BIOTECH PVT LTD</v>
      </c>
    </row>
    <row r="2663">
      <c r="H2663" s="19" t="str">
        <f>IFERROR(__xludf.DUMMYFUNCTION("""COMPUTED_VALUE"""),"ORANGE RESEARCH LABS")</f>
        <v>ORANGE RESEARCH LABS</v>
      </c>
    </row>
    <row r="2664">
      <c r="H2664" s="19" t="str">
        <f>IFERROR(__xludf.DUMMYFUNCTION("""COMPUTED_VALUE"""),"Orchid Chemicals &amp; Pharmaceuticals Ltd")</f>
        <v>Orchid Chemicals &amp; Pharmaceuticals Ltd</v>
      </c>
    </row>
    <row r="2665">
      <c r="H2665" s="19" t="str">
        <f>IFERROR(__xludf.DUMMYFUNCTION("""COMPUTED_VALUE"""),"ORCO LIFESCIENCES")</f>
        <v>ORCO LIFESCIENCES</v>
      </c>
    </row>
    <row r="2666">
      <c r="H2666" s="19" t="str">
        <f>IFERROR(__xludf.DUMMYFUNCTION("""COMPUTED_VALUE"""),"Ordain Health Care Global Pvt Ltd")</f>
        <v>Ordain Health Care Global Pvt Ltd</v>
      </c>
    </row>
    <row r="2667">
      <c r="H2667" s="19" t="str">
        <f>IFERROR(__xludf.DUMMYFUNCTION("""COMPUTED_VALUE"""),"ORDAIN HEALTHCARE (ESPERZ)")</f>
        <v>ORDAIN HEALTHCARE (ESPERZ)</v>
      </c>
    </row>
    <row r="2668">
      <c r="H2668" s="19" t="str">
        <f>IFERROR(__xludf.DUMMYFUNCTION("""COMPUTED_VALUE"""),"ORDAIN HEALTHCARE (ESPRITZ)")</f>
        <v>ORDAIN HEALTHCARE (ESPRITZ)</v>
      </c>
    </row>
    <row r="2669">
      <c r="H2669" s="19" t="str">
        <f>IFERROR(__xludf.DUMMYFUNCTION("""COMPUTED_VALUE"""),"ORDAIN HEALTHCARE (INTENZ)")</f>
        <v>ORDAIN HEALTHCARE (INTENZ)</v>
      </c>
    </row>
    <row r="2670">
      <c r="H2670" s="19" t="str">
        <f>IFERROR(__xludf.DUMMYFUNCTION("""COMPUTED_VALUE"""),"ORDAIN HEALTHCARE (NUREX)")</f>
        <v>ORDAIN HEALTHCARE (NUREX)</v>
      </c>
    </row>
    <row r="2671">
      <c r="H2671" s="19" t="str">
        <f>IFERROR(__xludf.DUMMYFUNCTION("""COMPUTED_VALUE"""),"ORDAIN HEALTHCARE (OPTHAL)")</f>
        <v>ORDAIN HEALTHCARE (OPTHAL)</v>
      </c>
    </row>
    <row r="2672">
      <c r="H2672" s="19" t="str">
        <f>IFERROR(__xludf.DUMMYFUNCTION("""COMPUTED_VALUE"""),"ORDAIN HEALTHCARE (PERZISTA)")</f>
        <v>ORDAIN HEALTHCARE (PERZISTA)</v>
      </c>
    </row>
    <row r="2673">
      <c r="H2673" s="19" t="str">
        <f>IFERROR(__xludf.DUMMYFUNCTION("""COMPUTED_VALUE"""),"OREVA DERMACARE")</f>
        <v>OREVA DERMACARE</v>
      </c>
    </row>
    <row r="2674">
      <c r="H2674" s="19" t="str">
        <f>IFERROR(__xludf.DUMMYFUNCTION("""COMPUTED_VALUE"""),"ORGANIC INDIA")</f>
        <v>ORGANIC INDIA</v>
      </c>
    </row>
    <row r="2675">
      <c r="H2675" s="19" t="str">
        <f>IFERROR(__xludf.DUMMYFUNCTION("""COMPUTED_VALUE"""),"ORGANIC LABS PVT LTD")</f>
        <v>ORGANIC LABS PVT LTD</v>
      </c>
    </row>
    <row r="2676">
      <c r="H2676" s="19" t="str">
        <f>IFERROR(__xludf.DUMMYFUNCTION("""COMPUTED_VALUE"""),"Organon (India) Ltd")</f>
        <v>Organon (India) Ltd</v>
      </c>
    </row>
    <row r="2677">
      <c r="H2677" s="19" t="str">
        <f>IFERROR(__xludf.DUMMYFUNCTION("""COMPUTED_VALUE"""),"ORGYN LABS")</f>
        <v>ORGYN LABS</v>
      </c>
    </row>
    <row r="2678">
      <c r="H2678" s="19" t="str">
        <f>IFERROR(__xludf.DUMMYFUNCTION("""COMPUTED_VALUE"""),"ORIEL HEALTHCARE PVT LTD")</f>
        <v>ORIEL HEALTHCARE PVT LTD</v>
      </c>
    </row>
    <row r="2679">
      <c r="H2679" s="19" t="str">
        <f>IFERROR(__xludf.DUMMYFUNCTION("""COMPUTED_VALUE"""),"ORIENTAL CHEMICALS WORKS")</f>
        <v>ORIENTAL CHEMICALS WORKS</v>
      </c>
    </row>
    <row r="2680">
      <c r="H2680" s="19" t="str">
        <f>IFERROR(__xludf.DUMMYFUNCTION("""COMPUTED_VALUE"""),"ORION PHARMA")</f>
        <v>ORION PHARMA</v>
      </c>
    </row>
    <row r="2681">
      <c r="H2681" s="19" t="str">
        <f>IFERROR(__xludf.DUMMYFUNCTION("""COMPUTED_VALUE"""),"ORISON PHARMA INTERNATIONAL")</f>
        <v>ORISON PHARMA INTERNATIONAL</v>
      </c>
    </row>
    <row r="2682">
      <c r="H2682" s="19" t="str">
        <f>IFERROR(__xludf.DUMMYFUNCTION("""COMPUTED_VALUE"""),"ORIVA NUTRITION")</f>
        <v>ORIVA NUTRITION</v>
      </c>
    </row>
    <row r="2683">
      <c r="H2683" s="19" t="str">
        <f>IFERROR(__xludf.DUMMYFUNCTION("""COMPUTED_VALUE"""),"ORLLYFORD HEALTHCARE")</f>
        <v>ORLLYFORD HEALTHCARE</v>
      </c>
    </row>
    <row r="2684">
      <c r="H2684" s="19" t="str">
        <f>IFERROR(__xludf.DUMMYFUNCTION("""COMPUTED_VALUE"""),"Oscar Remedies")</f>
        <v>Oscar Remedies</v>
      </c>
    </row>
    <row r="2685">
      <c r="H2685" s="19" t="str">
        <f>IFERROR(__xludf.DUMMYFUNCTION("""COMPUTED_VALUE"""),"Oscar Remedies (EVANS Pharma)")</f>
        <v>Oscar Remedies (EVANS Pharma)</v>
      </c>
    </row>
    <row r="2686">
      <c r="H2686" s="19" t="str">
        <f>IFERROR(__xludf.DUMMYFUNCTION("""COMPUTED_VALUE"""),"Oscar Remedies (Indoss Life Sciences)")</f>
        <v>Oscar Remedies (Indoss Life Sciences)</v>
      </c>
    </row>
    <row r="2687">
      <c r="H2687" s="19" t="str">
        <f>IFERROR(__xludf.DUMMYFUNCTION("""COMPUTED_VALUE"""),"Oscar Remedies (MAK Pharmaceuticals)")</f>
        <v>Oscar Remedies (MAK Pharmaceuticals)</v>
      </c>
    </row>
    <row r="2688">
      <c r="H2688" s="19" t="str">
        <f>IFERROR(__xludf.DUMMYFUNCTION("""COMPUTED_VALUE"""),"Oscar Remedies (Next Way India)")</f>
        <v>Oscar Remedies (Next Way India)</v>
      </c>
    </row>
    <row r="2689">
      <c r="H2689" s="19" t="str">
        <f>IFERROR(__xludf.DUMMYFUNCTION("""COMPUTED_VALUE"""),"Oscar Remedies Pvt Ltd")</f>
        <v>Oscar Remedies Pvt Ltd</v>
      </c>
    </row>
    <row r="2690">
      <c r="H2690" s="19" t="str">
        <f>IFERROR(__xludf.DUMMYFUNCTION("""COMPUTED_VALUE"""),"OSMED FORMULATIONS")</f>
        <v>OSMED FORMULATIONS</v>
      </c>
    </row>
    <row r="2691">
      <c r="H2691" s="19" t="str">
        <f>IFERROR(__xludf.DUMMYFUNCTION("""COMPUTED_VALUE"""),"OSPICARE LIFE SCIENCES PVT LTD")</f>
        <v>OSPICARE LIFE SCIENCES PVT LTD</v>
      </c>
    </row>
    <row r="2692">
      <c r="H2692" s="19" t="str">
        <f>IFERROR(__xludf.DUMMYFUNCTION("""COMPUTED_VALUE"""),"OSQUE PHARMA PVT LTD")</f>
        <v>OSQUE PHARMA PVT LTD</v>
      </c>
    </row>
    <row r="2693">
      <c r="H2693" s="19" t="str">
        <f>IFERROR(__xludf.DUMMYFUNCTION("""COMPUTED_VALUE"""),"OTHANTIC (DERMA)")</f>
        <v>OTHANTIC (DERMA)</v>
      </c>
    </row>
    <row r="2694">
      <c r="H2694" s="19" t="str">
        <f>IFERROR(__xludf.DUMMYFUNCTION("""COMPUTED_VALUE"""),"OTHANTIC (KIYOMI)")</f>
        <v>OTHANTIC (KIYOMI)</v>
      </c>
    </row>
    <row r="2695">
      <c r="H2695" s="19" t="str">
        <f>IFERROR(__xludf.DUMMYFUNCTION("""COMPUTED_VALUE"""),"OTHANTIC PHARMACEUTICALS")</f>
        <v>OTHANTIC PHARMACEUTICALS</v>
      </c>
    </row>
    <row r="2696">
      <c r="H2696" s="19" t="str">
        <f>IFERROR(__xludf.DUMMYFUNCTION("""COMPUTED_VALUE"""),"OTSUKA")</f>
        <v>OTSUKA</v>
      </c>
    </row>
    <row r="2697">
      <c r="H2697" s="19" t="str">
        <f>IFERROR(__xludf.DUMMYFUNCTION("""COMPUTED_VALUE"""),"OVAL ORGANICS")</f>
        <v>OVAL ORGANICS</v>
      </c>
    </row>
    <row r="2698">
      <c r="H2698" s="19" t="str">
        <f>IFERROR(__xludf.DUMMYFUNCTION("""COMPUTED_VALUE"""),"OVERSEAS FORMULATIONS")</f>
        <v>OVERSEAS FORMULATIONS</v>
      </c>
    </row>
    <row r="2699">
      <c r="H2699" s="19" t="str">
        <f>IFERROR(__xludf.DUMMYFUNCTION("""COMPUTED_VALUE"""),"Overseas Healthcare Pvt Ltd")</f>
        <v>Overseas Healthcare Pvt Ltd</v>
      </c>
    </row>
    <row r="2700">
      <c r="H2700" s="19" t="str">
        <f>IFERROR(__xludf.DUMMYFUNCTION("""COMPUTED_VALUE"""),"OVERSES HEALTHCARE")</f>
        <v>OVERSES HEALTHCARE</v>
      </c>
    </row>
    <row r="2701">
      <c r="H2701" s="19" t="str">
        <f>IFERROR(__xludf.DUMMYFUNCTION("""COMPUTED_VALUE"""),"OXFORD PHARMA")</f>
        <v>OXFORD PHARMA</v>
      </c>
    </row>
    <row r="2702">
      <c r="H2702" s="19" t="str">
        <f>IFERROR(__xludf.DUMMYFUNCTION("""COMPUTED_VALUE"""),"OXOMEDICA PVT LTD")</f>
        <v>OXOMEDICA PVT LTD</v>
      </c>
    </row>
    <row r="2703">
      <c r="H2703" s="19" t="str">
        <f>IFERROR(__xludf.DUMMYFUNCTION("""COMPUTED_VALUE"""),"OZONE (NUCLEUS)")</f>
        <v>OZONE (NUCLEUS)</v>
      </c>
    </row>
    <row r="2704">
      <c r="H2704" s="19" t="str">
        <f>IFERROR(__xludf.DUMMYFUNCTION("""COMPUTED_VALUE"""),"OZONE (PROTON)")</f>
        <v>OZONE (PROTON)</v>
      </c>
    </row>
    <row r="2705">
      <c r="H2705" s="19" t="str">
        <f>IFERROR(__xludf.DUMMYFUNCTION("""COMPUTED_VALUE"""),"OZONE AYURVEDICS")</f>
        <v>OZONE AYURVEDICS</v>
      </c>
    </row>
    <row r="2706">
      <c r="H2706" s="19" t="str">
        <f>IFERROR(__xludf.DUMMYFUNCTION("""COMPUTED_VALUE"""),"OZONE PHARMA CYCONAL")</f>
        <v>OZONE PHARMA CYCONAL</v>
      </c>
    </row>
    <row r="2707">
      <c r="H2707" s="19" t="str">
        <f>IFERROR(__xludf.DUMMYFUNCTION("""COMPUTED_VALUE"""),"Ozone Pharmaceuticals Ltd")</f>
        <v>Ozone Pharmaceuticals Ltd</v>
      </c>
    </row>
    <row r="2708">
      <c r="H2708" s="19" t="str">
        <f>IFERROR(__xludf.DUMMYFUNCTION("""COMPUTED_VALUE"""),"P M RATHOD COMPANY")</f>
        <v>P M RATHOD COMPANY</v>
      </c>
    </row>
    <row r="2709">
      <c r="H2709" s="19" t="str">
        <f>IFERROR(__xludf.DUMMYFUNCTION("""COMPUTED_VALUE"""),"P&amp;B PHARMA")</f>
        <v>P&amp;B PHARMA</v>
      </c>
    </row>
    <row r="2710">
      <c r="H2710" s="19" t="str">
        <f>IFERROR(__xludf.DUMMYFUNCTION("""COMPUTED_VALUE"""),"P&amp;G PHARMA")</f>
        <v>P&amp;G PHARMA</v>
      </c>
    </row>
    <row r="2711">
      <c r="H2711" s="19" t="str">
        <f>IFERROR(__xludf.DUMMYFUNCTION("""COMPUTED_VALUE"""),"PACE PHARMACEUTICALS")</f>
        <v>PACE PHARMACEUTICALS</v>
      </c>
    </row>
    <row r="2712">
      <c r="H2712" s="19" t="str">
        <f>IFERROR(__xludf.DUMMYFUNCTION("""COMPUTED_VALUE"""),"PACIFIC MED.&amp; BIO.")</f>
        <v>PACIFIC MED.&amp; BIO.</v>
      </c>
    </row>
    <row r="2713">
      <c r="H2713" s="19" t="str">
        <f>IFERROR(__xludf.DUMMYFUNCTION("""COMPUTED_VALUE"""),"PACITORA BIOTECH")</f>
        <v>PACITORA BIOTECH</v>
      </c>
    </row>
    <row r="2714">
      <c r="H2714" s="19" t="str">
        <f>IFERROR(__xludf.DUMMYFUNCTION("""COMPUTED_VALUE"""),"PACKSULES PHARMA PVT LTD")</f>
        <v>PACKSULES PHARMA PVT LTD</v>
      </c>
    </row>
    <row r="2715">
      <c r="H2715" s="19" t="str">
        <f>IFERROR(__xludf.DUMMYFUNCTION("""COMPUTED_VALUE"""),"PACT INDIA")</f>
        <v>PACT INDIA</v>
      </c>
    </row>
    <row r="2716">
      <c r="H2716" s="19" t="str">
        <f>IFERROR(__xludf.DUMMYFUNCTION("""COMPUTED_VALUE"""),"PAEON PHARMACEUTICALS PVT LTD")</f>
        <v>PAEON PHARMACEUTICALS PVT LTD</v>
      </c>
    </row>
    <row r="2717">
      <c r="H2717" s="19" t="str">
        <f>IFERROR(__xludf.DUMMYFUNCTION("""COMPUTED_VALUE"""),"Paksons Pharmaceuticals P Ltd")</f>
        <v>Paksons Pharmaceuticals P Ltd</v>
      </c>
    </row>
    <row r="2718">
      <c r="H2718" s="19" t="str">
        <f>IFERROR(__xludf.DUMMYFUNCTION("""COMPUTED_VALUE"""),"PALSON DRUG")</f>
        <v>PALSON DRUG</v>
      </c>
    </row>
    <row r="2719">
      <c r="H2719" s="19" t="str">
        <f>IFERROR(__xludf.DUMMYFUNCTION("""COMPUTED_VALUE"""),"Palsons Derma")</f>
        <v>Palsons Derma</v>
      </c>
    </row>
    <row r="2720">
      <c r="H2720" s="19" t="str">
        <f>IFERROR(__xludf.DUMMYFUNCTION("""COMPUTED_VALUE"""),"PANACEA (DIACAR ALPHA)")</f>
        <v>PANACEA (DIACAR ALPHA)</v>
      </c>
    </row>
    <row r="2721">
      <c r="H2721" s="19" t="str">
        <f>IFERROR(__xludf.DUMMYFUNCTION("""COMPUTED_VALUE"""),"PANACEA BIOTEC")</f>
        <v>PANACEA BIOTEC</v>
      </c>
    </row>
    <row r="2722">
      <c r="H2722" s="19" t="str">
        <f>IFERROR(__xludf.DUMMYFUNCTION("""COMPUTED_VALUE"""),"PANACEA BIOTEC (GROW CARE)")</f>
        <v>PANACEA BIOTEC (GROW CARE)</v>
      </c>
    </row>
    <row r="2723">
      <c r="H2723" s="19" t="str">
        <f>IFERROR(__xludf.DUMMYFUNCTION("""COMPUTED_VALUE"""),"PANACEA BIOTEC (PRO CARE)")</f>
        <v>PANACEA BIOTEC (PRO CARE)</v>
      </c>
    </row>
    <row r="2724">
      <c r="H2724" s="19" t="str">
        <f>IFERROR(__xludf.DUMMYFUNCTION("""COMPUTED_VALUE"""),"PANACEA BIOTEC (TRANSPLANT)")</f>
        <v>PANACEA BIOTEC (TRANSPLANT)</v>
      </c>
    </row>
    <row r="2725">
      <c r="H2725" s="19" t="str">
        <f>IFERROR(__xludf.DUMMYFUNCTION("""COMPUTED_VALUE"""),"Panacea Biotec Ltd")</f>
        <v>Panacea Biotec Ltd</v>
      </c>
    </row>
    <row r="2726">
      <c r="H2726" s="19" t="str">
        <f>IFERROR(__xludf.DUMMYFUNCTION("""COMPUTED_VALUE"""),"PANASIA HERBAL PVT LTD")</f>
        <v>PANASIA HERBAL PVT LTD</v>
      </c>
    </row>
    <row r="2727">
      <c r="H2727" s="19" t="str">
        <f>IFERROR(__xludf.DUMMYFUNCTION("""COMPUTED_VALUE"""),"PANCHEM LIFE CARE PVT LTD")</f>
        <v>PANCHEM LIFE CARE PVT LTD</v>
      </c>
    </row>
    <row r="2728">
      <c r="H2728" s="19" t="str">
        <f>IFERROR(__xludf.DUMMYFUNCTION("""COMPUTED_VALUE"""),"PANJON LIMITED")</f>
        <v>PANJON LIMITED</v>
      </c>
    </row>
    <row r="2729">
      <c r="H2729" s="19" t="str">
        <f>IFERROR(__xludf.DUMMYFUNCTION("""COMPUTED_VALUE"""),"PANJON PHARMA")</f>
        <v>PANJON PHARMA</v>
      </c>
    </row>
    <row r="2730">
      <c r="H2730" s="19" t="str">
        <f>IFERROR(__xludf.DUMMYFUNCTION("""COMPUTED_VALUE"""),"PANKAJAKASTHURI HERBALS INDIA PVT LTD")</f>
        <v>PANKAJAKASTHURI HERBALS INDIA PVT LTD</v>
      </c>
    </row>
    <row r="2731">
      <c r="H2731" s="19" t="str">
        <f>IFERROR(__xludf.DUMMYFUNCTION("""COMPUTED_VALUE"""),"PANZER PHARMACEUTICALS")</f>
        <v>PANZER PHARMACEUTICALS</v>
      </c>
    </row>
    <row r="2732">
      <c r="H2732" s="19" t="str">
        <f>IFERROR(__xludf.DUMMYFUNCTION("""COMPUTED_VALUE"""),"PARABOLIC DRUGS LTD")</f>
        <v>PARABOLIC DRUGS LTD</v>
      </c>
    </row>
    <row r="2733">
      <c r="H2733" s="19" t="str">
        <f>IFERROR(__xludf.DUMMYFUNCTION("""COMPUTED_VALUE"""),"Paras Pharmaceuticals Ltd")</f>
        <v>Paras Pharmaceuticals Ltd</v>
      </c>
    </row>
    <row r="2734">
      <c r="H2734" s="19" t="str">
        <f>IFERROR(__xludf.DUMMYFUNCTION("""COMPUTED_VALUE"""),"PARASOL LAB")</f>
        <v>PARASOL LAB</v>
      </c>
    </row>
    <row r="2735">
      <c r="H2735" s="19" t="str">
        <f>IFERROR(__xludf.DUMMYFUNCTION("""COMPUTED_VALUE"""),"Parenteral Drugs (PDPL)")</f>
        <v>Parenteral Drugs (PDPL)</v>
      </c>
    </row>
    <row r="2736">
      <c r="H2736" s="19" t="str">
        <f>IFERROR(__xludf.DUMMYFUNCTION("""COMPUTED_VALUE"""),"PARENTERAL DRUGS INDIA LTD")</f>
        <v>PARENTERAL DRUGS INDIA LTD</v>
      </c>
    </row>
    <row r="2737">
      <c r="H2737" s="19" t="str">
        <f>IFERROR(__xludf.DUMMYFUNCTION("""COMPUTED_VALUE"""),"PARK BENZ LABORATORIES")</f>
        <v>PARK BENZ LABORATORIES</v>
      </c>
    </row>
    <row r="2738">
      <c r="H2738" s="19" t="str">
        <f>IFERROR(__xludf.DUMMYFUNCTION("""COMPUTED_VALUE"""),"PARK PHARMA")</f>
        <v>PARK PHARMA</v>
      </c>
    </row>
    <row r="2739">
      <c r="H2739" s="19" t="str">
        <f>IFERROR(__xludf.DUMMYFUNCTION("""COMPUTED_VALUE"""),"PARK PHARMACITUCALS SOLAN")</f>
        <v>PARK PHARMACITUCALS SOLAN</v>
      </c>
    </row>
    <row r="2740">
      <c r="H2740" s="19" t="str">
        <f>IFERROR(__xludf.DUMMYFUNCTION("""COMPUTED_VALUE"""),"PARRY PHARMA PVT LTD")</f>
        <v>PARRY PHARMA PVT LTD</v>
      </c>
    </row>
    <row r="2741">
      <c r="H2741" s="19" t="str">
        <f>IFERROR(__xludf.DUMMYFUNCTION("""COMPUTED_VALUE"""),"PARSH PHARMA NEMANVASA")</f>
        <v>PARSH PHARMA NEMANVASA</v>
      </c>
    </row>
    <row r="2742">
      <c r="H2742" s="19" t="str">
        <f>IFERROR(__xludf.DUMMYFUNCTION("""COMPUTED_VALUE"""),"PARSHWA LIFE SCIENCES")</f>
        <v>PARSHWA LIFE SCIENCES</v>
      </c>
    </row>
    <row r="2743">
      <c r="H2743" s="19" t="str">
        <f>IFERROR(__xludf.DUMMYFUNCTION("""COMPUTED_VALUE"""),"PARTH")</f>
        <v>PARTH</v>
      </c>
    </row>
    <row r="2744">
      <c r="H2744" s="19" t="str">
        <f>IFERROR(__xludf.DUMMYFUNCTION("""COMPUTED_VALUE"""),"PARTH REMEDIES")</f>
        <v>PARTH REMEDIES</v>
      </c>
    </row>
    <row r="2745">
      <c r="H2745" s="19" t="str">
        <f>IFERROR(__xludf.DUMMYFUNCTION("""COMPUTED_VALUE"""),"PARUL")</f>
        <v>PARUL</v>
      </c>
    </row>
    <row r="2746">
      <c r="H2746" s="19" t="str">
        <f>IFERROR(__xludf.DUMMYFUNCTION("""COMPUTED_VALUE"""),"PATANJALI AYURVED LTD")</f>
        <v>PATANJALI AYURVED LTD</v>
      </c>
    </row>
    <row r="2747">
      <c r="H2747" s="19" t="str">
        <f>IFERROR(__xludf.DUMMYFUNCTION("""COMPUTED_VALUE"""),"PATHAK AYURVEDIC PHARMACY")</f>
        <v>PATHAK AYURVEDIC PHARMACY</v>
      </c>
    </row>
    <row r="2748">
      <c r="H2748" s="19" t="str">
        <f>IFERROR(__xludf.DUMMYFUNCTION("""COMPUTED_VALUE"""),"PATLI DABUR HEALTHCARE")</f>
        <v>PATLI DABUR HEALTHCARE</v>
      </c>
    </row>
    <row r="2749">
      <c r="H2749" s="19" t="str">
        <f>IFERROR(__xludf.DUMMYFUNCTION("""COMPUTED_VALUE"""),"PATSON LABORATORIES")</f>
        <v>PATSON LABORATORIES</v>
      </c>
    </row>
    <row r="2750">
      <c r="H2750" s="19" t="str">
        <f>IFERROR(__xludf.DUMMYFUNCTION("""COMPUTED_VALUE"""),"PCI")</f>
        <v>PCI</v>
      </c>
    </row>
    <row r="2751">
      <c r="H2751" s="19" t="str">
        <f>IFERROR(__xludf.DUMMYFUNCTION("""COMPUTED_VALUE"""),"PEDIACARE BIOTECH")</f>
        <v>PEDIACARE BIOTECH</v>
      </c>
    </row>
    <row r="2752">
      <c r="H2752" s="19" t="str">
        <f>IFERROR(__xludf.DUMMYFUNCTION("""COMPUTED_VALUE"""),"PEDIAKIND PHARMA PVT LTD")</f>
        <v>PEDIAKIND PHARMA PVT LTD</v>
      </c>
    </row>
    <row r="2753">
      <c r="H2753" s="19" t="str">
        <f>IFERROR(__xludf.DUMMYFUNCTION("""COMPUTED_VALUE"""),"PEDIGREE")</f>
        <v>PEDIGREE</v>
      </c>
    </row>
    <row r="2754">
      <c r="H2754" s="19" t="str">
        <f>IFERROR(__xludf.DUMMYFUNCTION("""COMPUTED_VALUE"""),"PEELIFE PHARMACEUTICAL PVT LTD")</f>
        <v>PEELIFE PHARMACEUTICAL PVT LTD</v>
      </c>
    </row>
    <row r="2755">
      <c r="H2755" s="19" t="str">
        <f>IFERROR(__xludf.DUMMYFUNCTION("""COMPUTED_VALUE"""),"PEHAL LIFE SCIENCE P LTD")</f>
        <v>PEHAL LIFE SCIENCE P LTD</v>
      </c>
    </row>
    <row r="2756">
      <c r="H2756" s="19" t="str">
        <f>IFERROR(__xludf.DUMMYFUNCTION("""COMPUTED_VALUE"""),"PENTA PHARMA")</f>
        <v>PENTA PHARMA</v>
      </c>
    </row>
    <row r="2757">
      <c r="H2757" s="19" t="str">
        <f>IFERROR(__xludf.DUMMYFUNCTION("""COMPUTED_VALUE"""),"PENTAGON LABS LTD")</f>
        <v>PENTAGON LABS LTD</v>
      </c>
    </row>
    <row r="2758">
      <c r="H2758" s="19" t="str">
        <f>IFERROR(__xludf.DUMMYFUNCTION("""COMPUTED_VALUE"""),"PERCEPT PHARMA LTD")</f>
        <v>PERCEPT PHARMA LTD</v>
      </c>
    </row>
    <row r="2759">
      <c r="H2759" s="19" t="str">
        <f>IFERROR(__xludf.DUMMYFUNCTION("""COMPUTED_VALUE"""),"Percos India Pvt Ltd")</f>
        <v>Percos India Pvt Ltd</v>
      </c>
    </row>
    <row r="2760">
      <c r="H2760" s="19" t="str">
        <f>IFERROR(__xludf.DUMMYFUNCTION("""COMPUTED_VALUE"""),"PERILLA LIFE SCIENCE PVT LTD")</f>
        <v>PERILLA LIFE SCIENCE PVT LTD</v>
      </c>
    </row>
    <row r="2761">
      <c r="H2761" s="19" t="str">
        <f>IFERROR(__xludf.DUMMYFUNCTION("""COMPUTED_VALUE"""),"PFIZER (ALTIUS)")</f>
        <v>PFIZER (ALTIUS)</v>
      </c>
    </row>
    <row r="2762">
      <c r="H2762" s="19" t="str">
        <f>IFERROR(__xludf.DUMMYFUNCTION("""COMPUTED_VALUE"""),"PFIZER (CNS)")</f>
        <v>PFIZER (CNS)</v>
      </c>
    </row>
    <row r="2763">
      <c r="H2763" s="19" t="str">
        <f>IFERROR(__xludf.DUMMYFUNCTION("""COMPUTED_VALUE"""),"PFIZER (CRITICAL)")</f>
        <v>PFIZER (CRITICAL)</v>
      </c>
    </row>
    <row r="2764">
      <c r="H2764" s="19" t="str">
        <f>IFERROR(__xludf.DUMMYFUNCTION("""COMPUTED_VALUE"""),"PFIZER (FUTURA)")</f>
        <v>PFIZER (FUTURA)</v>
      </c>
    </row>
    <row r="2765">
      <c r="H2765" s="19" t="str">
        <f>IFERROR(__xludf.DUMMYFUNCTION("""COMPUTED_VALUE"""),"PFIZER (ICON CX)")</f>
        <v>PFIZER (ICON CX)</v>
      </c>
    </row>
    <row r="2766">
      <c r="H2766" s="19" t="str">
        <f>IFERROR(__xludf.DUMMYFUNCTION("""COMPUTED_VALUE"""),"PFIZER (INSULIN)")</f>
        <v>PFIZER (INSULIN)</v>
      </c>
    </row>
    <row r="2767">
      <c r="H2767" s="19" t="str">
        <f>IFERROR(__xludf.DUMMYFUNCTION("""COMPUTED_VALUE"""),"PFIZER (INTIMA)")</f>
        <v>PFIZER (INTIMA)</v>
      </c>
    </row>
    <row r="2768">
      <c r="H2768" s="19" t="str">
        <f>IFERROR(__xludf.DUMMYFUNCTION("""COMPUTED_VALUE"""),"PFIZER (MAGNUM)")</f>
        <v>PFIZER (MAGNUM)</v>
      </c>
    </row>
    <row r="2769">
      <c r="H2769" s="19" t="str">
        <f>IFERROR(__xludf.DUMMYFUNCTION("""COMPUTED_VALUE"""),"PFIZER (OTC)")</f>
        <v>PFIZER (OTC)</v>
      </c>
    </row>
    <row r="2770">
      <c r="H2770" s="19" t="str">
        <f>IFERROR(__xludf.DUMMYFUNCTION("""COMPUTED_VALUE"""),"PFIZER (PAIN TEAM)")</f>
        <v>PFIZER (PAIN TEAM)</v>
      </c>
    </row>
    <row r="2771">
      <c r="H2771" s="19" t="str">
        <f>IFERROR(__xludf.DUMMYFUNCTION("""COMPUTED_VALUE"""),"PFIZER (RESPIRATORY TEAM)")</f>
        <v>PFIZER (RESPIRATORY TEAM)</v>
      </c>
    </row>
    <row r="2772">
      <c r="H2772" s="19" t="str">
        <f>IFERROR(__xludf.DUMMYFUNCTION("""COMPUTED_VALUE"""),"PFIZER (SANJIVINI)")</f>
        <v>PFIZER (SANJIVINI)</v>
      </c>
    </row>
    <row r="2773">
      <c r="H2773" s="19" t="str">
        <f>IFERROR(__xludf.DUMMYFUNCTION("""COMPUTED_VALUE"""),"PFIZER (TEAM 5)")</f>
        <v>PFIZER (TEAM 5)</v>
      </c>
    </row>
    <row r="2774">
      <c r="H2774" s="19" t="str">
        <f>IFERROR(__xludf.DUMMYFUNCTION("""COMPUTED_VALUE"""),"PFIZER (ULTIMA)")</f>
        <v>PFIZER (ULTIMA)</v>
      </c>
    </row>
    <row r="2775">
      <c r="H2775" s="19" t="str">
        <f>IFERROR(__xludf.DUMMYFUNCTION("""COMPUTED_VALUE"""),"Pfizer Ltd")</f>
        <v>Pfizer Ltd</v>
      </c>
    </row>
    <row r="2776">
      <c r="H2776" s="19" t="str">
        <f>IFERROR(__xludf.DUMMYFUNCTION("""COMPUTED_VALUE"""),"Pfizer Ltd (CRITICAL)")</f>
        <v>Pfizer Ltd (CRITICAL)</v>
      </c>
    </row>
    <row r="2777">
      <c r="H2777" s="19" t="str">
        <f>IFERROR(__xludf.DUMMYFUNCTION("""COMPUTED_VALUE"""),"Pfizer Ltd&amp; UPJOHN PVT.LTD.")</f>
        <v>Pfizer Ltd&amp; UPJOHN PVT.LTD.</v>
      </c>
    </row>
    <row r="2778">
      <c r="H2778" s="19" t="str">
        <f>IFERROR(__xludf.DUMMYFUNCTION("""COMPUTED_VALUE"""),"PHARMA ASIA DRUG")</f>
        <v>PHARMA ASIA DRUG</v>
      </c>
    </row>
    <row r="2779">
      <c r="H2779" s="19" t="str">
        <f>IFERROR(__xludf.DUMMYFUNCTION("""COMPUTED_VALUE"""),"PHARMA CORP INC (GENERIC)")</f>
        <v>PHARMA CORP INC (GENERIC)</v>
      </c>
    </row>
    <row r="2780">
      <c r="H2780" s="19" t="str">
        <f>IFERROR(__xludf.DUMMYFUNCTION("""COMPUTED_VALUE"""),"Pharma Fabrikon")</f>
        <v>Pharma Fabrikon</v>
      </c>
    </row>
    <row r="2781">
      <c r="H2781" s="19" t="str">
        <f>IFERROR(__xludf.DUMMYFUNCTION("""COMPUTED_VALUE"""),"Pharma Link Pvt Ltd")</f>
        <v>Pharma Link Pvt Ltd</v>
      </c>
    </row>
    <row r="2782">
      <c r="H2782" s="19" t="str">
        <f>IFERROR(__xludf.DUMMYFUNCTION("""COMPUTED_VALUE"""),"PHARMA NOVA")</f>
        <v>PHARMA NOVA</v>
      </c>
    </row>
    <row r="2783">
      <c r="H2783" s="19" t="str">
        <f>IFERROR(__xludf.DUMMYFUNCTION("""COMPUTED_VALUE"""),"PHARMA PLANET INDIA")</f>
        <v>PHARMA PLANET INDIA</v>
      </c>
    </row>
    <row r="2784">
      <c r="H2784" s="19" t="str">
        <f>IFERROR(__xludf.DUMMYFUNCTION("""COMPUTED_VALUE"""),"PHARMA SYNTH FORMULATIONS LTD")</f>
        <v>PHARMA SYNTH FORMULATIONS LTD</v>
      </c>
    </row>
    <row r="2785">
      <c r="H2785" s="19" t="str">
        <f>IFERROR(__xludf.DUMMYFUNCTION("""COMPUTED_VALUE"""),"Pharma-Tech India")</f>
        <v>Pharma-Tech India</v>
      </c>
    </row>
    <row r="2786">
      <c r="H2786" s="19" t="str">
        <f>IFERROR(__xludf.DUMMYFUNCTION("""COMPUTED_VALUE"""),"PHARMACHEM PVT LTD")</f>
        <v>PHARMACHEM PVT LTD</v>
      </c>
    </row>
    <row r="2787">
      <c r="H2787" s="19" t="str">
        <f>IFERROR(__xludf.DUMMYFUNCTION("""COMPUTED_VALUE"""),"PHARMACIA &amp; UPJOHN PVT LTD")</f>
        <v>PHARMACIA &amp; UPJOHN PVT LTD</v>
      </c>
    </row>
    <row r="2788">
      <c r="H2788" s="19" t="str">
        <f>IFERROR(__xludf.DUMMYFUNCTION("""COMPUTED_VALUE"""),"PHARMACORPO INDIA")</f>
        <v>PHARMACORPO INDIA</v>
      </c>
    </row>
    <row r="2789">
      <c r="H2789" s="19" t="str">
        <f>IFERROR(__xludf.DUMMYFUNCTION("""COMPUTED_VALUE"""),"PHARMAKON LIFESCIENCES")</f>
        <v>PHARMAKON LIFESCIENCES</v>
      </c>
    </row>
    <row r="2790">
      <c r="H2790" s="19" t="str">
        <f>IFERROR(__xludf.DUMMYFUNCTION("""COMPUTED_VALUE"""),"PHARMALINK")</f>
        <v>PHARMALINK</v>
      </c>
    </row>
    <row r="2791">
      <c r="H2791" s="19" t="str">
        <f>IFERROR(__xludf.DUMMYFUNCTION("""COMPUTED_VALUE"""),"PHARMAMAN MEDITECH PVT LTD")</f>
        <v>PHARMAMAN MEDITECH PVT LTD</v>
      </c>
    </row>
    <row r="2792">
      <c r="H2792" s="19" t="str">
        <f>IFERROR(__xludf.DUMMYFUNCTION("""COMPUTED_VALUE"""),"PHARMANOVA (GYNIC)")</f>
        <v>PHARMANOVA (GYNIC)</v>
      </c>
    </row>
    <row r="2793">
      <c r="H2793" s="19" t="str">
        <f>IFERROR(__xludf.DUMMYFUNCTION("""COMPUTED_VALUE"""),"PHARMANOVA (OSTEOID)")</f>
        <v>PHARMANOVA (OSTEOID)</v>
      </c>
    </row>
    <row r="2794">
      <c r="H2794" s="19" t="str">
        <f>IFERROR(__xludf.DUMMYFUNCTION("""COMPUTED_VALUE"""),"Pharmanova India")</f>
        <v>Pharmanova India</v>
      </c>
    </row>
    <row r="2795">
      <c r="H2795" s="19" t="str">
        <f>IFERROR(__xludf.DUMMYFUNCTION("""COMPUTED_VALUE"""),"PHARMANOVA INDIA DRUGS PVT LTD")</f>
        <v>PHARMANOVA INDIA DRUGS PVT LTD</v>
      </c>
    </row>
    <row r="2796">
      <c r="H2796" s="19" t="str">
        <f>IFERROR(__xludf.DUMMYFUNCTION("""COMPUTED_VALUE"""),"PHARMANOVA SPECIALITIES")</f>
        <v>PHARMANOVA SPECIALITIES</v>
      </c>
    </row>
    <row r="2797">
      <c r="H2797" s="19" t="str">
        <f>IFERROR(__xludf.DUMMYFUNCTION("""COMPUTED_VALUE"""),"PHARMASIA")</f>
        <v>PHARMASIA</v>
      </c>
    </row>
    <row r="2798">
      <c r="H2798" s="19" t="str">
        <f>IFERROR(__xludf.DUMMYFUNCTION("""COMPUTED_VALUE"""),"PHARMASUN")</f>
        <v>PHARMASUN</v>
      </c>
    </row>
    <row r="2799">
      <c r="H2799" s="19" t="str">
        <f>IFERROR(__xludf.DUMMYFUNCTION("""COMPUTED_VALUE"""),"Pharmatak Opthalmics Pvt Ltd")</f>
        <v>Pharmatak Opthalmics Pvt Ltd</v>
      </c>
    </row>
    <row r="2800">
      <c r="H2800" s="19" t="str">
        <f>IFERROR(__xludf.DUMMYFUNCTION("""COMPUTED_VALUE"""),"Pharmatak Opthalmics Pvt Ltd OPTHALMICS")</f>
        <v>Pharmatak Opthalmics Pvt Ltd OPTHALMICS</v>
      </c>
    </row>
    <row r="2801">
      <c r="H2801" s="19" t="str">
        <f>IFERROR(__xludf.DUMMYFUNCTION("""COMPUTED_VALUE"""),"PHARMAVERSE")</f>
        <v>PHARMAVERSE</v>
      </c>
    </row>
    <row r="2802">
      <c r="H2802" s="19" t="str">
        <f>IFERROR(__xludf.DUMMYFUNCTION("""COMPUTED_VALUE"""),"PHARMAX INDIA PVT LTD")</f>
        <v>PHARMAX INDIA PVT LTD</v>
      </c>
    </row>
    <row r="2803">
      <c r="H2803" s="19" t="str">
        <f>IFERROR(__xludf.DUMMYFUNCTION("""COMPUTED_VALUE"""),"Pharmed Ltd")</f>
        <v>Pharmed Ltd</v>
      </c>
    </row>
    <row r="2804">
      <c r="H2804" s="19" t="str">
        <f>IFERROR(__xludf.DUMMYFUNCTION("""COMPUTED_VALUE"""),"PHARMIZA DRUGS PVT LTD")</f>
        <v>PHARMIZA DRUGS PVT LTD</v>
      </c>
    </row>
    <row r="2805">
      <c r="H2805" s="19" t="str">
        <f>IFERROR(__xludf.DUMMYFUNCTION("""COMPUTED_VALUE"""),"PHARMIZA DRUGS PVT LTD")</f>
        <v>PHARMIZA DRUGS PVT LTD</v>
      </c>
    </row>
    <row r="2806">
      <c r="H2806" s="19" t="str">
        <f>IFERROR(__xludf.DUMMYFUNCTION("""COMPUTED_VALUE"""),"PHARMTAK")</f>
        <v>PHARMTAK</v>
      </c>
    </row>
    <row r="2807">
      <c r="H2807" s="19" t="str">
        <f>IFERROR(__xludf.DUMMYFUNCTION("""COMPUTED_VALUE"""),"PHYCRUS REMEDIES PVT LTD")</f>
        <v>PHYCRUS REMEDIES PVT LTD</v>
      </c>
    </row>
    <row r="2808">
      <c r="H2808" s="19" t="str">
        <f>IFERROR(__xludf.DUMMYFUNCTION("""COMPUTED_VALUE"""),"PHYTO SPECIALITIES PVT LTD")</f>
        <v>PHYTO SPECIALITIES PVT LTD</v>
      </c>
    </row>
    <row r="2809">
      <c r="H2809" s="19" t="str">
        <f>IFERROR(__xludf.DUMMYFUNCTION("""COMPUTED_VALUE"""),"PICWELL PHARMACEUTICALS P LTD")</f>
        <v>PICWELL PHARMACEUTICALS P LTD</v>
      </c>
    </row>
    <row r="2810">
      <c r="H2810" s="19" t="str">
        <f>IFERROR(__xludf.DUMMYFUNCTION("""COMPUTED_VALUE"""),"PIFER PHARMACEUTICALS")</f>
        <v>PIFER PHARMACEUTICALS</v>
      </c>
    </row>
    <row r="2811">
      <c r="H2811" s="19" t="str">
        <f>IFERROR(__xludf.DUMMYFUNCTION("""COMPUTED_VALUE"""),"PILCO PHARMA PVT LTD")</f>
        <v>PILCO PHARMA PVT LTD</v>
      </c>
    </row>
    <row r="2812">
      <c r="H2812" s="19" t="str">
        <f>IFERROR(__xludf.DUMMYFUNCTION("""COMPUTED_VALUE"""),"PINEHEARTS HEALTHCARE")</f>
        <v>PINEHEARTS HEALTHCARE</v>
      </c>
    </row>
    <row r="2813">
      <c r="H2813" s="19" t="str">
        <f>IFERROR(__xludf.DUMMYFUNCTION("""COMPUTED_VALUE"""),"PINK HEALTH (BRD GROUP)")</f>
        <v>PINK HEALTH (BRD GROUP)</v>
      </c>
    </row>
    <row r="2814">
      <c r="H2814" s="19" t="str">
        <f>IFERROR(__xludf.DUMMYFUNCTION("""COMPUTED_VALUE"""),"PINK Health (Deleted)")</f>
        <v>PINK Health (Deleted)</v>
      </c>
    </row>
    <row r="2815">
      <c r="H2815" s="19" t="str">
        <f>IFERROR(__xludf.DUMMYFUNCTION("""COMPUTED_VALUE"""),"PIOMA CHEMICALS")</f>
        <v>PIOMA CHEMICALS</v>
      </c>
    </row>
    <row r="2816">
      <c r="H2816" s="19" t="str">
        <f>IFERROR(__xludf.DUMMYFUNCTION("""COMPUTED_VALUE"""),"PIRAMAL (ACUTE CARE)")</f>
        <v>PIRAMAL (ACUTE CARE)</v>
      </c>
    </row>
    <row r="2817">
      <c r="H2817" s="19" t="str">
        <f>IFERROR(__xludf.DUMMYFUNCTION("""COMPUTED_VALUE"""),"PIRAMAL (CARDIAC)")</f>
        <v>PIRAMAL (CARDIAC)</v>
      </c>
    </row>
    <row r="2818">
      <c r="H2818" s="19" t="str">
        <f>IFERROR(__xludf.DUMMYFUNCTION("""COMPUTED_VALUE"""),"PIRAMAL (CARDIO DIABETES)")</f>
        <v>PIRAMAL (CARDIO DIABETES)</v>
      </c>
    </row>
    <row r="2819">
      <c r="H2819" s="19" t="str">
        <f>IFERROR(__xludf.DUMMYFUNCTION("""COMPUTED_VALUE"""),"PIRAMAL (CNS TASK)")</f>
        <v>PIRAMAL (CNS TASK)</v>
      </c>
    </row>
    <row r="2820">
      <c r="H2820" s="19" t="str">
        <f>IFERROR(__xludf.DUMMYFUNCTION("""COMPUTED_VALUE"""),"PIRAMAL (CONSUMER)")</f>
        <v>PIRAMAL (CONSUMER)</v>
      </c>
    </row>
    <row r="2821">
      <c r="H2821" s="19" t="str">
        <f>IFERROR(__xludf.DUMMYFUNCTION("""COMPUTED_VALUE"""),"PIRAMAL (CRITICAL CARDIOLOGY)")</f>
        <v>PIRAMAL (CRITICAL CARDIOLOGY)</v>
      </c>
    </row>
    <row r="2822">
      <c r="H2822" s="19" t="str">
        <f>IFERROR(__xludf.DUMMYFUNCTION("""COMPUTED_VALUE"""),"PIRAMAL (CTF)")</f>
        <v>PIRAMAL (CTF)</v>
      </c>
    </row>
    <row r="2823">
      <c r="H2823" s="19" t="str">
        <f>IFERROR(__xludf.DUMMYFUNCTION("""COMPUTED_VALUE"""),"PIRAMAL (DERMA COSMETICS)")</f>
        <v>PIRAMAL (DERMA COSMETICS)</v>
      </c>
    </row>
    <row r="2824">
      <c r="H2824" s="19" t="str">
        <f>IFERROR(__xludf.DUMMYFUNCTION("""COMPUTED_VALUE"""),"PIRAMAL (DERMA)")</f>
        <v>PIRAMAL (DERMA)</v>
      </c>
    </row>
    <row r="2825">
      <c r="H2825" s="19" t="str">
        <f>IFERROR(__xludf.DUMMYFUNCTION("""COMPUTED_VALUE"""),"PIRAMAL (DIABETES)")</f>
        <v>PIRAMAL (DIABETES)</v>
      </c>
    </row>
    <row r="2826">
      <c r="H2826" s="19" t="str">
        <f>IFERROR(__xludf.DUMMYFUNCTION("""COMPUTED_VALUE"""),"PIRAMAL (DIABITIES TASK FORCE)")</f>
        <v>PIRAMAL (DIABITIES TASK FORCE)</v>
      </c>
    </row>
    <row r="2827">
      <c r="H2827" s="19" t="str">
        <f>IFERROR(__xludf.DUMMYFUNCTION("""COMPUTED_VALUE"""),"PIRAMAL (ENDURA)")</f>
        <v>PIRAMAL (ENDURA)</v>
      </c>
    </row>
    <row r="2828">
      <c r="H2828" s="19" t="str">
        <f>IFERROR(__xludf.DUMMYFUNCTION("""COMPUTED_VALUE"""),"PIRAMAL (ENTERPRISES)")</f>
        <v>PIRAMAL (ENTERPRISES)</v>
      </c>
    </row>
    <row r="2829">
      <c r="H2829" s="19" t="str">
        <f>IFERROR(__xludf.DUMMYFUNCTION("""COMPUTED_VALUE"""),"PIRAMAL (GENERAL MEDICINE)")</f>
        <v>PIRAMAL (GENERAL MEDICINE)</v>
      </c>
    </row>
    <row r="2830">
      <c r="H2830" s="19" t="str">
        <f>IFERROR(__xludf.DUMMYFUNCTION("""COMPUTED_VALUE"""),"PIRAMAL (GENNEXT)")</f>
        <v>PIRAMAL (GENNEXT)</v>
      </c>
    </row>
    <row r="2831">
      <c r="H2831" s="19" t="str">
        <f>IFERROR(__xludf.DUMMYFUNCTION("""COMPUTED_VALUE"""),"PIRAMAL (MULTI SPECIALITY)")</f>
        <v>PIRAMAL (MULTI SPECIALITY)</v>
      </c>
    </row>
    <row r="2832">
      <c r="H2832" s="19" t="str">
        <f>IFERROR(__xludf.DUMMYFUNCTION("""COMPUTED_VALUE"""),"PIRAMAL (MULTY THERAPY)")</f>
        <v>PIRAMAL (MULTY THERAPY)</v>
      </c>
    </row>
    <row r="2833">
      <c r="H2833" s="19" t="str">
        <f>IFERROR(__xludf.DUMMYFUNCTION("""COMPUTED_VALUE"""),"PIRAMAL (NEURO PSYCHIATRY)")</f>
        <v>PIRAMAL (NEURO PSYCHIATRY)</v>
      </c>
    </row>
    <row r="2834">
      <c r="H2834" s="19" t="str">
        <f>IFERROR(__xludf.DUMMYFUNCTION("""COMPUTED_VALUE"""),"PIRAMAL (NPD)")</f>
        <v>PIRAMAL (NPD)</v>
      </c>
    </row>
    <row r="2835">
      <c r="H2835" s="19" t="str">
        <f>IFERROR(__xludf.DUMMYFUNCTION("""COMPUTED_VALUE"""),"PIRAMAL (ORTHO TASK FORCE)")</f>
        <v>PIRAMAL (ORTHO TASK FORCE)</v>
      </c>
    </row>
    <row r="2836">
      <c r="H2836" s="19" t="str">
        <f>IFERROR(__xludf.DUMMYFUNCTION("""COMPUTED_VALUE"""),"PIRAMAL (ORTHO)")</f>
        <v>PIRAMAL (ORTHO)</v>
      </c>
    </row>
    <row r="2837">
      <c r="H2837" s="19" t="str">
        <f>IFERROR(__xludf.DUMMYFUNCTION("""COMPUTED_VALUE"""),"PIRAMAL (PAIN MANAGEMENT)")</f>
        <v>PIRAMAL (PAIN MANAGEMENT)</v>
      </c>
    </row>
    <row r="2838">
      <c r="H2838" s="19" t="str">
        <f>IFERROR(__xludf.DUMMYFUNCTION("""COMPUTED_VALUE"""),"PIRAMAL (PLATINA)")</f>
        <v>PIRAMAL (PLATINA)</v>
      </c>
    </row>
    <row r="2839">
      <c r="H2839" s="19" t="str">
        <f>IFERROR(__xludf.DUMMYFUNCTION("""COMPUTED_VALUE"""),"PIRAMAL (RESPICARE)")</f>
        <v>PIRAMAL (RESPICARE)</v>
      </c>
    </row>
    <row r="2840">
      <c r="H2840" s="19" t="str">
        <f>IFERROR(__xludf.DUMMYFUNCTION("""COMPUTED_VALUE"""),"PIRAMAL (RESTORA)")</f>
        <v>PIRAMAL (RESTORA)</v>
      </c>
    </row>
    <row r="2841">
      <c r="H2841" s="19" t="str">
        <f>IFERROR(__xludf.DUMMYFUNCTION("""COMPUTED_VALUE"""),"PIRAMAL (S C GLEDEPA)")</f>
        <v>PIRAMAL (S C GLEDEPA)</v>
      </c>
    </row>
    <row r="2842">
      <c r="H2842" s="19" t="str">
        <f>IFERROR(__xludf.DUMMYFUNCTION("""COMPUTED_VALUE"""),"PIRAMAL (S C METALIFE)")</f>
        <v>PIRAMAL (S C METALIFE)</v>
      </c>
    </row>
    <row r="2843">
      <c r="H2843" s="19" t="str">
        <f>IFERROR(__xludf.DUMMYFUNCTION("""COMPUTED_VALUE"""),"PIRAMAL (SOLVAY)")</f>
        <v>PIRAMAL (SOLVAY)</v>
      </c>
    </row>
    <row r="2844">
      <c r="H2844" s="19" t="str">
        <f>IFERROR(__xludf.DUMMYFUNCTION("""COMPUTED_VALUE"""),"PIRAMAL (TM PENTIDS)")</f>
        <v>PIRAMAL (TM PENTIDS)</v>
      </c>
    </row>
    <row r="2845">
      <c r="H2845" s="19" t="str">
        <f>IFERROR(__xludf.DUMMYFUNCTION("""COMPUTED_VALUE"""),"Piramal Healthcare Limited")</f>
        <v>Piramal Healthcare Limited</v>
      </c>
    </row>
    <row r="2846">
      <c r="H2846" s="19" t="str">
        <f>IFERROR(__xludf.DUMMYFUNCTION("""COMPUTED_VALUE"""),"PIRAMAL SPCLTS")</f>
        <v>PIRAMAL SPCLTS</v>
      </c>
    </row>
    <row r="2847">
      <c r="H2847" s="19" t="str">
        <f>IFERROR(__xludf.DUMMYFUNCTION("""COMPUTED_VALUE"""),"PITAMBARI PRODUCTS")</f>
        <v>PITAMBARI PRODUCTS</v>
      </c>
    </row>
    <row r="2848">
      <c r="H2848" s="19" t="str">
        <f>IFERROR(__xludf.DUMMYFUNCTION("""COMPUTED_VALUE"""),"Planet Ayurveda")</f>
        <v>Planet Ayurveda</v>
      </c>
    </row>
    <row r="2849">
      <c r="H2849" s="19" t="str">
        <f>IFERROR(__xludf.DUMMYFUNCTION("""COMPUTED_VALUE"""),"PLANET HERBS LIFESCIENCES")</f>
        <v>PLANET HERBS LIFESCIENCES</v>
      </c>
    </row>
    <row r="2850">
      <c r="H2850" s="19" t="str">
        <f>IFERROR(__xludf.DUMMYFUNCTION("""COMPUTED_VALUE"""),"PLASMA HEALTH CARE")</f>
        <v>PLASMA HEALTH CARE</v>
      </c>
    </row>
    <row r="2851">
      <c r="H2851" s="19" t="str">
        <f>IFERROR(__xludf.DUMMYFUNCTION("""COMPUTED_VALUE"""),"PLASMAGEN BIOSCIENCES PVT LTD")</f>
        <v>PLASMAGEN BIOSCIENCES PVT LTD</v>
      </c>
    </row>
    <row r="2852">
      <c r="H2852" s="19" t="str">
        <f>IFERROR(__xludf.DUMMYFUNCTION("""COMPUTED_VALUE"""),"PLASMID HEALTH CARE")</f>
        <v>PLASMID HEALTH CARE</v>
      </c>
    </row>
    <row r="2853">
      <c r="H2853" s="19" t="str">
        <f>IFERROR(__xludf.DUMMYFUNCTION("""COMPUTED_VALUE"""),"PLASMOGEN BIOSCIENCES")</f>
        <v>PLASMOGEN BIOSCIENCES</v>
      </c>
    </row>
    <row r="2854">
      <c r="H2854" s="19" t="str">
        <f>IFERROR(__xludf.DUMMYFUNCTION("""COMPUTED_VALUE"""),"PLEASANT PHARMACEUTICAL PVT LTD")</f>
        <v>PLEASANT PHARMACEUTICAL PVT LTD</v>
      </c>
    </row>
    <row r="2855">
      <c r="H2855" s="19" t="str">
        <f>IFERROR(__xludf.DUMMYFUNCTION("""COMPUTED_VALUE"""),"PLENTEOUS PHARMACEUTICALS LTD")</f>
        <v>PLENTEOUS PHARMACEUTICALS LTD</v>
      </c>
    </row>
    <row r="2856">
      <c r="H2856" s="19" t="str">
        <f>IFERROR(__xludf.DUMMYFUNCTION("""COMPUTED_VALUE"""),"PLETHICO (VOLANT)")</f>
        <v>PLETHICO (VOLANT)</v>
      </c>
    </row>
    <row r="2857">
      <c r="H2857" s="19" t="str">
        <f>IFERROR(__xludf.DUMMYFUNCTION("""COMPUTED_VALUE"""),"POCKET HEALTHCARE PVT LTD")</f>
        <v>POCKET HEALTHCARE PVT LTD</v>
      </c>
    </row>
    <row r="2858">
      <c r="H2858" s="19" t="str">
        <f>IFERROR(__xludf.DUMMYFUNCTION("""COMPUTED_VALUE"""),"POCKET PHARMACY")</f>
        <v>POCKET PHARMACY</v>
      </c>
    </row>
    <row r="2859">
      <c r="H2859" s="19" t="str">
        <f>IFERROR(__xludf.DUMMYFUNCTION("""COMPUTED_VALUE"""),"POLARSTAR LTD.")</f>
        <v>POLARSTAR LTD.</v>
      </c>
    </row>
    <row r="2860">
      <c r="H2860" s="19" t="str">
        <f>IFERROR(__xludf.DUMMYFUNCTION("""COMPUTED_VALUE"""),"POLY MEDICURE PVT LTD")</f>
        <v>POLY MEDICURE PVT LTD</v>
      </c>
    </row>
    <row r="2861">
      <c r="H2861" s="19" t="str">
        <f>IFERROR(__xludf.DUMMYFUNCTION("""COMPUTED_VALUE"""),"POLYBOND INDIA PVT LTD")</f>
        <v>POLYBOND INDIA PVT LTD</v>
      </c>
    </row>
    <row r="2862">
      <c r="H2862" s="19" t="str">
        <f>IFERROR(__xludf.DUMMYFUNCTION("""COMPUTED_VALUE"""),"PONOOGUN HEALTHCARE PVT LTD")</f>
        <v>PONOOGUN HEALTHCARE PVT LTD</v>
      </c>
    </row>
    <row r="2863">
      <c r="H2863" s="19" t="str">
        <f>IFERROR(__xludf.DUMMYFUNCTION("""COMPUTED_VALUE"""),"POPULATION HEALTH SERVICE INDIA")</f>
        <v>POPULATION HEALTH SERVICE INDIA</v>
      </c>
    </row>
    <row r="2864">
      <c r="H2864" s="19" t="str">
        <f>IFERROR(__xludf.DUMMYFUNCTION("""COMPUTED_VALUE"""),"POSITIF PHARMA")</f>
        <v>POSITIF PHARMA</v>
      </c>
    </row>
    <row r="2865">
      <c r="H2865" s="19" t="str">
        <f>IFERROR(__xludf.DUMMYFUNCTION("""COMPUTED_VALUE"""),"PPL HEALTH CARE")</f>
        <v>PPL HEALTH CARE</v>
      </c>
    </row>
    <row r="2866">
      <c r="H2866" s="19" t="str">
        <f>IFERROR(__xludf.DUMMYFUNCTION("""COMPUTED_VALUE"""),"PRAANACHARYA")</f>
        <v>PRAANACHARYA</v>
      </c>
    </row>
    <row r="2867">
      <c r="H2867" s="19" t="str">
        <f>IFERROR(__xludf.DUMMYFUNCTION("""COMPUTED_VALUE"""),"PRAD PHARMA PRODUCT UJJAIN")</f>
        <v>PRAD PHARMA PRODUCT UJJAIN</v>
      </c>
    </row>
    <row r="2868">
      <c r="H2868" s="19" t="str">
        <f>IFERROR(__xludf.DUMMYFUNCTION("""COMPUTED_VALUE"""),"PRAISE PHARMA")</f>
        <v>PRAISE PHARMA</v>
      </c>
    </row>
    <row r="2869">
      <c r="H2869" s="19" t="str">
        <f>IFERROR(__xludf.DUMMYFUNCTION("""COMPUTED_VALUE"""),"PRANO FLEX (INDIA) PVT LTD")</f>
        <v>PRANO FLEX (INDIA) PVT LTD</v>
      </c>
    </row>
    <row r="2870">
      <c r="H2870" s="19" t="str">
        <f>IFERROR(__xludf.DUMMYFUNCTION("""COMPUTED_VALUE"""),"PRATHANA PHARMA")</f>
        <v>PRATHANA PHARMA</v>
      </c>
    </row>
    <row r="2871">
      <c r="H2871" s="19" t="str">
        <f>IFERROR(__xludf.DUMMYFUNCTION("""COMPUTED_VALUE"""),"PRAVEK KALP HERBAL")</f>
        <v>PRAVEK KALP HERBAL</v>
      </c>
    </row>
    <row r="2872">
      <c r="H2872" s="19" t="str">
        <f>IFERROR(__xludf.DUMMYFUNCTION("""COMPUTED_VALUE"""),"PRAYAS PHARMACEUTICALS")</f>
        <v>PRAYAS PHARMACEUTICALS</v>
      </c>
    </row>
    <row r="2873">
      <c r="H2873" s="19" t="str">
        <f>IFERROR(__xludf.DUMMYFUNCTION("""COMPUTED_VALUE"""),"PRECEPT PHARMA LTD")</f>
        <v>PRECEPT PHARMA LTD</v>
      </c>
    </row>
    <row r="2874">
      <c r="H2874" s="19" t="str">
        <f>IFERROR(__xludf.DUMMYFUNCTION("""COMPUTED_VALUE"""),"Precia Pharma")</f>
        <v>Precia Pharma</v>
      </c>
    </row>
    <row r="2875">
      <c r="H2875" s="19" t="str">
        <f>IFERROR(__xludf.DUMMYFUNCTION("""COMPUTED_VALUE"""),"PRECIOUS LIFE SCIENCE")</f>
        <v>PRECIOUS LIFE SCIENCE</v>
      </c>
    </row>
    <row r="2876">
      <c r="H2876" s="19" t="str">
        <f>IFERROR(__xludf.DUMMYFUNCTION("""COMPUTED_VALUE"""),"PRECIOUS PHARMA")</f>
        <v>PRECIOUS PHARMA</v>
      </c>
    </row>
    <row r="2877">
      <c r="H2877" s="19" t="str">
        <f>IFERROR(__xludf.DUMMYFUNCTION("""COMPUTED_VALUE"""),"PRECISE HEALTHCARE PVT LTD")</f>
        <v>PRECISE HEALTHCARE PVT LTD</v>
      </c>
    </row>
    <row r="2878">
      <c r="H2878" s="19" t="str">
        <f>IFERROR(__xludf.DUMMYFUNCTION("""COMPUTED_VALUE"""),"PRECTOR LIFESCIENCES")</f>
        <v>PRECTOR LIFESCIENCES</v>
      </c>
    </row>
    <row r="2879">
      <c r="H2879" s="19" t="str">
        <f>IFERROR(__xludf.DUMMYFUNCTION("""COMPUTED_VALUE"""),"PREKEM PHARMACEUTICALS")</f>
        <v>PREKEM PHARMACEUTICALS</v>
      </c>
    </row>
    <row r="2880">
      <c r="H2880" s="19" t="str">
        <f>IFERROR(__xludf.DUMMYFUNCTION("""COMPUTED_VALUE"""),"Prem Pharmaceuticals Ltd")</f>
        <v>Prem Pharmaceuticals Ltd</v>
      </c>
    </row>
    <row r="2881">
      <c r="H2881" s="19" t="str">
        <f>IFERROR(__xludf.DUMMYFUNCTION("""COMPUTED_VALUE"""),"Premier Nutraceuticals Pvt Ltd")</f>
        <v>Premier Nutraceuticals Pvt Ltd</v>
      </c>
    </row>
    <row r="2882">
      <c r="H2882" s="19" t="str">
        <f>IFERROR(__xludf.DUMMYFUNCTION("""COMPUTED_VALUE"""),"PREMIUM SERUMS AND VACCINES PVT LTD")</f>
        <v>PREMIUM SERUMS AND VACCINES PVT LTD</v>
      </c>
    </row>
    <row r="2883">
      <c r="H2883" s="19" t="str">
        <f>IFERROR(__xludf.DUMMYFUNCTION("""COMPUTED_VALUE"""),"PRESCRIPTION MEDICINES PVT LTD")</f>
        <v>PRESCRIPTION MEDICINES PVT LTD</v>
      </c>
    </row>
    <row r="2884">
      <c r="H2884" s="19" t="str">
        <f>IFERROR(__xludf.DUMMYFUNCTION("""COMPUTED_VALUE"""),"PRESINUS PHARMACEUTICAL")</f>
        <v>PRESINUS PHARMACEUTICAL</v>
      </c>
    </row>
    <row r="2885">
      <c r="H2885" s="19" t="str">
        <f>IFERROR(__xludf.DUMMYFUNCTION("""COMPUTED_VALUE"""),"PRETIUM PHARMACEUTICALS")</f>
        <v>PRETIUM PHARMACEUTICALS</v>
      </c>
    </row>
    <row r="2886">
      <c r="H2886" s="19" t="str">
        <f>IFERROR(__xludf.DUMMYFUNCTION("""COMPUTED_VALUE"""),"PREVEGO HEALTHCARE &amp; RESEARCH PVT LTD")</f>
        <v>PREVEGO HEALTHCARE &amp; RESEARCH PVT LTD</v>
      </c>
    </row>
    <row r="2887">
      <c r="H2887" s="19" t="str">
        <f>IFERROR(__xludf.DUMMYFUNCTION("""COMPUTED_VALUE"""),"PRICON SYRINGES AND NEEDLES")</f>
        <v>PRICON SYRINGES AND NEEDLES</v>
      </c>
    </row>
    <row r="2888">
      <c r="H2888" s="19" t="str">
        <f>IFERROR(__xludf.DUMMYFUNCTION("""COMPUTED_VALUE"""),"PRIDE HEALTHCARE LLP")</f>
        <v>PRIDE HEALTHCARE LLP</v>
      </c>
    </row>
    <row r="2889">
      <c r="H2889" s="19" t="str">
        <f>IFERROR(__xludf.DUMMYFUNCTION("""COMPUTED_VALUE"""),"PRIME LIFE SCIENCES")</f>
        <v>PRIME LIFE SCIENCES</v>
      </c>
    </row>
    <row r="2890">
      <c r="H2890" s="19" t="str">
        <f>IFERROR(__xludf.DUMMYFUNCTION("""COMPUTED_VALUE"""),"PRIMUS PHARMACEUTICALS")</f>
        <v>PRIMUS PHARMACEUTICALS</v>
      </c>
    </row>
    <row r="2891">
      <c r="H2891" s="19" t="str">
        <f>IFERROR(__xludf.DUMMYFUNCTION("""COMPUTED_VALUE"""),"PRINCE (PROLIFIC)")</f>
        <v>PRINCE (PROLIFIC)</v>
      </c>
    </row>
    <row r="2892">
      <c r="H2892" s="19" t="str">
        <f>IFERROR(__xludf.DUMMYFUNCTION("""COMPUTED_VALUE"""),"PRINCE (SUPPLICO)")</f>
        <v>PRINCE (SUPPLICO)</v>
      </c>
    </row>
    <row r="2893">
      <c r="H2893" s="19" t="str">
        <f>IFERROR(__xludf.DUMMYFUNCTION("""COMPUTED_VALUE"""),"PRINCE CARE PHARMA PVT LTD")</f>
        <v>PRINCE CARE PHARMA PVT LTD</v>
      </c>
    </row>
    <row r="2894">
      <c r="H2894" s="19" t="str">
        <f>IFERROR(__xludf.DUMMYFUNCTION("""COMPUTED_VALUE"""),"PRISM (DENTAL)")</f>
        <v>PRISM (DENTAL)</v>
      </c>
    </row>
    <row r="2895">
      <c r="H2895" s="19" t="str">
        <f>IFERROR(__xludf.DUMMYFUNCTION("""COMPUTED_VALUE"""),"PRISM (DERMA)")</f>
        <v>PRISM (DERMA)</v>
      </c>
    </row>
    <row r="2896">
      <c r="H2896" s="19" t="str">
        <f>IFERROR(__xludf.DUMMYFUNCTION("""COMPUTED_VALUE"""),"PRISM LIFE SCIENCES")</f>
        <v>PRISM LIFE SCIENCES</v>
      </c>
    </row>
    <row r="2897">
      <c r="H2897" s="19" t="str">
        <f>IFERROR(__xludf.DUMMYFUNCTION("""COMPUTED_VALUE"""),"PRO LABORATORIES PVT LTD")</f>
        <v>PRO LABORATORIES PVT LTD</v>
      </c>
    </row>
    <row r="2898">
      <c r="H2898" s="19" t="str">
        <f>IFERROR(__xludf.DUMMYFUNCTION("""COMPUTED_VALUE"""),"PROCTER &amp; GAMBLE")</f>
        <v>PROCTER &amp; GAMBLE</v>
      </c>
    </row>
    <row r="2899">
      <c r="H2899" s="19" t="str">
        <f>IFERROR(__xludf.DUMMYFUNCTION("""COMPUTED_VALUE"""),"PROCTOR ORGANICS PVT LTD")</f>
        <v>PROCTOR ORGANICS PVT LTD</v>
      </c>
    </row>
    <row r="2900">
      <c r="H2900" s="19" t="str">
        <f>IFERROR(__xludf.DUMMYFUNCTION("""COMPUTED_VALUE"""),"Product Name")</f>
        <v>Product Name</v>
      </c>
    </row>
    <row r="2901">
      <c r="H2901" s="19" t="str">
        <f>IFERROR(__xludf.DUMMYFUNCTION("""COMPUTED_VALUE"""),"PROFAM HEALTHCARE")</f>
        <v>PROFAM HEALTHCARE</v>
      </c>
    </row>
    <row r="2902">
      <c r="H2902" s="19" t="str">
        <f>IFERROR(__xludf.DUMMYFUNCTION("""COMPUTED_VALUE"""),"PROFIC ORGANIC LIMITED")</f>
        <v>PROFIC ORGANIC LIMITED</v>
      </c>
    </row>
    <row r="2903">
      <c r="H2903" s="19" t="str">
        <f>IFERROR(__xludf.DUMMYFUNCTION("""COMPUTED_VALUE"""),"PROGRESSIVE LIFE CARE")</f>
        <v>PROGRESSIVE LIFE CARE</v>
      </c>
    </row>
    <row r="2904">
      <c r="H2904" s="19" t="str">
        <f>IFERROR(__xludf.DUMMYFUNCTION("""COMPUTED_VALUE"""),"PROHEALTH VITAMIN")</f>
        <v>PROHEALTH VITAMIN</v>
      </c>
    </row>
    <row r="2905">
      <c r="H2905" s="19" t="str">
        <f>IFERROR(__xludf.DUMMYFUNCTION("""COMPUTED_VALUE"""),"PROLIDAC HEALTHCARE")</f>
        <v>PROLIDAC HEALTHCARE</v>
      </c>
    </row>
    <row r="2906">
      <c r="H2906" s="19" t="str">
        <f>IFERROR(__xludf.DUMMYFUNCTION("""COMPUTED_VALUE"""),"PROMINENT BIOTECH")</f>
        <v>PROMINENT BIOTECH</v>
      </c>
    </row>
    <row r="2907">
      <c r="H2907" s="19" t="str">
        <f>IFERROR(__xludf.DUMMYFUNCTION("""COMPUTED_VALUE"""),"PRONTOCURE PHARMA P LTD")</f>
        <v>PRONTOCURE PHARMA P LTD</v>
      </c>
    </row>
    <row r="2908">
      <c r="H2908" s="19" t="str">
        <f>IFERROR(__xludf.DUMMYFUNCTION("""COMPUTED_VALUE"""),"PROSAIC PHARMACEUTICALS (MEDICINE)")</f>
        <v>PROSAIC PHARMACEUTICALS (MEDICINE)</v>
      </c>
    </row>
    <row r="2909">
      <c r="H2909" s="19" t="str">
        <f>IFERROR(__xludf.DUMMYFUNCTION("""COMPUTED_VALUE"""),"PROSPER")</f>
        <v>PROSPER</v>
      </c>
    </row>
    <row r="2910">
      <c r="H2910" s="19" t="str">
        <f>IFERROR(__xludf.DUMMYFUNCTION("""COMPUTED_VALUE"""),"PROVIS")</f>
        <v>PROVIS</v>
      </c>
    </row>
    <row r="2911">
      <c r="H2911" s="19" t="str">
        <f>IFERROR(__xludf.DUMMYFUNCTION("""COMPUTED_VALUE"""),"PSI INDIA PVT LTD")</f>
        <v>PSI INDIA PVT LTD</v>
      </c>
    </row>
    <row r="2912">
      <c r="H2912" s="19" t="str">
        <f>IFERROR(__xludf.DUMMYFUNCTION("""COMPUTED_VALUE"""),"PSYCHOCARE")</f>
        <v>PSYCHOCARE</v>
      </c>
    </row>
    <row r="2913">
      <c r="H2913" s="19" t="str">
        <f>IFERROR(__xludf.DUMMYFUNCTION("""COMPUTED_VALUE"""),"PSYCHOTROPICS INDIA LIMITED (GENERIC)")</f>
        <v>PSYCHOTROPICS INDIA LIMITED (GENERIC)</v>
      </c>
    </row>
    <row r="2914">
      <c r="H2914" s="19" t="str">
        <f>IFERROR(__xludf.DUMMYFUNCTION("""COMPUTED_VALUE"""),"PSYCHOTROPICS INDIA LTD")</f>
        <v>PSYCHOTROPICS INDIA LTD</v>
      </c>
    </row>
    <row r="2915">
      <c r="H2915" s="19" t="str">
        <f>IFERROR(__xludf.DUMMYFUNCTION("""COMPUTED_VALUE"""),"PSYCHOTROPICS INDIA LTD (FORMULATION)")</f>
        <v>PSYCHOTROPICS INDIA LTD (FORMULATION)</v>
      </c>
    </row>
    <row r="2916">
      <c r="H2916" s="19" t="str">
        <f>IFERROR(__xludf.DUMMYFUNCTION("""COMPUTED_VALUE"""),"PSYCHOTROPICS INDIA LTD (RADICAL)")</f>
        <v>PSYCHOTROPICS INDIA LTD (RADICAL)</v>
      </c>
    </row>
    <row r="2917">
      <c r="H2917" s="19" t="str">
        <f>IFERROR(__xludf.DUMMYFUNCTION("""COMPUTED_VALUE"""),"PSYCOGEN CAPTAB")</f>
        <v>PSYCOGEN CAPTAB</v>
      </c>
    </row>
    <row r="2918">
      <c r="H2918" s="19" t="str">
        <f>IFERROR(__xludf.DUMMYFUNCTION("""COMPUTED_VALUE"""),"Psycormedies")</f>
        <v>Psycormedies</v>
      </c>
    </row>
    <row r="2919">
      <c r="H2919" s="19" t="str">
        <f>IFERROR(__xludf.DUMMYFUNCTION("""COMPUTED_VALUE"""),"PT RAMESHWARLAL JAYNARAYAN")</f>
        <v>PT RAMESHWARLAL JAYNARAYAN</v>
      </c>
    </row>
    <row r="2920">
      <c r="H2920" s="19" t="str">
        <f>IFERROR(__xludf.DUMMYFUNCTION("""COMPUTED_VALUE"""),"PULSE (STIMULUS)")</f>
        <v>PULSE (STIMULUS)</v>
      </c>
    </row>
    <row r="2921">
      <c r="H2921" s="19" t="str">
        <f>IFERROR(__xludf.DUMMYFUNCTION("""COMPUTED_VALUE"""),"PULSE NUTRI SCIENCE PVT LTD")</f>
        <v>PULSE NUTRI SCIENCE PVT LTD</v>
      </c>
    </row>
    <row r="2922">
      <c r="H2922" s="19" t="str">
        <f>IFERROR(__xludf.DUMMYFUNCTION("""COMPUTED_VALUE"""),"Pulse Pharmaceuticals")</f>
        <v>Pulse Pharmaceuticals</v>
      </c>
    </row>
    <row r="2923">
      <c r="H2923" s="19" t="str">
        <f>IFERROR(__xludf.DUMMYFUNCTION("""COMPUTED_VALUE"""),"PULVIN PHARMACEUTICALS")</f>
        <v>PULVIN PHARMACEUTICALS</v>
      </c>
    </row>
    <row r="2924">
      <c r="H2924" s="19" t="str">
        <f>IFERROR(__xludf.DUMMYFUNCTION("""COMPUTED_VALUE"""),"Pure Derma")</f>
        <v>Pure Derma</v>
      </c>
    </row>
    <row r="2925">
      <c r="H2925" s="19" t="str">
        <f>IFERROR(__xludf.DUMMYFUNCTION("""COMPUTED_VALUE"""),"PUREMED BIOTECH")</f>
        <v>PUREMED BIOTECH</v>
      </c>
    </row>
    <row r="2926">
      <c r="H2926" s="19" t="str">
        <f>IFERROR(__xludf.DUMMYFUNCTION("""COMPUTED_VALUE"""),"PUREMED BIOTECH (CARDIMED)")</f>
        <v>PUREMED BIOTECH (CARDIMED)</v>
      </c>
    </row>
    <row r="2927">
      <c r="H2927" s="19" t="str">
        <f>IFERROR(__xludf.DUMMYFUNCTION("""COMPUTED_VALUE"""),"PURVISION MALTIFOCAL")</f>
        <v>PURVISION MALTIFOCAL</v>
      </c>
    </row>
    <row r="2928">
      <c r="H2928" s="19" t="str">
        <f>IFERROR(__xludf.DUMMYFUNCTION("""COMPUTED_VALUE"""),"PV TORIC")</f>
        <v>PV TORIC</v>
      </c>
    </row>
    <row r="2929">
      <c r="H2929" s="19" t="str">
        <f>IFERROR(__xludf.DUMMYFUNCTION("""COMPUTED_VALUE"""),"QUALITRON")</f>
        <v>QUALITRON</v>
      </c>
    </row>
    <row r="2930">
      <c r="H2930" s="19" t="str">
        <f>IFERROR(__xludf.DUMMYFUNCTION("""COMPUTED_VALUE"""),"QUALITY PHARMA")</f>
        <v>QUALITY PHARMA</v>
      </c>
    </row>
    <row r="2931">
      <c r="H2931" s="19" t="str">
        <f>IFERROR(__xludf.DUMMYFUNCTION("""COMPUTED_VALUE"""),"QUANTIS BIOTECH INDIA PVT LTD")</f>
        <v>QUANTIS BIOTECH INDIA PVT LTD</v>
      </c>
    </row>
    <row r="2932">
      <c r="H2932" s="19" t="str">
        <f>IFERROR(__xludf.DUMMYFUNCTION("""COMPUTED_VALUE"""),"QUANTRIX HEALTHCARE")</f>
        <v>QUANTRIX HEALTHCARE</v>
      </c>
    </row>
    <row r="2933">
      <c r="H2933" s="19" t="str">
        <f>IFERROR(__xludf.DUMMYFUNCTION("""COMPUTED_VALUE"""),"QUEEN PHARMA")</f>
        <v>QUEEN PHARMA</v>
      </c>
    </row>
    <row r="2934">
      <c r="H2934" s="19" t="str">
        <f>IFERROR(__xludf.DUMMYFUNCTION("""COMPUTED_VALUE"""),"QUERWELL LIFE SCIENCE")</f>
        <v>QUERWELL LIFE SCIENCE</v>
      </c>
    </row>
    <row r="2935">
      <c r="H2935" s="19" t="str">
        <f>IFERROR(__xludf.DUMMYFUNCTION("""COMPUTED_VALUE"""),"QUEST PHARMA")</f>
        <v>QUEST PHARMA</v>
      </c>
    </row>
    <row r="2936">
      <c r="H2936" s="19" t="str">
        <f>IFERROR(__xludf.DUMMYFUNCTION("""COMPUTED_VALUE"""),"QUICK HEAL LIFESCIENCES")</f>
        <v>QUICK HEAL LIFESCIENCES</v>
      </c>
    </row>
    <row r="2937">
      <c r="H2937" s="19" t="str">
        <f>IFERROR(__xludf.DUMMYFUNCTION("""COMPUTED_VALUE"""),"QUIXOTIC PHARMA PVT LTD")</f>
        <v>QUIXOTIC PHARMA PVT LTD</v>
      </c>
    </row>
    <row r="2938">
      <c r="H2938" s="19" t="str">
        <f>IFERROR(__xludf.DUMMYFUNCTION("""COMPUTED_VALUE"""),"QUORA PHARMACEUTICALS (MASK)")</f>
        <v>QUORA PHARMACEUTICALS (MASK)</v>
      </c>
    </row>
    <row r="2939">
      <c r="H2939" s="19" t="str">
        <f>IFERROR(__xludf.DUMMYFUNCTION("""COMPUTED_VALUE"""),"QUREWELL LIFESCIENCES")</f>
        <v>QUREWELL LIFESCIENCES</v>
      </c>
    </row>
    <row r="2940">
      <c r="H2940" s="19" t="str">
        <f>IFERROR(__xludf.DUMMYFUNCTION("""COMPUTED_VALUE"""),"R+ PHARMACEUTICALS")</f>
        <v>R+ PHARMACEUTICALS</v>
      </c>
    </row>
    <row r="2941">
      <c r="H2941" s="19" t="str">
        <f>IFERROR(__xludf.DUMMYFUNCTION("""COMPUTED_VALUE"""),"RAAYN DRUGS")</f>
        <v>RAAYN DRUGS</v>
      </c>
    </row>
    <row r="2942">
      <c r="H2942" s="19" t="str">
        <f>IFERROR(__xludf.DUMMYFUNCTION("""COMPUTED_VALUE"""),"RADICO REMEDIES")</f>
        <v>RADICO REMEDIES</v>
      </c>
    </row>
    <row r="2943">
      <c r="H2943" s="19" t="str">
        <f>IFERROR(__xludf.DUMMYFUNCTION("""COMPUTED_VALUE"""),"RADICURA PHARMACEUTICALS")</f>
        <v>RADICURA PHARMACEUTICALS</v>
      </c>
    </row>
    <row r="2944">
      <c r="H2944" s="19" t="str">
        <f>IFERROR(__xludf.DUMMYFUNCTION("""COMPUTED_VALUE"""),"RADIUS HERBAL")</f>
        <v>RADIUS HERBAL</v>
      </c>
    </row>
    <row r="2945">
      <c r="H2945" s="19" t="str">
        <f>IFERROR(__xludf.DUMMYFUNCTION("""COMPUTED_VALUE"""),"RAFFLES PHARMA")</f>
        <v>RAFFLES PHARMA</v>
      </c>
    </row>
    <row r="2946">
      <c r="H2946" s="19" t="str">
        <f>IFERROR(__xludf.DUMMYFUNCTION("""COMPUTED_VALUE"""),"RAFPHEAL'S PHARMACEUTICALS")</f>
        <v>RAFPHEAL'S PHARMACEUTICALS</v>
      </c>
    </row>
    <row r="2947">
      <c r="H2947" s="19" t="str">
        <f>IFERROR(__xludf.DUMMYFUNCTION("""COMPUTED_VALUE"""),"RAGHAV VAIDYASHALA")</f>
        <v>RAGHAV VAIDYASHALA</v>
      </c>
    </row>
    <row r="2948">
      <c r="H2948" s="19" t="str">
        <f>IFERROR(__xludf.DUMMYFUNCTION("""COMPUTED_VALUE"""),"RAHAT INDUSTRIES")</f>
        <v>RAHAT INDUSTRIES</v>
      </c>
    </row>
    <row r="2949">
      <c r="H2949" s="19" t="str">
        <f>IFERROR(__xludf.DUMMYFUNCTION("""COMPUTED_VALUE"""),"RAHUL HEALTH CARE")</f>
        <v>RAHUL HEALTH CARE</v>
      </c>
    </row>
    <row r="2950">
      <c r="H2950" s="19" t="str">
        <f>IFERROR(__xludf.DUMMYFUNCTION("""COMPUTED_VALUE"""),"RAICHEM LIFE SCIENCES")</f>
        <v>RAICHEM LIFE SCIENCES</v>
      </c>
    </row>
    <row r="2951">
      <c r="H2951" s="19" t="str">
        <f>IFERROR(__xludf.DUMMYFUNCTION("""COMPUTED_VALUE"""),"RAINA HEALTHCARE")</f>
        <v>RAINA HEALTHCARE</v>
      </c>
    </row>
    <row r="2952">
      <c r="H2952" s="19" t="str">
        <f>IFERROR(__xludf.DUMMYFUNCTION("""COMPUTED_VALUE"""),"RAINBOW")</f>
        <v>RAINBOW</v>
      </c>
    </row>
    <row r="2953">
      <c r="H2953" s="19" t="str">
        <f>IFERROR(__xludf.DUMMYFUNCTION("""COMPUTED_VALUE"""),"RAINS HEALTHCARE")</f>
        <v>RAINS HEALTHCARE</v>
      </c>
    </row>
    <row r="2954">
      <c r="H2954" s="19" t="str">
        <f>IFERROR(__xludf.DUMMYFUNCTION("""COMPUTED_VALUE"""),"RAJASTHAN HERBAL")</f>
        <v>RAJASTHAN HERBAL</v>
      </c>
    </row>
    <row r="2955">
      <c r="H2955" s="19" t="str">
        <f>IFERROR(__xludf.DUMMYFUNCTION("""COMPUTED_VALUE"""),"RAJDEEP HERBAL FORMULATION")</f>
        <v>RAJDEEP HERBAL FORMULATION</v>
      </c>
    </row>
    <row r="2956">
      <c r="H2956" s="19" t="str">
        <f>IFERROR(__xludf.DUMMYFUNCTION("""COMPUTED_VALUE"""),"RAJVAIDYA SHITAL PRASAD &amp; SONS")</f>
        <v>RAJVAIDYA SHITAL PRASAD &amp; SONS</v>
      </c>
    </row>
    <row r="2957">
      <c r="H2957" s="19" t="str">
        <f>IFERROR(__xludf.DUMMYFUNCTION("""COMPUTED_VALUE"""),"RALLIS INDIA LTD")</f>
        <v>RALLIS INDIA LTD</v>
      </c>
    </row>
    <row r="2958">
      <c r="H2958" s="19" t="str">
        <f>IFERROR(__xludf.DUMMYFUNCTION("""COMPUTED_VALUE"""),"RALSON")</f>
        <v>RALSON</v>
      </c>
    </row>
    <row r="2959">
      <c r="H2959" s="19" t="str">
        <f>IFERROR(__xludf.DUMMYFUNCTION("""COMPUTED_VALUE"""),"RAMADEUS HEALTCARE TECHNOLOGY")</f>
        <v>RAMADEUS HEALTCARE TECHNOLOGY</v>
      </c>
    </row>
    <row r="2960">
      <c r="H2960" s="19" t="str">
        <f>IFERROR(__xludf.DUMMYFUNCTION("""COMPUTED_VALUE"""),"RAMAN &amp; WELL PVT LTD")</f>
        <v>RAMAN &amp; WELL PVT LTD</v>
      </c>
    </row>
    <row r="2961">
      <c r="H2961" s="19" t="str">
        <f>IFERROR(__xludf.DUMMYFUNCTION("""COMPUTED_VALUE"""),"RAMKRISHNA RAMNARAYAN BAGDI")</f>
        <v>RAMKRISHNA RAMNARAYAN BAGDI</v>
      </c>
    </row>
    <row r="2962">
      <c r="H2962" s="19" t="str">
        <f>IFERROR(__xludf.DUMMYFUNCTION("""COMPUTED_VALUE"""),"RAMKRISHNA VIDYUT AYURVEDIC")</f>
        <v>RAMKRISHNA VIDYUT AYURVEDIC</v>
      </c>
    </row>
    <row r="2963">
      <c r="H2963" s="19" t="str">
        <f>IFERROR(__xludf.DUMMYFUNCTION("""COMPUTED_VALUE"""),"RAMOSE LABORATORIES")</f>
        <v>RAMOSE LABORATORIES</v>
      </c>
    </row>
    <row r="2964">
      <c r="H2964" s="19" t="str">
        <f>IFERROR(__xludf.DUMMYFUNCTION("""COMPUTED_VALUE"""),"RANBAXY (1)")</f>
        <v>RANBAXY (1)</v>
      </c>
    </row>
    <row r="2965">
      <c r="H2965" s="19" t="str">
        <f>IFERROR(__xludf.DUMMYFUNCTION("""COMPUTED_VALUE"""),"RANBAXY (2)")</f>
        <v>RANBAXY (2)</v>
      </c>
    </row>
    <row r="2966">
      <c r="H2966" s="19" t="str">
        <f>IFERROR(__xludf.DUMMYFUNCTION("""COMPUTED_VALUE"""),"RANBAXY (CROSLANDS LIFE)")</f>
        <v>RANBAXY (CROSLANDS LIFE)</v>
      </c>
    </row>
    <row r="2967">
      <c r="H2967" s="19" t="str">
        <f>IFERROR(__xludf.DUMMYFUNCTION("""COMPUTED_VALUE"""),"RANBAXY (CROSSLAND)")</f>
        <v>RANBAXY (CROSSLAND)</v>
      </c>
    </row>
    <row r="2968">
      <c r="H2968" s="19" t="str">
        <f>IFERROR(__xludf.DUMMYFUNCTION("""COMPUTED_VALUE"""),"RANBAXY (CV-LIFE)")</f>
        <v>RANBAXY (CV-LIFE)</v>
      </c>
    </row>
    <row r="2969">
      <c r="H2969" s="19" t="str">
        <f>IFERROR(__xludf.DUMMYFUNCTION("""COMPUTED_VALUE"""),"RANBAXY (CV)")</f>
        <v>RANBAXY (CV)</v>
      </c>
    </row>
    <row r="2970">
      <c r="H2970" s="19" t="str">
        <f>IFERROR(__xludf.DUMMYFUNCTION("""COMPUTED_VALUE"""),"RANBAXY (DERMALANDS)")</f>
        <v>RANBAXY (DERMALANDS)</v>
      </c>
    </row>
    <row r="2971">
      <c r="H2971" s="19" t="str">
        <f>IFERROR(__xludf.DUMMYFUNCTION("""COMPUTED_VALUE"""),"Ranbaxy (GENERIC)")</f>
        <v>Ranbaxy (GENERIC)</v>
      </c>
    </row>
    <row r="2972">
      <c r="H2972" s="19" t="str">
        <f>IFERROR(__xludf.DUMMYFUNCTION("""COMPUTED_VALUE"""),"RANBAXY (MAXXIM)")</f>
        <v>RANBAXY (MAXXIM)</v>
      </c>
    </row>
    <row r="2973">
      <c r="H2973" s="19" t="str">
        <f>IFERROR(__xludf.DUMMYFUNCTION("""COMPUTED_VALUE"""),"RANBAXY (ORTHOLAND)")</f>
        <v>RANBAXY (ORTHOLAND)</v>
      </c>
    </row>
    <row r="2974">
      <c r="H2974" s="19" t="str">
        <f>IFERROR(__xludf.DUMMYFUNCTION("""COMPUTED_VALUE"""),"RANBAXY (OTC)")</f>
        <v>RANBAXY (OTC)</v>
      </c>
    </row>
    <row r="2975">
      <c r="H2975" s="19" t="str">
        <f>IFERROR(__xludf.DUMMYFUNCTION("""COMPUTED_VALUE"""),"RANBAXY (PHARMA)")</f>
        <v>RANBAXY (PHARMA)</v>
      </c>
    </row>
    <row r="2976">
      <c r="H2976" s="19" t="str">
        <f>IFERROR(__xludf.DUMMYFUNCTION("""COMPUTED_VALUE"""),"RANBAXY (PRIMALANDS)")</f>
        <v>RANBAXY (PRIMALANDS)</v>
      </c>
    </row>
    <row r="2977">
      <c r="H2977" s="19" t="str">
        <f>IFERROR(__xludf.DUMMYFUNCTION("""COMPUTED_VALUE"""),"RANBAXY (RESPIRATORY)")</f>
        <v>RANBAXY (RESPIRATORY)</v>
      </c>
    </row>
    <row r="2978">
      <c r="H2978" s="19" t="str">
        <f>IFERROR(__xludf.DUMMYFUNCTION("""COMPUTED_VALUE"""),"RANBAXY (REXCEL)")</f>
        <v>RANBAXY (REXCEL)</v>
      </c>
    </row>
    <row r="2979">
      <c r="H2979" s="19" t="str">
        <f>IFERROR(__xludf.DUMMYFUNCTION("""COMPUTED_VALUE"""),"RANBAXY (RIGEL)")</f>
        <v>RANBAXY (RIGEL)</v>
      </c>
    </row>
    <row r="2980">
      <c r="H2980" s="19" t="str">
        <f>IFERROR(__xludf.DUMMYFUNCTION("""COMPUTED_VALUE"""),"RANBAXY (SUNCROS)")</f>
        <v>RANBAXY (SUNCROS)</v>
      </c>
    </row>
    <row r="2981">
      <c r="H2981" s="19" t="str">
        <f>IFERROR(__xludf.DUMMYFUNCTION("""COMPUTED_VALUE"""),"RANBAXY (UROCARE)")</f>
        <v>RANBAXY (UROCARE)</v>
      </c>
    </row>
    <row r="2982">
      <c r="H2982" s="19" t="str">
        <f>IFERROR(__xludf.DUMMYFUNCTION("""COMPUTED_VALUE"""),"Ranbaxy Laboratories Ltd")</f>
        <v>Ranbaxy Laboratories Ltd</v>
      </c>
    </row>
    <row r="2983">
      <c r="H2983" s="19" t="str">
        <f>IFERROR(__xludf.DUMMYFUNCTION("""COMPUTED_VALUE"""),"RANISH PHARMA")</f>
        <v>RANISH PHARMA</v>
      </c>
    </row>
    <row r="2984">
      <c r="H2984" s="19" t="str">
        <f>IFERROR(__xludf.DUMMYFUNCTION("""COMPUTED_VALUE"""),"RAPROSS PHARMACEUTICALS")</f>
        <v>RAPROSS PHARMACEUTICALS</v>
      </c>
    </row>
    <row r="2985">
      <c r="H2985" s="19" t="str">
        <f>IFERROR(__xludf.DUMMYFUNCTION("""COMPUTED_VALUE"""),"Raptakos Brett &amp; Co Ltd")</f>
        <v>Raptakos Brett &amp; Co Ltd</v>
      </c>
    </row>
    <row r="2986">
      <c r="H2986" s="19" t="str">
        <f>IFERROR(__xludf.DUMMYFUNCTION("""COMPUTED_VALUE"""),"RASNA CHEM")</f>
        <v>RASNA CHEM</v>
      </c>
    </row>
    <row r="2987">
      <c r="H2987" s="19" t="str">
        <f>IFERROR(__xludf.DUMMYFUNCTION("""COMPUTED_VALUE"""),"RATAN AYURVEDIC SANSTHAN")</f>
        <v>RATAN AYURVEDIC SANSTHAN</v>
      </c>
    </row>
    <row r="2988">
      <c r="H2988" s="19" t="str">
        <f>IFERROR(__xludf.DUMMYFUNCTION("""COMPUTED_VALUE"""),"RATAN ORGANICA INTERNATIONAL")</f>
        <v>RATAN ORGANICA INTERNATIONAL</v>
      </c>
    </row>
    <row r="2989">
      <c r="H2989" s="19" t="str">
        <f>IFERROR(__xludf.DUMMYFUNCTION("""COMPUTED_VALUE"""),"Rathi Laboratories (Hindustan) Pvt. Ltd.")</f>
        <v>Rathi Laboratories (Hindustan) Pvt. Ltd.</v>
      </c>
    </row>
    <row r="2990">
      <c r="H2990" s="19" t="str">
        <f>IFERROR(__xludf.DUMMYFUNCTION("""COMPUTED_VALUE"""),"RATNAMANI HEALTH P LTD")</f>
        <v>RATNAMANI HEALTH P LTD</v>
      </c>
    </row>
    <row r="2991">
      <c r="H2991" s="19" t="str">
        <f>IFERROR(__xludf.DUMMYFUNCTION("""COMPUTED_VALUE"""),"RATNAMANI HEALTH PVT LTD")</f>
        <v>RATNAMANI HEALTH PVT LTD</v>
      </c>
    </row>
    <row r="2992">
      <c r="H2992" s="19" t="str">
        <f>IFERROR(__xludf.DUMMYFUNCTION("""COMPUTED_VALUE"""),"RAVENBHEL HEALTHCARE")</f>
        <v>RAVENBHEL HEALTHCARE</v>
      </c>
    </row>
    <row r="2993">
      <c r="H2993" s="19" t="str">
        <f>IFERROR(__xludf.DUMMYFUNCTION("""COMPUTED_VALUE"""),"RAYANS GLAM SCIENCE")</f>
        <v>RAYANS GLAM SCIENCE</v>
      </c>
    </row>
    <row r="2994">
      <c r="H2994" s="19" t="str">
        <f>IFERROR(__xludf.DUMMYFUNCTION("""COMPUTED_VALUE"""),"RAYH HEALTH CARE PVT LTD")</f>
        <v>RAYH HEALTH CARE PVT LTD</v>
      </c>
    </row>
    <row r="2995">
      <c r="H2995" s="19" t="str">
        <f>IFERROR(__xludf.DUMMYFUNCTION("""COMPUTED_VALUE"""),"RAYMED")</f>
        <v>RAYMED</v>
      </c>
    </row>
    <row r="2996">
      <c r="H2996" s="19" t="str">
        <f>IFERROR(__xludf.DUMMYFUNCTION("""COMPUTED_VALUE"""),"RAYMED PHARMACEUTICALS")</f>
        <v>RAYMED PHARMACEUTICALS</v>
      </c>
    </row>
    <row r="2997">
      <c r="H2997" s="19" t="str">
        <f>IFERROR(__xludf.DUMMYFUNCTION("""COMPUTED_VALUE"""),"RAYSDERMA HEALTHCARE")</f>
        <v>RAYSDERMA HEALTHCARE</v>
      </c>
    </row>
    <row r="2998">
      <c r="H2998" s="19" t="str">
        <f>IFERROR(__xludf.DUMMYFUNCTION("""COMPUTED_VALUE"""),"RAZENTA PHARMACEUTICALS PVT LTD")</f>
        <v>RAZENTA PHARMACEUTICALS PVT LTD</v>
      </c>
    </row>
    <row r="2999">
      <c r="H2999" s="19" t="str">
        <f>IFERROR(__xludf.DUMMYFUNCTION("""COMPUTED_VALUE"""),"RECENT HEALTHCARE LTD.")</f>
        <v>RECENT HEALTHCARE LTD.</v>
      </c>
    </row>
    <row r="3000">
      <c r="H3000" s="19" t="str">
        <f>IFERROR(__xludf.DUMMYFUNCTION("""COMPUTED_VALUE"""),"RECH ELIST PHARMA")</f>
        <v>RECH ELIST PHARMA</v>
      </c>
    </row>
    <row r="3001">
      <c r="H3001" s="19" t="str">
        <f>IFERROR(__xludf.DUMMYFUNCTION("""COMPUTED_VALUE"""),"RECKEWEG")</f>
        <v>RECKEWEG</v>
      </c>
    </row>
    <row r="3002">
      <c r="H3002" s="19" t="str">
        <f>IFERROR(__xludf.DUMMYFUNCTION("""COMPUTED_VALUE"""),"Reckitt Benckiser")</f>
        <v>Reckitt Benckiser</v>
      </c>
    </row>
    <row r="3003">
      <c r="H3003" s="19" t="str">
        <f>IFERROR(__xludf.DUMMYFUNCTION("""COMPUTED_VALUE"""),"RECOVER HEALTHCARE")</f>
        <v>RECOVER HEALTHCARE</v>
      </c>
    </row>
    <row r="3004">
      <c r="H3004" s="19" t="str">
        <f>IFERROR(__xludf.DUMMYFUNCTION("""COMPUTED_VALUE"""),"REDVIA PHARMACEUTICALS")</f>
        <v>REDVIA PHARMACEUTICALS</v>
      </c>
    </row>
    <row r="3005">
      <c r="H3005" s="19" t="str">
        <f>IFERROR(__xludf.DUMMYFUNCTION("""COMPUTED_VALUE"""),"REEHEL PHARMACEUTICALS PVT LTD")</f>
        <v>REEHEL PHARMACEUTICALS PVT LTD</v>
      </c>
    </row>
    <row r="3006">
      <c r="H3006" s="19" t="str">
        <f>IFERROR(__xludf.DUMMYFUNCTION("""COMPUTED_VALUE"""),"REGAL CHEMICAL WORKS")</f>
        <v>REGAL CHEMICAL WORKS</v>
      </c>
    </row>
    <row r="3007">
      <c r="H3007" s="19" t="str">
        <f>IFERROR(__xludf.DUMMYFUNCTION("""COMPUTED_VALUE"""),"REGALIZ INDIA LTD")</f>
        <v>REGALIZ INDIA LTD</v>
      </c>
    </row>
    <row r="3008">
      <c r="H3008" s="19" t="str">
        <f>IFERROR(__xludf.DUMMYFUNCTION("""COMPUTED_VALUE"""),"REGALIZ MEDICARE LTD")</f>
        <v>REGALIZ MEDICARE LTD</v>
      </c>
    </row>
    <row r="3009">
      <c r="H3009" s="19" t="str">
        <f>IFERROR(__xludf.DUMMYFUNCTION("""COMPUTED_VALUE"""),"REGENCY HEALTH CARE")</f>
        <v>REGENCY HEALTH CARE</v>
      </c>
    </row>
    <row r="3010">
      <c r="H3010" s="19" t="str">
        <f>IFERROR(__xludf.DUMMYFUNCTION("""COMPUTED_VALUE"""),"REGENT HEALTHCARE")</f>
        <v>REGENT HEALTHCARE</v>
      </c>
    </row>
    <row r="3011">
      <c r="H3011" s="19" t="str">
        <f>IFERROR(__xludf.DUMMYFUNCTION("""COMPUTED_VALUE"""),"REGENT MARKETING")</f>
        <v>REGENT MARKETING</v>
      </c>
    </row>
    <row r="3012">
      <c r="H3012" s="19" t="str">
        <f>IFERROR(__xludf.DUMMYFUNCTION("""COMPUTED_VALUE"""),"REGRESS LIFESCIENCES")</f>
        <v>REGRESS LIFESCIENCES</v>
      </c>
    </row>
    <row r="3013">
      <c r="H3013" s="19" t="str">
        <f>IFERROR(__xludf.DUMMYFUNCTION("""COMPUTED_VALUE"""),"REGRESS LIFESCIENCES (2)")</f>
        <v>REGRESS LIFESCIENCES (2)</v>
      </c>
    </row>
    <row r="3014">
      <c r="H3014" s="19" t="str">
        <f>IFERROR(__xludf.DUMMYFUNCTION("""COMPUTED_VALUE"""),"REJLI HEALTHCARE")</f>
        <v>REJLI HEALTHCARE</v>
      </c>
    </row>
    <row r="3015">
      <c r="H3015" s="19" t="str">
        <f>IFERROR(__xludf.DUMMYFUNCTION("""COMPUTED_VALUE"""),"Rekvina Laboratories Ltd")</f>
        <v>Rekvina Laboratories Ltd</v>
      </c>
    </row>
    <row r="3016">
      <c r="H3016" s="19" t="str">
        <f>IFERROR(__xludf.DUMMYFUNCTION("""COMPUTED_VALUE"""),"RELAX PHARMACEUTICALS PVT LTD")</f>
        <v>RELAX PHARMACEUTICALS PVT LTD</v>
      </c>
    </row>
    <row r="3017">
      <c r="H3017" s="19" t="str">
        <f>IFERROR(__xludf.DUMMYFUNCTION("""COMPUTED_VALUE"""),"RELAXE REHABILITATION AIDS")</f>
        <v>RELAXE REHABILITATION AIDS</v>
      </c>
    </row>
    <row r="3018">
      <c r="H3018" s="19" t="str">
        <f>IFERROR(__xludf.DUMMYFUNCTION("""COMPUTED_VALUE"""),"RELAXSAN")</f>
        <v>RELAXSAN</v>
      </c>
    </row>
    <row r="3019">
      <c r="H3019" s="19" t="str">
        <f>IFERROR(__xludf.DUMMYFUNCTION("""COMPUTED_VALUE"""),"RELIANCE FORMULATION PVT LTD")</f>
        <v>RELIANCE FORMULATION PVT LTD</v>
      </c>
    </row>
    <row r="3020">
      <c r="H3020" s="19" t="str">
        <f>IFERROR(__xludf.DUMMYFUNCTION("""COMPUTED_VALUE"""),"Reliance Life Sciences")</f>
        <v>Reliance Life Sciences</v>
      </c>
    </row>
    <row r="3021">
      <c r="H3021" s="19" t="str">
        <f>IFERROR(__xludf.DUMMYFUNCTION("""COMPUTED_VALUE"""),"RELIC BIOTECNOLOGY PVT LTD")</f>
        <v>RELIC BIOTECNOLOGY PVT LTD</v>
      </c>
    </row>
    <row r="3022">
      <c r="H3022" s="19" t="str">
        <f>IFERROR(__xludf.DUMMYFUNCTION("""COMPUTED_VALUE"""),"RELIEF FORMULATIONS")</f>
        <v>RELIEF FORMULATIONS</v>
      </c>
    </row>
    <row r="3023">
      <c r="H3023" s="19" t="str">
        <f>IFERROR(__xludf.DUMMYFUNCTION("""COMPUTED_VALUE"""),"RELIVO FORMULATION PVT LTD")</f>
        <v>RELIVO FORMULATION PVT LTD</v>
      </c>
    </row>
    <row r="3024">
      <c r="H3024" s="19" t="str">
        <f>IFERROR(__xludf.DUMMYFUNCTION("""COMPUTED_VALUE"""),"REMEDIAL HEALTHCARE")</f>
        <v>REMEDIAL HEALTHCARE</v>
      </c>
    </row>
    <row r="3025">
      <c r="H3025" s="19" t="str">
        <f>IFERROR(__xludf.DUMMYFUNCTION("""COMPUTED_VALUE"""),"REMEMBER INDIA MEDICOS")</f>
        <v>REMEMBER INDIA MEDICOS</v>
      </c>
    </row>
    <row r="3026">
      <c r="H3026" s="19" t="str">
        <f>IFERROR(__xludf.DUMMYFUNCTION("""COMPUTED_VALUE"""),"RENA EXPORTS PVT LTD")</f>
        <v>RENA EXPORTS PVT LTD</v>
      </c>
    </row>
    <row r="3027">
      <c r="H3027" s="19" t="str">
        <f>IFERROR(__xludf.DUMMYFUNCTION("""COMPUTED_VALUE"""),"RENCORD LIFE SCIENCES (NEPHRO)")</f>
        <v>RENCORD LIFE SCIENCES (NEPHRO)</v>
      </c>
    </row>
    <row r="3028">
      <c r="H3028" s="19" t="str">
        <f>IFERROR(__xludf.DUMMYFUNCTION("""COMPUTED_VALUE"""),"RENE LIFESCIENCE")</f>
        <v>RENE LIFESCIENCE</v>
      </c>
    </row>
    <row r="3029">
      <c r="H3029" s="19" t="str">
        <f>IFERROR(__xludf.DUMMYFUNCTION("""COMPUTED_VALUE"""),"RENE LIFESCIENCES")</f>
        <v>RENE LIFESCIENCES</v>
      </c>
    </row>
    <row r="3030">
      <c r="H3030" s="19" t="str">
        <f>IFERROR(__xludf.DUMMYFUNCTION("""COMPUTED_VALUE"""),"RENE PHARMACEUTICALS")</f>
        <v>RENE PHARMACEUTICALS</v>
      </c>
    </row>
    <row r="3031">
      <c r="H3031" s="19" t="str">
        <f>IFERROR(__xludf.DUMMYFUNCTION("""COMPUTED_VALUE"""),"RENOVISION EXPORTS PVT")</f>
        <v>RENOVISION EXPORTS PVT</v>
      </c>
    </row>
    <row r="3032">
      <c r="H3032" s="19" t="str">
        <f>IFERROR(__xludf.DUMMYFUNCTION("""COMPUTED_VALUE"""),"REPLICA REMEDIES")</f>
        <v>REPLICA REMEDIES</v>
      </c>
    </row>
    <row r="3033">
      <c r="H3033" s="19" t="str">
        <f>IFERROR(__xludf.DUMMYFUNCTION("""COMPUTED_VALUE"""),"REPLIN PHARMA")</f>
        <v>REPLIN PHARMA</v>
      </c>
    </row>
    <row r="3034">
      <c r="H3034" s="19" t="str">
        <f>IFERROR(__xludf.DUMMYFUNCTION("""COMPUTED_VALUE"""),"RES SANCTA  SOLAN")</f>
        <v>RES SANCTA  SOLAN</v>
      </c>
    </row>
    <row r="3035">
      <c r="H3035" s="19" t="str">
        <f>IFERROR(__xludf.DUMMYFUNCTION("""COMPUTED_VALUE"""),"Resilient Cosmecueticals Pvt Ltd")</f>
        <v>Resilient Cosmecueticals Pvt Ltd</v>
      </c>
    </row>
    <row r="3036">
      <c r="H3036" s="19" t="str">
        <f>IFERROR(__xludf.DUMMYFUNCTION("""COMPUTED_VALUE"""),"REVAMED LIFE SCIENCES")</f>
        <v>REVAMED LIFE SCIENCES</v>
      </c>
    </row>
    <row r="3037">
      <c r="H3037" s="19" t="str">
        <f>IFERROR(__xludf.DUMMYFUNCTION("""COMPUTED_VALUE"""),"REVASTO LABORATORIES")</f>
        <v>REVASTO LABORATORIES</v>
      </c>
    </row>
    <row r="3038">
      <c r="H3038" s="19" t="str">
        <f>IFERROR(__xludf.DUMMYFUNCTION("""COMPUTED_VALUE"""),"REVERIE PHARMACEUTICALS")</f>
        <v>REVERIE PHARMACEUTICALS</v>
      </c>
    </row>
    <row r="3039">
      <c r="H3039" s="19" t="str">
        <f>IFERROR(__xludf.DUMMYFUNCTION("""COMPUTED_VALUE"""),"REVLUK LIFE SCIENCES")</f>
        <v>REVLUK LIFE SCIENCES</v>
      </c>
    </row>
    <row r="3040">
      <c r="H3040" s="19" t="str">
        <f>IFERROR(__xludf.DUMMYFUNCTION("""COMPUTED_VALUE"""),"REVOZIP")</f>
        <v>REVOZIP</v>
      </c>
    </row>
    <row r="3041">
      <c r="H3041" s="19" t="str">
        <f>IFERROR(__xludf.DUMMYFUNCTION("""COMPUTED_VALUE"""),"REVOZIP MD")</f>
        <v>REVOZIP MD</v>
      </c>
    </row>
    <row r="3042">
      <c r="H3042" s="19" t="str">
        <f>IFERROR(__xludf.DUMMYFUNCTION("""COMPUTED_VALUE"""),"REX REMEDIES")</f>
        <v>REX REMEDIES</v>
      </c>
    </row>
    <row r="3043">
      <c r="H3043" s="19" t="str">
        <f>IFERROR(__xludf.DUMMYFUNCTION("""COMPUTED_VALUE"""),"RHINE BIOGENICS PVT. LTD.")</f>
        <v>RHINE BIOGENICS PVT. LTD.</v>
      </c>
    </row>
    <row r="3044">
      <c r="H3044" s="19" t="str">
        <f>IFERROR(__xludf.DUMMYFUNCTION("""COMPUTED_VALUE"""),"RHOMBIC LAB")</f>
        <v>RHOMBIC LAB</v>
      </c>
    </row>
    <row r="3045">
      <c r="H3045" s="19" t="str">
        <f>IFERROR(__xludf.DUMMYFUNCTION("""COMPUTED_VALUE"""),"RHOMBUS PHARMA PVT LTD")</f>
        <v>RHOMBUS PHARMA PVT LTD</v>
      </c>
    </row>
    <row r="3046">
      <c r="H3046" s="19" t="str">
        <f>IFERROR(__xludf.DUMMYFUNCTION("""COMPUTED_VALUE"""),"RHONE PHARMACIE PVT LTD")</f>
        <v>RHONE PHARMACIE PVT LTD</v>
      </c>
    </row>
    <row r="3047">
      <c r="H3047" s="19" t="str">
        <f>IFERROR(__xludf.DUMMYFUNCTION("""COMPUTED_VALUE"""),"RHONE POULEN RORER (INDIA) LTD")</f>
        <v>RHONE POULEN RORER (INDIA) LTD</v>
      </c>
    </row>
    <row r="3048">
      <c r="H3048" s="19" t="str">
        <f>IFERROR(__xludf.DUMMYFUNCTION("""COMPUTED_VALUE"""),"RIASMO LIFE SCIENCES")</f>
        <v>RIASMO LIFE SCIENCES</v>
      </c>
    </row>
    <row r="3049">
      <c r="H3049" s="19" t="str">
        <f>IFERROR(__xludf.DUMMYFUNCTION("""COMPUTED_VALUE"""),"RICH FAITH PHARMA")</f>
        <v>RICH FAITH PHARMA</v>
      </c>
    </row>
    <row r="3050">
      <c r="H3050" s="19" t="str">
        <f>IFERROR(__xludf.DUMMYFUNCTION("""COMPUTED_VALUE"""),"RICH HEALTHCARE")</f>
        <v>RICH HEALTHCARE</v>
      </c>
    </row>
    <row r="3051">
      <c r="H3051" s="19" t="str">
        <f>IFERROR(__xludf.DUMMYFUNCTION("""COMPUTED_VALUE"""),"RIDHIMA BIOCARE")</f>
        <v>RIDHIMA BIOCARE</v>
      </c>
    </row>
    <row r="3052">
      <c r="H3052" s="19" t="str">
        <f>IFERROR(__xludf.DUMMYFUNCTION("""COMPUTED_VALUE"""),"RIDLEY LIFE SCIENCE PVT LTD")</f>
        <v>RIDLEY LIFE SCIENCE PVT LTD</v>
      </c>
    </row>
    <row r="3053">
      <c r="H3053" s="19" t="str">
        <f>IFERROR(__xludf.DUMMYFUNCTION("""COMPUTED_VALUE"""),"RIEMANN LAB")</f>
        <v>RIEMANN LAB</v>
      </c>
    </row>
    <row r="3054">
      <c r="H3054" s="19" t="str">
        <f>IFERROR(__xludf.DUMMYFUNCTION("""COMPUTED_VALUE"""),"RISHIT PHARMACEUTICALS")</f>
        <v>RISHIT PHARMACEUTICALS</v>
      </c>
    </row>
    <row r="3055">
      <c r="H3055" s="19" t="str">
        <f>IFERROR(__xludf.DUMMYFUNCTION("""COMPUTED_VALUE"""),"RISTRYL")</f>
        <v>RISTRYL</v>
      </c>
    </row>
    <row r="3056">
      <c r="H3056" s="19" t="str">
        <f>IFERROR(__xludf.DUMMYFUNCTION("""COMPUTED_VALUE"""),"RISTRYL FORTE")</f>
        <v>RISTRYL FORTE</v>
      </c>
    </row>
    <row r="3057">
      <c r="H3057" s="19" t="str">
        <f>IFERROR(__xludf.DUMMYFUNCTION("""COMPUTED_VALUE"""),"RITZ PHARMA")</f>
        <v>RITZ PHARMA</v>
      </c>
    </row>
    <row r="3058">
      <c r="H3058" s="19" t="str">
        <f>IFERROR(__xludf.DUMMYFUNCTION("""COMPUTED_VALUE"""),"RIVAN PHARMACEUTICALS PVT LTD")</f>
        <v>RIVAN PHARMACEUTICALS PVT LTD</v>
      </c>
    </row>
    <row r="3059">
      <c r="H3059" s="19" t="str">
        <f>IFERROR(__xludf.DUMMYFUNCTION("""COMPUTED_VALUE"""),"RKM")</f>
        <v>RKM</v>
      </c>
    </row>
    <row r="3060">
      <c r="H3060" s="19" t="str">
        <f>IFERROR(__xludf.DUMMYFUNCTION("""COMPUTED_VALUE"""),"RKON PHARMACEUTICALS")</f>
        <v>RKON PHARMACEUTICALS</v>
      </c>
    </row>
    <row r="3061">
      <c r="H3061" s="19" t="str">
        <f>IFERROR(__xludf.DUMMYFUNCTION("""COMPUTED_VALUE"""),"ROCHE (1)")</f>
        <v>ROCHE (1)</v>
      </c>
    </row>
    <row r="3062">
      <c r="H3062" s="19" t="str">
        <f>IFERROR(__xludf.DUMMYFUNCTION("""COMPUTED_VALUE"""),"ROCHE (NEPHROLOGY)")</f>
        <v>ROCHE (NEPHROLOGY)</v>
      </c>
    </row>
    <row r="3063">
      <c r="H3063" s="19" t="str">
        <f>IFERROR(__xludf.DUMMYFUNCTION("""COMPUTED_VALUE"""),"ROCHE (ONCOLOGY)")</f>
        <v>ROCHE (ONCOLOGY)</v>
      </c>
    </row>
    <row r="3064">
      <c r="H3064" s="19" t="str">
        <f>IFERROR(__xludf.DUMMYFUNCTION("""COMPUTED_VALUE"""),"ROCHE (VIROLOGY)")</f>
        <v>ROCHE (VIROLOGY)</v>
      </c>
    </row>
    <row r="3065">
      <c r="H3065" s="19" t="str">
        <f>IFERROR(__xludf.DUMMYFUNCTION("""COMPUTED_VALUE"""),"Roche Products India Pvt Ltd")</f>
        <v>Roche Products India Pvt Ltd</v>
      </c>
    </row>
    <row r="3066">
      <c r="H3066" s="19" t="str">
        <f>IFERROR(__xludf.DUMMYFUNCTION("""COMPUTED_VALUE"""),"ROCKMED PHARMA P LTD")</f>
        <v>ROCKMED PHARMA P LTD</v>
      </c>
    </row>
    <row r="3067">
      <c r="H3067" s="19" t="str">
        <f>IFERROR(__xludf.DUMMYFUNCTION("""COMPUTED_VALUE"""),"ROHAN HERBAL")</f>
        <v>ROHAN HERBAL</v>
      </c>
    </row>
    <row r="3068">
      <c r="H3068" s="19" t="str">
        <f>IFERROR(__xludf.DUMMYFUNCTION("""COMPUTED_VALUE"""),"ROLLICK HEALTHCARE PVT LTD")</f>
        <v>ROLLICK HEALTHCARE PVT LTD</v>
      </c>
    </row>
    <row r="3069">
      <c r="H3069" s="19" t="str">
        <f>IFERROR(__xludf.DUMMYFUNCTION("""COMPUTED_VALUE"""),"ROMA HEALTHCARE")</f>
        <v>ROMA HEALTHCARE</v>
      </c>
    </row>
    <row r="3070">
      <c r="H3070" s="19" t="str">
        <f>IFERROR(__xludf.DUMMYFUNCTION("""COMPUTED_VALUE"""),"ROMSONS SCIENTIFIC AND SURGICAL P LTD")</f>
        <v>ROMSONS SCIENTIFIC AND SURGICAL P LTD</v>
      </c>
    </row>
    <row r="3071">
      <c r="H3071" s="19" t="str">
        <f>IFERROR(__xludf.DUMMYFUNCTION("""COMPUTED_VALUE"""),"RONALD PHARMACUTICALS")</f>
        <v>RONALD PHARMACUTICALS</v>
      </c>
    </row>
    <row r="3072">
      <c r="H3072" s="19" t="str">
        <f>IFERROR(__xludf.DUMMYFUNCTION("""COMPUTED_VALUE"""),"RONAM HEALTHCARE PVT LTD")</f>
        <v>RONAM HEALTHCARE PVT LTD</v>
      </c>
    </row>
    <row r="3073">
      <c r="H3073" s="19" t="str">
        <f>IFERROR(__xludf.DUMMYFUNCTION("""COMPUTED_VALUE"""),"ROOTS &amp; HERBS")</f>
        <v>ROOTS &amp; HERBS</v>
      </c>
    </row>
    <row r="3074">
      <c r="H3074" s="19" t="str">
        <f>IFERROR(__xludf.DUMMYFUNCTION("""COMPUTED_VALUE"""),"ROSELABS BIOSCIENCE LTD")</f>
        <v>ROSELABS BIOSCIENCE LTD</v>
      </c>
    </row>
    <row r="3075">
      <c r="H3075" s="19" t="str">
        <f>IFERROR(__xludf.DUMMYFUNCTION("""COMPUTED_VALUE"""),"ROSSWELL")</f>
        <v>ROSSWELL</v>
      </c>
    </row>
    <row r="3076">
      <c r="H3076" s="19" t="str">
        <f>IFERROR(__xludf.DUMMYFUNCTION("""COMPUTED_VALUE"""),"ROSSWELT BIOSCIENCES PVT LTD")</f>
        <v>ROSSWELT BIOSCIENCES PVT LTD</v>
      </c>
    </row>
    <row r="3077">
      <c r="H3077" s="19" t="str">
        <f>IFERROR(__xludf.DUMMYFUNCTION("""COMPUTED_VALUE"""),"ROUSSEL INDIA LIMITED")</f>
        <v>ROUSSEL INDIA LIMITED</v>
      </c>
    </row>
    <row r="3078">
      <c r="H3078" s="19" t="str">
        <f>IFERROR(__xludf.DUMMYFUNCTION("""COMPUTED_VALUE"""),"ROUSSET BIOTECH")</f>
        <v>ROUSSET BIOTECH</v>
      </c>
    </row>
    <row r="3079">
      <c r="H3079" s="19" t="str">
        <f>IFERROR(__xludf.DUMMYFUNCTION("""COMPUTED_VALUE"""),"ROUZEL PHARMA")</f>
        <v>ROUZEL PHARMA</v>
      </c>
    </row>
    <row r="3080">
      <c r="H3080" s="19" t="str">
        <f>IFERROR(__xludf.DUMMYFUNCTION("""COMPUTED_VALUE"""),"ROWLINGES LIFE SCIENCES")</f>
        <v>ROWLINGES LIFE SCIENCES</v>
      </c>
    </row>
    <row r="3081">
      <c r="H3081" s="19" t="str">
        <f>IFERROR(__xludf.DUMMYFUNCTION("""COMPUTED_VALUE"""),"ROYAL BEE NATURAL PRODUCTS")</f>
        <v>ROYAL BEE NATURAL PRODUCTS</v>
      </c>
    </row>
    <row r="3082">
      <c r="H3082" s="19" t="str">
        <f>IFERROR(__xludf.DUMMYFUNCTION("""COMPUTED_VALUE"""),"ROYAL HEALTHCARE")</f>
        <v>ROYAL HEALTHCARE</v>
      </c>
    </row>
    <row r="3083">
      <c r="H3083" s="19" t="str">
        <f>IFERROR(__xludf.DUMMYFUNCTION("""COMPUTED_VALUE"""),"RP")</f>
        <v>RP</v>
      </c>
    </row>
    <row r="3084">
      <c r="H3084" s="19" t="str">
        <f>IFERROR(__xludf.DUMMYFUNCTION("""COMPUTED_VALUE"""),"RP HEALTHCARE PVT. LTD.")</f>
        <v>RP HEALTHCARE PVT. LTD.</v>
      </c>
    </row>
    <row r="3085">
      <c r="H3085" s="19" t="str">
        <f>IFERROR(__xludf.DUMMYFUNCTION("""COMPUTED_VALUE"""),"RPG (SEARLE)")</f>
        <v>RPG (SEARLE)</v>
      </c>
    </row>
    <row r="3086">
      <c r="H3086" s="19" t="str">
        <f>IFERROR(__xludf.DUMMYFUNCTION("""COMPUTED_VALUE"""),"RPG Life Sciences (NEPHRO)")</f>
        <v>RPG Life Sciences (NEPHRO)</v>
      </c>
    </row>
    <row r="3087">
      <c r="H3087" s="19" t="str">
        <f>IFERROR(__xludf.DUMMYFUNCTION("""COMPUTED_VALUE"""),"RPG Life Sciences Ltd")</f>
        <v>RPG Life Sciences Ltd</v>
      </c>
    </row>
    <row r="3088">
      <c r="H3088" s="19" t="str">
        <f>IFERROR(__xludf.DUMMYFUNCTION("""COMPUTED_VALUE"""),"RSBP")</f>
        <v>RSBP</v>
      </c>
    </row>
    <row r="3089">
      <c r="H3089" s="19" t="str">
        <f>IFERROR(__xludf.DUMMYFUNCTION("""COMPUTED_VALUE"""),"RUBRA PHARMACEUTICALS")</f>
        <v>RUBRA PHARMACEUTICALS</v>
      </c>
    </row>
    <row r="3090">
      <c r="H3090" s="19" t="str">
        <f>IFERROR(__xludf.DUMMYFUNCTION("""COMPUTED_VALUE"""),"RUDRA HERBALS P LTD")</f>
        <v>RUDRA HERBALS P LTD</v>
      </c>
    </row>
    <row r="3091">
      <c r="H3091" s="19" t="str">
        <f>IFERROR(__xludf.DUMMYFUNCTION("""COMPUTED_VALUE"""),"RUDRA HERBALS PVT LTD")</f>
        <v>RUDRA HERBALS PVT LTD</v>
      </c>
    </row>
    <row r="3092">
      <c r="H3092" s="19" t="str">
        <f>IFERROR(__xludf.DUMMYFUNCTION("""COMPUTED_VALUE"""),"RUPAK ENTERPRISES PVT LTD")</f>
        <v>RUPAK ENTERPRISES PVT LTD</v>
      </c>
    </row>
    <row r="3093">
      <c r="H3093" s="19" t="str">
        <f>IFERROR(__xludf.DUMMYFUNCTION("""COMPUTED_VALUE"""),"RUSAN HEALTHCARE PVT LTD")</f>
        <v>RUSAN HEALTHCARE PVT LTD</v>
      </c>
    </row>
    <row r="3094">
      <c r="H3094" s="19" t="str">
        <f>IFERROR(__xludf.DUMMYFUNCTION("""COMPUTED_VALUE"""),"RUSAN PHARMA")</f>
        <v>RUSAN PHARMA</v>
      </c>
    </row>
    <row r="3095">
      <c r="H3095" s="19" t="str">
        <f>IFERROR(__xludf.DUMMYFUNCTION("""COMPUTED_VALUE"""),"Rusi Remedies P Ltd")</f>
        <v>Rusi Remedies P Ltd</v>
      </c>
    </row>
    <row r="3096">
      <c r="H3096" s="19" t="str">
        <f>IFERROR(__xludf.DUMMYFUNCTION("""COMPUTED_VALUE"""),"RUSI REMEDIES PVT LTD")</f>
        <v>RUSI REMEDIES PVT LTD</v>
      </c>
    </row>
    <row r="3097">
      <c r="H3097" s="19" t="str">
        <f>IFERROR(__xludf.DUMMYFUNCTION("""COMPUTED_VALUE"""),"RUSLAN NOVO PHARMACEUTICALS")</f>
        <v>RUSLAN NOVO PHARMACEUTICALS</v>
      </c>
    </row>
    <row r="3098">
      <c r="H3098" s="19" t="str">
        <f>IFERROR(__xludf.DUMMYFUNCTION("""COMPUTED_VALUE"""),"RUSLAN NOVO PHARMACIAUTICALS")</f>
        <v>RUSLAN NOVO PHARMACIAUTICALS</v>
      </c>
    </row>
    <row r="3099">
      <c r="H3099" s="19" t="str">
        <f>IFERROR(__xludf.DUMMYFUNCTION("""COMPUTED_VALUE"""),"RUSOMA LABORATORIES PVT LTD")</f>
        <v>RUSOMA LABORATORIES PVT LTD</v>
      </c>
    </row>
    <row r="3100">
      <c r="H3100" s="19" t="str">
        <f>IFERROR(__xludf.DUMMYFUNCTION("""COMPUTED_VALUE"""),"RUTURAJ AYURVEDIC GRUH UDHYOG")</f>
        <v>RUTURAJ AYURVEDIC GRUH UDHYOG</v>
      </c>
    </row>
    <row r="3101">
      <c r="H3101" s="19" t="str">
        <f>IFERROR(__xludf.DUMMYFUNCTION("""COMPUTED_VALUE"""),"RYAN HEALTHCARE")</f>
        <v>RYAN HEALTHCARE</v>
      </c>
    </row>
    <row r="3102">
      <c r="H3102" s="19" t="str">
        <f>IFERROR(__xludf.DUMMYFUNCTION("""COMPUTED_VALUE"""),"RYZE LIFECARE")</f>
        <v>RYZE LIFECARE</v>
      </c>
    </row>
    <row r="3103">
      <c r="H3103" s="19" t="str">
        <f>IFERROR(__xludf.DUMMYFUNCTION("""COMPUTED_VALUE"""),"S A REMEDIES")</f>
        <v>S A REMEDIES</v>
      </c>
    </row>
    <row r="3104">
      <c r="H3104" s="19" t="str">
        <f>IFERROR(__xludf.DUMMYFUNCTION("""COMPUTED_VALUE"""),"S ABDUR RASHEED")</f>
        <v>S ABDUR RASHEED</v>
      </c>
    </row>
    <row r="3105">
      <c r="H3105" s="19" t="str">
        <f>IFERROR(__xludf.DUMMYFUNCTION("""COMPUTED_VALUE"""),"S R BIOTECH")</f>
        <v>S R BIOTECH</v>
      </c>
    </row>
    <row r="3106">
      <c r="H3106" s="19" t="str">
        <f>IFERROR(__xludf.DUMMYFUNCTION("""COMPUTED_VALUE"""),"S R PHARMACEUTICALS")</f>
        <v>S R PHARMACEUTICALS</v>
      </c>
    </row>
    <row r="3107">
      <c r="H3107" s="19" t="str">
        <f>IFERROR(__xludf.DUMMYFUNCTION("""COMPUTED_VALUE"""),"S V BIOVAC PHARMACEUTICALS")</f>
        <v>S V BIOVAC PHARMACEUTICALS</v>
      </c>
    </row>
    <row r="3108">
      <c r="H3108" s="19" t="str">
        <f>IFERROR(__xludf.DUMMYFUNCTION("""COMPUTED_VALUE"""),"S.K.J.S. PHARMACEUTICALS")</f>
        <v>S.K.J.S. PHARMACEUTICALS</v>
      </c>
    </row>
    <row r="3109">
      <c r="H3109" s="19" t="str">
        <f>IFERROR(__xludf.DUMMYFUNCTION("""COMPUTED_VALUE"""),"SAC PHARMACEUTICAL")</f>
        <v>SAC PHARMACEUTICAL</v>
      </c>
    </row>
    <row r="3110">
      <c r="H3110" s="19" t="str">
        <f>IFERROR(__xludf.DUMMYFUNCTION("""COMPUTED_VALUE"""),"SACHIO PHARMA PVT LTD")</f>
        <v>SACHIO PHARMA PVT LTD</v>
      </c>
    </row>
    <row r="3111">
      <c r="H3111" s="19" t="str">
        <f>IFERROR(__xludf.DUMMYFUNCTION("""COMPUTED_VALUE"""),"SADHNA CHEMICAL")</f>
        <v>SADHNA CHEMICAL</v>
      </c>
    </row>
    <row r="3112">
      <c r="H3112" s="19" t="str">
        <f>IFERROR(__xludf.DUMMYFUNCTION("""COMPUTED_VALUE"""),"SAF FERMION (NUVO)")</f>
        <v>SAF FERMION (NUVO)</v>
      </c>
    </row>
    <row r="3113">
      <c r="H3113" s="19" t="str">
        <f>IFERROR(__xludf.DUMMYFUNCTION("""COMPUTED_VALUE"""),"SAF Fermion Ltd")</f>
        <v>SAF Fermion Ltd</v>
      </c>
    </row>
    <row r="3114">
      <c r="H3114" s="19" t="str">
        <f>IFERROR(__xludf.DUMMYFUNCTION("""COMPUTED_VALUE"""),"SAFFRON FORMULATION")</f>
        <v>SAFFRON FORMULATION</v>
      </c>
    </row>
    <row r="3115">
      <c r="H3115" s="19" t="str">
        <f>IFERROR(__xludf.DUMMYFUNCTION("""COMPUTED_VALUE"""),"Saffron Therapeutics Pvt Ltd")</f>
        <v>Saffron Therapeutics Pvt Ltd</v>
      </c>
    </row>
    <row r="3116">
      <c r="H3116" s="19" t="str">
        <f>IFERROR(__xludf.DUMMYFUNCTION("""COMPUTED_VALUE"""),"SAG HEALTH SCIENCE PVT LTD")</f>
        <v>SAG HEALTH SCIENCE PVT LTD</v>
      </c>
    </row>
    <row r="3117">
      <c r="H3117" s="19" t="str">
        <f>IFERROR(__xludf.DUMMYFUNCTION("""COMPUTED_VALUE"""),"SAGA LABORATORIES")</f>
        <v>SAGA LABORATORIES</v>
      </c>
    </row>
    <row r="3118">
      <c r="H3118" s="19" t="str">
        <f>IFERROR(__xludf.DUMMYFUNCTION("""COMPUTED_VALUE"""),"SAGAR PHARMACEUTICALS")</f>
        <v>SAGAR PHARMACEUTICALS</v>
      </c>
    </row>
    <row r="3119">
      <c r="H3119" s="19" t="str">
        <f>IFERROR(__xludf.DUMMYFUNCTION("""COMPUTED_VALUE"""),"SAGE NUTRAVEDICS")</f>
        <v>SAGE NUTRAVEDICS</v>
      </c>
    </row>
    <row r="3120">
      <c r="H3120" s="19" t="str">
        <f>IFERROR(__xludf.DUMMYFUNCTION("""COMPUTED_VALUE"""),"SAHAJANAND HEALTH CARE (SHC)")</f>
        <v>SAHAJANAND HEALTH CARE (SHC)</v>
      </c>
    </row>
    <row r="3121">
      <c r="H3121" s="19" t="str">
        <f>IFERROR(__xludf.DUMMYFUNCTION("""COMPUTED_VALUE"""),"SAHAJANAND HERBALS")</f>
        <v>SAHAJANAND HERBALS</v>
      </c>
    </row>
    <row r="3122">
      <c r="H3122" s="19" t="str">
        <f>IFERROR(__xludf.DUMMYFUNCTION("""COMPUTED_VALUE"""),"SAIBOON LIFECARE")</f>
        <v>SAIBOON LIFECARE</v>
      </c>
    </row>
    <row r="3123">
      <c r="H3123" s="19" t="str">
        <f>IFERROR(__xludf.DUMMYFUNCTION("""COMPUTED_VALUE"""),"SAIFA SEVAAASHRAM")</f>
        <v>SAIFA SEVAAASHRAM</v>
      </c>
    </row>
    <row r="3124">
      <c r="H3124" s="19" t="str">
        <f>IFERROR(__xludf.DUMMYFUNCTION("""COMPUTED_VALUE"""),"SAIN MEDICAMENTS PVT LTD")</f>
        <v>SAIN MEDICAMENTS PVT LTD</v>
      </c>
    </row>
    <row r="3125">
      <c r="H3125" s="19" t="str">
        <f>IFERROR(__xludf.DUMMYFUNCTION("""COMPUTED_VALUE"""),"SAIN MICHEAL BIOTECH")</f>
        <v>SAIN MICHEAL BIOTECH</v>
      </c>
    </row>
    <row r="3126">
      <c r="H3126" s="19" t="str">
        <f>IFERROR(__xludf.DUMMYFUNCTION("""COMPUTED_VALUE"""),"SAINTLIFE PHARMACEUTICALS LTD")</f>
        <v>SAINTLIFE PHARMACEUTICALS LTD</v>
      </c>
    </row>
    <row r="3127">
      <c r="H3127" s="19" t="str">
        <f>IFERROR(__xludf.DUMMYFUNCTION("""COMPUTED_VALUE"""),"SAITECH MEDICARE PVT.LTD.K")</f>
        <v>SAITECH MEDICARE PVT.LTD.K</v>
      </c>
    </row>
    <row r="3128">
      <c r="H3128" s="19" t="str">
        <f>IFERROR(__xludf.DUMMYFUNCTION("""COMPUTED_VALUE"""),"SALASAR BLESSED HERBALS")</f>
        <v>SALASAR BLESSED HERBALS</v>
      </c>
    </row>
    <row r="3129">
      <c r="H3129" s="19" t="str">
        <f>IFERROR(__xludf.DUMMYFUNCTION("""COMPUTED_VALUE"""),"SALASAR PHARMACEUTICALS")</f>
        <v>SALASAR PHARMACEUTICALS</v>
      </c>
    </row>
    <row r="3130">
      <c r="H3130" s="19" t="str">
        <f>IFERROR(__xludf.DUMMYFUNCTION("""COMPUTED_VALUE"""),"SALIUS PHARMA PVT LTD")</f>
        <v>SALIUS PHARMA PVT LTD</v>
      </c>
    </row>
    <row r="3131">
      <c r="H3131" s="19" t="str">
        <f>IFERROR(__xludf.DUMMYFUNCTION("""COMPUTED_VALUE"""),"SALUBRIA PHARMAVENTURES PVT LTD")</f>
        <v>SALUBRIA PHARMAVENTURES PVT LTD</v>
      </c>
    </row>
    <row r="3132">
      <c r="H3132" s="19" t="str">
        <f>IFERROR(__xludf.DUMMYFUNCTION("""COMPUTED_VALUE"""),"Salud Care India Pvt Ltd")</f>
        <v>Salud Care India Pvt Ltd</v>
      </c>
    </row>
    <row r="3133">
      <c r="H3133" s="19" t="str">
        <f>IFERROR(__xludf.DUMMYFUNCTION("""COMPUTED_VALUE"""),"SALUTE")</f>
        <v>SALUTE</v>
      </c>
    </row>
    <row r="3134">
      <c r="H3134" s="19" t="str">
        <f>IFERROR(__xludf.DUMMYFUNCTION("""COMPUTED_VALUE"""),"SALVADOR BIOTECH")</f>
        <v>SALVADOR BIOTECH</v>
      </c>
    </row>
    <row r="3135">
      <c r="H3135" s="19" t="str">
        <f>IFERROR(__xludf.DUMMYFUNCTION("""COMPUTED_VALUE"""),"SALVEO LIFE SCIENCES LTD")</f>
        <v>SALVEO LIFE SCIENCES LTD</v>
      </c>
    </row>
    <row r="3136">
      <c r="H3136" s="19" t="str">
        <f>IFERROR(__xludf.DUMMYFUNCTION("""COMPUTED_VALUE"""),"SAMARTH LIFE SCIENCES")</f>
        <v>SAMARTH LIFE SCIENCES</v>
      </c>
    </row>
    <row r="3137">
      <c r="H3137" s="19" t="str">
        <f>IFERROR(__xludf.DUMMYFUNCTION("""COMPUTED_VALUE"""),"SAMARTH PHARMA")</f>
        <v>SAMARTH PHARMA</v>
      </c>
    </row>
    <row r="3138">
      <c r="H3138" s="19" t="str">
        <f>IFERROR(__xludf.DUMMYFUNCTION("""COMPUTED_VALUE"""),"SAMARTH PHARMA (ANCARD)")</f>
        <v>SAMARTH PHARMA (ANCARD)</v>
      </c>
    </row>
    <row r="3139">
      <c r="H3139" s="19" t="str">
        <f>IFERROR(__xludf.DUMMYFUNCTION("""COMPUTED_VALUE"""),"SAMARTH PHARMA (CRITIGEN)")</f>
        <v>SAMARTH PHARMA (CRITIGEN)</v>
      </c>
    </row>
    <row r="3140">
      <c r="H3140" s="19" t="str">
        <f>IFERROR(__xludf.DUMMYFUNCTION("""COMPUTED_VALUE"""),"SAMARTH PHARMA (EUGENIC)")</f>
        <v>SAMARTH PHARMA (EUGENIC)</v>
      </c>
    </row>
    <row r="3141">
      <c r="H3141" s="19" t="str">
        <f>IFERROR(__xludf.DUMMYFUNCTION("""COMPUTED_VALUE"""),"SAMARTH PHARMA (SAMGEN)")</f>
        <v>SAMARTH PHARMA (SAMGEN)</v>
      </c>
    </row>
    <row r="3142">
      <c r="H3142" s="19" t="str">
        <f>IFERROR(__xludf.DUMMYFUNCTION("""COMPUTED_VALUE"""),"SAMAY SURGICALS")</f>
        <v>SAMAY SURGICALS</v>
      </c>
    </row>
    <row r="3143">
      <c r="H3143" s="19" t="str">
        <f>IFERROR(__xludf.DUMMYFUNCTION("""COMPUTED_VALUE"""),"SAMKEM PHARMACEUTICALS PVT LTD")</f>
        <v>SAMKEM PHARMACEUTICALS PVT LTD</v>
      </c>
    </row>
    <row r="3144">
      <c r="H3144" s="19" t="str">
        <f>IFERROR(__xludf.DUMMYFUNCTION("""COMPUTED_VALUE"""),"SAMNOVA PHARMACEUTICALS PVT LTD")</f>
        <v>SAMNOVA PHARMACEUTICALS PVT LTD</v>
      </c>
    </row>
    <row r="3145">
      <c r="H3145" s="19" t="str">
        <f>IFERROR(__xludf.DUMMYFUNCTION("""COMPUTED_VALUE"""),"SAMSON LAB P LTD, SOLAN")</f>
        <v>SAMSON LAB P LTD, SOLAN</v>
      </c>
    </row>
    <row r="3146">
      <c r="H3146" s="19" t="str">
        <f>IFERROR(__xludf.DUMMYFUNCTION("""COMPUTED_VALUE"""),"SAMTECH REMEDIES")</f>
        <v>SAMTECH REMEDIES</v>
      </c>
    </row>
    <row r="3147">
      <c r="H3147" s="19" t="str">
        <f>IFERROR(__xludf.DUMMYFUNCTION("""COMPUTED_VALUE"""),"SANA GENETICA")</f>
        <v>SANA GENETICA</v>
      </c>
    </row>
    <row r="3148">
      <c r="H3148" s="19" t="str">
        <f>IFERROR(__xludf.DUMMYFUNCTION("""COMPUTED_VALUE"""),"SANARE HEALTHCARE PVT LTD")</f>
        <v>SANARE HEALTHCARE PVT LTD</v>
      </c>
    </row>
    <row r="3149">
      <c r="H3149" s="19" t="str">
        <f>IFERROR(__xludf.DUMMYFUNCTION("""COMPUTED_VALUE"""),"Sanat Products Ltd")</f>
        <v>Sanat Products Ltd</v>
      </c>
    </row>
    <row r="3150">
      <c r="H3150" s="19" t="str">
        <f>IFERROR(__xludf.DUMMYFUNCTION("""COMPUTED_VALUE"""),"Sanctus Global")</f>
        <v>Sanctus Global</v>
      </c>
    </row>
    <row r="3151">
      <c r="H3151" s="19" t="str">
        <f>IFERROR(__xludf.DUMMYFUNCTION("""COMPUTED_VALUE"""),"SANDOZ (GENERIC)")</f>
        <v>SANDOZ (GENERIC)</v>
      </c>
    </row>
    <row r="3152">
      <c r="H3152" s="19" t="str">
        <f>IFERROR(__xludf.DUMMYFUNCTION("""COMPUTED_VALUE"""),"SANDU BROTHERS")</f>
        <v>SANDU BROTHERS</v>
      </c>
    </row>
    <row r="3153">
      <c r="H3153" s="19" t="str">
        <f>IFERROR(__xludf.DUMMYFUNCTION("""COMPUTED_VALUE"""),"SANGUINE REMEDIES INDIA PVT LTD")</f>
        <v>SANGUINE REMEDIES INDIA PVT LTD</v>
      </c>
    </row>
    <row r="3154">
      <c r="H3154" s="19" t="str">
        <f>IFERROR(__xludf.DUMMYFUNCTION("""COMPUTED_VALUE"""),"SANIFY HEALTHCARE")</f>
        <v>SANIFY HEALTHCARE</v>
      </c>
    </row>
    <row r="3155">
      <c r="H3155" s="19" t="str">
        <f>IFERROR(__xludf.DUMMYFUNCTION("""COMPUTED_VALUE"""),"SANIFY HEALTHCARE (S9 PHARMA)")</f>
        <v>SANIFY HEALTHCARE (S9 PHARMA)</v>
      </c>
    </row>
    <row r="3156">
      <c r="H3156" s="19" t="str">
        <f>IFERROR(__xludf.DUMMYFUNCTION("""COMPUTED_VALUE"""),"SANIFY HEALTHCARE (SEVEN BIOSCIENCES)")</f>
        <v>SANIFY HEALTHCARE (SEVEN BIOSCIENCES)</v>
      </c>
    </row>
    <row r="3157">
      <c r="H3157" s="19" t="str">
        <f>IFERROR(__xludf.DUMMYFUNCTION("""COMPUTED_VALUE"""),"SANIFY HEALTHCARE (SILVER BIOTECH)")</f>
        <v>SANIFY HEALTHCARE (SILVER BIOTECH)</v>
      </c>
    </row>
    <row r="3158">
      <c r="H3158" s="19" t="str">
        <f>IFERROR(__xludf.DUMMYFUNCTION("""COMPUTED_VALUE"""),"SANIFY HEALTHCARE (SUPPORT LIFE CARE)")</f>
        <v>SANIFY HEALTHCARE (SUPPORT LIFE CARE)</v>
      </c>
    </row>
    <row r="3159">
      <c r="H3159" s="19" t="str">
        <f>IFERROR(__xludf.DUMMYFUNCTION("""COMPUTED_VALUE"""),"SANIFY HEALTHCARE (SYNTONIC LIFESCIENCES)")</f>
        <v>SANIFY HEALTHCARE (SYNTONIC LIFESCIENCES)</v>
      </c>
    </row>
    <row r="3160">
      <c r="H3160" s="19" t="str">
        <f>IFERROR(__xludf.DUMMYFUNCTION("""COMPUTED_VALUE"""),"SANITY PHARMA")</f>
        <v>SANITY PHARMA</v>
      </c>
    </row>
    <row r="3161">
      <c r="H3161" s="19" t="str">
        <f>IFERROR(__xludf.DUMMYFUNCTION("""COMPUTED_VALUE"""),"SANIX FORMULATION PVT LTD")</f>
        <v>SANIX FORMULATION PVT LTD</v>
      </c>
    </row>
    <row r="3162">
      <c r="H3162" s="19" t="str">
        <f>IFERROR(__xludf.DUMMYFUNCTION("""COMPUTED_VALUE"""),"SANJIVNI PARENTERAL")</f>
        <v>SANJIVNI PARENTERAL</v>
      </c>
    </row>
    <row r="3163">
      <c r="H3163" s="19" t="str">
        <f>IFERROR(__xludf.DUMMYFUNCTION("""COMPUTED_VALUE"""),"SANMATI UDYOG")</f>
        <v>SANMATI UDYOG</v>
      </c>
    </row>
    <row r="3164">
      <c r="H3164" s="19" t="str">
        <f>IFERROR(__xludf.DUMMYFUNCTION("""COMPUTED_VALUE"""),"SANOFI GENZYME")</f>
        <v>SANOFI GENZYME</v>
      </c>
    </row>
    <row r="3165">
      <c r="H3165" s="19" t="str">
        <f>IFERROR(__xludf.DUMMYFUNCTION("""COMPUTED_VALUE"""),"Sanofi India Ltd")</f>
        <v>Sanofi India Ltd</v>
      </c>
    </row>
    <row r="3166">
      <c r="H3166" s="19" t="str">
        <f>IFERROR(__xludf.DUMMYFUNCTION("""COMPUTED_VALUE"""),"SANOFI PASTEUR")</f>
        <v>SANOFI PASTEUR</v>
      </c>
    </row>
    <row r="3167">
      <c r="H3167" s="19" t="str">
        <f>IFERROR(__xludf.DUMMYFUNCTION("""COMPUTED_VALUE"""),"SANTIAGO LIFE SCIENCES")</f>
        <v>SANTIAGO LIFE SCIENCES</v>
      </c>
    </row>
    <row r="3168">
      <c r="H3168" s="19" t="str">
        <f>IFERROR(__xludf.DUMMYFUNCTION("""COMPUTED_VALUE"""),"SANTO MEDI SCIENCES")</f>
        <v>SANTO MEDI SCIENCES</v>
      </c>
    </row>
    <row r="3169">
      <c r="H3169" s="19" t="str">
        <f>IFERROR(__xludf.DUMMYFUNCTION("""COMPUTED_VALUE"""),"SANTRO (CNS)")</f>
        <v>SANTRO (CNS)</v>
      </c>
    </row>
    <row r="3170">
      <c r="H3170" s="19" t="str">
        <f>IFERROR(__xludf.DUMMYFUNCTION("""COMPUTED_VALUE"""),"SANZYME (ART)")</f>
        <v>SANZYME (ART)</v>
      </c>
    </row>
    <row r="3171">
      <c r="H3171" s="19" t="str">
        <f>IFERROR(__xludf.DUMMYFUNCTION("""COMPUTED_VALUE"""),"Sanzyme Ltd (NEPHRO URO)")</f>
        <v>Sanzyme Ltd (NEPHRO URO)</v>
      </c>
    </row>
    <row r="3172">
      <c r="H3172" s="19" t="str">
        <f>IFERROR(__xludf.DUMMYFUNCTION("""COMPUTED_VALUE"""),"Sanzyme Ltd (UNI SANKYO)")</f>
        <v>Sanzyme Ltd (UNI SANKYO)</v>
      </c>
    </row>
    <row r="3173">
      <c r="H3173" s="19" t="str">
        <f>IFERROR(__xludf.DUMMYFUNCTION("""COMPUTED_VALUE"""),"Sanzyme Ltd (ZEST)")</f>
        <v>Sanzyme Ltd (ZEST)</v>
      </c>
    </row>
    <row r="3174">
      <c r="H3174" s="19" t="str">
        <f>IFERROR(__xludf.DUMMYFUNCTION("""COMPUTED_VALUE"""),"SAPAT &amp; COMPANY")</f>
        <v>SAPAT &amp; COMPANY</v>
      </c>
    </row>
    <row r="3175">
      <c r="H3175" s="19" t="str">
        <f>IFERROR(__xludf.DUMMYFUNCTION("""COMPUTED_VALUE"""),"SAPHNIX LIFE SCIENCES")</f>
        <v>SAPHNIX LIFE SCIENCES</v>
      </c>
    </row>
    <row r="3176">
      <c r="H3176" s="19" t="str">
        <f>IFERROR(__xludf.DUMMYFUNCTION("""COMPUTED_VALUE"""),"SAPIENS LABS PVT LTD")</f>
        <v>SAPIENS LABS PVT LTD</v>
      </c>
    </row>
    <row r="3177">
      <c r="H3177" s="19" t="str">
        <f>IFERROR(__xludf.DUMMYFUNCTION("""COMPUTED_VALUE"""),"SAPIENT LABORATORIES")</f>
        <v>SAPIENT LABORATORIES</v>
      </c>
    </row>
    <row r="3178">
      <c r="H3178" s="19" t="str">
        <f>IFERROR(__xludf.DUMMYFUNCTION("""COMPUTED_VALUE"""),"SARA LIFE SCIENCE")</f>
        <v>SARA LIFE SCIENCE</v>
      </c>
    </row>
    <row r="3179">
      <c r="H3179" s="19" t="str">
        <f>IFERROR(__xludf.DUMMYFUNCTION("""COMPUTED_VALUE"""),"SARA REMEDIES LTD")</f>
        <v>SARA REMEDIES LTD</v>
      </c>
    </row>
    <row r="3180">
      <c r="H3180" s="19" t="str">
        <f>IFERROR(__xludf.DUMMYFUNCTION("""COMPUTED_VALUE"""),"SARABHAI CHEMICALS")</f>
        <v>SARABHAI CHEMICALS</v>
      </c>
    </row>
    <row r="3181">
      <c r="H3181" s="19" t="str">
        <f>IFERROR(__xludf.DUMMYFUNCTION("""COMPUTED_VALUE"""),"SARANSH PHARMACEUTICALS")</f>
        <v>SARANSH PHARMACEUTICALS</v>
      </c>
    </row>
    <row r="3182">
      <c r="H3182" s="19" t="str">
        <f>IFERROR(__xludf.DUMMYFUNCTION("""COMPUTED_VALUE"""),"SARIAN HEALTHCARE")</f>
        <v>SARIAN HEALTHCARE</v>
      </c>
    </row>
    <row r="3183">
      <c r="H3183" s="19" t="str">
        <f>IFERROR(__xludf.DUMMYFUNCTION("""COMPUTED_VALUE"""),"SARNGDHAR PHARMA")</f>
        <v>SARNGDHAR PHARMA</v>
      </c>
    </row>
    <row r="3184">
      <c r="H3184" s="19" t="str">
        <f>IFERROR(__xludf.DUMMYFUNCTION("""COMPUTED_VALUE"""),"SARTHAK BIOTECHNICS")</f>
        <v>SARTHAK BIOTECHNICS</v>
      </c>
    </row>
    <row r="3185">
      <c r="H3185" s="19" t="str">
        <f>IFERROR(__xludf.DUMMYFUNCTION("""COMPUTED_VALUE"""),"SARUL PHARMACEUTICALS")</f>
        <v>SARUL PHARMACEUTICALS</v>
      </c>
    </row>
    <row r="3186">
      <c r="H3186" s="19" t="str">
        <f>IFERROR(__xludf.DUMMYFUNCTION("""COMPUTED_VALUE"""),"SAS BIOSYNTH")</f>
        <v>SAS BIOSYNTH</v>
      </c>
    </row>
    <row r="3187">
      <c r="H3187" s="19" t="str">
        <f>IFERROR(__xludf.DUMMYFUNCTION("""COMPUTED_VALUE"""),"SAS PHARMACEUTICAL PVT LTD")</f>
        <v>SAS PHARMACEUTICAL PVT LTD</v>
      </c>
    </row>
    <row r="3188">
      <c r="H3188" s="19" t="str">
        <f>IFERROR(__xludf.DUMMYFUNCTION("""COMPUTED_VALUE"""),"SATNAM HERBALS")</f>
        <v>SATNAM HERBALS</v>
      </c>
    </row>
    <row r="3189">
      <c r="H3189" s="19" t="str">
        <f>IFERROR(__xludf.DUMMYFUNCTION("""COMPUTED_VALUE"""),"SATURN LAB")</f>
        <v>SATURN LAB</v>
      </c>
    </row>
    <row r="3190">
      <c r="H3190" s="19" t="str">
        <f>IFERROR(__xludf.DUMMYFUNCTION("""COMPUTED_VALUE"""),"SATYAM HEALTHCARE P.LTD.")</f>
        <v>SATYAM HEALTHCARE P.LTD.</v>
      </c>
    </row>
    <row r="3191">
      <c r="H3191" s="19" t="str">
        <f>IFERROR(__xludf.DUMMYFUNCTION("""COMPUTED_VALUE"""),"SATYAM OPHTHALMICS")</f>
        <v>SATYAM OPHTHALMICS</v>
      </c>
    </row>
    <row r="3192">
      <c r="H3192" s="19" t="str">
        <f>IFERROR(__xludf.DUMMYFUNCTION("""COMPUTED_VALUE"""),"SATYAM REMEDIES")</f>
        <v>SATYAM REMEDIES</v>
      </c>
    </row>
    <row r="3193">
      <c r="H3193" s="19" t="str">
        <f>IFERROR(__xludf.DUMMYFUNCTION("""COMPUTED_VALUE"""),"SAVA MEDICA LTD")</f>
        <v>SAVA MEDICA LTD</v>
      </c>
    </row>
    <row r="3194">
      <c r="H3194" s="19" t="str">
        <f>IFERROR(__xludf.DUMMYFUNCTION("""COMPUTED_VALUE"""),"SAVESOL PHARMA")</f>
        <v>SAVESOL PHARMA</v>
      </c>
    </row>
    <row r="3195">
      <c r="H3195" s="19" t="str">
        <f>IFERROR(__xludf.DUMMYFUNCTION("""COMPUTED_VALUE"""),"SAYRE THERAPEUTICS")</f>
        <v>SAYRE THERAPEUTICS</v>
      </c>
    </row>
    <row r="3196">
      <c r="H3196" s="19" t="str">
        <f>IFERROR(__xludf.DUMMYFUNCTION("""COMPUTED_VALUE"""),"SAYUJYA PHARMACEUTICALS")</f>
        <v>SAYUJYA PHARMACEUTICALS</v>
      </c>
    </row>
    <row r="3197">
      <c r="H3197" s="19" t="str">
        <f>IFERROR(__xludf.DUMMYFUNCTION("""COMPUTED_VALUE"""),"SB LIFESCIENCE")</f>
        <v>SB LIFESCIENCE</v>
      </c>
    </row>
    <row r="3198">
      <c r="H3198" s="19" t="str">
        <f>IFERROR(__xludf.DUMMYFUNCTION("""COMPUTED_VALUE"""),"Sbeed Pharmaceuticals")</f>
        <v>Sbeed Pharmaceuticals</v>
      </c>
    </row>
    <row r="3199">
      <c r="H3199" s="19" t="str">
        <f>IFERROR(__xludf.DUMMYFUNCTION("""COMPUTED_VALUE"""),"SBL")</f>
        <v>SBL</v>
      </c>
    </row>
    <row r="3200">
      <c r="H3200" s="19" t="str">
        <f>IFERROR(__xludf.DUMMYFUNCTION("""COMPUTED_VALUE"""),"SBS BIOTECH")</f>
        <v>SBS BIOTECH</v>
      </c>
    </row>
    <row r="3201">
      <c r="H3201" s="19" t="str">
        <f>IFERROR(__xludf.DUMMYFUNCTION("""COMPUTED_VALUE"""),"SCALA PHARMACEUTICALS")</f>
        <v>SCALA PHARMACEUTICALS</v>
      </c>
    </row>
    <row r="3202">
      <c r="H3202" s="19" t="str">
        <f>IFERROR(__xludf.DUMMYFUNCTION("""COMPUTED_VALUE"""),"SCHIRON LIFE SCIENCE INCORPORATION")</f>
        <v>SCHIRON LIFE SCIENCE INCORPORATION</v>
      </c>
    </row>
    <row r="3203">
      <c r="H3203" s="19" t="str">
        <f>IFERROR(__xludf.DUMMYFUNCTION("""COMPUTED_VALUE"""),"SCHNELLER HEATHCARE")</f>
        <v>SCHNELLER HEATHCARE</v>
      </c>
    </row>
    <row r="3204">
      <c r="H3204" s="19" t="str">
        <f>IFERROR(__xludf.DUMMYFUNCTION("""COMPUTED_VALUE"""),"SCHON PHARMACEUTICALS LTD")</f>
        <v>SCHON PHARMACEUTICALS LTD</v>
      </c>
    </row>
    <row r="3205">
      <c r="H3205" s="19" t="str">
        <f>IFERROR(__xludf.DUMMYFUNCTION("""COMPUTED_VALUE"""),"SCORRTIS PHARMA")</f>
        <v>SCORRTIS PHARMA</v>
      </c>
    </row>
    <row r="3206">
      <c r="H3206" s="19" t="str">
        <f>IFERROR(__xludf.DUMMYFUNCTION("""COMPUTED_VALUE"""),"SCOT DERMA PVT LTD")</f>
        <v>SCOT DERMA PVT LTD</v>
      </c>
    </row>
    <row r="3207">
      <c r="H3207" s="19" t="str">
        <f>IFERROR(__xludf.DUMMYFUNCTION("""COMPUTED_VALUE"""),"Scott Edil Pharmacia Ltd")</f>
        <v>Scott Edil Pharmacia Ltd</v>
      </c>
    </row>
    <row r="3208">
      <c r="H3208" s="19" t="str">
        <f>IFERROR(__xludf.DUMMYFUNCTION("""COMPUTED_VALUE"""),"SCUTONIX LIFESCIENCES PVT LTD")</f>
        <v>SCUTONIX LIFESCIENCES PVT LTD</v>
      </c>
    </row>
    <row r="3209">
      <c r="H3209" s="19" t="str">
        <f>IFERROR(__xludf.DUMMYFUNCTION("""COMPUTED_VALUE"""),"SDD TORIC")</f>
        <v>SDD TORIC</v>
      </c>
    </row>
    <row r="3210">
      <c r="H3210" s="19" t="str">
        <f>IFERROR(__xludf.DUMMYFUNCTION("""COMPUTED_VALUE"""),"SDS NUTRACEUTICALS")</f>
        <v>SDS NUTRACEUTICALS</v>
      </c>
    </row>
    <row r="3211">
      <c r="H3211" s="19" t="str">
        <f>IFERROR(__xludf.DUMMYFUNCTION("""COMPUTED_VALUE"""),"SEAGULL PHARMACEUTICALS PVT LTD")</f>
        <v>SEAGULL PHARMACEUTICALS PVT LTD</v>
      </c>
    </row>
    <row r="3212">
      <c r="H3212" s="19" t="str">
        <f>IFERROR(__xludf.DUMMYFUNCTION("""COMPUTED_VALUE"""),"SEARCH CREATION")</f>
        <v>SEARCH CREATION</v>
      </c>
    </row>
    <row r="3213">
      <c r="H3213" s="19" t="str">
        <f>IFERROR(__xludf.DUMMYFUNCTION("""COMPUTED_VALUE"""),"SEARUB")</f>
        <v>SEARUB</v>
      </c>
    </row>
    <row r="3214">
      <c r="H3214" s="19" t="str">
        <f>IFERROR(__xludf.DUMMYFUNCTION("""COMPUTED_VALUE"""),"SEE-CURE")</f>
        <v>SEE-CURE</v>
      </c>
    </row>
    <row r="3215">
      <c r="H3215" s="19" t="str">
        <f>IFERROR(__xludf.DUMMYFUNCTION("""COMPUTED_VALUE"""),"SEEMA INTERNATIONAL")</f>
        <v>SEEMA INTERNATIONAL</v>
      </c>
    </row>
    <row r="3216">
      <c r="H3216" s="19" t="str">
        <f>IFERROR(__xludf.DUMMYFUNCTION("""COMPUTED_VALUE"""),"SEGMENT CARE")</f>
        <v>SEGMENT CARE</v>
      </c>
    </row>
    <row r="3217">
      <c r="H3217" s="19" t="str">
        <f>IFERROR(__xludf.DUMMYFUNCTION("""COMPUTED_VALUE"""),"SELAGINELLA LIFE SCIENCES")</f>
        <v>SELAGINELLA LIFE SCIENCES</v>
      </c>
    </row>
    <row r="3218">
      <c r="H3218" s="19" t="str">
        <f>IFERROR(__xludf.DUMMYFUNCTION("""COMPUTED_VALUE"""),"SELVADOR LTD")</f>
        <v>SELVADOR LTD</v>
      </c>
    </row>
    <row r="3219">
      <c r="H3219" s="19" t="str">
        <f>IFERROR(__xludf.DUMMYFUNCTION("""COMPUTED_VALUE"""),"SELWAY LIFE SCIENCES PVT LTD")</f>
        <v>SELWAY LIFE SCIENCES PVT LTD</v>
      </c>
    </row>
    <row r="3220">
      <c r="H3220" s="19" t="str">
        <f>IFERROR(__xludf.DUMMYFUNCTION("""COMPUTED_VALUE"""),"SENATE LABORATORIES ROORKE")</f>
        <v>SENATE LABORATORIES ROORKE</v>
      </c>
    </row>
    <row r="3221">
      <c r="H3221" s="19" t="str">
        <f>IFERROR(__xludf.DUMMYFUNCTION("""COMPUTED_VALUE"""),"SENCARE LIFE SCIENCES")</f>
        <v>SENCARE LIFE SCIENCES</v>
      </c>
    </row>
    <row r="3222">
      <c r="H3222" s="19" t="str">
        <f>IFERROR(__xludf.DUMMYFUNCTION("""COMPUTED_VALUE"""),"SENEN BIOTECH")</f>
        <v>SENEN BIOTECH</v>
      </c>
    </row>
    <row r="3223">
      <c r="H3223" s="19" t="str">
        <f>IFERROR(__xludf.DUMMYFUNCTION("""COMPUTED_VALUE"""),"SENERA ESSENTIALS")</f>
        <v>SENERA ESSENTIALS</v>
      </c>
    </row>
    <row r="3224">
      <c r="H3224" s="19" t="str">
        <f>IFERROR(__xludf.DUMMYFUNCTION("""COMPUTED_VALUE"""),"SENERA ETHICAL")</f>
        <v>SENERA ETHICAL</v>
      </c>
    </row>
    <row r="3225">
      <c r="H3225" s="19" t="str">
        <f>IFERROR(__xludf.DUMMYFUNCTION("""COMPUTED_VALUE"""),"SENSES PHARMACEUTICALS")</f>
        <v>SENSES PHARMACEUTICALS</v>
      </c>
    </row>
    <row r="3226">
      <c r="H3226" s="19" t="str">
        <f>IFERROR(__xludf.DUMMYFUNCTION("""COMPUTED_VALUE"""),"SENTISS PHARMA")</f>
        <v>SENTISS PHARMA</v>
      </c>
    </row>
    <row r="3227">
      <c r="H3227" s="19" t="str">
        <f>IFERROR(__xludf.DUMMYFUNCTION("""COMPUTED_VALUE"""),"SENTRO (NEURO)")</f>
        <v>SENTRO (NEURO)</v>
      </c>
    </row>
    <row r="3228">
      <c r="H3228" s="19" t="str">
        <f>IFERROR(__xludf.DUMMYFUNCTION("""COMPUTED_VALUE"""),"SENTRO PHARMA &amp; HEALTH CARE LLP")</f>
        <v>SENTRO PHARMA &amp; HEALTH CARE LLP</v>
      </c>
    </row>
    <row r="3229">
      <c r="H3229" s="19" t="str">
        <f>IFERROR(__xludf.DUMMYFUNCTION("""COMPUTED_VALUE"""),"SEPIK LIFE SCIENCES")</f>
        <v>SEPIK LIFE SCIENCES</v>
      </c>
    </row>
    <row r="3230">
      <c r="H3230" s="19" t="str">
        <f>IFERROR(__xludf.DUMMYFUNCTION("""COMPUTED_VALUE"""),"SEPTALYST LIFESCIENCES (CNS)")</f>
        <v>SEPTALYST LIFESCIENCES (CNS)</v>
      </c>
    </row>
    <row r="3231">
      <c r="H3231" s="19" t="str">
        <f>IFERROR(__xludf.DUMMYFUNCTION("""COMPUTED_VALUE"""),"SEPTALYST LIFESCIENCES (NEPHRO)")</f>
        <v>SEPTALYST LIFESCIENCES (NEPHRO)</v>
      </c>
    </row>
    <row r="3232">
      <c r="H3232" s="19" t="str">
        <f>IFERROR(__xludf.DUMMYFUNCTION("""COMPUTED_VALUE"""),"Septalyst Lifesciences Pvt. Ltd")</f>
        <v>Septalyst Lifesciences Pvt. Ltd</v>
      </c>
    </row>
    <row r="3233">
      <c r="H3233" s="19" t="str">
        <f>IFERROR(__xludf.DUMMYFUNCTION("""COMPUTED_VALUE"""),"Serdia Pharmaceuticals India Pvt Ltd")</f>
        <v>Serdia Pharmaceuticals India Pvt Ltd</v>
      </c>
    </row>
    <row r="3234">
      <c r="H3234" s="19" t="str">
        <f>IFERROR(__xludf.DUMMYFUNCTION("""COMPUTED_VALUE"""),"SERUM BIOTECH LTD")</f>
        <v>SERUM BIOTECH LTD</v>
      </c>
    </row>
    <row r="3235">
      <c r="H3235" s="19" t="str">
        <f>IFERROR(__xludf.DUMMYFUNCTION("""COMPUTED_VALUE"""),"Serum Institute Of India Ltd")</f>
        <v>Serum Institute Of India Ltd</v>
      </c>
    </row>
    <row r="3236">
      <c r="H3236" s="19" t="str">
        <f>IFERROR(__xludf.DUMMYFUNCTION("""COMPUTED_VALUE"""),"SERVETUS")</f>
        <v>SERVETUS</v>
      </c>
    </row>
    <row r="3237">
      <c r="H3237" s="19" t="str">
        <f>IFERROR(__xludf.DUMMYFUNCTION("""COMPUTED_VALUE"""),"SERWINA PHARMACEUTICALS (GENERIC)")</f>
        <v>SERWINA PHARMACEUTICALS (GENERIC)</v>
      </c>
    </row>
    <row r="3238">
      <c r="H3238" s="19" t="str">
        <f>IFERROR(__xludf.DUMMYFUNCTION("""COMPUTED_VALUE"""),"SESDERMA INDIA PVT LTD")</f>
        <v>SESDERMA INDIA PVT LTD</v>
      </c>
    </row>
    <row r="3239">
      <c r="H3239" s="19" t="str">
        <f>IFERROR(__xludf.DUMMYFUNCTION("""COMPUTED_VALUE"""),"SEVA HEALTHCARE(P)LTD")</f>
        <v>SEVA HEALTHCARE(P)LTD</v>
      </c>
    </row>
    <row r="3240">
      <c r="H3240" s="19" t="str">
        <f>IFERROR(__xludf.DUMMYFUNCTION("""COMPUTED_VALUE"""),"SEVEN BIOSCIENCES")</f>
        <v>SEVEN BIOSCIENCES</v>
      </c>
    </row>
    <row r="3241">
      <c r="H3241" s="19" t="str">
        <f>IFERROR(__xludf.DUMMYFUNCTION("""COMPUTED_VALUE"""),"SEVEN SEAS")</f>
        <v>SEVEN SEAS</v>
      </c>
    </row>
    <row r="3242">
      <c r="H3242" s="19" t="str">
        <f>IFERROR(__xludf.DUMMYFUNCTION("""COMPUTED_VALUE"""),"SEVENHILLS LIFESCIENCES")</f>
        <v>SEVENHILLS LIFESCIENCES</v>
      </c>
    </row>
    <row r="3243">
      <c r="H3243" s="19" t="str">
        <f>IFERROR(__xludf.DUMMYFUNCTION("""COMPUTED_VALUE"""),"SG LIFECARE")</f>
        <v>SG LIFECARE</v>
      </c>
    </row>
    <row r="3244">
      <c r="H3244" s="19" t="str">
        <f>IFERROR(__xludf.DUMMYFUNCTION("""COMPUTED_VALUE"""),"SG PHARMA")</f>
        <v>SG PHARMA</v>
      </c>
    </row>
    <row r="3245">
      <c r="H3245" s="19" t="str">
        <f>IFERROR(__xludf.DUMMYFUNCTION("""COMPUTED_VALUE"""),"SG PHYTO PHARMA P LTD")</f>
        <v>SG PHYTO PHARMA P LTD</v>
      </c>
    </row>
    <row r="3246">
      <c r="H3246" s="19" t="str">
        <f>IFERROR(__xludf.DUMMYFUNCTION("""COMPUTED_VALUE"""),"SGS")</f>
        <v>SGS</v>
      </c>
    </row>
    <row r="3247">
      <c r="H3247" s="19" t="str">
        <f>IFERROR(__xludf.DUMMYFUNCTION("""COMPUTED_VALUE"""),"SH PHARMACEUTICALS LTD")</f>
        <v>SH PHARMACEUTICALS LTD</v>
      </c>
    </row>
    <row r="3248">
      <c r="H3248" s="19" t="str">
        <f>IFERROR(__xludf.DUMMYFUNCTION("""COMPUTED_VALUE"""),"SHADOW HELTHCARE")</f>
        <v>SHADOW HELTHCARE</v>
      </c>
    </row>
    <row r="3249">
      <c r="H3249" s="19" t="str">
        <f>IFERROR(__xludf.DUMMYFUNCTION("""COMPUTED_VALUE"""),"SHAILESH PHARMACEUTICALS")</f>
        <v>SHAILESH PHARMACEUTICALS</v>
      </c>
    </row>
    <row r="3250">
      <c r="H3250" s="19" t="str">
        <f>IFERROR(__xludf.DUMMYFUNCTION("""COMPUTED_VALUE"""),"SHALMAN PHARMACEUTICAL")</f>
        <v>SHALMAN PHARMACEUTICAL</v>
      </c>
    </row>
    <row r="3251">
      <c r="H3251" s="19" t="str">
        <f>IFERROR(__xludf.DUMMYFUNCTION("""COMPUTED_VALUE"""),"SHAMAC HEALTHCARE")</f>
        <v>SHAMAC HEALTHCARE</v>
      </c>
    </row>
    <row r="3252">
      <c r="H3252" s="19" t="str">
        <f>IFERROR(__xludf.DUMMYFUNCTION("""COMPUTED_VALUE"""),"SHANKHIN HEALTHCARE")</f>
        <v>SHANKHIN HEALTHCARE</v>
      </c>
    </row>
    <row r="3253">
      <c r="H3253" s="19" t="str">
        <f>IFERROR(__xludf.DUMMYFUNCTION("""COMPUTED_VALUE"""),"SHANKUS ACME PHARMA")</f>
        <v>SHANKUS ACME PHARMA</v>
      </c>
    </row>
    <row r="3254">
      <c r="H3254" s="19" t="str">
        <f>IFERROR(__xludf.DUMMYFUNCTION("""COMPUTED_VALUE"""),"SHANTA BIOTECH LTD")</f>
        <v>SHANTA BIOTECH LTD</v>
      </c>
    </row>
    <row r="3255">
      <c r="H3255" s="19" t="str">
        <f>IFERROR(__xludf.DUMMYFUNCTION("""COMPUTED_VALUE"""),"SHARANGDHAR")</f>
        <v>SHARANGDHAR</v>
      </c>
    </row>
    <row r="3256">
      <c r="H3256" s="19" t="str">
        <f>IFERROR(__xludf.DUMMYFUNCTION("""COMPUTED_VALUE"""),"SHARMAYU AYURVED BHAWAN")</f>
        <v>SHARMAYU AYURVED BHAWAN</v>
      </c>
    </row>
    <row r="3257">
      <c r="H3257" s="19" t="str">
        <f>IFERROR(__xludf.DUMMYFUNCTION("""COMPUTED_VALUE"""),"SHE BIOLOGICALS")</f>
        <v>SHE BIOLOGICALS</v>
      </c>
    </row>
    <row r="3258">
      <c r="H3258" s="19" t="str">
        <f>IFERROR(__xludf.DUMMYFUNCTION("""COMPUTED_VALUE"""),"SHEBA INDUSTRIES")</f>
        <v>SHEBA INDUSTRIES</v>
      </c>
    </row>
    <row r="3259">
      <c r="H3259" s="19" t="str">
        <f>IFERROR(__xludf.DUMMYFUNCTION("""COMPUTED_VALUE"""),"SHERINGS")</f>
        <v>SHERINGS</v>
      </c>
    </row>
    <row r="3260">
      <c r="H3260" s="19" t="str">
        <f>IFERROR(__xludf.DUMMYFUNCTION("""COMPUTED_VALUE"""),"SHETH BROS.")</f>
        <v>SHETH BROS.</v>
      </c>
    </row>
    <row r="3261">
      <c r="H3261" s="19" t="str">
        <f>IFERROR(__xludf.DUMMYFUNCTION("""COMPUTED_VALUE"""),"SHIELD HEALTH CARE PVT LTD")</f>
        <v>SHIELD HEALTH CARE PVT LTD</v>
      </c>
    </row>
    <row r="3262">
      <c r="H3262" s="19" t="str">
        <f>IFERROR(__xludf.DUMMYFUNCTION("""COMPUTED_VALUE"""),"SHILPA MEDICARE LTD")</f>
        <v>SHILPA MEDICARE LTD</v>
      </c>
    </row>
    <row r="3263">
      <c r="H3263" s="19" t="str">
        <f>IFERROR(__xludf.DUMMYFUNCTION("""COMPUTED_VALUE"""),"SHILPACHEM INDUSTRIES")</f>
        <v>SHILPACHEM INDUSTRIES</v>
      </c>
    </row>
    <row r="3264">
      <c r="H3264" s="19" t="str">
        <f>IFERROR(__xludf.DUMMYFUNCTION("""COMPUTED_VALUE"""),"Shine Pharmaceuticals Ltd")</f>
        <v>Shine Pharmaceuticals Ltd</v>
      </c>
    </row>
    <row r="3265">
      <c r="H3265" s="19" t="str">
        <f>IFERROR(__xludf.DUMMYFUNCTION("""COMPUTED_VALUE"""),"SHINTO ORGANICS")</f>
        <v>SHINTO ORGANICS</v>
      </c>
    </row>
    <row r="3266">
      <c r="H3266" s="19" t="str">
        <f>IFERROR(__xludf.DUMMYFUNCTION("""COMPUTED_VALUE"""),"SHIVANI COTTON")</f>
        <v>SHIVANI COTTON</v>
      </c>
    </row>
    <row r="3267">
      <c r="H3267" s="19" t="str">
        <f>IFERROR(__xludf.DUMMYFUNCTION("""COMPUTED_VALUE"""),"SHIVAYU HERBAL CARE")</f>
        <v>SHIVAYU HERBAL CARE</v>
      </c>
    </row>
    <row r="3268">
      <c r="H3268" s="19" t="str">
        <f>IFERROR(__xludf.DUMMYFUNCTION("""COMPUTED_VALUE"""),"SHIVAYUR HEALTHCARE (GENERIC)")</f>
        <v>SHIVAYUR HEALTHCARE (GENERIC)</v>
      </c>
    </row>
    <row r="3269">
      <c r="H3269" s="19" t="str">
        <f>IFERROR(__xludf.DUMMYFUNCTION("""COMPUTED_VALUE"""),"SHIVOY HEALTHCARE PVT LTD")</f>
        <v>SHIVOY HEALTHCARE PVT LTD</v>
      </c>
    </row>
    <row r="3270">
      <c r="H3270" s="19" t="str">
        <f>IFERROR(__xludf.DUMMYFUNCTION("""COMPUTED_VALUE"""),"SHL")</f>
        <v>SHL</v>
      </c>
    </row>
    <row r="3271">
      <c r="H3271" s="19" t="str">
        <f>IFERROR(__xludf.DUMMYFUNCTION("""COMPUTED_VALUE"""),"SHONE PHARMACEUTICAL PVT LTD")</f>
        <v>SHONE PHARMACEUTICAL PVT LTD</v>
      </c>
    </row>
    <row r="3272">
      <c r="H3272" s="19" t="str">
        <f>IFERROR(__xludf.DUMMYFUNCTION("""COMPUTED_VALUE"""),"Shree Baidyanath Ayurved Bhawan Pvt Ltd")</f>
        <v>Shree Baidyanath Ayurved Bhawan Pvt Ltd</v>
      </c>
    </row>
    <row r="3273">
      <c r="H3273" s="19" t="str">
        <f>IFERROR(__xludf.DUMMYFUNCTION("""COMPUTED_VALUE"""),"SHREE DHANWANTRI HERBALS")</f>
        <v>SHREE DHANWANTRI HERBALS</v>
      </c>
    </row>
    <row r="3274">
      <c r="H3274" s="19" t="str">
        <f>IFERROR(__xludf.DUMMYFUNCTION("""COMPUTED_VALUE"""),"SHREE GANESH PHARMACEUTICALS")</f>
        <v>SHREE GANESH PHARMACEUTICALS</v>
      </c>
    </row>
    <row r="3275">
      <c r="H3275" s="19" t="str">
        <f>IFERROR(__xludf.DUMMYFUNCTION("""COMPUTED_VALUE"""),"SHREE KRISHNA PHARMACEUTICALS")</f>
        <v>SHREE KRISHNA PHARMACEUTICALS</v>
      </c>
    </row>
    <row r="3276">
      <c r="H3276" s="19" t="str">
        <f>IFERROR(__xludf.DUMMYFUNCTION("""COMPUTED_VALUE"""),"SHREE MARUTI HERBAL")</f>
        <v>SHREE MARUTI HERBAL</v>
      </c>
    </row>
    <row r="3277">
      <c r="H3277" s="19" t="str">
        <f>IFERROR(__xludf.DUMMYFUNCTION("""COMPUTED_VALUE"""),"SHREE NATH PHARMACEUTICALS LTD")</f>
        <v>SHREE NATH PHARMACEUTICALS LTD</v>
      </c>
    </row>
    <row r="3278">
      <c r="H3278" s="19" t="str">
        <f>IFERROR(__xludf.DUMMYFUNCTION("""COMPUTED_VALUE"""),"SHREE NUTRITIONS VIDHYAVIH")</f>
        <v>SHREE NUTRITIONS VIDHYAVIH</v>
      </c>
    </row>
    <row r="3279">
      <c r="H3279" s="19" t="str">
        <f>IFERROR(__xludf.DUMMYFUNCTION("""COMPUTED_VALUE"""),"SHREE SHARMA AYURVED MANDIR")</f>
        <v>SHREE SHARMA AYURVED MANDIR</v>
      </c>
    </row>
    <row r="3280">
      <c r="H3280" s="19" t="str">
        <f>IFERROR(__xludf.DUMMYFUNCTION("""COMPUTED_VALUE"""),"SHREE SIDDHA AYURVED &amp; RESEARCH")</f>
        <v>SHREE SIDDHA AYURVED &amp; RESEARCH</v>
      </c>
    </row>
    <row r="3281">
      <c r="H3281" s="19" t="str">
        <f>IFERROR(__xludf.DUMMYFUNCTION("""COMPUTED_VALUE"""),"SHREE SITARAGHAVA VAIDYASALA")</f>
        <v>SHREE SITARAGHAVA VAIDYASALA</v>
      </c>
    </row>
    <row r="3282">
      <c r="H3282" s="19" t="str">
        <f>IFERROR(__xludf.DUMMYFUNCTION("""COMPUTED_VALUE"""),"SHREEJI AGENCY (OMP)")</f>
        <v>SHREEJI AGENCY (OMP)</v>
      </c>
    </row>
    <row r="3283">
      <c r="H3283" s="19" t="str">
        <f>IFERROR(__xludf.DUMMYFUNCTION("""COMPUTED_VALUE"""),"SHREEM DRUGS P LTD")</f>
        <v>SHREEM DRUGS P LTD</v>
      </c>
    </row>
    <row r="3284">
      <c r="H3284" s="19" t="str">
        <f>IFERROR(__xludf.DUMMYFUNCTION("""COMPUTED_VALUE"""),"SHREEYAM HEALTH CARE")</f>
        <v>SHREEYAM HEALTH CARE</v>
      </c>
    </row>
    <row r="3285">
      <c r="H3285" s="19" t="str">
        <f>IFERROR(__xludf.DUMMYFUNCTION("""COMPUTED_VALUE"""),"Shreeyam Healthcare")</f>
        <v>Shreeyam Healthcare</v>
      </c>
    </row>
    <row r="3286">
      <c r="H3286" s="19" t="str">
        <f>IFERROR(__xludf.DUMMYFUNCTION("""COMPUTED_VALUE"""),"Shrey Nutraceuticals &amp; Herbals Pvt Ltd")</f>
        <v>Shrey Nutraceuticals &amp; Herbals Pvt Ltd</v>
      </c>
    </row>
    <row r="3287">
      <c r="H3287" s="19" t="str">
        <f>IFERROR(__xludf.DUMMYFUNCTION("""COMPUTED_VALUE"""),"Shreya Life Sciences Pvt Ltd")</f>
        <v>Shreya Life Sciences Pvt Ltd</v>
      </c>
    </row>
    <row r="3288">
      <c r="H3288" s="19" t="str">
        <f>IFERROR(__xludf.DUMMYFUNCTION("""COMPUTED_VALUE"""),"SHRI AYURVED SEVA SADAN")</f>
        <v>SHRI AYURVED SEVA SADAN</v>
      </c>
    </row>
    <row r="3289">
      <c r="H3289" s="19" t="str">
        <f>IFERROR(__xludf.DUMMYFUNCTION("""COMPUTED_VALUE"""),"SHRI DHANWANTRI PHARMACY")</f>
        <v>SHRI DHANWANTRI PHARMACY</v>
      </c>
    </row>
    <row r="3290">
      <c r="H3290" s="19" t="str">
        <f>IFERROR(__xludf.DUMMYFUNCTION("""COMPUTED_VALUE"""),"SHRINIVAS (ESSENTIAL)")</f>
        <v>SHRINIVAS (ESSENTIAL)</v>
      </c>
    </row>
    <row r="3291">
      <c r="H3291" s="19" t="str">
        <f>IFERROR(__xludf.DUMMYFUNCTION("""COMPUTED_VALUE"""),"SHRINIVAS (GUJRAT) LABORATORIES")</f>
        <v>SHRINIVAS (GUJRAT) LABORATORIES</v>
      </c>
    </row>
    <row r="3292">
      <c r="H3292" s="19" t="str">
        <f>IFERROR(__xludf.DUMMYFUNCTION("""COMPUTED_VALUE"""),"SIDDHAYU")</f>
        <v>SIDDHAYU</v>
      </c>
    </row>
    <row r="3293">
      <c r="H3293" s="19" t="str">
        <f>IFERROR(__xludf.DUMMYFUNCTION("""COMPUTED_VALUE"""),"SIDHI PHARMACY PVT LTD")</f>
        <v>SIDHI PHARMACY PVT LTD</v>
      </c>
    </row>
    <row r="3294">
      <c r="H3294" s="19" t="str">
        <f>IFERROR(__xludf.DUMMYFUNCTION("""COMPUTED_VALUE"""),"SIENNA FORMULATIONS")</f>
        <v>SIENNA FORMULATIONS</v>
      </c>
    </row>
    <row r="3295">
      <c r="H3295" s="19" t="str">
        <f>IFERROR(__xludf.DUMMYFUNCTION("""COMPUTED_VALUE"""),"SIESTA PHARMA")</f>
        <v>SIESTA PHARMA</v>
      </c>
    </row>
    <row r="3296">
      <c r="H3296" s="19" t="str">
        <f>IFERROR(__xludf.DUMMYFUNCTION("""COMPUTED_VALUE"""),"SIFCO PHARMA")</f>
        <v>SIFCO PHARMA</v>
      </c>
    </row>
    <row r="3297">
      <c r="H3297" s="19" t="str">
        <f>IFERROR(__xludf.DUMMYFUNCTION("""COMPUTED_VALUE"""),"SIGMA LABORATORIES")</f>
        <v>SIGMA LABORATORIES</v>
      </c>
    </row>
    <row r="3298">
      <c r="H3298" s="19" t="str">
        <f>IFERROR(__xludf.DUMMYFUNCTION("""COMPUTED_VALUE"""),"SIGMAN WELLNESS")</f>
        <v>SIGMAN WELLNESS</v>
      </c>
    </row>
    <row r="3299">
      <c r="H3299" s="19" t="str">
        <f>IFERROR(__xludf.DUMMYFUNCTION("""COMPUTED_VALUE"""),"Sigmund Promedica")</f>
        <v>Sigmund Promedica</v>
      </c>
    </row>
    <row r="3300">
      <c r="H3300" s="19" t="str">
        <f>IFERROR(__xludf.DUMMYFUNCTION("""COMPUTED_VALUE"""),"SIGNITY PHARMACEUTICALS")</f>
        <v>SIGNITY PHARMACEUTICALS</v>
      </c>
    </row>
    <row r="3301">
      <c r="H3301" s="19" t="str">
        <f>IFERROR(__xludf.DUMMYFUNCTION("""COMPUTED_VALUE"""),"Signova Pharma Pvt Ltd")</f>
        <v>Signova Pharma Pvt Ltd</v>
      </c>
    </row>
    <row r="3302">
      <c r="H3302" s="19" t="str">
        <f>IFERROR(__xludf.DUMMYFUNCTION("""COMPUTED_VALUE"""),"SIGNUTRA INC")</f>
        <v>SIGNUTRA INC</v>
      </c>
    </row>
    <row r="3303">
      <c r="H3303" s="19" t="str">
        <f>IFERROR(__xludf.DUMMYFUNCTION("""COMPUTED_VALUE"""),"SIMANDHAR HERBAL PVT LTD")</f>
        <v>SIMANDHAR HERBAL PVT LTD</v>
      </c>
    </row>
    <row r="3304">
      <c r="H3304" s="19" t="str">
        <f>IFERROR(__xludf.DUMMYFUNCTION("""COMPUTED_VALUE"""),"SIMCO ORGANICS")</f>
        <v>SIMCO ORGANICS</v>
      </c>
    </row>
    <row r="3305">
      <c r="H3305" s="19" t="str">
        <f>IFERROR(__xludf.DUMMYFUNCTION("""COMPUTED_VALUE"""),"SIMPLY SATVIK")</f>
        <v>SIMPLY SATVIK</v>
      </c>
    </row>
    <row r="3306">
      <c r="H3306" s="19" t="str">
        <f>IFERROR(__xludf.DUMMYFUNCTION("""COMPUTED_VALUE"""),"SINGHAL PHARMA")</f>
        <v>SINGHAL PHARMA</v>
      </c>
    </row>
    <row r="3307">
      <c r="H3307" s="19" t="str">
        <f>IFERROR(__xludf.DUMMYFUNCTION("""COMPUTED_VALUE"""),"SINSAN PHARMACEUTICALS")</f>
        <v>SINSAN PHARMACEUTICALS</v>
      </c>
    </row>
    <row r="3308">
      <c r="H3308" s="19" t="str">
        <f>IFERROR(__xludf.DUMMYFUNCTION("""COMPUTED_VALUE"""),"SINSAN PHARMACEUTICALS (ALTIUS)")</f>
        <v>SINSAN PHARMACEUTICALS (ALTIUS)</v>
      </c>
    </row>
    <row r="3309">
      <c r="H3309" s="19" t="str">
        <f>IFERROR(__xludf.DUMMYFUNCTION("""COMPUTED_VALUE"""),"SINSAN PHARMACEUTICALS (CITUS)")</f>
        <v>SINSAN PHARMACEUTICALS (CITUS)</v>
      </c>
    </row>
    <row r="3310">
      <c r="H3310" s="19" t="str">
        <f>IFERROR(__xludf.DUMMYFUNCTION("""COMPUTED_VALUE"""),"SINSAN PHARMACEUTICALS (KAIZER)")</f>
        <v>SINSAN PHARMACEUTICALS (KAIZER)</v>
      </c>
    </row>
    <row r="3311">
      <c r="H3311" s="19" t="str">
        <f>IFERROR(__xludf.DUMMYFUNCTION("""COMPUTED_VALUE"""),"SIXTH SENSE PHARMACEUTICALS")</f>
        <v>SIXTH SENSE PHARMACEUTICALS</v>
      </c>
    </row>
    <row r="3312">
      <c r="H3312" s="19" t="str">
        <f>IFERROR(__xludf.DUMMYFUNCTION("""COMPUTED_VALUE"""),"SKIN SCIENCE")</f>
        <v>SKIN SCIENCE</v>
      </c>
    </row>
    <row r="3313">
      <c r="H3313" s="19" t="str">
        <f>IFERROR(__xludf.DUMMYFUNCTION("""COMPUTED_VALUE"""),"SKINWAVE INDIA")</f>
        <v>SKINWAVE INDIA</v>
      </c>
    </row>
    <row r="3314">
      <c r="H3314" s="19" t="str">
        <f>IFERROR(__xludf.DUMMYFUNCTION("""COMPUTED_VALUE"""),"SKN ORGANICS")</f>
        <v>SKN ORGANICS</v>
      </c>
    </row>
    <row r="3315">
      <c r="H3315" s="19" t="str">
        <f>IFERROR(__xludf.DUMMYFUNCTION("""COMPUTED_VALUE"""),"SKY VISION PHARMA PVT LTD")</f>
        <v>SKY VISION PHARMA PVT LTD</v>
      </c>
    </row>
    <row r="3316">
      <c r="H3316" s="19" t="str">
        <f>IFERROR(__xludf.DUMMYFUNCTION("""COMPUTED_VALUE"""),"SKYLINE HERBALS PVT LTD")</f>
        <v>SKYLINE HERBALS PVT LTD</v>
      </c>
    </row>
    <row r="3317">
      <c r="H3317" s="19" t="str">
        <f>IFERROR(__xludf.DUMMYFUNCTION("""COMPUTED_VALUE"""),"SKYVISION")</f>
        <v>SKYVISION</v>
      </c>
    </row>
    <row r="3318">
      <c r="H3318" s="19" t="str">
        <f>IFERROR(__xludf.DUMMYFUNCTION("""COMPUTED_VALUE"""),"SL  TORIC")</f>
        <v>SL  TORIC</v>
      </c>
    </row>
    <row r="3319">
      <c r="H3319" s="19" t="str">
        <f>IFERROR(__xludf.DUMMYFUNCTION("""COMPUTED_VALUE"""),"SLANEY HEALTHCARE")</f>
        <v>SLANEY HEALTHCARE</v>
      </c>
    </row>
    <row r="3320">
      <c r="H3320" s="19" t="str">
        <f>IFERROR(__xludf.DUMMYFUNCTION("""COMPUTED_VALUE"""),"SMART LABORATORIES (CONVEX)")</f>
        <v>SMART LABORATORIES (CONVEX)</v>
      </c>
    </row>
    <row r="3321">
      <c r="H3321" s="19" t="str">
        <f>IFERROR(__xludf.DUMMYFUNCTION("""COMPUTED_VALUE"""),"SMART LABORATORIES PVT LTD")</f>
        <v>SMART LABORATORIES PVT LTD</v>
      </c>
    </row>
    <row r="3322">
      <c r="H3322" s="19" t="str">
        <f>IFERROR(__xludf.DUMMYFUNCTION("""COMPUTED_VALUE"""),"SMITH BRAUN LABORATORIES")</f>
        <v>SMITH BRAUN LABORATORIES</v>
      </c>
    </row>
    <row r="3323">
      <c r="H3323" s="19" t="str">
        <f>IFERROR(__xludf.DUMMYFUNCTION("""COMPUTED_VALUE"""),"SMITHSONS LIFE SCIENCE")</f>
        <v>SMITHSONS LIFE SCIENCE</v>
      </c>
    </row>
    <row r="3324">
      <c r="H3324" s="19" t="str">
        <f>IFERROR(__xludf.DUMMYFUNCTION("""COMPUTED_VALUE"""),"SMOTEC PHARMACEUTICALS")</f>
        <v>SMOTEC PHARMACEUTICALS</v>
      </c>
    </row>
    <row r="3325">
      <c r="H3325" s="19" t="str">
        <f>IFERROR(__xludf.DUMMYFUNCTION("""COMPUTED_VALUE"""),"SNA")</f>
        <v>SNA</v>
      </c>
    </row>
    <row r="3326">
      <c r="H3326" s="19" t="str">
        <f>IFERROR(__xludf.DUMMYFUNCTION("""COMPUTED_VALUE"""),"SNDAR")</f>
        <v>SNDAR</v>
      </c>
    </row>
    <row r="3327">
      <c r="H3327" s="19" t="str">
        <f>IFERROR(__xludf.DUMMYFUNCTION("""COMPUTED_VALUE"""),"SNELLS HERBALS &amp; RESEARCH")</f>
        <v>SNELLS HERBALS &amp; RESEARCH</v>
      </c>
    </row>
    <row r="3328">
      <c r="H3328" s="19" t="str">
        <f>IFERROR(__xludf.DUMMYFUNCTION("""COMPUTED_VALUE"""),"SNERVOTEC PHARMACIUTICAL B")</f>
        <v>SNERVOTEC PHARMACIUTICAL B</v>
      </c>
    </row>
    <row r="3329">
      <c r="H3329" s="19" t="str">
        <f>IFERROR(__xludf.DUMMYFUNCTION("""COMPUTED_VALUE"""),"SNERVOTEC PHARMACUTICAL")</f>
        <v>SNERVOTEC PHARMACUTICAL</v>
      </c>
    </row>
    <row r="3330">
      <c r="H3330" s="19" t="str">
        <f>IFERROR(__xludf.DUMMYFUNCTION("""COMPUTED_VALUE"""),"SOCRUS PHARMACUTICAL")</f>
        <v>SOCRUS PHARMACUTICAL</v>
      </c>
    </row>
    <row r="3331">
      <c r="H3331" s="19" t="str">
        <f>IFERROR(__xludf.DUMMYFUNCTION("""COMPUTED_VALUE"""),"SOFLENS DAILY DISP")</f>
        <v>SOFLENS DAILY DISP</v>
      </c>
    </row>
    <row r="3332">
      <c r="H3332" s="19" t="str">
        <f>IFERROR(__xludf.DUMMYFUNCTION("""COMPUTED_VALUE"""),"SOFT MEDICAPS")</f>
        <v>SOFT MEDICAPS</v>
      </c>
    </row>
    <row r="3333">
      <c r="H3333" s="19" t="str">
        <f>IFERROR(__xludf.DUMMYFUNCTION("""COMPUTED_VALUE"""),"Sol Derma")</f>
        <v>Sol Derma</v>
      </c>
    </row>
    <row r="3334">
      <c r="H3334" s="19" t="str">
        <f>IFERROR(__xludf.DUMMYFUNCTION("""COMPUTED_VALUE"""),"SOL DERMA (CURA)")</f>
        <v>SOL DERMA (CURA)</v>
      </c>
    </row>
    <row r="3335">
      <c r="H3335" s="19" t="str">
        <f>IFERROR(__xludf.DUMMYFUNCTION("""COMPUTED_VALUE"""),"SOL DERMA (CURIUM)")</f>
        <v>SOL DERMA (CURIUM)</v>
      </c>
    </row>
    <row r="3336">
      <c r="H3336" s="19" t="str">
        <f>IFERROR(__xludf.DUMMYFUNCTION("""COMPUTED_VALUE"""),"SOLACE (CARMENTA)")</f>
        <v>SOLACE (CARMENTA)</v>
      </c>
    </row>
    <row r="3337">
      <c r="H3337" s="19" t="str">
        <f>IFERROR(__xludf.DUMMYFUNCTION("""COMPUTED_VALUE"""),"SOLACE (DENTAL)")</f>
        <v>SOLACE (DENTAL)</v>
      </c>
    </row>
    <row r="3338">
      <c r="H3338" s="19" t="str">
        <f>IFERROR(__xludf.DUMMYFUNCTION("""COMPUTED_VALUE"""),"SOLACE (EOS)")</f>
        <v>SOLACE (EOS)</v>
      </c>
    </row>
    <row r="3339">
      <c r="H3339" s="19" t="str">
        <f>IFERROR(__xludf.DUMMYFUNCTION("""COMPUTED_VALUE"""),"SOLACE (NUTRITION NEXT )")</f>
        <v>SOLACE (NUTRITION NEXT )</v>
      </c>
    </row>
    <row r="3340">
      <c r="H3340" s="19" t="str">
        <f>IFERROR(__xludf.DUMMYFUNCTION("""COMPUTED_VALUE"""),"SOLACE (NUTRITION NEXT)")</f>
        <v>SOLACE (NUTRITION NEXT)</v>
      </c>
    </row>
    <row r="3341">
      <c r="H3341" s="19" t="str">
        <f>IFERROR(__xludf.DUMMYFUNCTION("""COMPUTED_VALUE"""),"SOLACE (OSTEO)")</f>
        <v>SOLACE (OSTEO)</v>
      </c>
    </row>
    <row r="3342">
      <c r="H3342" s="19" t="str">
        <f>IFERROR(__xludf.DUMMYFUNCTION("""COMPUTED_VALUE"""),"SOLACE (PICCOLO)")</f>
        <v>SOLACE (PICCOLO)</v>
      </c>
    </row>
    <row r="3343">
      <c r="H3343" s="19" t="str">
        <f>IFERROR(__xludf.DUMMYFUNCTION("""COMPUTED_VALUE"""),"SOLACE (SOLTECH)")</f>
        <v>SOLACE (SOLTECH)</v>
      </c>
    </row>
    <row r="3344">
      <c r="H3344" s="19" t="str">
        <f>IFERROR(__xludf.DUMMYFUNCTION("""COMPUTED_VALUE"""),"Solace Biotech Ltd")</f>
        <v>Solace Biotech Ltd</v>
      </c>
    </row>
    <row r="3345">
      <c r="H3345" s="19" t="str">
        <f>IFERROR(__xludf.DUMMYFUNCTION("""COMPUTED_VALUE"""),"SOLEIL INTERNATIONAL")</f>
        <v>SOLEIL INTERNATIONAL</v>
      </c>
    </row>
    <row r="3346">
      <c r="H3346" s="19" t="str">
        <f>IFERROR(__xludf.DUMMYFUNCTION("""COMPUTED_VALUE"""),"SOLERA LIFE SCIENCES P LTD")</f>
        <v>SOLERA LIFE SCIENCES P LTD</v>
      </c>
    </row>
    <row r="3347">
      <c r="H3347" s="19" t="str">
        <f>IFERROR(__xludf.DUMMYFUNCTION("""COMPUTED_VALUE"""),"SOLOWIN PHARMA")</f>
        <v>SOLOWIN PHARMA</v>
      </c>
    </row>
    <row r="3348">
      <c r="H3348" s="19" t="str">
        <f>IFERROR(__xludf.DUMMYFUNCTION("""COMPUTED_VALUE"""),"SOLOZEN LIFESCIENCES")</f>
        <v>SOLOZEN LIFESCIENCES</v>
      </c>
    </row>
    <row r="3349">
      <c r="H3349" s="19" t="str">
        <f>IFERROR(__xludf.DUMMYFUNCTION("""COMPUTED_VALUE"""),"Solumiks Piramal Ltd")</f>
        <v>Solumiks Piramal Ltd</v>
      </c>
    </row>
    <row r="3350">
      <c r="H3350" s="19" t="str">
        <f>IFERROR(__xludf.DUMMYFUNCTION("""COMPUTED_VALUE"""),"SOLUTION ENTERPRISES PVT LTD")</f>
        <v>SOLUTION ENTERPRISES PVT LTD</v>
      </c>
    </row>
    <row r="3351">
      <c r="H3351" s="19" t="str">
        <f>IFERROR(__xludf.DUMMYFUNCTION("""COMPUTED_VALUE"""),"Solvate Laboratries Pvt Ltd")</f>
        <v>Solvate Laboratries Pvt Ltd</v>
      </c>
    </row>
    <row r="3352">
      <c r="H3352" s="19" t="str">
        <f>IFERROR(__xludf.DUMMYFUNCTION("""COMPUTED_VALUE"""),"SONAFI (SYNTHELABO)")</f>
        <v>SONAFI (SYNTHELABO)</v>
      </c>
    </row>
    <row r="3353">
      <c r="H3353" s="19" t="str">
        <f>IFERROR(__xludf.DUMMYFUNCTION("""COMPUTED_VALUE"""),"SONAM PHARMA (OTHER PRODUCTS)")</f>
        <v>SONAM PHARMA (OTHER PRODUCTS)</v>
      </c>
    </row>
    <row r="3354">
      <c r="H3354" s="19" t="str">
        <f>IFERROR(__xludf.DUMMYFUNCTION("""COMPUTED_VALUE"""),"SONIKA LIFE SCIENCE")</f>
        <v>SONIKA LIFE SCIENCE</v>
      </c>
    </row>
    <row r="3355">
      <c r="H3355" s="19" t="str">
        <f>IFERROR(__xludf.DUMMYFUNCTION("""COMPUTED_VALUE"""),"SONTEX ROLLED BANDAGE WORKS")</f>
        <v>SONTEX ROLLED BANDAGE WORKS</v>
      </c>
    </row>
    <row r="3356">
      <c r="H3356" s="19" t="str">
        <f>IFERROR(__xludf.DUMMYFUNCTION("""COMPUTED_VALUE"""),"SOUL PHARMA")</f>
        <v>SOUL PHARMA</v>
      </c>
    </row>
    <row r="3357">
      <c r="H3357" s="19" t="str">
        <f>IFERROR(__xludf.DUMMYFUNCTION("""COMPUTED_VALUE"""),"SP PHARMACEUTICALS")</f>
        <v>SP PHARMACEUTICALS</v>
      </c>
    </row>
    <row r="3358">
      <c r="H3358" s="19" t="str">
        <f>IFERROR(__xludf.DUMMYFUNCTION("""COMPUTED_VALUE"""),"SPA NEWTRACEUTICALS")</f>
        <v>SPA NEWTRACEUTICALS</v>
      </c>
    </row>
    <row r="3359">
      <c r="H3359" s="19" t="str">
        <f>IFERROR(__xludf.DUMMYFUNCTION("""COMPUTED_VALUE"""),"SPARK BLESS PHARMA")</f>
        <v>SPARK BLESS PHARMA</v>
      </c>
    </row>
    <row r="3360">
      <c r="H3360" s="19" t="str">
        <f>IFERROR(__xludf.DUMMYFUNCTION("""COMPUTED_VALUE"""),"SPDY PHARMA PVT LTD")</f>
        <v>SPDY PHARMA PVT LTD</v>
      </c>
    </row>
    <row r="3361">
      <c r="H3361" s="19" t="str">
        <f>IFERROR(__xludf.DUMMYFUNCTION("""COMPUTED_VALUE"""),"SPECIALITY MEDITECH PVT LTD")</f>
        <v>SPECIALITY MEDITECH PVT LTD</v>
      </c>
    </row>
    <row r="3362">
      <c r="H3362" s="19" t="str">
        <f>IFERROR(__xludf.DUMMYFUNCTION("""COMPUTED_VALUE"""),"SPECTRUM PHARMACEUTICAL")</f>
        <v>SPECTRUM PHARMACEUTICAL</v>
      </c>
    </row>
    <row r="3363">
      <c r="H3363" s="19" t="str">
        <f>IFERROR(__xludf.DUMMYFUNCTION("""COMPUTED_VALUE"""),"SPEY MEDICAL P LTD")</f>
        <v>SPEY MEDICAL P LTD</v>
      </c>
    </row>
    <row r="3364">
      <c r="H3364" s="19" t="str">
        <f>IFERROR(__xludf.DUMMYFUNCTION("""COMPUTED_VALUE"""),"SPLENDID PHARMACEUTICALS")</f>
        <v>SPLENDID PHARMACEUTICALS</v>
      </c>
    </row>
    <row r="3365">
      <c r="H3365" s="19" t="str">
        <f>IFERROR(__xludf.DUMMYFUNCTION("""COMPUTED_VALUE"""),"SR PHARMA")</f>
        <v>SR PHARMA</v>
      </c>
    </row>
    <row r="3366">
      <c r="H3366" s="19" t="str">
        <f>IFERROR(__xludf.DUMMYFUNCTION("""COMPUTED_VALUE"""),"SRESAN")</f>
        <v>SRESAN</v>
      </c>
    </row>
    <row r="3367">
      <c r="H3367" s="19" t="str">
        <f>IFERROR(__xludf.DUMMYFUNCTION("""COMPUTED_VALUE"""),"SRI MAHALAKSHMI TEXTILES")</f>
        <v>SRI MAHALAKSHMI TEXTILES</v>
      </c>
    </row>
    <row r="3368">
      <c r="H3368" s="19" t="str">
        <f>IFERROR(__xludf.DUMMYFUNCTION("""COMPUTED_VALUE"""),"SRI SIDDHDATA FARMLAD PVT LTD")</f>
        <v>SRI SIDDHDATA FARMLAD PVT LTD</v>
      </c>
    </row>
    <row r="3369">
      <c r="H3369" s="19" t="str">
        <f>IFERROR(__xludf.DUMMYFUNCTION("""COMPUTED_VALUE"""),"SRISTA BIOTECH PVT LTD")</f>
        <v>SRISTA BIOTECH PVT LTD</v>
      </c>
    </row>
    <row r="3370">
      <c r="H3370" s="19" t="str">
        <f>IFERROR(__xludf.DUMMYFUNCTION("""COMPUTED_VALUE"""),"SS")</f>
        <v>SS</v>
      </c>
    </row>
    <row r="3371">
      <c r="H3371" s="19" t="str">
        <f>IFERROR(__xludf.DUMMYFUNCTION("""COMPUTED_VALUE"""),"ST GABERIEL PHARMACEUTICALS")</f>
        <v>ST GABERIEL PHARMACEUTICALS</v>
      </c>
    </row>
    <row r="3372">
      <c r="H3372" s="19" t="str">
        <f>IFERROR(__xludf.DUMMYFUNCTION("""COMPUTED_VALUE"""),"STACIA PHARMA PVT LTD")</f>
        <v>STACIA PHARMA PVT LTD</v>
      </c>
    </row>
    <row r="3373">
      <c r="H3373" s="19" t="str">
        <f>IFERROR(__xludf.DUMMYFUNCTION("""COMPUTED_VALUE"""),"Stadchem Of India")</f>
        <v>Stadchem Of India</v>
      </c>
    </row>
    <row r="3374">
      <c r="H3374" s="19" t="str">
        <f>IFERROR(__xludf.DUMMYFUNCTION("""COMPUTED_VALUE"""),"STADIA BIOTECH")</f>
        <v>STADIA BIOTECH</v>
      </c>
    </row>
    <row r="3375">
      <c r="H3375" s="19" t="str">
        <f>IFERROR(__xludf.DUMMYFUNCTION("""COMPUTED_VALUE"""),"Stadmed Pvt Ltd")</f>
        <v>Stadmed Pvt Ltd</v>
      </c>
    </row>
    <row r="3376">
      <c r="H3376" s="19" t="str">
        <f>IFERROR(__xludf.DUMMYFUNCTION("""COMPUTED_VALUE"""),"Stallion Laboratories Pvt Ltd")</f>
        <v>Stallion Laboratories Pvt Ltd</v>
      </c>
    </row>
    <row r="3377">
      <c r="H3377" s="19" t="str">
        <f>IFERROR(__xludf.DUMMYFUNCTION("""COMPUTED_VALUE"""),"STALWART REMEDIES")</f>
        <v>STALWART REMEDIES</v>
      </c>
    </row>
    <row r="3378">
      <c r="H3378" s="19" t="str">
        <f>IFERROR(__xludf.DUMMYFUNCTION("""COMPUTED_VALUE"""),"STAMINE")</f>
        <v>STAMINE</v>
      </c>
    </row>
    <row r="3379">
      <c r="H3379" s="19" t="str">
        <f>IFERROR(__xludf.DUMMYFUNCTION("""COMPUTED_VALUE"""),"STANMARK PHARMA")</f>
        <v>STANMARK PHARMA</v>
      </c>
    </row>
    <row r="3380">
      <c r="H3380" s="19" t="str">
        <f>IFERROR(__xludf.DUMMYFUNCTION("""COMPUTED_VALUE"""),"STARELL BIOCEUTICALS PVT LTD")</f>
        <v>STARELL BIOCEUTICALS PVT LTD</v>
      </c>
    </row>
    <row r="3381">
      <c r="H3381" s="19" t="str">
        <f>IFERROR(__xludf.DUMMYFUNCTION("""COMPUTED_VALUE"""),"STARUS PHARMACEUTICALS P LTD")</f>
        <v>STARUS PHARMACEUTICALS P LTD</v>
      </c>
    </row>
    <row r="3382">
      <c r="H3382" s="19" t="str">
        <f>IFERROR(__xludf.DUMMYFUNCTION("""COMPUTED_VALUE"""),"STAUNCH HEALTH CARE")</f>
        <v>STAUNCH HEALTH CARE</v>
      </c>
    </row>
    <row r="3383">
      <c r="H3383" s="19" t="str">
        <f>IFERROR(__xludf.DUMMYFUNCTION("""COMPUTED_VALUE"""),"Staunch Health Care Pvt Ltd")</f>
        <v>Staunch Health Care Pvt Ltd</v>
      </c>
    </row>
    <row r="3384">
      <c r="H3384" s="19" t="str">
        <f>IFERROR(__xludf.DUMMYFUNCTION("""COMPUTED_VALUE"""),"STAYWELL FORMULATION P LTD")</f>
        <v>STAYWELL FORMULATION P LTD</v>
      </c>
    </row>
    <row r="3385">
      <c r="H3385" s="19" t="str">
        <f>IFERROR(__xludf.DUMMYFUNCTION("""COMPUTED_VALUE"""),"STEADFAST MEDISHIELD PVT LTD")</f>
        <v>STEADFAST MEDISHIELD PVT LTD</v>
      </c>
    </row>
    <row r="3386">
      <c r="H3386" s="19" t="str">
        <f>IFERROR(__xludf.DUMMYFUNCTION("""COMPUTED_VALUE"""),"Stedman Pharmaceuticals Pvt Ltd")</f>
        <v>Stedman Pharmaceuticals Pvt Ltd</v>
      </c>
    </row>
    <row r="3387">
      <c r="H3387" s="19" t="str">
        <f>IFERROR(__xludf.DUMMYFUNCTION("""COMPUTED_VALUE"""),"STEIGEN PHARMA")</f>
        <v>STEIGEN PHARMA</v>
      </c>
    </row>
    <row r="3388">
      <c r="H3388" s="19" t="str">
        <f>IFERROR(__xludf.DUMMYFUNCTION("""COMPUTED_VALUE"""),"STELLAR BIO LABS")</f>
        <v>STELLAR BIO LABS</v>
      </c>
    </row>
    <row r="3389">
      <c r="H3389" s="19" t="str">
        <f>IFERROR(__xludf.DUMMYFUNCTION("""COMPUTED_VALUE"""),"STEM MEDICA LIFESCIENCE PVT LTD")</f>
        <v>STEM MEDICA LIFESCIENCE PVT LTD</v>
      </c>
    </row>
    <row r="3390">
      <c r="H3390" s="19" t="str">
        <f>IFERROR(__xludf.DUMMYFUNCTION("""COMPUTED_VALUE"""),"STENHIL LABS")</f>
        <v>STENHIL LABS</v>
      </c>
    </row>
    <row r="3391">
      <c r="H3391" s="19" t="str">
        <f>IFERROR(__xludf.DUMMYFUNCTION("""COMPUTED_VALUE"""),"STENROZ BIOTECH")</f>
        <v>STENROZ BIOTECH</v>
      </c>
    </row>
    <row r="3392">
      <c r="H3392" s="19" t="str">
        <f>IFERROR(__xludf.DUMMYFUNCTION("""COMPUTED_VALUE"""),"STEPAN LABORATORIES P LTD")</f>
        <v>STEPAN LABORATORIES P LTD</v>
      </c>
    </row>
    <row r="3393">
      <c r="H3393" s="19" t="str">
        <f>IFERROR(__xludf.DUMMYFUNCTION("""COMPUTED_VALUE"""),"STERANCO HEALTHCARE PVT LTD")</f>
        <v>STERANCO HEALTHCARE PVT LTD</v>
      </c>
    </row>
    <row r="3394">
      <c r="H3394" s="19" t="str">
        <f>IFERROR(__xludf.DUMMYFUNCTION("""COMPUTED_VALUE"""),"STERIS HEALTHCARE PVT LTD")</f>
        <v>STERIS HEALTHCARE PVT LTD</v>
      </c>
    </row>
    <row r="3395">
      <c r="H3395" s="19" t="str">
        <f>IFERROR(__xludf.DUMMYFUNCTION("""COMPUTED_VALUE"""),"STEUNEND HEALTHCARE")</f>
        <v>STEUNEND HEALTHCARE</v>
      </c>
    </row>
    <row r="3396">
      <c r="H3396" s="19" t="str">
        <f>IFERROR(__xludf.DUMMYFUNCTION("""COMPUTED_VALUE"""),"Stiefel India Pvt Ltd")</f>
        <v>Stiefel India Pvt Ltd</v>
      </c>
    </row>
    <row r="3397">
      <c r="H3397" s="19" t="str">
        <f>IFERROR(__xludf.DUMMYFUNCTION("""COMPUTED_VALUE"""),"STIM BRUSHES")</f>
        <v>STIM BRUSHES</v>
      </c>
    </row>
    <row r="3398">
      <c r="H3398" s="19" t="str">
        <f>IFERROR(__xludf.DUMMYFUNCTION("""COMPUTED_VALUE"""),"Strassenburg Pharmaceuticals.Ltd")</f>
        <v>Strassenburg Pharmaceuticals.Ltd</v>
      </c>
    </row>
    <row r="3399">
      <c r="H3399" s="19" t="str">
        <f>IFERROR(__xludf.DUMMYFUNCTION("""COMPUTED_VALUE"""),"STRENGTHEN PHARMA")</f>
        <v>STRENGTHEN PHARMA</v>
      </c>
    </row>
    <row r="3400">
      <c r="H3400" s="19" t="str">
        <f>IFERROR(__xludf.DUMMYFUNCTION("""COMPUTED_VALUE"""),"STRIDES SHASUN")</f>
        <v>STRIDES SHASUN</v>
      </c>
    </row>
    <row r="3401">
      <c r="H3401" s="19" t="str">
        <f>IFERROR(__xludf.DUMMYFUNCTION("""COMPUTED_VALUE"""),"STRIDES SHASUN (AVETO)")</f>
        <v>STRIDES SHASUN (AVETO)</v>
      </c>
    </row>
    <row r="3402">
      <c r="H3402" s="19" t="str">
        <f>IFERROR(__xludf.DUMMYFUNCTION("""COMPUTED_VALUE"""),"STRIDES SHASUN (EXCEDO)")</f>
        <v>STRIDES SHASUN (EXCEDO)</v>
      </c>
    </row>
    <row r="3403">
      <c r="H3403" s="19" t="str">
        <f>IFERROR(__xludf.DUMMYFUNCTION("""COMPUTED_VALUE"""),"STRIDES SHASUN (NEURA NEUROLOGY)")</f>
        <v>STRIDES SHASUN (NEURA NEUROLOGY)</v>
      </c>
    </row>
    <row r="3404">
      <c r="H3404" s="19" t="str">
        <f>IFERROR(__xludf.DUMMYFUNCTION("""COMPUTED_VALUE"""),"STRIDES SHASUN (NEURO PSYCHIATRY)")</f>
        <v>STRIDES SHASUN (NEURO PSYCHIATRY)</v>
      </c>
    </row>
    <row r="3405">
      <c r="H3405" s="19" t="str">
        <f>IFERROR(__xludf.DUMMYFUNCTION("""COMPUTED_VALUE"""),"SUBLIME THERAPEUTICS PVT LTD")</f>
        <v>SUBLIME THERAPEUTICS PVT LTD</v>
      </c>
    </row>
    <row r="3406">
      <c r="H3406" s="19" t="str">
        <f>IFERROR(__xludf.DUMMYFUNCTION("""COMPUTED_VALUE"""),"SUBSIST PHARMA")</f>
        <v>SUBSIST PHARMA</v>
      </c>
    </row>
    <row r="3407">
      <c r="H3407" s="19" t="str">
        <f>IFERROR(__xludf.DUMMYFUNCTION("""COMPUTED_VALUE"""),"SUDHA")</f>
        <v>SUDHA</v>
      </c>
    </row>
    <row r="3408">
      <c r="H3408" s="19" t="str">
        <f>IFERROR(__xludf.DUMMYFUNCTION("""COMPUTED_VALUE"""),"SUFFUSE PHARMA")</f>
        <v>SUFFUSE PHARMA</v>
      </c>
    </row>
    <row r="3409">
      <c r="H3409" s="19" t="str">
        <f>IFERROR(__xludf.DUMMYFUNCTION("""COMPUTED_VALUE"""),"SUGANDHA LABOROTRIES")</f>
        <v>SUGANDHA LABOROTRIES</v>
      </c>
    </row>
    <row r="3410">
      <c r="H3410" s="19" t="str">
        <f>IFERROR(__xludf.DUMMYFUNCTION("""COMPUTED_VALUE"""),"SUJANIL CHEMO INDUSTRIES")</f>
        <v>SUJANIL CHEMO INDUSTRIES</v>
      </c>
    </row>
    <row r="3411">
      <c r="H3411" s="19" t="str">
        <f>IFERROR(__xludf.DUMMYFUNCTION("""COMPUTED_VALUE"""),"SUJATA MEDICOSE (OTHER PRODUCTS)")</f>
        <v>SUJATA MEDICOSE (OTHER PRODUCTS)</v>
      </c>
    </row>
    <row r="3412">
      <c r="H3412" s="19" t="str">
        <f>IFERROR(__xludf.DUMMYFUNCTION("""COMPUTED_VALUE"""),"SUJATA PHARMA")</f>
        <v>SUJATA PHARMA</v>
      </c>
    </row>
    <row r="3413">
      <c r="H3413" s="19" t="str">
        <f>IFERROR(__xludf.DUMMYFUNCTION("""COMPUTED_VALUE"""),"SULZDERM PHARMA")</f>
        <v>SULZDERM PHARMA</v>
      </c>
    </row>
    <row r="3414">
      <c r="H3414" s="19" t="str">
        <f>IFERROR(__xludf.DUMMYFUNCTION("""COMPUTED_VALUE"""),"SUMANDEEP LIFE SCIENCES LLP")</f>
        <v>SUMANDEEP LIFE SCIENCES LLP</v>
      </c>
    </row>
    <row r="3415">
      <c r="H3415" s="19" t="str">
        <f>IFERROR(__xludf.DUMMYFUNCTION("""COMPUTED_VALUE"""),"SUMER HEALTHCARE")</f>
        <v>SUMER HEALTHCARE</v>
      </c>
    </row>
    <row r="3416">
      <c r="H3416" s="19" t="str">
        <f>IFERROR(__xludf.DUMMYFUNCTION("""COMPUTED_VALUE"""),"SUN (ONCOLOGY)")</f>
        <v>SUN (ONCOLOGY)</v>
      </c>
    </row>
    <row r="3417">
      <c r="H3417" s="19" t="str">
        <f>IFERROR(__xludf.DUMMYFUNCTION("""COMPUTED_VALUE"""),"SUN AJ PHARMA")</f>
        <v>SUN AJ PHARMA</v>
      </c>
    </row>
    <row r="3418">
      <c r="H3418" s="19" t="str">
        <f>IFERROR(__xludf.DUMMYFUNCTION("""COMPUTED_VALUE"""),"SUN HERITAGE PHARMA")</f>
        <v>SUN HERITAGE PHARMA</v>
      </c>
    </row>
    <row r="3419">
      <c r="H3419" s="19" t="str">
        <f>IFERROR(__xludf.DUMMYFUNCTION("""COMPUTED_VALUE"""),"SUN INDIA LABORATORIES")</f>
        <v>SUN INDIA LABORATORIES</v>
      </c>
    </row>
    <row r="3420">
      <c r="H3420" s="19" t="str">
        <f>IFERROR(__xludf.DUMMYFUNCTION("""COMPUTED_VALUE"""),"SUN LIFE SCIENCES PVT LTD")</f>
        <v>SUN LIFE SCIENCES PVT LTD</v>
      </c>
    </row>
    <row r="3421">
      <c r="H3421" s="19" t="str">
        <f>IFERROR(__xludf.DUMMYFUNCTION("""COMPUTED_VALUE"""),"SUN PHARMA (AKUNA AV)")</f>
        <v>SUN PHARMA (AKUNA AV)</v>
      </c>
    </row>
    <row r="3422">
      <c r="H3422" s="19" t="str">
        <f>IFERROR(__xludf.DUMMYFUNCTION("""COMPUTED_VALUE"""),"SUN PHARMA (AKUNA)")</f>
        <v>SUN PHARMA (AKUNA)</v>
      </c>
    </row>
    <row r="3423">
      <c r="H3423" s="19" t="str">
        <f>IFERROR(__xludf.DUMMYFUNCTION("""COMPUTED_VALUE"""),"SUN PHARMA (ALTAN)")</f>
        <v>SUN PHARMA (ALTAN)</v>
      </c>
    </row>
    <row r="3424">
      <c r="H3424" s="19" t="str">
        <f>IFERROR(__xludf.DUMMYFUNCTION("""COMPUTED_VALUE"""),"SUN PHARMA (ARIAN)")</f>
        <v>SUN PHARMA (ARIAN)</v>
      </c>
    </row>
    <row r="3425">
      <c r="H3425" s="19" t="str">
        <f>IFERROR(__xludf.DUMMYFUNCTION("""COMPUTED_VALUE"""),"SUN PHARMA (AURIEL)")</f>
        <v>SUN PHARMA (AURIEL)</v>
      </c>
    </row>
    <row r="3426">
      <c r="H3426" s="19" t="str">
        <f>IFERROR(__xludf.DUMMYFUNCTION("""COMPUTED_VALUE"""),"SUN PHARMA (AVESTA)")</f>
        <v>SUN PHARMA (AVESTA)</v>
      </c>
    </row>
    <row r="3427">
      <c r="H3427" s="19" t="str">
        <f>IFERROR(__xludf.DUMMYFUNCTION("""COMPUTED_VALUE"""),"SUN PHARMA (AVIOR)")</f>
        <v>SUN PHARMA (AVIOR)</v>
      </c>
    </row>
    <row r="3428">
      <c r="H3428" s="19" t="str">
        <f>IFERROR(__xludf.DUMMYFUNCTION("""COMPUTED_VALUE"""),"SUN PHARMA (AZURA LIFE)")</f>
        <v>SUN PHARMA (AZURA LIFE)</v>
      </c>
    </row>
    <row r="3429">
      <c r="H3429" s="19" t="str">
        <f>IFERROR(__xludf.DUMMYFUNCTION("""COMPUTED_VALUE"""),"SUN PHARMA (AZURA)")</f>
        <v>SUN PHARMA (AZURA)</v>
      </c>
    </row>
    <row r="3430">
      <c r="H3430" s="19" t="str">
        <f>IFERROR(__xludf.DUMMYFUNCTION("""COMPUTED_VALUE"""),"SUN PHARMA (CARE)")</f>
        <v>SUN PHARMA (CARE)</v>
      </c>
    </row>
    <row r="3431">
      <c r="H3431" s="19" t="str">
        <f>IFERROR(__xludf.DUMMYFUNCTION("""COMPUTED_VALUE"""),"SUN PHARMA (CLASSIC)")</f>
        <v>SUN PHARMA (CLASSIC)</v>
      </c>
    </row>
    <row r="3432">
      <c r="H3432" s="19" t="str">
        <f>IFERROR(__xludf.DUMMYFUNCTION("""COMPUTED_VALUE"""),"SUN PHARMA (CORONUS)")</f>
        <v>SUN PHARMA (CORONUS)</v>
      </c>
    </row>
    <row r="3433">
      <c r="H3433" s="19" t="str">
        <f>IFERROR(__xludf.DUMMYFUNCTION("""COMPUTED_VALUE"""),"SUN PHARMA (EYE)")</f>
        <v>SUN PHARMA (EYE)</v>
      </c>
    </row>
    <row r="3434">
      <c r="H3434" s="19" t="str">
        <f>IFERROR(__xludf.DUMMYFUNCTION("""COMPUTED_VALUE"""),"SUN PHARMA (GENERIC)")</f>
        <v>SUN PHARMA (GENERIC)</v>
      </c>
    </row>
    <row r="3435">
      <c r="H3435" s="19" t="str">
        <f>IFERROR(__xludf.DUMMYFUNCTION("""COMPUTED_VALUE"""),"SUN PHARMA (INCA)")</f>
        <v>SUN PHARMA (INCA)</v>
      </c>
    </row>
    <row r="3436">
      <c r="H3436" s="19" t="str">
        <f>IFERROR(__xludf.DUMMYFUNCTION("""COMPUTED_VALUE"""),"SUN PHARMA (MAIN)")</f>
        <v>SUN PHARMA (MAIN)</v>
      </c>
    </row>
    <row r="3437">
      <c r="H3437" s="19" t="str">
        <f>IFERROR(__xludf.DUMMYFUNCTION("""COMPUTED_VALUE"""),"SUN PHARMA (MILMEL)")</f>
        <v>SUN PHARMA (MILMEL)</v>
      </c>
    </row>
    <row r="3438">
      <c r="H3438" s="19" t="str">
        <f>IFERROR(__xludf.DUMMYFUNCTION("""COMPUTED_VALUE"""),"SUN PHARMA (MILMET)")</f>
        <v>SUN PHARMA (MILMET)</v>
      </c>
    </row>
    <row r="3439">
      <c r="H3439" s="19" t="str">
        <f>IFERROR(__xludf.DUMMYFUNCTION("""COMPUTED_VALUE"""),"SUN PHARMA (ORTUS)")</f>
        <v>SUN PHARMA (ORTUS)</v>
      </c>
    </row>
    <row r="3440">
      <c r="H3440" s="19" t="str">
        <f>IFERROR(__xludf.DUMMYFUNCTION("""COMPUTED_VALUE"""),"SUN PHARMA (OTC)")</f>
        <v>SUN PHARMA (OTC)</v>
      </c>
    </row>
    <row r="3441">
      <c r="H3441" s="19" t="str">
        <f>IFERROR(__xludf.DUMMYFUNCTION("""COMPUTED_VALUE"""),"SUN PHARMA (PRIMALENT)")</f>
        <v>SUN PHARMA (PRIMALENT)</v>
      </c>
    </row>
    <row r="3442">
      <c r="H3442" s="19" t="str">
        <f>IFERROR(__xludf.DUMMYFUNCTION("""COMPUTED_VALUE"""),"SUN PHARMA (RADIANT)")</f>
        <v>SUN PHARMA (RADIANT)</v>
      </c>
    </row>
    <row r="3443">
      <c r="H3443" s="19" t="str">
        <f>IFERROR(__xludf.DUMMYFUNCTION("""COMPUTED_VALUE"""),"SUN PHARMA (RANBAXY)")</f>
        <v>SUN PHARMA (RANBAXY)</v>
      </c>
    </row>
    <row r="3444">
      <c r="H3444" s="19" t="str">
        <f>IFERROR(__xludf.DUMMYFUNCTION("""COMPUTED_VALUE"""),"SUN PHARMA (SELECTA)")</f>
        <v>SUN PHARMA (SELECTA)</v>
      </c>
    </row>
    <row r="3445">
      <c r="H3445" s="19" t="str">
        <f>IFERROR(__xludf.DUMMYFUNCTION("""COMPUTED_VALUE"""),"SUN PHARMA (SENORA)")</f>
        <v>SUN PHARMA (SENORA)</v>
      </c>
    </row>
    <row r="3446">
      <c r="H3446" s="19" t="str">
        <f>IFERROR(__xludf.DUMMYFUNCTION("""COMPUTED_VALUE"""),"SUN PHARMA (SEPHEUS)")</f>
        <v>SUN PHARMA (SEPHEUS)</v>
      </c>
    </row>
    <row r="3447">
      <c r="H3447" s="19" t="str">
        <f>IFERROR(__xludf.DUMMYFUNCTION("""COMPUTED_VALUE"""),"SUN PHARMA (SIRIUS)")</f>
        <v>SUN PHARMA (SIRIUS)</v>
      </c>
    </row>
    <row r="3448">
      <c r="H3448" s="19" t="str">
        <f>IFERROR(__xludf.DUMMYFUNCTION("""COMPUTED_VALUE"""),"SUN PHARMA (SOLARES)")</f>
        <v>SUN PHARMA (SOLARES)</v>
      </c>
    </row>
    <row r="3449">
      <c r="H3449" s="19" t="str">
        <f>IFERROR(__xludf.DUMMYFUNCTION("""COMPUTED_VALUE"""),"SUN PHARMA (SPECTRA)")</f>
        <v>SUN PHARMA (SPECTRA)</v>
      </c>
    </row>
    <row r="3450">
      <c r="H3450" s="19" t="str">
        <f>IFERROR(__xludf.DUMMYFUNCTION("""COMPUTED_VALUE"""),"SUN PHARMA (STANLIFE)")</f>
        <v>SUN PHARMA (STANLIFE)</v>
      </c>
    </row>
    <row r="3451">
      <c r="H3451" s="19" t="str">
        <f>IFERROR(__xludf.DUMMYFUNCTION("""COMPUTED_VALUE"""),"SUN PHARMA (SUNRION)")</f>
        <v>SUN PHARMA (SUNRION)</v>
      </c>
    </row>
    <row r="3452">
      <c r="H3452" s="19" t="str">
        <f>IFERROR(__xludf.DUMMYFUNCTION("""COMPUTED_VALUE"""),"SUN PHARMA (SYGUNS)")</f>
        <v>SUN PHARMA (SYGUNS)</v>
      </c>
    </row>
    <row r="3453">
      <c r="H3453" s="19" t="str">
        <f>IFERROR(__xludf.DUMMYFUNCTION("""COMPUTED_VALUE"""),"SUN PHARMA (SYMBIOSIS)")</f>
        <v>SUN PHARMA (SYMBIOSIS)</v>
      </c>
    </row>
    <row r="3454">
      <c r="H3454" s="19" t="str">
        <f>IFERROR(__xludf.DUMMYFUNCTION("""COMPUTED_VALUE"""),"SUN PHARMA (SYMENTA)")</f>
        <v>SUN PHARMA (SYMENTA)</v>
      </c>
    </row>
    <row r="3455">
      <c r="H3455" s="19" t="str">
        <f>IFERROR(__xludf.DUMMYFUNCTION("""COMPUTED_VALUE"""),"SUN PHARMA (SYNERGY)")</f>
        <v>SUN PHARMA (SYNERGY)</v>
      </c>
    </row>
    <row r="3456">
      <c r="H3456" s="19" t="str">
        <f>IFERROR(__xludf.DUMMYFUNCTION("""COMPUTED_VALUE"""),"SUN PHARMA (TR)")</f>
        <v>SUN PHARMA (TR)</v>
      </c>
    </row>
    <row r="3457">
      <c r="H3457" s="19" t="str">
        <f>IFERROR(__xludf.DUMMYFUNCTION("""COMPUTED_VALUE"""),"SUN PHARMA (UROLOGY)")</f>
        <v>SUN PHARMA (UROLOGY)</v>
      </c>
    </row>
    <row r="3458">
      <c r="H3458" s="19" t="str">
        <f>IFERROR(__xludf.DUMMYFUNCTION("""COMPUTED_VALUE"""),"SUN PHARMA (VEGA)")</f>
        <v>SUN PHARMA (VEGA)</v>
      </c>
    </row>
    <row r="3459">
      <c r="H3459" s="19" t="str">
        <f>IFERROR(__xludf.DUMMYFUNCTION("""COMPUTED_VALUE"""),"Sun Pharmaceuticals")</f>
        <v>Sun Pharmaceuticals</v>
      </c>
    </row>
    <row r="3460">
      <c r="H3460" s="19" t="str">
        <f>IFERROR(__xludf.DUMMYFUNCTION("""COMPUTED_VALUE"""),"SUN VISION HEALTHCARE")</f>
        <v>SUN VISION HEALTHCARE</v>
      </c>
    </row>
    <row r="3461">
      <c r="H3461" s="19" t="str">
        <f>IFERROR(__xludf.DUMMYFUNCTION("""COMPUTED_VALUE"""),"SUN-AJ PHARMA")</f>
        <v>SUN-AJ PHARMA</v>
      </c>
    </row>
    <row r="3462">
      <c r="H3462" s="19" t="str">
        <f>IFERROR(__xludf.DUMMYFUNCTION("""COMPUTED_VALUE"""),"SUNCARE PHARMACETUCALS")</f>
        <v>SUNCARE PHARMACETUCALS</v>
      </c>
    </row>
    <row r="3463">
      <c r="H3463" s="19" t="str">
        <f>IFERROR(__xludf.DUMMYFUNCTION("""COMPUTED_VALUE"""),"Sundyota Numandis Pharmaceuticals Pvt Ltd")</f>
        <v>Sundyota Numandis Pharmaceuticals Pvt Ltd</v>
      </c>
    </row>
    <row r="3464">
      <c r="H3464" s="19" t="str">
        <f>IFERROR(__xludf.DUMMYFUNCTION("""COMPUTED_VALUE"""),"SUNGRACE PHARMA PVT LTD")</f>
        <v>SUNGRACE PHARMA PVT LTD</v>
      </c>
    </row>
    <row r="3465">
      <c r="H3465" s="19" t="str">
        <f>IFERROR(__xludf.DUMMYFUNCTION("""COMPUTED_VALUE"""),"SUNMORE PHARMACEUTICALS PVT LTD")</f>
        <v>SUNMORE PHARMACEUTICALS PVT LTD</v>
      </c>
    </row>
    <row r="3466">
      <c r="H3466" s="19" t="str">
        <f>IFERROR(__xludf.DUMMYFUNCTION("""COMPUTED_VALUE"""),"SUNRISE PHARMACEUTICALS")</f>
        <v>SUNRISE PHARMACEUTICALS</v>
      </c>
    </row>
    <row r="3467">
      <c r="H3467" s="19" t="str">
        <f>IFERROR(__xludf.DUMMYFUNCTION("""COMPUTED_VALUE"""),"SUNUP HUMACARE PVT LTD")</f>
        <v>SUNUP HUMACARE PVT LTD</v>
      </c>
    </row>
    <row r="3468">
      <c r="H3468" s="19" t="str">
        <f>IFERROR(__xludf.DUMMYFUNCTION("""COMPUTED_VALUE"""),"SUNUP PHARMA PVT LTD")</f>
        <v>SUNUP PHARMA PVT LTD</v>
      </c>
    </row>
    <row r="3469">
      <c r="H3469" s="19" t="str">
        <f>IFERROR(__xludf.DUMMYFUNCTION("""COMPUTED_VALUE"""),"SUNVET PHARMA P LTD, SIRMOR")</f>
        <v>SUNVET PHARMA P LTD, SIRMOR</v>
      </c>
    </row>
    <row r="3470">
      <c r="H3470" s="19" t="str">
        <f>IFERROR(__xludf.DUMMYFUNCTION("""COMPUTED_VALUE"""),"SUNVIJ DRUGS")</f>
        <v>SUNVIJ DRUGS</v>
      </c>
    </row>
    <row r="3471">
      <c r="H3471" s="19" t="str">
        <f>IFERROR(__xludf.DUMMYFUNCTION("""COMPUTED_VALUE"""),"Sunways India Pvt Ltd")</f>
        <v>Sunways India Pvt Ltd</v>
      </c>
    </row>
    <row r="3472">
      <c r="H3472" s="19" t="str">
        <f>IFERROR(__xludf.DUMMYFUNCTION("""COMPUTED_VALUE"""),"SUPER PHARMA")</f>
        <v>SUPER PHARMA</v>
      </c>
    </row>
    <row r="3473">
      <c r="H3473" s="19" t="str">
        <f>IFERROR(__xludf.DUMMYFUNCTION("""COMPUTED_VALUE"""),"SUPERB PHARMA")</f>
        <v>SUPERB PHARMA</v>
      </c>
    </row>
    <row r="3474">
      <c r="H3474" s="19" t="str">
        <f>IFERROR(__xludf.DUMMYFUNCTION("""COMPUTED_VALUE"""),"SUPERLATIVE HEALTHCARE")</f>
        <v>SUPERLATIVE HEALTHCARE</v>
      </c>
    </row>
    <row r="3475">
      <c r="H3475" s="19" t="str">
        <f>IFERROR(__xludf.DUMMYFUNCTION("""COMPUTED_VALUE"""),"SUPREME PHARMA")</f>
        <v>SUPREME PHARMA</v>
      </c>
    </row>
    <row r="3476">
      <c r="H3476" s="19" t="str">
        <f>IFERROR(__xludf.DUMMYFUNCTION("""COMPUTED_VALUE"""),"SUPREX LABORATORIES")</f>
        <v>SUPREX LABORATORIES</v>
      </c>
    </row>
    <row r="3477">
      <c r="H3477" s="19" t="str">
        <f>IFERROR(__xludf.DUMMYFUNCTION("""COMPUTED_VALUE"""),"SURE LIFESCIENCE")</f>
        <v>SURE LIFESCIENCE</v>
      </c>
    </row>
    <row r="3478">
      <c r="H3478" s="19" t="str">
        <f>IFERROR(__xludf.DUMMYFUNCTION("""COMPUTED_VALUE"""),"SURGE PHARMACEUTICAL PVT LTD")</f>
        <v>SURGE PHARMACEUTICAL PVT LTD</v>
      </c>
    </row>
    <row r="3479">
      <c r="H3479" s="19" t="str">
        <f>IFERROR(__xludf.DUMMYFUNCTION("""COMPUTED_VALUE"""),"SURGICARE")</f>
        <v>SURGICARE</v>
      </c>
    </row>
    <row r="3480">
      <c r="H3480" s="19" t="str">
        <f>IFERROR(__xludf.DUMMYFUNCTION("""COMPUTED_VALUE"""),"SURGIWEAR")</f>
        <v>SURGIWEAR</v>
      </c>
    </row>
    <row r="3481">
      <c r="H3481" s="19" t="str">
        <f>IFERROR(__xludf.DUMMYFUNCTION("""COMPUTED_VALUE"""),"SURJAN AYURVEDIC PHARMACY")</f>
        <v>SURJAN AYURVEDIC PHARMACY</v>
      </c>
    </row>
    <row r="3482">
      <c r="H3482" s="19" t="str">
        <f>IFERROR(__xludf.DUMMYFUNCTION("""COMPUTED_VALUE"""),"SURU INTERNATIONAL PVT LTD")</f>
        <v>SURU INTERNATIONAL PVT LTD</v>
      </c>
    </row>
    <row r="3483">
      <c r="H3483" s="19" t="str">
        <f>IFERROR(__xludf.DUMMYFUNCTION("""COMPUTED_VALUE"""),"SURYA PHARMA AYURVEDIC")</f>
        <v>SURYA PHARMA AYURVEDIC</v>
      </c>
    </row>
    <row r="3484">
      <c r="H3484" s="19" t="str">
        <f>IFERROR(__xludf.DUMMYFUNCTION("""COMPUTED_VALUE"""),"SURYA PHARMA, VARANASI")</f>
        <v>SURYA PHARMA, VARANASI</v>
      </c>
    </row>
    <row r="3485">
      <c r="H3485" s="19" t="str">
        <f>IFERROR(__xludf.DUMMYFUNCTION("""COMPUTED_VALUE"""),"SURYA PHARMACEUTICALS")</f>
        <v>SURYA PHARMACEUTICALS</v>
      </c>
    </row>
    <row r="3486">
      <c r="H3486" s="19" t="str">
        <f>IFERROR(__xludf.DUMMYFUNCTION("""COMPUTED_VALUE"""),"SUSHILA HERBAL")</f>
        <v>SUSHILA HERBAL</v>
      </c>
    </row>
    <row r="3487">
      <c r="H3487" s="19" t="str">
        <f>IFERROR(__xludf.DUMMYFUNCTION("""COMPUTED_VALUE"""),"SV LIFECARE")</f>
        <v>SV LIFECARE</v>
      </c>
    </row>
    <row r="3488">
      <c r="H3488" s="19" t="str">
        <f>IFERROR(__xludf.DUMMYFUNCTION("""COMPUTED_VALUE"""),"SVEN GENTECH LTD")</f>
        <v>SVEN GENTECH LTD</v>
      </c>
    </row>
    <row r="3489">
      <c r="H3489" s="19" t="str">
        <f>IFERROR(__xludf.DUMMYFUNCTION("""COMPUTED_VALUE"""),"SVIZERA")</f>
        <v>SVIZERA</v>
      </c>
    </row>
    <row r="3490">
      <c r="H3490" s="19" t="str">
        <f>IFERROR(__xludf.DUMMYFUNCTION("""COMPUTED_VALUE"""),"SWADESHI ORGANIC")</f>
        <v>SWADESHI ORGANIC</v>
      </c>
    </row>
    <row r="3491">
      <c r="H3491" s="19" t="str">
        <f>IFERROR(__xludf.DUMMYFUNCTION("""COMPUTED_VALUE"""),"SWAGDARE LIFESCIENCE")</f>
        <v>SWAGDARE LIFESCIENCE</v>
      </c>
    </row>
    <row r="3492">
      <c r="H3492" s="19" t="str">
        <f>IFERROR(__xludf.DUMMYFUNCTION("""COMPUTED_VALUE"""),"SWAROOP PHARMACEUTICALS PVT LTD")</f>
        <v>SWAROOP PHARMACEUTICALS PVT LTD</v>
      </c>
    </row>
    <row r="3493">
      <c r="H3493" s="19" t="str">
        <f>IFERROR(__xludf.DUMMYFUNCTION("""COMPUTED_VALUE"""),"SWASTH BIOTECH P LTD")</f>
        <v>SWASTH BIOTECH P LTD</v>
      </c>
    </row>
    <row r="3494">
      <c r="H3494" s="19" t="str">
        <f>IFERROR(__xludf.DUMMYFUNCTION("""COMPUTED_VALUE"""),"SWASTIK FORMULATION PVT LTD")</f>
        <v>SWASTIK FORMULATION PVT LTD</v>
      </c>
    </row>
    <row r="3495">
      <c r="H3495" s="19" t="str">
        <f>IFERROR(__xludf.DUMMYFUNCTION("""COMPUTED_VALUE"""),"SWATI SPENTOSE PVT LTD")</f>
        <v>SWATI SPENTOSE PVT LTD</v>
      </c>
    </row>
    <row r="3496">
      <c r="H3496" s="19" t="str">
        <f>IFERROR(__xludf.DUMMYFUNCTION("""COMPUTED_VALUE"""),"SWEDISH LIFESCIENCES")</f>
        <v>SWEDISH LIFESCIENCES</v>
      </c>
    </row>
    <row r="3497">
      <c r="H3497" s="19" t="str">
        <f>IFERROR(__xludf.DUMMYFUNCTION("""COMPUTED_VALUE"""),"SWEIZ PHARMACEUTICAL PVT LTD")</f>
        <v>SWEIZ PHARMACEUTICAL PVT LTD</v>
      </c>
    </row>
    <row r="3498">
      <c r="H3498" s="19" t="str">
        <f>IFERROR(__xludf.DUMMYFUNCTION("""COMPUTED_VALUE"""),"SWISS COSMED")</f>
        <v>SWISS COSMED</v>
      </c>
    </row>
    <row r="3499">
      <c r="H3499" s="19" t="str">
        <f>IFERROR(__xludf.DUMMYFUNCTION("""COMPUTED_VALUE"""),"SWISS INTERNATIONAL")</f>
        <v>SWISS INTERNATIONAL</v>
      </c>
    </row>
    <row r="3500">
      <c r="H3500" s="19" t="str">
        <f>IFERROR(__xludf.DUMMYFUNCTION("""COMPUTED_VALUE"""),"SWISSCHEM DERMACARE")</f>
        <v>SWISSCHEM DERMACARE</v>
      </c>
    </row>
    <row r="3501">
      <c r="H3501" s="19" t="str">
        <f>IFERROR(__xludf.DUMMYFUNCTION("""COMPUTED_VALUE"""),"SWISSCHEM HEALTHCARE")</f>
        <v>SWISSCHEM HEALTHCARE</v>
      </c>
    </row>
    <row r="3502">
      <c r="H3502" s="19" t="str">
        <f>IFERROR(__xludf.DUMMYFUNCTION("""COMPUTED_VALUE"""),"SYGNUS BIOTECH")</f>
        <v>SYGNUS BIOTECH</v>
      </c>
    </row>
    <row r="3503">
      <c r="H3503" s="19" t="str">
        <f>IFERROR(__xludf.DUMMYFUNCTION("""COMPUTED_VALUE"""),"Symbiosis Lab")</f>
        <v>Symbiosis Lab</v>
      </c>
    </row>
    <row r="3504">
      <c r="H3504" s="19" t="str">
        <f>IFERROR(__xludf.DUMMYFUNCTION("""COMPUTED_VALUE"""),"SYMBIOSIS LIFESCIENCES")</f>
        <v>SYMBIOSIS LIFESCIENCES</v>
      </c>
    </row>
    <row r="3505">
      <c r="H3505" s="19" t="str">
        <f>IFERROR(__xludf.DUMMYFUNCTION("""COMPUTED_VALUE"""),"SYMBIOSIS PHARMA")</f>
        <v>SYMBIOSIS PHARMA</v>
      </c>
    </row>
    <row r="3506">
      <c r="H3506" s="19" t="str">
        <f>IFERROR(__xludf.DUMMYFUNCTION("""COMPUTED_VALUE"""),"Synchem Lab")</f>
        <v>Synchem Lab</v>
      </c>
    </row>
    <row r="3507">
      <c r="H3507" s="19" t="str">
        <f>IFERROR(__xludf.DUMMYFUNCTION("""COMPUTED_VALUE"""),"SYNCOM FORMULATIONS (INDIA) LTD")</f>
        <v>SYNCOM FORMULATIONS (INDIA) LTD</v>
      </c>
    </row>
    <row r="3508">
      <c r="H3508" s="19" t="str">
        <f>IFERROR(__xludf.DUMMYFUNCTION("""COMPUTED_VALUE"""),"SYNCOM FORMULATIONS PVT LTD")</f>
        <v>SYNCOM FORMULATIONS PVT LTD</v>
      </c>
    </row>
    <row r="3509">
      <c r="H3509" s="19" t="str">
        <f>IFERROR(__xludf.DUMMYFUNCTION("""COMPUTED_VALUE"""),"SYNDICATE PHARMA")</f>
        <v>SYNDICATE PHARMA</v>
      </c>
    </row>
    <row r="3510">
      <c r="H3510" s="19" t="str">
        <f>IFERROR(__xludf.DUMMYFUNCTION("""COMPUTED_VALUE"""),"SYNERGY")</f>
        <v>SYNERGY</v>
      </c>
    </row>
    <row r="3511">
      <c r="H3511" s="19" t="str">
        <f>IFERROR(__xludf.DUMMYFUNCTION("""COMPUTED_VALUE"""),"SYNERGY DIAGNOSTICS")</f>
        <v>SYNERGY DIAGNOSTICS</v>
      </c>
    </row>
    <row r="3512">
      <c r="H3512" s="19" t="str">
        <f>IFERROR(__xludf.DUMMYFUNCTION("""COMPUTED_VALUE"""),"SYNERGY VACCINES LLP")</f>
        <v>SYNERGY VACCINES LLP</v>
      </c>
    </row>
    <row r="3513">
      <c r="H3513" s="19" t="str">
        <f>IFERROR(__xludf.DUMMYFUNCTION("""COMPUTED_VALUE"""),"SYNODIC LIFESCIENCES P LTD")</f>
        <v>SYNODIC LIFESCIENCES P LTD</v>
      </c>
    </row>
    <row r="3514">
      <c r="H3514" s="19" t="str">
        <f>IFERROR(__xludf.DUMMYFUNCTION("""COMPUTED_VALUE"""),"SYNOPTIC LIFE SCIENCES")</f>
        <v>SYNOPTIC LIFE SCIENCES</v>
      </c>
    </row>
    <row r="3515">
      <c r="H3515" s="19" t="str">
        <f>IFERROR(__xludf.DUMMYFUNCTION("""COMPUTED_VALUE"""),"SYNOVIA LIFESCIENCES")</f>
        <v>SYNOVIA LIFESCIENCES</v>
      </c>
    </row>
    <row r="3516">
      <c r="H3516" s="19" t="str">
        <f>IFERROR(__xludf.DUMMYFUNCTION("""COMPUTED_VALUE"""),"SYNTHESIS")</f>
        <v>SYNTHESIS</v>
      </c>
    </row>
    <row r="3517">
      <c r="H3517" s="19" t="str">
        <f>IFERROR(__xludf.DUMMYFUNCTION("""COMPUTED_VALUE"""),"SYNTHIKO EXPORTS")</f>
        <v>SYNTHIKO EXPORTS</v>
      </c>
    </row>
    <row r="3518">
      <c r="H3518" s="19" t="str">
        <f>IFERROR(__xludf.DUMMYFUNCTION("""COMPUTED_VALUE"""),"Syntho Pharmaceuticals Pvt Ltd")</f>
        <v>Syntho Pharmaceuticals Pvt Ltd</v>
      </c>
    </row>
    <row r="3519">
      <c r="H3519" s="19" t="str">
        <f>IFERROR(__xludf.DUMMYFUNCTION("""COMPUTED_VALUE"""),"SYNTHOKIND PHARMACEUTICALS PVT LTD")</f>
        <v>SYNTHOKIND PHARMACEUTICALS PVT LTD</v>
      </c>
    </row>
    <row r="3520">
      <c r="H3520" s="19" t="str">
        <f>IFERROR(__xludf.DUMMYFUNCTION("""COMPUTED_VALUE"""),"SYNTONIX BIOFARM")</f>
        <v>SYNTONIX BIOFARM</v>
      </c>
    </row>
    <row r="3521">
      <c r="H3521" s="19" t="str">
        <f>IFERROR(__xludf.DUMMYFUNCTION("""COMPUTED_VALUE"""),"SYSCOM")</f>
        <v>SYSCOM</v>
      </c>
    </row>
    <row r="3522">
      <c r="H3522" s="19" t="str">
        <f>IFERROR(__xludf.DUMMYFUNCTION("""COMPUTED_VALUE"""),"SYSMED LABORATORIES PVT LTD")</f>
        <v>SYSMED LABORATORIES PVT LTD</v>
      </c>
    </row>
    <row r="3523">
      <c r="H3523" s="19" t="str">
        <f>IFERROR(__xludf.DUMMYFUNCTION("""COMPUTED_VALUE"""),"SYSTEMIC HEALTHCARE")</f>
        <v>SYSTEMIC HEALTHCARE</v>
      </c>
    </row>
    <row r="3524">
      <c r="H3524" s="19" t="str">
        <f>IFERROR(__xludf.DUMMYFUNCTION("""COMPUTED_VALUE"""),"SYSTOCHEM")</f>
        <v>SYSTOCHEM</v>
      </c>
    </row>
    <row r="3525">
      <c r="H3525" s="19" t="str">
        <f>IFERROR(__xludf.DUMMYFUNCTION("""COMPUTED_VALUE"""),"Systopic Laboratories Pvt Ltd")</f>
        <v>Systopic Laboratories Pvt Ltd</v>
      </c>
    </row>
    <row r="3526">
      <c r="H3526" s="19" t="str">
        <f>IFERROR(__xludf.DUMMYFUNCTION("""COMPUTED_VALUE"""),"TABLETS INDIA")</f>
        <v>TABLETS INDIA</v>
      </c>
    </row>
    <row r="3527">
      <c r="H3527" s="19" t="str">
        <f>IFERROR(__xludf.DUMMYFUNCTION("""COMPUTED_VALUE"""),"TABLETS INDIA (LUCID)")</f>
        <v>TABLETS INDIA (LUCID)</v>
      </c>
    </row>
    <row r="3528">
      <c r="H3528" s="19" t="str">
        <f>IFERROR(__xludf.DUMMYFUNCTION("""COMPUTED_VALUE"""),"TABLETS INDIA (TABZEN)")</f>
        <v>TABLETS INDIA (TABZEN)</v>
      </c>
    </row>
    <row r="3529">
      <c r="H3529" s="19" t="str">
        <f>IFERROR(__xludf.DUMMYFUNCTION("""COMPUTED_VALUE"""),"TABLETS INDIA (VIBRANZ)")</f>
        <v>TABLETS INDIA (VIBRANZ)</v>
      </c>
    </row>
    <row r="3530">
      <c r="H3530" s="19" t="str">
        <f>IFERROR(__xludf.DUMMYFUNCTION("""COMPUTED_VALUE"""),"Talent Healthcare")</f>
        <v>Talent Healthcare</v>
      </c>
    </row>
    <row r="3531">
      <c r="H3531" s="19" t="str">
        <f>IFERROR(__xludf.DUMMYFUNCTION("""COMPUTED_VALUE"""),"TALENT INDIA")</f>
        <v>TALENT INDIA</v>
      </c>
    </row>
    <row r="3532">
      <c r="H3532" s="19" t="str">
        <f>IFERROR(__xludf.DUMMYFUNCTION("""COMPUTED_VALUE"""),"TALIN REMEDIES")</f>
        <v>TALIN REMEDIES</v>
      </c>
    </row>
    <row r="3533">
      <c r="H3533" s="19" t="str">
        <f>IFERROR(__xludf.DUMMYFUNCTION("""COMPUTED_VALUE"""),"TARAGOD PHARMACALS")</f>
        <v>TARAGOD PHARMACALS</v>
      </c>
    </row>
    <row r="3534">
      <c r="H3534" s="19" t="str">
        <f>IFERROR(__xludf.DUMMYFUNCTION("""COMPUTED_VALUE"""),"taronto")</f>
        <v>taronto</v>
      </c>
    </row>
    <row r="3535">
      <c r="H3535" s="19" t="str">
        <f>IFERROR(__xludf.DUMMYFUNCTION("""COMPUTED_VALUE"""),"TASMED LAB")</f>
        <v>TASMED LAB</v>
      </c>
    </row>
    <row r="3536">
      <c r="H3536" s="19" t="str">
        <f>IFERROR(__xludf.DUMMYFUNCTION("""COMPUTED_VALUE"""),"TASMED LAB (DERMA)")</f>
        <v>TASMED LAB (DERMA)</v>
      </c>
    </row>
    <row r="3537">
      <c r="H3537" s="19" t="str">
        <f>IFERROR(__xludf.DUMMYFUNCTION("""COMPUTED_VALUE"""),"TASMED LAB (GYNAE)")</f>
        <v>TASMED LAB (GYNAE)</v>
      </c>
    </row>
    <row r="3538">
      <c r="H3538" s="19" t="str">
        <f>IFERROR(__xludf.DUMMYFUNCTION("""COMPUTED_VALUE"""),"TASMED LAB (PASSION)")</f>
        <v>TASMED LAB (PASSION)</v>
      </c>
    </row>
    <row r="3539">
      <c r="H3539" s="19" t="str">
        <f>IFERROR(__xludf.DUMMYFUNCTION("""COMPUTED_VALUE"""),"TASMED LAB (VALIANT)")</f>
        <v>TASMED LAB (VALIANT)</v>
      </c>
    </row>
    <row r="3540">
      <c r="H3540" s="19" t="str">
        <f>IFERROR(__xludf.DUMMYFUNCTION("""COMPUTED_VALUE"""),"TAURUS LABORATORIES PVT LTD")</f>
        <v>TAURUS LABORATORIES PVT LTD</v>
      </c>
    </row>
    <row r="3541">
      <c r="H3541" s="19" t="str">
        <f>IFERROR(__xludf.DUMMYFUNCTION("""COMPUTED_VALUE"""),"TEBLIK DRUG P LTD")</f>
        <v>TEBLIK DRUG P LTD</v>
      </c>
    </row>
    <row r="3542">
      <c r="H3542" s="19" t="str">
        <f>IFERROR(__xludf.DUMMYFUNCTION("""COMPUTED_VALUE"""),"TEBLIK DRUGS PVT LTD")</f>
        <v>TEBLIK DRUGS PVT LTD</v>
      </c>
    </row>
    <row r="3543">
      <c r="H3543" s="19" t="str">
        <f>IFERROR(__xludf.DUMMYFUNCTION("""COMPUTED_VALUE"""),"TECHNOPHARMA PHARMACEUTICALS")</f>
        <v>TECHNOPHARMA PHARMACEUTICALS</v>
      </c>
    </row>
    <row r="3544">
      <c r="H3544" s="19" t="str">
        <f>IFERROR(__xludf.DUMMYFUNCTION("""COMPUTED_VALUE"""),"TEETHYS INC")</f>
        <v>TEETHYS INC</v>
      </c>
    </row>
    <row r="3545">
      <c r="H3545" s="19" t="str">
        <f>IFERROR(__xludf.DUMMYFUNCTION("""COMPUTED_VALUE"""),"TEJAS PHARMA")</f>
        <v>TEJAS PHARMA</v>
      </c>
    </row>
    <row r="3546">
      <c r="H3546" s="19" t="str">
        <f>IFERROR(__xludf.DUMMYFUNCTION("""COMPUTED_VALUE"""),"TELMED PHARMACEUTICAL PVT LTD")</f>
        <v>TELMED PHARMACEUTICAL PVT LTD</v>
      </c>
    </row>
    <row r="3547">
      <c r="H3547" s="19" t="str">
        <f>IFERROR(__xludf.DUMMYFUNCTION("""COMPUTED_VALUE"""),"TEMOMAPS 100")</f>
        <v>TEMOMAPS 100</v>
      </c>
    </row>
    <row r="3548">
      <c r="H3548" s="19" t="str">
        <f>IFERROR(__xludf.DUMMYFUNCTION("""COMPUTED_VALUE"""),"TEMOMAPS 20")</f>
        <v>TEMOMAPS 20</v>
      </c>
    </row>
    <row r="3549">
      <c r="H3549" s="19" t="str">
        <f>IFERROR(__xludf.DUMMYFUNCTION("""COMPUTED_VALUE"""),"TEMOMAPS 250")</f>
        <v>TEMOMAPS 250</v>
      </c>
    </row>
    <row r="3550">
      <c r="H3550" s="19" t="str">
        <f>IFERROR(__xludf.DUMMYFUNCTION("""COMPUTED_VALUE"""),"TERAPIO PHARMA P LTD")</f>
        <v>TERAPIO PHARMA P LTD</v>
      </c>
    </row>
    <row r="3551">
      <c r="H3551" s="19" t="str">
        <f>IFERROR(__xludf.DUMMYFUNCTION("""COMPUTED_VALUE"""),"TETRAMED BIOTEK PVT LTD")</f>
        <v>TETRAMED BIOTEK PVT LTD</v>
      </c>
    </row>
    <row r="3552">
      <c r="H3552" s="19" t="str">
        <f>IFERROR(__xludf.DUMMYFUNCTION("""COMPUTED_VALUE"""),"THE ARIYANPHARMACEUTICALS")</f>
        <v>THE ARIYANPHARMACEUTICALS</v>
      </c>
    </row>
    <row r="3553">
      <c r="H3553" s="19" t="str">
        <f>IFERROR(__xludf.DUMMYFUNCTION("""COMPUTED_VALUE"""),"THE BIHARI AYURVEDIC PHARMACY")</f>
        <v>THE BIHARI AYURVEDIC PHARMACY</v>
      </c>
    </row>
    <row r="3554">
      <c r="H3554" s="19" t="str">
        <f>IFERROR(__xludf.DUMMYFUNCTION("""COMPUTED_VALUE"""),"THE TAYYEBI DAWAKHANA")</f>
        <v>THE TAYYEBI DAWAKHANA</v>
      </c>
    </row>
    <row r="3555">
      <c r="H3555" s="19" t="str">
        <f>IFERROR(__xludf.DUMMYFUNCTION("""COMPUTED_VALUE"""),"THE ZONE CHEMICAL COMPANY")</f>
        <v>THE ZONE CHEMICAL COMPANY</v>
      </c>
    </row>
    <row r="3556">
      <c r="H3556" s="19" t="str">
        <f>IFERROR(__xludf.DUMMYFUNCTION("""COMPUTED_VALUE"""),"Themis Medicare (ORTHO)")</f>
        <v>Themis Medicare (ORTHO)</v>
      </c>
    </row>
    <row r="3557">
      <c r="H3557" s="19" t="str">
        <f>IFERROR(__xludf.DUMMYFUNCTION("""COMPUTED_VALUE"""),"Themis Medicare Ltd")</f>
        <v>Themis Medicare Ltd</v>
      </c>
    </row>
    <row r="3558">
      <c r="H3558" s="19" t="str">
        <f>IFERROR(__xludf.DUMMYFUNCTION("""COMPUTED_VALUE"""),"Themis Medicare Ltd (SPECIALITY)")</f>
        <v>Themis Medicare Ltd (SPECIALITY)</v>
      </c>
    </row>
    <row r="3559">
      <c r="H3559" s="19" t="str">
        <f>IFERROR(__xludf.DUMMYFUNCTION("""COMPUTED_VALUE"""),"THEOGEN P LTD")</f>
        <v>THEOGEN P LTD</v>
      </c>
    </row>
    <row r="3560">
      <c r="H3560" s="19" t="str">
        <f>IFERROR(__xludf.DUMMYFUNCTION("""COMPUTED_VALUE"""),"THERMED LIFESCIENCES")</f>
        <v>THERMED LIFESCIENCES</v>
      </c>
    </row>
    <row r="3561">
      <c r="H3561" s="19" t="str">
        <f>IFERROR(__xludf.DUMMYFUNCTION("""COMPUTED_VALUE"""),"Theta Lab Pvt Ltd")</f>
        <v>Theta Lab Pvt Ltd</v>
      </c>
    </row>
    <row r="3562">
      <c r="H3562" s="19" t="str">
        <f>IFERROR(__xludf.DUMMYFUNCTION("""COMPUTED_VALUE"""),"TIARA")</f>
        <v>TIARA</v>
      </c>
    </row>
    <row r="3563">
      <c r="H3563" s="19" t="str">
        <f>IFERROR(__xludf.DUMMYFUNCTION("""COMPUTED_VALUE"""),"Tidal Laboratories Pvt Ltd")</f>
        <v>Tidal Laboratories Pvt Ltd</v>
      </c>
    </row>
    <row r="3564">
      <c r="H3564" s="19" t="str">
        <f>IFERROR(__xludf.DUMMYFUNCTION("""COMPUTED_VALUE"""),"TILLU SOUL PHARMA")</f>
        <v>TILLU SOUL PHARMA</v>
      </c>
    </row>
    <row r="3565">
      <c r="H3565" s="19" t="str">
        <f>IFERROR(__xludf.DUMMYFUNCTION("""COMPUTED_VALUE"""),"TIRUPATI MEDICARE LTD")</f>
        <v>TIRUPATI MEDICARE LTD</v>
      </c>
    </row>
    <row r="3566">
      <c r="H3566" s="19" t="str">
        <f>IFERROR(__xludf.DUMMYFUNCTION("""COMPUTED_VALUE"""),"TISCON")</f>
        <v>TISCON</v>
      </c>
    </row>
    <row r="3567">
      <c r="H3567" s="19" t="str">
        <f>IFERROR(__xludf.DUMMYFUNCTION("""COMPUTED_VALUE"""),"TITAN (BIOSCIENCES)")</f>
        <v>TITAN (BIOSCIENCES)</v>
      </c>
    </row>
    <row r="3568">
      <c r="H3568" s="19" t="str">
        <f>IFERROR(__xludf.DUMMYFUNCTION("""COMPUTED_VALUE"""),"TITAN (FUTURA)")</f>
        <v>TITAN (FUTURA)</v>
      </c>
    </row>
    <row r="3569">
      <c r="H3569" s="19" t="str">
        <f>IFERROR(__xludf.DUMMYFUNCTION("""COMPUTED_VALUE"""),"TITUS HEALTH TECH PVT LTD")</f>
        <v>TITUS HEALTH TECH PVT LTD</v>
      </c>
    </row>
    <row r="3570">
      <c r="H3570" s="19" t="str">
        <f>IFERROR(__xludf.DUMMYFUNCTION("""COMPUTED_VALUE"""),"TJS BEAUTY SECREAT")</f>
        <v>TJS BEAUTY SECREAT</v>
      </c>
    </row>
    <row r="3571">
      <c r="H3571" s="19" t="str">
        <f>IFERROR(__xludf.DUMMYFUNCTION("""COMPUTED_VALUE"""),"TN SYS MERYL PHARMA PVT LTD")</f>
        <v>TN SYS MERYL PHARMA PVT LTD</v>
      </c>
    </row>
    <row r="3572">
      <c r="H3572" s="19" t="str">
        <f>IFERROR(__xludf.DUMMYFUNCTION("""COMPUTED_VALUE"""),"TODAY REMEDIES")</f>
        <v>TODAY REMEDIES</v>
      </c>
    </row>
    <row r="3573">
      <c r="H3573" s="19" t="str">
        <f>IFERROR(__xludf.DUMMYFUNCTION("""COMPUTED_VALUE"""),"TORAINSE LIFECARE")</f>
        <v>TORAINSE LIFECARE</v>
      </c>
    </row>
    <row r="3574">
      <c r="H3574" s="19" t="str">
        <f>IFERROR(__xludf.DUMMYFUNCTION("""COMPUTED_VALUE"""),"TORANCE HEALTHCARE PVT LTD")</f>
        <v>TORANCE HEALTHCARE PVT LTD</v>
      </c>
    </row>
    <row r="3575">
      <c r="H3575" s="19" t="str">
        <f>IFERROR(__xludf.DUMMYFUNCTION("""COMPUTED_VALUE"""),"TORINO LABOTATORIES PVT LTD")</f>
        <v>TORINO LABOTATORIES PVT LTD</v>
      </c>
    </row>
    <row r="3576">
      <c r="H3576" s="19" t="str">
        <f>IFERROR(__xludf.DUMMYFUNCTION("""COMPUTED_VALUE"""),"TORION LABS")</f>
        <v>TORION LABS</v>
      </c>
    </row>
    <row r="3577">
      <c r="H3577" s="19" t="str">
        <f>IFERROR(__xludf.DUMMYFUNCTION("""COMPUTED_VALUE"""),"Torque Pharmaceuticals Pvt Ltd")</f>
        <v>Torque Pharmaceuticals Pvt Ltd</v>
      </c>
    </row>
    <row r="3578">
      <c r="H3578" s="19" t="str">
        <f>IFERROR(__xludf.DUMMYFUNCTION("""COMPUTED_VALUE"""),"TORQUE PHRAMACUETICAL")</f>
        <v>TORQUE PHRAMACUETICAL</v>
      </c>
    </row>
    <row r="3579">
      <c r="H3579" s="19" t="str">
        <f>IFERROR(__xludf.DUMMYFUNCTION("""COMPUTED_VALUE"""),"TORRENT (AXON)")</f>
        <v>TORRENT (AXON)</v>
      </c>
    </row>
    <row r="3580">
      <c r="H3580" s="19" t="str">
        <f>IFERROR(__xludf.DUMMYFUNCTION("""COMPUTED_VALUE"""),"TORRENT (AZUCA)")</f>
        <v>TORRENT (AZUCA)</v>
      </c>
    </row>
    <row r="3581">
      <c r="H3581" s="19" t="str">
        <f>IFERROR(__xludf.DUMMYFUNCTION("""COMPUTED_VALUE"""),"TORRENT (B WELL)")</f>
        <v>TORRENT (B WELL)</v>
      </c>
    </row>
    <row r="3582">
      <c r="H3582" s="19" t="str">
        <f>IFERROR(__xludf.DUMMYFUNCTION("""COMPUTED_VALUE"""),"TORRENT (B-GYNE)")</f>
        <v>TORRENT (B-GYNE)</v>
      </c>
    </row>
    <row r="3583">
      <c r="H3583" s="19" t="str">
        <f>IFERROR(__xludf.DUMMYFUNCTION("""COMPUTED_VALUE"""),"TORRENT (DELTA)")</f>
        <v>TORRENT (DELTA)</v>
      </c>
    </row>
    <row r="3584">
      <c r="H3584" s="19" t="str">
        <f>IFERROR(__xludf.DUMMYFUNCTION("""COMPUTED_VALUE"""),"TORRENT (GENERIC)")</f>
        <v>TORRENT (GENERIC)</v>
      </c>
    </row>
    <row r="3585">
      <c r="H3585" s="19" t="str">
        <f>IFERROR(__xludf.DUMMYFUNCTION("""COMPUTED_VALUE"""),"TORRENT (MIND)")</f>
        <v>TORRENT (MIND)</v>
      </c>
    </row>
    <row r="3586">
      <c r="H3586" s="19" t="str">
        <f>IFERROR(__xludf.DUMMYFUNCTION("""COMPUTED_VALUE"""),"TORRENT (NEURON)")</f>
        <v>TORRENT (NEURON)</v>
      </c>
    </row>
    <row r="3587">
      <c r="H3587" s="19" t="str">
        <f>IFERROR(__xludf.DUMMYFUNCTION("""COMPUTED_VALUE"""),"TORRENT (PRIMA)")</f>
        <v>TORRENT (PRIMA)</v>
      </c>
    </row>
    <row r="3588">
      <c r="H3588" s="19" t="str">
        <f>IFERROR(__xludf.DUMMYFUNCTION("""COMPUTED_VALUE"""),"TORRENT (PSYCAN-CND)")</f>
        <v>TORRENT (PSYCAN-CND)</v>
      </c>
    </row>
    <row r="3589">
      <c r="H3589" s="19" t="str">
        <f>IFERROR(__xludf.DUMMYFUNCTION("""COMPUTED_VALUE"""),"TORRENT (PSYCAN)")</f>
        <v>TORRENT (PSYCAN)</v>
      </c>
    </row>
    <row r="3590">
      <c r="H3590" s="19" t="str">
        <f>IFERROR(__xludf.DUMMYFUNCTION("""COMPUTED_VALUE"""),"TORRENT (SENSA PV)")</f>
        <v>TORRENT (SENSA PV)</v>
      </c>
    </row>
    <row r="3591">
      <c r="H3591" s="19" t="str">
        <f>IFERROR(__xludf.DUMMYFUNCTION("""COMPUTED_VALUE"""),"TORRENT (SPARSH)")</f>
        <v>TORRENT (SPARSH)</v>
      </c>
    </row>
    <row r="3592">
      <c r="H3592" s="19" t="str">
        <f>IFERROR(__xludf.DUMMYFUNCTION("""COMPUTED_VALUE"""),"TORRENT (SPRRITUS)")</f>
        <v>TORRENT (SPRRITUS)</v>
      </c>
    </row>
    <row r="3593">
      <c r="H3593" s="19" t="str">
        <f>IFERROR(__xludf.DUMMYFUNCTION("""COMPUTED_VALUE"""),"TORRENT (Unichem-UVA)")</f>
        <v>TORRENT (Unichem-UVA)</v>
      </c>
    </row>
    <row r="3594">
      <c r="H3594" s="19" t="str">
        <f>IFERROR(__xludf.DUMMYFUNCTION("""COMPUTED_VALUE"""),"TORRENT (UNO SPRIT)")</f>
        <v>TORRENT (UNO SPRIT)</v>
      </c>
    </row>
    <row r="3595">
      <c r="H3595" s="19" t="str">
        <f>IFERROR(__xludf.DUMMYFUNCTION("""COMPUTED_VALUE"""),"TORRENT (UNO VISTA)")</f>
        <v>TORRENT (UNO VISTA)</v>
      </c>
    </row>
    <row r="3596">
      <c r="H3596" s="19" t="str">
        <f>IFERROR(__xludf.DUMMYFUNCTION("""COMPUTED_VALUE"""),"TORRENT (VISTA)")</f>
        <v>TORRENT (VISTA)</v>
      </c>
    </row>
    <row r="3597">
      <c r="H3597" s="19" t="str">
        <f>IFERROR(__xludf.DUMMYFUNCTION("""COMPUTED_VALUE"""),"TORRENT (VIVA)")</f>
        <v>TORRENT (VIVA)</v>
      </c>
    </row>
    <row r="3598">
      <c r="H3598" s="19" t="str">
        <f>IFERROR(__xludf.DUMMYFUNCTION("""COMPUTED_VALUE"""),"Torrent Pharmaceuticals Ltd")</f>
        <v>Torrent Pharmaceuticals Ltd</v>
      </c>
    </row>
    <row r="3599">
      <c r="H3599" s="19" t="str">
        <f>IFERROR(__xludf.DUMMYFUNCTION("""COMPUTED_VALUE"""),"TORUS PHARMACEUTICALS")</f>
        <v>TORUS PHARMACEUTICALS</v>
      </c>
    </row>
    <row r="3600">
      <c r="H3600" s="19" t="str">
        <f>IFERROR(__xludf.DUMMYFUNCTION("""COMPUTED_VALUE"""),"TRANSGENIC")</f>
        <v>TRANSGENIC</v>
      </c>
    </row>
    <row r="3601">
      <c r="H3601" s="19" t="str">
        <f>IFERROR(__xludf.DUMMYFUNCTION("""COMPUTED_VALUE"""),"TREATWELL PHARMA")</f>
        <v>TREATWELL PHARMA</v>
      </c>
    </row>
    <row r="3602">
      <c r="H3602" s="19" t="str">
        <f>IFERROR(__xludf.DUMMYFUNCTION("""COMPUTED_VALUE"""),"TRESCO LAB")</f>
        <v>TRESCO LAB</v>
      </c>
    </row>
    <row r="3603">
      <c r="H3603" s="19" t="str">
        <f>IFERROR(__xludf.DUMMYFUNCTION("""COMPUTED_VALUE"""),"TRIBUNE PHARMACEUTICALS")</f>
        <v>TRIBUNE PHARMACEUTICALS</v>
      </c>
    </row>
    <row r="3604">
      <c r="H3604" s="19" t="str">
        <f>IFERROR(__xludf.DUMMYFUNCTION("""COMPUTED_VALUE"""),"TRIFARMA")</f>
        <v>TRIFARMA</v>
      </c>
    </row>
    <row r="3605">
      <c r="H3605" s="19" t="str">
        <f>IFERROR(__xludf.DUMMYFUNCTION("""COMPUTED_VALUE"""),"TRIGLOBAL BIOSCIENCE")</f>
        <v>TRIGLOBAL BIOSCIENCE</v>
      </c>
    </row>
    <row r="3606">
      <c r="H3606" s="19" t="str">
        <f>IFERROR(__xludf.DUMMYFUNCTION("""COMPUTED_VALUE"""),"TRIKONA PHARMACEUTICALS PVT LTD")</f>
        <v>TRIKONA PHARMACEUTICALS PVT LTD</v>
      </c>
    </row>
    <row r="3607">
      <c r="H3607" s="19" t="str">
        <f>IFERROR(__xludf.DUMMYFUNCTION("""COMPUTED_VALUE"""),"TRIO HEALTHCARE PVT LTD")</f>
        <v>TRIO HEALTHCARE PVT LTD</v>
      </c>
    </row>
    <row r="3608">
      <c r="H3608" s="19" t="str">
        <f>IFERROR(__xludf.DUMMYFUNCTION("""COMPUTED_VALUE"""),"TRIO LIFESCIENCE")</f>
        <v>TRIO LIFESCIENCE</v>
      </c>
    </row>
    <row r="3609">
      <c r="H3609" s="19" t="str">
        <f>IFERROR(__xludf.DUMMYFUNCTION("""COMPUTED_VALUE"""),"TRION PHARMA INDIA LLP")</f>
        <v>TRION PHARMA INDIA LLP</v>
      </c>
    </row>
    <row r="3610">
      <c r="H3610" s="19" t="str">
        <f>IFERROR(__xludf.DUMMYFUNCTION("""COMPUTED_VALUE"""),"TRIPADA HEALTHCARE")</f>
        <v>TRIPADA HEALTHCARE</v>
      </c>
    </row>
    <row r="3611">
      <c r="H3611" s="19" t="str">
        <f>IFERROR(__xludf.DUMMYFUNCTION("""COMPUTED_VALUE"""),"TRIPADA LIFECARE")</f>
        <v>TRIPADA LIFECARE</v>
      </c>
    </row>
    <row r="3612">
      <c r="H3612" s="19" t="str">
        <f>IFERROR(__xludf.DUMMYFUNCTION("""COMPUTED_VALUE"""),"TRITON")</f>
        <v>TRITON</v>
      </c>
    </row>
    <row r="3613">
      <c r="H3613" s="19" t="str">
        <f>IFERROR(__xludf.DUMMYFUNCTION("""COMPUTED_VALUE"""),"TRIUMPH")</f>
        <v>TRIUMPH</v>
      </c>
    </row>
    <row r="3614">
      <c r="H3614" s="19" t="str">
        <f>IFERROR(__xludf.DUMMYFUNCTION("""COMPUTED_VALUE"""),"TRIVIGYA BIOSCIENCE")</f>
        <v>TRIVIGYA BIOSCIENCE</v>
      </c>
    </row>
    <row r="3615">
      <c r="H3615" s="19" t="str">
        <f>IFERROR(__xludf.DUMMYFUNCTION("""COMPUTED_VALUE"""),"TROIKAA (ALTIUS)")</f>
        <v>TROIKAA (ALTIUS)</v>
      </c>
    </row>
    <row r="3616">
      <c r="H3616" s="19" t="str">
        <f>IFERROR(__xludf.DUMMYFUNCTION("""COMPUTED_VALUE"""),"TROIKAA (AURA)")</f>
        <v>TROIKAA (AURA)</v>
      </c>
    </row>
    <row r="3617">
      <c r="H3617" s="19" t="str">
        <f>IFERROR(__xludf.DUMMYFUNCTION("""COMPUTED_VALUE"""),"TROIKAA (CITIUS)")</f>
        <v>TROIKAA (CITIUS)</v>
      </c>
    </row>
    <row r="3618">
      <c r="H3618" s="19" t="str">
        <f>IFERROR(__xludf.DUMMYFUNCTION("""COMPUTED_VALUE"""),"TROIKAA (GENERIC)")</f>
        <v>TROIKAA (GENERIC)</v>
      </c>
    </row>
    <row r="3619">
      <c r="H3619" s="19" t="str">
        <f>IFERROR(__xludf.DUMMYFUNCTION("""COMPUTED_VALUE"""),"TROIKAA (HOS)")</f>
        <v>TROIKAA (HOS)</v>
      </c>
    </row>
    <row r="3620">
      <c r="H3620" s="19" t="str">
        <f>IFERROR(__xludf.DUMMYFUNCTION("""COMPUTED_VALUE"""),"TROIKAA (SPECTRA)")</f>
        <v>TROIKAA (SPECTRA)</v>
      </c>
    </row>
    <row r="3621">
      <c r="H3621" s="19" t="str">
        <f>IFERROR(__xludf.DUMMYFUNCTION("""COMPUTED_VALUE"""),"Troikaa Pharmaceuticals Ltd")</f>
        <v>Troikaa Pharmaceuticals Ltd</v>
      </c>
    </row>
    <row r="3622">
      <c r="H3622" s="19" t="str">
        <f>IFERROR(__xludf.DUMMYFUNCTION("""COMPUTED_VALUE"""),"TROPHIC (WELLNESS)")</f>
        <v>TROPHIC (WELLNESS)</v>
      </c>
    </row>
    <row r="3623">
      <c r="H3623" s="19" t="str">
        <f>IFERROR(__xludf.DUMMYFUNCTION("""COMPUTED_VALUE"""),"TRUE PHARMACEUTICALS")</f>
        <v>TRUE PHARMACEUTICALS</v>
      </c>
    </row>
    <row r="3624">
      <c r="H3624" s="19" t="str">
        <f>IFERROR(__xludf.DUMMYFUNCTION("""COMPUTED_VALUE"""),"TRUECURE HEALTHCARE PVT LTD")</f>
        <v>TRUECURE HEALTHCARE PVT LTD</v>
      </c>
    </row>
    <row r="3625">
      <c r="H3625" s="19" t="str">
        <f>IFERROR(__xludf.DUMMYFUNCTION("""COMPUTED_VALUE"""),"TRUEWORTH HEALTHCARE")</f>
        <v>TRUEWORTH HEALTHCARE</v>
      </c>
    </row>
    <row r="3626">
      <c r="H3626" s="19" t="str">
        <f>IFERROR(__xludf.DUMMYFUNCTION("""COMPUTED_VALUE"""),"TRUHEALTHY LLP")</f>
        <v>TRUHEALTHY LLP</v>
      </c>
    </row>
    <row r="3627">
      <c r="H3627" s="19" t="str">
        <f>IFERROR(__xludf.DUMMYFUNCTION("""COMPUTED_VALUE"""),"TRULAM LIFE SCIENCES")</f>
        <v>TRULAM LIFE SCIENCES</v>
      </c>
    </row>
    <row r="3628">
      <c r="H3628" s="19" t="str">
        <f>IFERROR(__xludf.DUMMYFUNCTION("""COMPUTED_VALUE"""),"TRUMAC HEALTHCARE PVT LTD")</f>
        <v>TRUMAC HEALTHCARE PVT LTD</v>
      </c>
    </row>
    <row r="3629">
      <c r="H3629" s="19" t="str">
        <f>IFERROR(__xludf.DUMMYFUNCTION("""COMPUTED_VALUE"""),"TRUST HEALTHCARE")</f>
        <v>TRUST HEALTHCARE</v>
      </c>
    </row>
    <row r="3630">
      <c r="H3630" s="19" t="str">
        <f>IFERROR(__xludf.DUMMYFUNCTION("""COMPUTED_VALUE"""),"TRUWORTH HEALTHCARE")</f>
        <v>TRUWORTH HEALTHCARE</v>
      </c>
    </row>
    <row r="3631">
      <c r="H3631" s="19" t="str">
        <f>IFERROR(__xludf.DUMMYFUNCTION("""COMPUTED_VALUE"""),"TRY BIRD HEALTHCARE PVT LTD")</f>
        <v>TRY BIRD HEALTHCARE PVT LTD</v>
      </c>
    </row>
    <row r="3632">
      <c r="H3632" s="19" t="str">
        <f>IFERROR(__xludf.DUMMYFUNCTION("""COMPUTED_VALUE"""),"TS COMPROZONE PVT LTD")</f>
        <v>TS COMPROZONE PVT LTD</v>
      </c>
    </row>
    <row r="3633">
      <c r="H3633" s="19" t="str">
        <f>IFERROR(__xludf.DUMMYFUNCTION("""COMPUTED_VALUE"""),"TTK HEALTHCARE (ENDURA)")</f>
        <v>TTK HEALTHCARE (ENDURA)</v>
      </c>
    </row>
    <row r="3634">
      <c r="H3634" s="19" t="str">
        <f>IFERROR(__xludf.DUMMYFUNCTION("""COMPUTED_VALUE"""),"TTK HEALTHCARE (EPD)")</f>
        <v>TTK HEALTHCARE (EPD)</v>
      </c>
    </row>
    <row r="3635">
      <c r="H3635" s="19" t="str">
        <f>IFERROR(__xludf.DUMMYFUNCTION("""COMPUTED_VALUE"""),"TTK HEALTHCARE (NOVA)")</f>
        <v>TTK HEALTHCARE (NOVA)</v>
      </c>
    </row>
    <row r="3636">
      <c r="H3636" s="19" t="str">
        <f>IFERROR(__xludf.DUMMYFUNCTION("""COMPUTED_VALUE"""),"TTK HEALTHCARE (VENTURA FERTILITY)")</f>
        <v>TTK HEALTHCARE (VENTURA FERTILITY)</v>
      </c>
    </row>
    <row r="3637">
      <c r="H3637" s="19" t="str">
        <f>IFERROR(__xludf.DUMMYFUNCTION("""COMPUTED_VALUE"""),"TTK HEALTHCARE (VENTURA GYNIC)")</f>
        <v>TTK HEALTHCARE (VENTURA GYNIC)</v>
      </c>
    </row>
    <row r="3638">
      <c r="H3638" s="19" t="str">
        <f>IFERROR(__xludf.DUMMYFUNCTION("""COMPUTED_VALUE"""),"TTK HEALTHCARE (VENTURA)")</f>
        <v>TTK HEALTHCARE (VENTURA)</v>
      </c>
    </row>
    <row r="3639">
      <c r="H3639" s="19" t="str">
        <f>IFERROR(__xludf.DUMMYFUNCTION("""COMPUTED_VALUE"""),"TTK Healthcare Ltd")</f>
        <v>TTK Healthcare Ltd</v>
      </c>
    </row>
    <row r="3640">
      <c r="H3640" s="19" t="str">
        <f>IFERROR(__xludf.DUMMYFUNCTION("""COMPUTED_VALUE"""),"TUHI LIFE SCIENCES P LTD")</f>
        <v>TUHI LIFE SCIENCES P LTD</v>
      </c>
    </row>
    <row r="3641">
      <c r="H3641" s="19" t="str">
        <f>IFERROR(__xludf.DUMMYFUNCTION("""COMPUTED_VALUE"""),"TULAS PHARMACEUTICALS PVT LTD")</f>
        <v>TULAS PHARMACEUTICALS PVT LTD</v>
      </c>
    </row>
    <row r="3642">
      <c r="H3642" s="19" t="str">
        <f>IFERROR(__xludf.DUMMYFUNCTION("""COMPUTED_VALUE"""),"TULIP LAB PVT LTD")</f>
        <v>TULIP LAB PVT LTD</v>
      </c>
    </row>
    <row r="3643">
      <c r="H3643" s="19" t="str">
        <f>IFERROR(__xludf.DUMMYFUNCTION("""COMPUTED_VALUE"""),"TULISON PHARMA")</f>
        <v>TULISON PHARMA</v>
      </c>
    </row>
    <row r="3644">
      <c r="H3644" s="19" t="str">
        <f>IFERROR(__xludf.DUMMYFUNCTION("""COMPUTED_VALUE"""),"TUTON PHARMACEUTICALS")</f>
        <v>TUTON PHARMACEUTICALS</v>
      </c>
    </row>
    <row r="3645">
      <c r="H3645" s="19" t="str">
        <f>IFERROR(__xludf.DUMMYFUNCTION("""COMPUTED_VALUE"""),"TWEET INDIA")</f>
        <v>TWEET INDIA</v>
      </c>
    </row>
    <row r="3646">
      <c r="H3646" s="19" t="str">
        <f>IFERROR(__xludf.DUMMYFUNCTION("""COMPUTED_VALUE"""),"UA BIOTECH PVT LTD")</f>
        <v>UA BIOTECH PVT LTD</v>
      </c>
    </row>
    <row r="3647">
      <c r="H3647" s="19" t="str">
        <f>IFERROR(__xludf.DUMMYFUNCTION("""COMPUTED_VALUE"""),"UCB India Pvt Ltd")</f>
        <v>UCB India Pvt Ltd</v>
      </c>
    </row>
    <row r="3648">
      <c r="H3648" s="19" t="str">
        <f>IFERROR(__xludf.DUMMYFUNCTION("""COMPUTED_VALUE"""),"ULTRATECH PHARMACEUTICALS")</f>
        <v>ULTRATECH PHARMACEUTICALS</v>
      </c>
    </row>
    <row r="3649">
      <c r="H3649" s="19" t="str">
        <f>IFERROR(__xludf.DUMMYFUNCTION("""COMPUTED_VALUE"""),"ULTRON PHARMA PVT TD")</f>
        <v>ULTRON PHARMA PVT TD</v>
      </c>
    </row>
    <row r="3650">
      <c r="H3650" s="19" t="str">
        <f>IFERROR(__xludf.DUMMYFUNCTION("""COMPUTED_VALUE"""),"UMA")</f>
        <v>UMA</v>
      </c>
    </row>
    <row r="3651">
      <c r="H3651" s="19" t="str">
        <f>IFERROR(__xludf.DUMMYFUNCTION("""COMPUTED_VALUE"""),"UMARK PHARMACEUTICALS")</f>
        <v>UMARK PHARMACEUTICALS</v>
      </c>
    </row>
    <row r="3652">
      <c r="H3652" s="19" t="str">
        <f>IFERROR(__xludf.DUMMYFUNCTION("""COMPUTED_VALUE"""),"UNANI AYUR SEWA ASHRAM")</f>
        <v>UNANI AYUR SEWA ASHRAM</v>
      </c>
    </row>
    <row r="3653">
      <c r="H3653" s="19" t="str">
        <f>IFERROR(__xludf.DUMMYFUNCTION("""COMPUTED_VALUE"""),"UNI PLUS HEALTHCARE INDIA PVT LTD")</f>
        <v>UNI PLUS HEALTHCARE INDIA PVT LTD</v>
      </c>
    </row>
    <row r="3654">
      <c r="H3654" s="19" t="str">
        <f>IFERROR(__xludf.DUMMYFUNCTION("""COMPUTED_VALUE"""),"UNIALL PHARMA")</f>
        <v>UNIALL PHARMA</v>
      </c>
    </row>
    <row r="3655">
      <c r="H3655" s="19" t="str">
        <f>IFERROR(__xludf.DUMMYFUNCTION("""COMPUTED_VALUE"""),"UNIASTHA LIFE SCIENCES,SOLAN")</f>
        <v>UNIASTHA LIFE SCIENCES,SOLAN</v>
      </c>
    </row>
    <row r="3656">
      <c r="H3656" s="19" t="str">
        <f>IFERROR(__xludf.DUMMYFUNCTION("""COMPUTED_VALUE"""),"UNICHARM INDIA PVT LTD")</f>
        <v>UNICHARM INDIA PVT LTD</v>
      </c>
    </row>
    <row r="3657">
      <c r="H3657" s="19" t="str">
        <f>IFERROR(__xludf.DUMMYFUNCTION("""COMPUTED_VALUE"""),"UNICHEM (GENERIC)")</f>
        <v>UNICHEM (GENERIC)</v>
      </c>
    </row>
    <row r="3658">
      <c r="H3658" s="19" t="str">
        <f>IFERROR(__xludf.DUMMYFUNCTION("""COMPUTED_VALUE"""),"Unichem Laboratories (LIFECARE)")</f>
        <v>Unichem Laboratories (LIFECARE)</v>
      </c>
    </row>
    <row r="3659">
      <c r="H3659" s="19" t="str">
        <f>IFERROR(__xludf.DUMMYFUNCTION("""COMPUTED_VALUE"""),"UNICHEM LABORATORIES LTD")</f>
        <v>UNICHEM LABORATORIES LTD</v>
      </c>
    </row>
    <row r="3660">
      <c r="H3660" s="19" t="str">
        <f>IFERROR(__xludf.DUMMYFUNCTION("""COMPUTED_VALUE"""),"Unicure India Pvt Ltd")</f>
        <v>Unicure India Pvt Ltd</v>
      </c>
    </row>
    <row r="3661">
      <c r="H3661" s="19" t="str">
        <f>IFERROR(__xludf.DUMMYFUNCTION("""COMPUTED_VALUE"""),"Unicure Remedies Pvt Ltd")</f>
        <v>Unicure Remedies Pvt Ltd</v>
      </c>
    </row>
    <row r="3662">
      <c r="H3662" s="19" t="str">
        <f>IFERROR(__xludf.DUMMYFUNCTION("""COMPUTED_VALUE"""),"UNIFAITH  BIOTECH P LTD")</f>
        <v>UNIFAITH  BIOTECH P LTD</v>
      </c>
    </row>
    <row r="3663">
      <c r="H3663" s="19" t="str">
        <f>IFERROR(__xludf.DUMMYFUNCTION("""COMPUTED_VALUE"""),"UNIFAITH BIOTECH P LTD")</f>
        <v>UNIFAITH BIOTECH P LTD</v>
      </c>
    </row>
    <row r="3664">
      <c r="H3664" s="19" t="str">
        <f>IFERROR(__xludf.DUMMYFUNCTION("""COMPUTED_VALUE"""),"UNIFARMA HERBALS")</f>
        <v>UNIFARMA HERBALS</v>
      </c>
    </row>
    <row r="3665">
      <c r="H3665" s="19" t="str">
        <f>IFERROR(__xludf.DUMMYFUNCTION("""COMPUTED_VALUE"""),"UNIJULES LIFESCIENCES (UNIVERSAL MEDIKIT)")</f>
        <v>UNIJULES LIFESCIENCES (UNIVERSAL MEDIKIT)</v>
      </c>
    </row>
    <row r="3666">
      <c r="H3666" s="19" t="str">
        <f>IFERROR(__xludf.DUMMYFUNCTION("""COMPUTED_VALUE"""),"UNIKIND PHARMA")</f>
        <v>UNIKIND PHARMA</v>
      </c>
    </row>
    <row r="3667">
      <c r="H3667" s="19" t="str">
        <f>IFERROR(__xludf.DUMMYFUNCTION("""COMPUTED_VALUE"""),"Unimarck Healthcare Ltd")</f>
        <v>Unimarck Healthcare Ltd</v>
      </c>
    </row>
    <row r="3668">
      <c r="H3668" s="19" t="str">
        <f>IFERROR(__xludf.DUMMYFUNCTION("""COMPUTED_VALUE"""),"UNIMARCK PHARMA INDIA LTD")</f>
        <v>UNIMARCK PHARMA INDIA LTD</v>
      </c>
    </row>
    <row r="3669">
      <c r="H3669" s="19" t="str">
        <f>IFERROR(__xludf.DUMMYFUNCTION("""COMPUTED_VALUE"""),"Unimark Remedies Ltd")</f>
        <v>Unimark Remedies Ltd</v>
      </c>
    </row>
    <row r="3670">
      <c r="H3670" s="19" t="str">
        <f>IFERROR(__xludf.DUMMYFUNCTION("""COMPUTED_VALUE"""),"UNINOR BIOTECH")</f>
        <v>UNINOR BIOTECH</v>
      </c>
    </row>
    <row r="3671">
      <c r="H3671" s="19" t="str">
        <f>IFERROR(__xludf.DUMMYFUNCTION("""COMPUTED_VALUE"""),"UNIPEX")</f>
        <v>UNIPEX</v>
      </c>
    </row>
    <row r="3672">
      <c r="H3672" s="19" t="str">
        <f>IFERROR(__xludf.DUMMYFUNCTION("""COMPUTED_VALUE"""),"UNIQUE DRUGS LAB NEEMANVAS")</f>
        <v>UNIQUE DRUGS LAB NEEMANVAS</v>
      </c>
    </row>
    <row r="3673">
      <c r="H3673" s="19" t="str">
        <f>IFERROR(__xludf.DUMMYFUNCTION("""COMPUTED_VALUE"""),"UNIROSE PHARMA PVT LTD")</f>
        <v>UNIROSE PHARMA PVT LTD</v>
      </c>
    </row>
    <row r="3674">
      <c r="H3674" s="19" t="str">
        <f>IFERROR(__xludf.DUMMYFUNCTION("""COMPUTED_VALUE"""),"UNISAFE BIOSCIENCE")</f>
        <v>UNISAFE BIOSCIENCE</v>
      </c>
    </row>
    <row r="3675">
      <c r="H3675" s="19" t="str">
        <f>IFERROR(__xludf.DUMMYFUNCTION("""COMPUTED_VALUE"""),"UNISANKYO")</f>
        <v>UNISANKYO</v>
      </c>
    </row>
    <row r="3676">
      <c r="H3676" s="19" t="str">
        <f>IFERROR(__xludf.DUMMYFUNCTION("""COMPUTED_VALUE"""),"Unison Pharmaceutical (UNICARE)")</f>
        <v>Unison Pharmaceutical (UNICARE)</v>
      </c>
    </row>
    <row r="3677">
      <c r="H3677" s="19" t="str">
        <f>IFERROR(__xludf.DUMMYFUNCTION("""COMPUTED_VALUE"""),"UNISON PHARMACEUTICALS PVT LTD")</f>
        <v>UNISON PHARMACEUTICALS PVT LTD</v>
      </c>
    </row>
    <row r="3678">
      <c r="H3678" s="19" t="str">
        <f>IFERROR(__xludf.DUMMYFUNCTION("""COMPUTED_VALUE"""),"UNISURE BIOTECH")</f>
        <v>UNISURE BIOTECH</v>
      </c>
    </row>
    <row r="3679">
      <c r="H3679" s="19" t="str">
        <f>IFERROR(__xludf.DUMMYFUNCTION("""COMPUTED_VALUE"""),"UNITECH HEALTHCARE")</f>
        <v>UNITECH HEALTHCARE</v>
      </c>
    </row>
    <row r="3680">
      <c r="H3680" s="19" t="str">
        <f>IFERROR(__xludf.DUMMYFUNCTION("""COMPUTED_VALUE"""),"UNITECH HEALTHCARE P LTD")</f>
        <v>UNITECH HEALTHCARE P LTD</v>
      </c>
    </row>
    <row r="3681">
      <c r="H3681" s="19" t="str">
        <f>IFERROR(__xludf.DUMMYFUNCTION("""COMPUTED_VALUE"""),"UNITED BIOTECH")</f>
        <v>UNITED BIOTECH</v>
      </c>
    </row>
    <row r="3682">
      <c r="H3682" s="19" t="str">
        <f>IFERROR(__xludf.DUMMYFUNCTION("""COMPUTED_VALUE"""),"UNITED BIOTECH (CRITICAL CARE)")</f>
        <v>UNITED BIOTECH (CRITICAL CARE)</v>
      </c>
    </row>
    <row r="3683">
      <c r="H3683" s="19" t="str">
        <f>IFERROR(__xludf.DUMMYFUNCTION("""COMPUTED_VALUE"""),"UNITED BIOTECH (HYGEA DIVISION)")</f>
        <v>UNITED BIOTECH (HYGEA DIVISION)</v>
      </c>
    </row>
    <row r="3684">
      <c r="H3684" s="19" t="str">
        <f>IFERROR(__xludf.DUMMYFUNCTION("""COMPUTED_VALUE"""),"UNITED BIOTECH (SPECIALTY DIVISION)")</f>
        <v>UNITED BIOTECH (SPECIALTY DIVISION)</v>
      </c>
    </row>
    <row r="3685">
      <c r="H3685" s="19" t="str">
        <f>IFERROR(__xludf.DUMMYFUNCTION("""COMPUTED_VALUE"""),"UNIVENTIS MEDICARE LTD")</f>
        <v>UNIVENTIS MEDICARE LTD</v>
      </c>
    </row>
    <row r="3686">
      <c r="H3686" s="19" t="str">
        <f>IFERROR(__xludf.DUMMYFUNCTION("""COMPUTED_VALUE"""),"UNIVERSAL BIOSCIENCES (GENERIC)")</f>
        <v>UNIVERSAL BIOSCIENCES (GENERIC)</v>
      </c>
    </row>
    <row r="3687">
      <c r="H3687" s="19" t="str">
        <f>IFERROR(__xludf.DUMMYFUNCTION("""COMPUTED_VALUE"""),"Universal Drug House Pvt Ltd")</f>
        <v>Universal Drug House Pvt Ltd</v>
      </c>
    </row>
    <row r="3688">
      <c r="H3688" s="19" t="str">
        <f>IFERROR(__xludf.DUMMYFUNCTION("""COMPUTED_VALUE"""),"UNIVERSAL HELTHCARE BADDI")</f>
        <v>UNIVERSAL HELTHCARE BADDI</v>
      </c>
    </row>
    <row r="3689">
      <c r="H3689" s="19" t="str">
        <f>IFERROR(__xludf.DUMMYFUNCTION("""COMPUTED_VALUE"""),"UNIVERSAL LIFE SCIENCES (GENERIC)")</f>
        <v>UNIVERSAL LIFE SCIENCES (GENERIC)</v>
      </c>
    </row>
    <row r="3690">
      <c r="H3690" s="19" t="str">
        <f>IFERROR(__xludf.DUMMYFUNCTION("""COMPUTED_VALUE"""),"UNIVERSAL LTD")</f>
        <v>UNIVERSAL LTD</v>
      </c>
    </row>
    <row r="3691">
      <c r="H3691" s="19" t="str">
        <f>IFERROR(__xludf.DUMMYFUNCTION("""COMPUTED_VALUE"""),"UNIVERSAL MEDICARE PVT LTD")</f>
        <v>UNIVERSAL MEDICARE PVT LTD</v>
      </c>
    </row>
    <row r="3692">
      <c r="H3692" s="19" t="str">
        <f>IFERROR(__xludf.DUMMYFUNCTION("""COMPUTED_VALUE"""),"Universal Medikit")</f>
        <v>Universal Medikit</v>
      </c>
    </row>
    <row r="3693">
      <c r="H3693" s="19" t="str">
        <f>IFERROR(__xludf.DUMMYFUNCTION("""COMPUTED_VALUE"""),"Universal Twin Labs (GENERIC)")</f>
        <v>Universal Twin Labs (GENERIC)</v>
      </c>
    </row>
    <row r="3694">
      <c r="H3694" s="19" t="str">
        <f>IFERROR(__xludf.DUMMYFUNCTION("""COMPUTED_VALUE"""),"UNIVICTOR HEALTHCARE")</f>
        <v>UNIVICTOR HEALTHCARE</v>
      </c>
    </row>
    <row r="3695">
      <c r="H3695" s="19" t="str">
        <f>IFERROR(__xludf.DUMMYFUNCTION("""COMPUTED_VALUE"""),"UNIX")</f>
        <v>UNIX</v>
      </c>
    </row>
    <row r="3696">
      <c r="H3696" s="19" t="str">
        <f>IFERROR(__xludf.DUMMYFUNCTION("""COMPUTED_VALUE"""),"UNIZA HEALTHCARE")</f>
        <v>UNIZA HEALTHCARE</v>
      </c>
    </row>
    <row r="3697">
      <c r="H3697" s="19" t="str">
        <f>IFERROR(__xludf.DUMMYFUNCTION("""COMPUTED_VALUE"""),"UNJHA PHARMACY")</f>
        <v>UNJHA PHARMACY</v>
      </c>
    </row>
    <row r="3698">
      <c r="H3698" s="19" t="str">
        <f>IFERROR(__xludf.DUMMYFUNCTION("""COMPUTED_VALUE"""),"UP PHARMACEUTICALS")</f>
        <v>UP PHARMACEUTICALS</v>
      </c>
    </row>
    <row r="3699">
      <c r="H3699" s="19" t="str">
        <f>IFERROR(__xludf.DUMMYFUNCTION("""COMPUTED_VALUE"""),"UPJONE LAB PVT LTD")</f>
        <v>UPJONE LAB PVT LTD</v>
      </c>
    </row>
    <row r="3700">
      <c r="H3700" s="19" t="str">
        <f>IFERROR(__xludf.DUMMYFUNCTION("""COMPUTED_VALUE"""),"URIHK PHARMACEUTICAL PVT LTD")</f>
        <v>URIHK PHARMACEUTICAL PVT LTD</v>
      </c>
    </row>
    <row r="3701">
      <c r="H3701" s="19" t="str">
        <f>IFERROR(__xludf.DUMMYFUNCTION("""COMPUTED_VALUE"""),"URMED PHARMACEUTICAL")</f>
        <v>URMED PHARMACEUTICAL</v>
      </c>
    </row>
    <row r="3702">
      <c r="H3702" s="19" t="str">
        <f>IFERROR(__xludf.DUMMYFUNCTION("""COMPUTED_VALUE"""),"USR REMEDIES")</f>
        <v>USR REMEDIES</v>
      </c>
    </row>
    <row r="3703">
      <c r="H3703" s="19" t="str">
        <f>IFERROR(__xludf.DUMMYFUNCTION("""COMPUTED_VALUE"""),"USV (CENTRA)")</f>
        <v>USV (CENTRA)</v>
      </c>
    </row>
    <row r="3704">
      <c r="H3704" s="19" t="str">
        <f>IFERROR(__xludf.DUMMYFUNCTION("""COMPUTED_VALUE"""),"USV (CHANNEL)")</f>
        <v>USV (CHANNEL)</v>
      </c>
    </row>
    <row r="3705">
      <c r="H3705" s="19" t="str">
        <f>IFERROR(__xludf.DUMMYFUNCTION("""COMPUTED_VALUE"""),"USV (CLASSIC)")</f>
        <v>USV (CLASSIC)</v>
      </c>
    </row>
    <row r="3706">
      <c r="H3706" s="19" t="str">
        <f>IFERROR(__xludf.DUMMYFUNCTION("""COMPUTED_VALUE"""),"USV (CONDOR)")</f>
        <v>USV (CONDOR)</v>
      </c>
    </row>
    <row r="3707">
      <c r="H3707" s="19" t="str">
        <f>IFERROR(__xludf.DUMMYFUNCTION("""COMPUTED_VALUE"""),"USV (CONQUER)")</f>
        <v>USV (CONQUER)</v>
      </c>
    </row>
    <row r="3708">
      <c r="H3708" s="19" t="str">
        <f>IFERROR(__xludf.DUMMYFUNCTION("""COMPUTED_VALUE"""),"USV (CORONA)")</f>
        <v>USV (CORONA)</v>
      </c>
    </row>
    <row r="3709">
      <c r="H3709" s="19" t="str">
        <f>IFERROR(__xludf.DUMMYFUNCTION("""COMPUTED_VALUE"""),"USV (CORVETT)")</f>
        <v>USV (CORVETT)</v>
      </c>
    </row>
    <row r="3710">
      <c r="H3710" s="19" t="str">
        <f>IFERROR(__xludf.DUMMYFUNCTION("""COMPUTED_VALUE"""),"USV (COSMETICS)")</f>
        <v>USV (COSMETICS)</v>
      </c>
    </row>
    <row r="3711">
      <c r="H3711" s="19" t="str">
        <f>IFERROR(__xludf.DUMMYFUNCTION("""COMPUTED_VALUE"""),"USV (CRESCENDO)")</f>
        <v>USV (CRESCENDO)</v>
      </c>
    </row>
    <row r="3712">
      <c r="H3712" s="19" t="str">
        <f>IFERROR(__xludf.DUMMYFUNCTION("""COMPUTED_VALUE"""),"USV (CREST)")</f>
        <v>USV (CREST)</v>
      </c>
    </row>
    <row r="3713">
      <c r="H3713" s="19" t="str">
        <f>IFERROR(__xludf.DUMMYFUNCTION("""COMPUTED_VALUE"""),"USV (DERMA)")</f>
        <v>USV (DERMA)</v>
      </c>
    </row>
    <row r="3714">
      <c r="H3714" s="19" t="str">
        <f>IFERROR(__xludf.DUMMYFUNCTION("""COMPUTED_VALUE"""),"USV (GENERAL)")</f>
        <v>USV (GENERAL)</v>
      </c>
    </row>
    <row r="3715">
      <c r="H3715" s="19" t="str">
        <f>IFERROR(__xludf.DUMMYFUNCTION("""COMPUTED_VALUE"""),"USV (LIFEON)")</f>
        <v>USV (LIFEON)</v>
      </c>
    </row>
    <row r="3716">
      <c r="H3716" s="19" t="str">
        <f>IFERROR(__xludf.DUMMYFUNCTION("""COMPUTED_VALUE"""),"USV (MULTI SPECIALITY)")</f>
        <v>USV (MULTI SPECIALITY)</v>
      </c>
    </row>
    <row r="3717">
      <c r="H3717" s="19" t="str">
        <f>IFERROR(__xludf.DUMMYFUNCTION("""COMPUTED_VALUE"""),"USV (TAZLOC TEAM)")</f>
        <v>USV (TAZLOC TEAM)</v>
      </c>
    </row>
    <row r="3718">
      <c r="H3718" s="19" t="str">
        <f>IFERROR(__xludf.DUMMYFUNCTION("""COMPUTED_VALUE"""),"USV Ltd")</f>
        <v>USV Ltd</v>
      </c>
    </row>
    <row r="3719">
      <c r="H3719" s="19" t="str">
        <f>IFERROR(__xludf.DUMMYFUNCTION("""COMPUTED_VALUE"""),"UTH Healthcare")</f>
        <v>UTH Healthcare</v>
      </c>
    </row>
    <row r="3720">
      <c r="H3720" s="19" t="str">
        <f>IFERROR(__xludf.DUMMYFUNCTION("""COMPUTED_VALUE"""),"UTLTRAMED")</f>
        <v>UTLTRAMED</v>
      </c>
    </row>
    <row r="3721">
      <c r="H3721" s="19" t="str">
        <f>IFERROR(__xludf.DUMMYFUNCTION("""COMPUTED_VALUE"""),"VAARDAAN")</f>
        <v>VAARDAAN</v>
      </c>
    </row>
    <row r="3722">
      <c r="H3722" s="19" t="str">
        <f>IFERROR(__xludf.DUMMYFUNCTION("""COMPUTED_VALUE"""),"VADNARE CHEMICAL WORKS")</f>
        <v>VADNARE CHEMICAL WORKS</v>
      </c>
    </row>
    <row r="3723">
      <c r="H3723" s="19" t="str">
        <f>IFERROR(__xludf.DUMMYFUNCTION("""COMPUTED_VALUE"""),"VADNARE CHEMICALS")</f>
        <v>VADNARE CHEMICALS</v>
      </c>
    </row>
    <row r="3724">
      <c r="H3724" s="19" t="str">
        <f>IFERROR(__xludf.DUMMYFUNCTION("""COMPUTED_VALUE"""),"VAID PATANKAR PHARMACY PVT LTD")</f>
        <v>VAID PATANKAR PHARMACY PVT LTD</v>
      </c>
    </row>
    <row r="3725">
      <c r="H3725" s="19" t="str">
        <f>IFERROR(__xludf.DUMMYFUNCTION("""COMPUTED_VALUE"""),"VAIDRISHI LABORATORIES")</f>
        <v>VAIDRISHI LABORATORIES</v>
      </c>
    </row>
    <row r="3726">
      <c r="H3726" s="19" t="str">
        <f>IFERROR(__xludf.DUMMYFUNCTION("""COMPUTED_VALUE"""),"VAIDYA PATANKAR PHARMACY")</f>
        <v>VAIDYA PATANKAR PHARMACY</v>
      </c>
    </row>
    <row r="3727">
      <c r="H3727" s="19" t="str">
        <f>IFERROR(__xludf.DUMMYFUNCTION("""COMPUTED_VALUE"""),"VALCRET")</f>
        <v>VALCRET</v>
      </c>
    </row>
    <row r="3728">
      <c r="H3728" s="19" t="str">
        <f>IFERROR(__xludf.DUMMYFUNCTION("""COMPUTED_VALUE"""),"VALENS PHARMACEUTICALS")</f>
        <v>VALENS PHARMACEUTICALS</v>
      </c>
    </row>
    <row r="3729">
      <c r="H3729" s="19" t="str">
        <f>IFERROR(__xludf.DUMMYFUNCTION("""COMPUTED_VALUE"""),"VALLABH VIJAY COMPANY")</f>
        <v>VALLABH VIJAY COMPANY</v>
      </c>
    </row>
    <row r="3730">
      <c r="H3730" s="19" t="str">
        <f>IFERROR(__xludf.DUMMYFUNCTION("""COMPUTED_VALUE"""),"VALLEY PHARMA")</f>
        <v>VALLEY PHARMA</v>
      </c>
    </row>
    <row r="3731">
      <c r="H3731" s="19" t="str">
        <f>IFERROR(__xludf.DUMMYFUNCTION("""COMPUTED_VALUE"""),"VAMSI")</f>
        <v>VAMSI</v>
      </c>
    </row>
    <row r="3732">
      <c r="H3732" s="19" t="str">
        <f>IFERROR(__xludf.DUMMYFUNCTION("""COMPUTED_VALUE"""),"Vanguard Therapeutics Pvt Ltd")</f>
        <v>Vanguard Therapeutics Pvt Ltd</v>
      </c>
    </row>
    <row r="3733">
      <c r="H3733" s="19" t="str">
        <f>IFERROR(__xludf.DUMMYFUNCTION("""COMPUTED_VALUE"""),"VANMART PHARMACEUTICALS &amp; BIOTECH")</f>
        <v>VANMART PHARMACEUTICALS &amp; BIOTECH</v>
      </c>
    </row>
    <row r="3734">
      <c r="H3734" s="19" t="str">
        <f>IFERROR(__xludf.DUMMYFUNCTION("""COMPUTED_VALUE"""),"VARDHAN HEALTH CARE")</f>
        <v>VARDHAN HEALTH CARE</v>
      </c>
    </row>
    <row r="3735">
      <c r="H3735" s="19" t="str">
        <f>IFERROR(__xludf.DUMMYFUNCTION("""COMPUTED_VALUE"""),"VARENYAM HEALTHCARE")</f>
        <v>VARENYAM HEALTHCARE</v>
      </c>
    </row>
    <row r="3736">
      <c r="H3736" s="19" t="str">
        <f>IFERROR(__xludf.DUMMYFUNCTION("""COMPUTED_VALUE"""),"VARLIN BIOSCIENCE")</f>
        <v>VARLIN BIOSCIENCE</v>
      </c>
    </row>
    <row r="3737">
      <c r="H3737" s="19" t="str">
        <f>IFERROR(__xludf.DUMMYFUNCTION("""COMPUTED_VALUE"""),"VARMA PHARMACY")</f>
        <v>VARMA PHARMACY</v>
      </c>
    </row>
    <row r="3738">
      <c r="H3738" s="19" t="str">
        <f>IFERROR(__xludf.DUMMYFUNCTION("""COMPUTED_VALUE"""),"VASOLIFE HEALTHCARE")</f>
        <v>VASOLIFE HEALTHCARE</v>
      </c>
    </row>
    <row r="3739">
      <c r="H3739" s="19" t="str">
        <f>IFERROR(__xludf.DUMMYFUNCTION("""COMPUTED_VALUE"""),"VASOLIFE HEATHCARE")</f>
        <v>VASOLIFE HEATHCARE</v>
      </c>
    </row>
    <row r="3740">
      <c r="H3740" s="19" t="str">
        <f>IFERROR(__xludf.DUMMYFUNCTION("""COMPUTED_VALUE"""),"Vasu Pharmaceuticals Pvt Ltd")</f>
        <v>Vasu Pharmaceuticals Pvt Ltd</v>
      </c>
    </row>
    <row r="3741">
      <c r="H3741" s="19" t="str">
        <f>IFERROR(__xludf.DUMMYFUNCTION("""COMPUTED_VALUE"""),"VASU SPORTS INTERNATIONAL")</f>
        <v>VASU SPORTS INTERNATIONAL</v>
      </c>
    </row>
    <row r="3742">
      <c r="H3742" s="19" t="str">
        <f>IFERROR(__xludf.DUMMYFUNCTION("""COMPUTED_VALUE"""),"VATICAN LIFE SCIENCES PVT LTD")</f>
        <v>VATICAN LIFE SCIENCES PVT LTD</v>
      </c>
    </row>
    <row r="3743">
      <c r="H3743" s="19" t="str">
        <f>IFERROR(__xludf.DUMMYFUNCTION("""COMPUTED_VALUE"""),"VATSAL AYURVEDIC PRODUCTS PVT LTD")</f>
        <v>VATSAL AYURVEDIC PRODUCTS PVT LTD</v>
      </c>
    </row>
    <row r="3744">
      <c r="H3744" s="19" t="str">
        <f>IFERROR(__xludf.DUMMYFUNCTION("""COMPUTED_VALUE"""),"VAZES CO OFFICE PILLS")</f>
        <v>VAZES CO OFFICE PILLS</v>
      </c>
    </row>
    <row r="3745">
      <c r="H3745" s="19" t="str">
        <f>IFERROR(__xludf.DUMMYFUNCTION("""COMPUTED_VALUE"""),"VCAN BIOTEC")</f>
        <v>VCAN BIOTEC</v>
      </c>
    </row>
    <row r="3746">
      <c r="H3746" s="19" t="str">
        <f>IFERROR(__xludf.DUMMYFUNCTION("""COMPUTED_VALUE"""),"VEANA CR")</f>
        <v>VEANA CR</v>
      </c>
    </row>
    <row r="3747">
      <c r="H3747" s="19" t="str">
        <f>IFERROR(__xludf.DUMMYFUNCTION("""COMPUTED_VALUE"""),"VEE REMEDIES")</f>
        <v>VEE REMEDIES</v>
      </c>
    </row>
    <row r="3748">
      <c r="H3748" s="19" t="str">
        <f>IFERROR(__xludf.DUMMYFUNCTION("""COMPUTED_VALUE"""),"VEEMAL")</f>
        <v>VEEMAL</v>
      </c>
    </row>
    <row r="3749">
      <c r="H3749" s="19" t="str">
        <f>IFERROR(__xludf.DUMMYFUNCTION("""COMPUTED_VALUE"""),"VELBIOM PROBIOTICS PVT LTD")</f>
        <v>VELBIOM PROBIOTICS PVT LTD</v>
      </c>
    </row>
    <row r="3750">
      <c r="H3750" s="19" t="str">
        <f>IFERROR(__xludf.DUMMYFUNCTION("""COMPUTED_VALUE"""),"VELGRET HEALTHCARE")</f>
        <v>VELGRET HEALTHCARE</v>
      </c>
    </row>
    <row r="3751">
      <c r="H3751" s="19" t="str">
        <f>IFERROR(__xludf.DUMMYFUNCTION("""COMPUTED_VALUE"""),"VELITE")</f>
        <v>VELITE</v>
      </c>
    </row>
    <row r="3752">
      <c r="H3752" s="19" t="str">
        <f>IFERROR(__xludf.DUMMYFUNCTION("""COMPUTED_VALUE"""),"VELLINTON HEALTHCARE")</f>
        <v>VELLINTON HEALTHCARE</v>
      </c>
    </row>
    <row r="3753">
      <c r="H3753" s="19" t="str">
        <f>IFERROR(__xludf.DUMMYFUNCTION("""COMPUTED_VALUE"""),"VENISTRO BIOTECH")</f>
        <v>VENISTRO BIOTECH</v>
      </c>
    </row>
    <row r="3754">
      <c r="H3754" s="19" t="str">
        <f>IFERROR(__xludf.DUMMYFUNCTION("""COMPUTED_VALUE"""),"VENKY'S NUTRITION")</f>
        <v>VENKY'S NUTRITION</v>
      </c>
    </row>
    <row r="3755">
      <c r="H3755" s="19" t="str">
        <f>IFERROR(__xludf.DUMMYFUNCTION("""COMPUTED_VALUE"""),"VENSAT BIO")</f>
        <v>VENSAT BIO</v>
      </c>
    </row>
    <row r="3756">
      <c r="H3756" s="19" t="str">
        <f>IFERROR(__xludf.DUMMYFUNCTION("""COMPUTED_VALUE"""),"VENTICARE MEDICAL INC")</f>
        <v>VENTICARE MEDICAL INC</v>
      </c>
    </row>
    <row r="3757">
      <c r="H3757" s="19" t="str">
        <f>IFERROR(__xludf.DUMMYFUNCTION("""COMPUTED_VALUE"""),"VENTUS PHARMACEUTICALS PVT LTD")</f>
        <v>VENTUS PHARMACEUTICALS PVT LTD</v>
      </c>
    </row>
    <row r="3758">
      <c r="H3758" s="19" t="str">
        <f>IFERROR(__xludf.DUMMYFUNCTION("""COMPUTED_VALUE"""),"Venus Remedies Ltd")</f>
        <v>Venus Remedies Ltd</v>
      </c>
    </row>
    <row r="3759">
      <c r="H3759" s="19" t="str">
        <f>IFERROR(__xludf.DUMMYFUNCTION("""COMPUTED_VALUE"""),"Veritaz Healthcare Ltd")</f>
        <v>Veritaz Healthcare Ltd</v>
      </c>
    </row>
    <row r="3760">
      <c r="H3760" s="19" t="str">
        <f>IFERROR(__xludf.DUMMYFUNCTION("""COMPUTED_VALUE"""),"VERITAZHEALTHCARE (COSMOCARE)")</f>
        <v>VERITAZHEALTHCARE (COSMOCARE)</v>
      </c>
    </row>
    <row r="3761">
      <c r="H3761" s="19" t="str">
        <f>IFERROR(__xludf.DUMMYFUNCTION("""COMPUTED_VALUE"""),"VERIZON PHARMA")</f>
        <v>VERIZON PHARMA</v>
      </c>
    </row>
    <row r="3762">
      <c r="H3762" s="19" t="str">
        <f>IFERROR(__xludf.DUMMYFUNCTION("""COMPUTED_VALUE"""),"VERNA HEALTHCARE (GENERIC)")</f>
        <v>VERNA HEALTHCARE (GENERIC)</v>
      </c>
    </row>
    <row r="3763">
      <c r="H3763" s="19" t="str">
        <f>IFERROR(__xludf.DUMMYFUNCTION("""COMPUTED_VALUE"""),"VERRILL HEALTHCARE")</f>
        <v>VERRILL HEALTHCARE</v>
      </c>
    </row>
    <row r="3764">
      <c r="H3764" s="19" t="str">
        <f>IFERROR(__xludf.DUMMYFUNCTION("""COMPUTED_VALUE"""),"VERTEX PHARMACEUTICALS")</f>
        <v>VERTEX PHARMACEUTICALS</v>
      </c>
    </row>
    <row r="3765">
      <c r="H3765" s="19" t="str">
        <f>IFERROR(__xludf.DUMMYFUNCTION("""COMPUTED_VALUE"""),"VESTIGE MARKETING PVT LTD")</f>
        <v>VESTIGE MARKETING PVT LTD</v>
      </c>
    </row>
    <row r="3766">
      <c r="H3766" s="19" t="str">
        <f>IFERROR(__xludf.DUMMYFUNCTION("""COMPUTED_VALUE"""),"VHB LIFESCIENCES")</f>
        <v>VHB LIFESCIENCES</v>
      </c>
    </row>
    <row r="3767">
      <c r="H3767" s="19" t="str">
        <f>IFERROR(__xludf.DUMMYFUNCTION("""COMPUTED_VALUE"""),"VIATRIS (MYLAN)")</f>
        <v>VIATRIS (MYLAN)</v>
      </c>
    </row>
    <row r="3768">
      <c r="H3768" s="19" t="str">
        <f>IFERROR(__xludf.DUMMYFUNCTION("""COMPUTED_VALUE"""),"VIBCARE PHARMA PVT LTD")</f>
        <v>VIBCARE PHARMA PVT LTD</v>
      </c>
    </row>
    <row r="3769">
      <c r="H3769" s="19" t="str">
        <f>IFERROR(__xludf.DUMMYFUNCTION("""COMPUTED_VALUE"""),"VIBDRUGS BIOSCIENCES")</f>
        <v>VIBDRUGS BIOSCIENCES</v>
      </c>
    </row>
    <row r="3770">
      <c r="H3770" s="19" t="str">
        <f>IFERROR(__xludf.DUMMYFUNCTION("""COMPUTED_VALUE"""),"VIBGYOR DRUGS PVT LTD")</f>
        <v>VIBGYOR DRUGS PVT LTD</v>
      </c>
    </row>
    <row r="3771">
      <c r="H3771" s="19" t="str">
        <f>IFERROR(__xludf.DUMMYFUNCTION("""COMPUTED_VALUE"""),"VICCO LABS")</f>
        <v>VICCO LABS</v>
      </c>
    </row>
    <row r="3772">
      <c r="H3772" s="19" t="str">
        <f>IFERROR(__xludf.DUMMYFUNCTION("""COMPUTED_VALUE"""),"VICTOR LIFE SCIENCES")</f>
        <v>VICTOR LIFE SCIENCES</v>
      </c>
    </row>
    <row r="3773">
      <c r="H3773" s="19" t="str">
        <f>IFERROR(__xludf.DUMMYFUNCTION("""COMPUTED_VALUE"""),"VIDYA JAGANNATH G. DWIVEDI")</f>
        <v>VIDYA JAGANNATH G. DWIVEDI</v>
      </c>
    </row>
    <row r="3774">
      <c r="H3774" s="19" t="str">
        <f>IFERROR(__xludf.DUMMYFUNCTION("""COMPUTED_VALUE"""),"VIKAS PHARMA")</f>
        <v>VIKAS PHARMA</v>
      </c>
    </row>
    <row r="3775">
      <c r="H3775" s="19" t="str">
        <f>IFERROR(__xludf.DUMMYFUNCTION("""COMPUTED_VALUE"""),"VIKRAM LABORATORIES")</f>
        <v>VIKRAM LABORATORIES</v>
      </c>
    </row>
    <row r="3776">
      <c r="H3776" s="19" t="str">
        <f>IFERROR(__xludf.DUMMYFUNCTION("""COMPUTED_VALUE"""),"Vilberry Healthcare Pvt Ltd")</f>
        <v>Vilberry Healthcare Pvt Ltd</v>
      </c>
    </row>
    <row r="3777">
      <c r="H3777" s="19" t="str">
        <f>IFERROR(__xludf.DUMMYFUNCTION("""COMPUTED_VALUE"""),"VIMAL LABS")</f>
        <v>VIMAL LABS</v>
      </c>
    </row>
    <row r="3778">
      <c r="H3778" s="19" t="str">
        <f>IFERROR(__xludf.DUMMYFUNCTION("""COMPUTED_VALUE"""),"VIMS")</f>
        <v>VIMS</v>
      </c>
    </row>
    <row r="3779">
      <c r="H3779" s="19" t="str">
        <f>IFERROR(__xludf.DUMMYFUNCTION("""COMPUTED_VALUE"""),"VINASIA LIFESCIENCES PVT LTD")</f>
        <v>VINASIA LIFESCIENCES PVT LTD</v>
      </c>
    </row>
    <row r="3780">
      <c r="H3780" s="19" t="str">
        <f>IFERROR(__xludf.DUMMYFUNCTION("""COMPUTED_VALUE"""),"vinayak Care Solution Pvt Ltd")</f>
        <v>vinayak Care Solution Pvt Ltd</v>
      </c>
    </row>
    <row r="3781">
      <c r="H3781" s="19" t="str">
        <f>IFERROR(__xludf.DUMMYFUNCTION("""COMPUTED_VALUE"""),"VINAYAK CARE SOLUTIONS")</f>
        <v>VINAYAK CARE SOLUTIONS</v>
      </c>
    </row>
    <row r="3782">
      <c r="H3782" s="19" t="str">
        <f>IFERROR(__xludf.DUMMYFUNCTION("""COMPUTED_VALUE"""),"VINDAS CHEMICAL INDUSTRIES")</f>
        <v>VINDAS CHEMICAL INDUSTRIES</v>
      </c>
    </row>
    <row r="3783">
      <c r="H3783" s="19" t="str">
        <f>IFERROR(__xludf.DUMMYFUNCTION("""COMPUTED_VALUE"""),"VINDHYA HERBALS")</f>
        <v>VINDHYA HERBALS</v>
      </c>
    </row>
    <row r="3784">
      <c r="H3784" s="19" t="str">
        <f>IFERROR(__xludf.DUMMYFUNCTION("""COMPUTED_VALUE"""),"VINKEM LABS LTD")</f>
        <v>VINKEM LABS LTD</v>
      </c>
    </row>
    <row r="3785">
      <c r="H3785" s="19" t="str">
        <f>IFERROR(__xludf.DUMMYFUNCTION("""COMPUTED_VALUE"""),"VINS BIOPRODUCTS LLIMITED")</f>
        <v>VINS BIOPRODUCTS LLIMITED</v>
      </c>
    </row>
    <row r="3786">
      <c r="H3786" s="19" t="str">
        <f>IFERROR(__xludf.DUMMYFUNCTION("""COMPUTED_VALUE"""),"VINTEK PHARMACEUTICALS")</f>
        <v>VINTEK PHARMACEUTICALS</v>
      </c>
    </row>
    <row r="3787">
      <c r="H3787" s="19" t="str">
        <f>IFERROR(__xludf.DUMMYFUNCTION("""COMPUTED_VALUE"""),"VINTOCHEM")</f>
        <v>VINTOCHEM</v>
      </c>
    </row>
    <row r="3788">
      <c r="H3788" s="19" t="str">
        <f>IFERROR(__xludf.DUMMYFUNCTION("""COMPUTED_VALUE"""),"VIP PHARMACEUTICALS PVT LTD")</f>
        <v>VIP PHARMACEUTICALS PVT LTD</v>
      </c>
    </row>
    <row r="3789">
      <c r="H3789" s="19" t="str">
        <f>IFERROR(__xludf.DUMMYFUNCTION("""COMPUTED_VALUE"""),"VIRBAC ANIMAL HEALTHCARE")</f>
        <v>VIRBAC ANIMAL HEALTHCARE</v>
      </c>
    </row>
    <row r="3790">
      <c r="H3790" s="19" t="str">
        <f>IFERROR(__xludf.DUMMYFUNCTION("""COMPUTED_VALUE"""),"VIRCHOW")</f>
        <v>VIRCHOW</v>
      </c>
    </row>
    <row r="3791">
      <c r="H3791" s="19" t="str">
        <f>IFERROR(__xludf.DUMMYFUNCTION("""COMPUTED_VALUE"""),"VIRCHOW BIOTECH")</f>
        <v>VIRCHOW BIOTECH</v>
      </c>
    </row>
    <row r="3792">
      <c r="H3792" s="19" t="str">
        <f>IFERROR(__xludf.DUMMYFUNCTION("""COMPUTED_VALUE"""),"VIRIBUS HEALTHCARE")</f>
        <v>VIRIBUS HEALTHCARE</v>
      </c>
    </row>
    <row r="3793">
      <c r="H3793" s="19" t="str">
        <f>IFERROR(__xludf.DUMMYFUNCTION("""COMPUTED_VALUE"""),"VISCO LABS")</f>
        <v>VISCO LABS</v>
      </c>
    </row>
    <row r="3794">
      <c r="H3794" s="19" t="str">
        <f>IFERROR(__xludf.DUMMYFUNCTION("""COMPUTED_VALUE"""),"VISHAL PHARMA LAB INDORE")</f>
        <v>VISHAL PHARMA LAB INDORE</v>
      </c>
    </row>
    <row r="3795">
      <c r="H3795" s="19" t="str">
        <f>IFERROR(__xludf.DUMMYFUNCTION("""COMPUTED_VALUE"""),"VISHAL PHARMACEUTICAL LAB")</f>
        <v>VISHAL PHARMACEUTICAL LAB</v>
      </c>
    </row>
    <row r="3796">
      <c r="H3796" s="19" t="str">
        <f>IFERROR(__xludf.DUMMYFUNCTION("""COMPUTED_VALUE"""),"VISHNU HEALTHCARE")</f>
        <v>VISHNU HEALTHCARE</v>
      </c>
    </row>
    <row r="3797">
      <c r="H3797" s="19" t="str">
        <f>IFERROR(__xludf.DUMMYFUNCTION("""COMPUTED_VALUE"""),"VISHVA MANGAL UDYOG")</f>
        <v>VISHVA MANGAL UDYOG</v>
      </c>
    </row>
    <row r="3798">
      <c r="H3798" s="19" t="str">
        <f>IFERROR(__xludf.DUMMYFUNCTION("""COMPUTED_VALUE"""),"VISHWAMITRA AYURVEDIC")</f>
        <v>VISHWAMITRA AYURVEDIC</v>
      </c>
    </row>
    <row r="3799">
      <c r="H3799" s="19" t="str">
        <f>IFERROR(__xludf.DUMMYFUNCTION("""COMPUTED_VALUE"""),"VISION PHARMA")</f>
        <v>VISION PHARMA</v>
      </c>
    </row>
    <row r="3800">
      <c r="H3800" s="19" t="str">
        <f>IFERROR(__xludf.DUMMYFUNCTION("""COMPUTED_VALUE"""),"VISMO")</f>
        <v>VISMO</v>
      </c>
    </row>
    <row r="3801">
      <c r="H3801" s="19" t="str">
        <f>IFERROR(__xludf.DUMMYFUNCTION("""COMPUTED_VALUE"""),"VISSCO REHABILITATION AIDS PVT LTD")</f>
        <v>VISSCO REHABILITATION AIDS PVT LTD</v>
      </c>
    </row>
    <row r="3802">
      <c r="H3802" s="19" t="str">
        <f>IFERROR(__xludf.DUMMYFUNCTION("""COMPUTED_VALUE"""),"VITACE REMEDIES")</f>
        <v>VITACE REMEDIES</v>
      </c>
    </row>
    <row r="3803">
      <c r="H3803" s="19" t="str">
        <f>IFERROR(__xludf.DUMMYFUNCTION("""COMPUTED_VALUE"""),"VITAL CARE")</f>
        <v>VITAL CARE</v>
      </c>
    </row>
    <row r="3804">
      <c r="H3804" s="19" t="str">
        <f>IFERROR(__xludf.DUMMYFUNCTION("""COMPUTED_VALUE"""),"VITALITY HEALTHCARE")</f>
        <v>VITALITY HEALTHCARE</v>
      </c>
    </row>
    <row r="3805">
      <c r="H3805" s="19" t="str">
        <f>IFERROR(__xludf.DUMMYFUNCTION("""COMPUTED_VALUE"""),"VITANE PHARMACEUTICALS")</f>
        <v>VITANE PHARMACEUTICALS</v>
      </c>
    </row>
    <row r="3806">
      <c r="H3806" s="19" t="str">
        <f>IFERROR(__xludf.DUMMYFUNCTION("""COMPUTED_VALUE"""),"VITHOBA INDUSTRIES")</f>
        <v>VITHOBA INDUSTRIES</v>
      </c>
    </row>
    <row r="3807">
      <c r="H3807" s="19" t="str">
        <f>IFERROR(__xludf.DUMMYFUNCTION("""COMPUTED_VALUE"""),"VIVENCY HEALTH CARE PVT LTD")</f>
        <v>VIVENCY HEALTH CARE PVT LTD</v>
      </c>
    </row>
    <row r="3808">
      <c r="H3808" s="19" t="str">
        <f>IFERROR(__xludf.DUMMYFUNCTION("""COMPUTED_VALUE"""),"VIVEZ LIFESCIENCE")</f>
        <v>VIVEZ LIFESCIENCE</v>
      </c>
    </row>
    <row r="3809">
      <c r="H3809" s="19" t="str">
        <f>IFERROR(__xludf.DUMMYFUNCTION("""COMPUTED_VALUE"""),"VIVIA DERMACARE")</f>
        <v>VIVIA DERMACARE</v>
      </c>
    </row>
    <row r="3810">
      <c r="H3810" s="19" t="str">
        <f>IFERROR(__xludf.DUMMYFUNCTION("""COMPUTED_VALUE"""),"VIVO LIFESCIENCES")</f>
        <v>VIVO LIFESCIENCES</v>
      </c>
    </row>
    <row r="3811">
      <c r="H3811" s="19" t="str">
        <f>IFERROR(__xludf.DUMMYFUNCTION("""COMPUTED_VALUE"""),"VK SARANU")</f>
        <v>VK SARANU</v>
      </c>
    </row>
    <row r="3812">
      <c r="H3812" s="19" t="str">
        <f>IFERROR(__xludf.DUMMYFUNCTION("""COMPUTED_VALUE"""),"VMC PHARMACEUTICAL")</f>
        <v>VMC PHARMACEUTICAL</v>
      </c>
    </row>
    <row r="3813">
      <c r="H3813" s="19" t="str">
        <f>IFERROR(__xludf.DUMMYFUNCTION("""COMPUTED_VALUE"""),"VOITHEA HEALTHCARE PVT LTD")</f>
        <v>VOITHEA HEALTHCARE PVT LTD</v>
      </c>
    </row>
    <row r="3814">
      <c r="H3814" s="19" t="str">
        <f>IFERROR(__xludf.DUMMYFUNCTION("""COMPUTED_VALUE"""),"VOPEC PHARMACEUTICALS PVT LTD")</f>
        <v>VOPEC PHARMACEUTICALS PVT LTD</v>
      </c>
    </row>
    <row r="3815">
      <c r="H3815" s="19" t="str">
        <f>IFERROR(__xludf.DUMMYFUNCTION("""COMPUTED_VALUE"""),"VRINDA LIFE")</f>
        <v>VRINDA LIFE</v>
      </c>
    </row>
    <row r="3816">
      <c r="H3816" s="19" t="str">
        <f>IFERROR(__xludf.DUMMYFUNCTION("""COMPUTED_VALUE"""),"VYALI INTERNATIONAL")</f>
        <v>VYALI INTERNATIONAL</v>
      </c>
    </row>
    <row r="3817">
      <c r="H3817" s="19" t="str">
        <f>IFERROR(__xludf.DUMMYFUNCTION("""COMPUTED_VALUE"""),"VYAPITUS SPECIALITIES")</f>
        <v>VYAPITUS SPECIALITIES</v>
      </c>
    </row>
    <row r="3818">
      <c r="H3818" s="19" t="str">
        <f>IFERROR(__xludf.DUMMYFUNCTION("""COMPUTED_VALUE"""),"VYAS PHARMACEUTICALS")</f>
        <v>VYAS PHARMACEUTICALS</v>
      </c>
    </row>
    <row r="3819">
      <c r="H3819" s="19" t="str">
        <f>IFERROR(__xludf.DUMMYFUNCTION("""COMPUTED_VALUE"""),"VYONICS HEALTHCARE")</f>
        <v>VYONICS HEALTHCARE</v>
      </c>
    </row>
    <row r="3820">
      <c r="H3820" s="19" t="str">
        <f>IFERROR(__xludf.DUMMYFUNCTION("""COMPUTED_VALUE"""),"VYSON INDIA")</f>
        <v>VYSON INDIA</v>
      </c>
    </row>
    <row r="3821">
      <c r="H3821" s="19" t="str">
        <f>IFERROR(__xludf.DUMMYFUNCTION("""COMPUTED_VALUE"""),"WAFTURE HEALTHCARE")</f>
        <v>WAFTURE HEALTHCARE</v>
      </c>
    </row>
    <row r="3822">
      <c r="H3822" s="19" t="str">
        <f>IFERROR(__xludf.DUMMYFUNCTION("""COMPUTED_VALUE"""),"WALBERG PHARMACEUTICALS")</f>
        <v>WALBERG PHARMACEUTICALS</v>
      </c>
    </row>
    <row r="3823">
      <c r="H3823" s="19" t="str">
        <f>IFERROR(__xludf.DUMMYFUNCTION("""COMPUTED_VALUE"""),"WALLACE (GASTRO)")</f>
        <v>WALLACE (GASTRO)</v>
      </c>
    </row>
    <row r="3824">
      <c r="H3824" s="19" t="str">
        <f>IFERROR(__xludf.DUMMYFUNCTION("""COMPUTED_VALUE"""),"WALLACE (LIFE STYLE)")</f>
        <v>WALLACE (LIFE STYLE)</v>
      </c>
    </row>
    <row r="3825">
      <c r="H3825" s="19" t="str">
        <f>IFERROR(__xludf.DUMMYFUNCTION("""COMPUTED_VALUE"""),"WALLACE (RIVELA)")</f>
        <v>WALLACE (RIVELA)</v>
      </c>
    </row>
    <row r="3826">
      <c r="H3826" s="19" t="str">
        <f>IFERROR(__xludf.DUMMYFUNCTION("""COMPUTED_VALUE"""),"Wallace Pharmaceuticals Pvt Ltd")</f>
        <v>Wallace Pharmaceuticals Pvt Ltd</v>
      </c>
    </row>
    <row r="3827">
      <c r="H3827" s="19" t="str">
        <f>IFERROR(__xludf.DUMMYFUNCTION("""COMPUTED_VALUE"""),"WALNUT LIFESCIENCES PVT LTD")</f>
        <v>WALNUT LIFESCIENCES PVT LTD</v>
      </c>
    </row>
    <row r="3828">
      <c r="H3828" s="19" t="str">
        <f>IFERROR(__xludf.DUMMYFUNCTION("""COMPUTED_VALUE"""),"WALRON HEALTHCARE P LTD")</f>
        <v>WALRON HEALTHCARE P LTD</v>
      </c>
    </row>
    <row r="3829">
      <c r="H3829" s="19" t="str">
        <f>IFERROR(__xludf.DUMMYFUNCTION("""COMPUTED_VALUE"""),"Walter Bushnell")</f>
        <v>Walter Bushnell</v>
      </c>
    </row>
    <row r="3830">
      <c r="H3830" s="19" t="str">
        <f>IFERROR(__xludf.DUMMYFUNCTION("""COMPUTED_VALUE"""),"WAMA PHARMA")</f>
        <v>WAMA PHARMA</v>
      </c>
    </row>
    <row r="3831">
      <c r="H3831" s="19" t="str">
        <f>IFERROR(__xludf.DUMMYFUNCTION("""COMPUTED_VALUE"""),"Wanbury Ltd")</f>
        <v>Wanbury Ltd</v>
      </c>
    </row>
    <row r="3832">
      <c r="H3832" s="19" t="str">
        <f>IFERROR(__xludf.DUMMYFUNCTION("""COMPUTED_VALUE"""),"WANCURA LIFE SCIENCE")</f>
        <v>WANCURA LIFE SCIENCE</v>
      </c>
    </row>
    <row r="3833">
      <c r="H3833" s="19" t="str">
        <f>IFERROR(__xludf.DUMMYFUNCTION("""COMPUTED_VALUE"""),"WANTURA LABORATORIES")</f>
        <v>WANTURA LABORATORIES</v>
      </c>
    </row>
    <row r="3834">
      <c r="H3834" s="19" t="str">
        <f>IFERROR(__xludf.DUMMYFUNCTION("""COMPUTED_VALUE"""),"WARDEX PHARMACEUTICALS PVT LTD")</f>
        <v>WARDEX PHARMACEUTICALS PVT LTD</v>
      </c>
    </row>
    <row r="3835">
      <c r="H3835" s="19" t="str">
        <f>IFERROR(__xludf.DUMMYFUNCTION("""COMPUTED_VALUE"""),"WARIOX LIFE SCIENCE PVT LTD")</f>
        <v>WARIOX LIFE SCIENCE PVT LTD</v>
      </c>
    </row>
    <row r="3836">
      <c r="H3836" s="19" t="str">
        <f>IFERROR(__xludf.DUMMYFUNCTION("""COMPUTED_VALUE"""),"WATERLEY PHARMACEUTICALS PVT LTD")</f>
        <v>WATERLEY PHARMACEUTICALS PVT LTD</v>
      </c>
    </row>
    <row r="3837">
      <c r="H3837" s="19" t="str">
        <f>IFERROR(__xludf.DUMMYFUNCTION("""COMPUTED_VALUE"""),"WELCOME VET PHARMA")</f>
        <v>WELCOME VET PHARMA</v>
      </c>
    </row>
    <row r="3838">
      <c r="H3838" s="19" t="str">
        <f>IFERROR(__xludf.DUMMYFUNCTION("""COMPUTED_VALUE"""),"WELLAR")</f>
        <v>WELLAR</v>
      </c>
    </row>
    <row r="3839">
      <c r="H3839" s="19" t="str">
        <f>IFERROR(__xludf.DUMMYFUNCTION("""COMPUTED_VALUE"""),"WELLCHEM")</f>
        <v>WELLCHEM</v>
      </c>
    </row>
    <row r="3840">
      <c r="H3840" s="19" t="str">
        <f>IFERROR(__xludf.DUMMYFUNCTION("""COMPUTED_VALUE"""),"WELLCHEM PHARMACEUTICALS")</f>
        <v>WELLCHEM PHARMACEUTICALS</v>
      </c>
    </row>
    <row r="3841">
      <c r="H3841" s="19" t="str">
        <f>IFERROR(__xludf.DUMMYFUNCTION("""COMPUTED_VALUE"""),"WELLCON ANIMAL HEALTH PVT LTD")</f>
        <v>WELLCON ANIMAL HEALTH PVT LTD</v>
      </c>
    </row>
    <row r="3842">
      <c r="H3842" s="19" t="str">
        <f>IFERROR(__xludf.DUMMYFUNCTION("""COMPUTED_VALUE"""),"WELLERS LIFESCIENCES RESEARCH LAB")</f>
        <v>WELLERS LIFESCIENCES RESEARCH LAB</v>
      </c>
    </row>
    <row r="3843">
      <c r="H3843" s="19" t="str">
        <f>IFERROR(__xludf.DUMMYFUNCTION("""COMPUTED_VALUE"""),"WELLFORD PHARMACEUTICAL PVT LTD")</f>
        <v>WELLFORD PHARMACEUTICAL PVT LTD</v>
      </c>
    </row>
    <row r="3844">
      <c r="H3844" s="19" t="str">
        <f>IFERROR(__xludf.DUMMYFUNCTION("""COMPUTED_VALUE"""),"WELLMOS GLOBAL HEALTHCARE PHARMA")</f>
        <v>WELLMOS GLOBAL HEALTHCARE PHARMA</v>
      </c>
    </row>
    <row r="3845">
      <c r="H3845" s="19" t="str">
        <f>IFERROR(__xludf.DUMMYFUNCTION("""COMPUTED_VALUE"""),"WELRIN PHARMA")</f>
        <v>WELRIN PHARMA</v>
      </c>
    </row>
    <row r="3846">
      <c r="H3846" s="19" t="str">
        <f>IFERROR(__xludf.DUMMYFUNCTION("""COMPUTED_VALUE"""),"Wens Drugs India Pvt Ltd")</f>
        <v>Wens Drugs India Pvt Ltd</v>
      </c>
    </row>
    <row r="3847">
      <c r="H3847" s="19" t="str">
        <f>IFERROR(__xludf.DUMMYFUNCTION("""COMPUTED_VALUE"""),"WERKE HEALTHCARE")</f>
        <v>WERKE HEALTHCARE</v>
      </c>
    </row>
    <row r="3848">
      <c r="H3848" s="19" t="str">
        <f>IFERROR(__xludf.DUMMYFUNCTION("""COMPUTED_VALUE"""),"West-Coast Pharmaceutical Works Ltd")</f>
        <v>West-Coast Pharmaceutical Works Ltd</v>
      </c>
    </row>
    <row r="3849">
      <c r="H3849" s="19" t="str">
        <f>IFERROR(__xludf.DUMMYFUNCTION("""COMPUTED_VALUE"""),"WESTIN PHARMACEUTICALS PVT LTD")</f>
        <v>WESTIN PHARMACEUTICALS PVT LTD</v>
      </c>
    </row>
    <row r="3850">
      <c r="H3850" s="19" t="str">
        <f>IFERROR(__xludf.DUMMYFUNCTION("""COMPUTED_VALUE"""),"WEX CARE PHARMACEUTICAL")</f>
        <v>WEX CARE PHARMACEUTICAL</v>
      </c>
    </row>
    <row r="3851">
      <c r="H3851" s="19" t="str">
        <f>IFERROR(__xludf.DUMMYFUNCTION("""COMPUTED_VALUE"""),"WHIZ LABORATORIES INDIA PVT LTD")</f>
        <v>WHIZ LABORATORIES INDIA PVT LTD</v>
      </c>
    </row>
    <row r="3852">
      <c r="H3852" s="19" t="str">
        <f>IFERROR(__xludf.DUMMYFUNCTION("""COMPUTED_VALUE"""),"WILBURT (GENERAL)")</f>
        <v>WILBURT (GENERAL)</v>
      </c>
    </row>
    <row r="3853">
      <c r="H3853" s="19" t="str">
        <f>IFERROR(__xludf.DUMMYFUNCTION("""COMPUTED_VALUE"""),"WILBURT (NEXION)")</f>
        <v>WILBURT (NEXION)</v>
      </c>
    </row>
    <row r="3854">
      <c r="H3854" s="19" t="str">
        <f>IFERROR(__xludf.DUMMYFUNCTION("""COMPUTED_VALUE"""),"WILBURT REMEDIES")</f>
        <v>WILBURT REMEDIES</v>
      </c>
    </row>
    <row r="3855">
      <c r="H3855" s="19" t="str">
        <f>IFERROR(__xludf.DUMMYFUNCTION("""COMPUTED_VALUE"""),"WILCURE REMEDIES PVT LTD")</f>
        <v>WILCURE REMEDIES PVT LTD</v>
      </c>
    </row>
    <row r="3856">
      <c r="H3856" s="19" t="str">
        <f>IFERROR(__xludf.DUMMYFUNCTION("""COMPUTED_VALUE"""),"Willburt (Lifez Cardio and Diabetes)")</f>
        <v>Willburt (Lifez Cardio and Diabetes)</v>
      </c>
    </row>
    <row r="3857">
      <c r="H3857" s="19" t="str">
        <f>IFERROR(__xludf.DUMMYFUNCTION("""COMPUTED_VALUE"""),"Willcare Lifesciences")</f>
        <v>Willcare Lifesciences</v>
      </c>
    </row>
    <row r="3858">
      <c r="H3858" s="19" t="str">
        <f>IFERROR(__xludf.DUMMYFUNCTION("""COMPUTED_VALUE"""),"WILSHIR HELTH CARE")</f>
        <v>WILSHIR HELTH CARE</v>
      </c>
    </row>
    <row r="3859">
      <c r="H3859" s="19" t="str">
        <f>IFERROR(__xludf.DUMMYFUNCTION("""COMPUTED_VALUE"""),"WILSHIRE PHARMACEUTICALS")</f>
        <v>WILSHIRE PHARMACEUTICALS</v>
      </c>
    </row>
    <row r="3860">
      <c r="H3860" s="19" t="str">
        <f>IFERROR(__xludf.DUMMYFUNCTION("""COMPUTED_VALUE"""),"WILSON")</f>
        <v>WILSON</v>
      </c>
    </row>
    <row r="3861">
      <c r="H3861" s="19" t="str">
        <f>IFERROR(__xludf.DUMMYFUNCTION("""COMPUTED_VALUE"""),"WILSON HEALTHCARE")</f>
        <v>WILSON HEALTHCARE</v>
      </c>
    </row>
    <row r="3862">
      <c r="H3862" s="19" t="str">
        <f>IFERROR(__xludf.DUMMYFUNCTION("""COMPUTED_VALUE"""),"WIN NATURALS")</f>
        <v>WIN NATURALS</v>
      </c>
    </row>
    <row r="3863">
      <c r="H3863" s="19" t="str">
        <f>IFERROR(__xludf.DUMMYFUNCTION("""COMPUTED_VALUE"""),"Win-Medicare Pvt Ltd")</f>
        <v>Win-Medicare Pvt Ltd</v>
      </c>
    </row>
    <row r="3864">
      <c r="H3864" s="19" t="str">
        <f>IFERROR(__xludf.DUMMYFUNCTION("""COMPUTED_VALUE"""),"WINDLAS BIOTECH PVT LTD")</f>
        <v>WINDLAS BIOTECH PVT LTD</v>
      </c>
    </row>
    <row r="3865">
      <c r="H3865" s="19" t="str">
        <f>IFERROR(__xludf.DUMMYFUNCTION("""COMPUTED_VALUE"""),"WINFERTILITY")</f>
        <v>WINFERTILITY</v>
      </c>
    </row>
    <row r="3866">
      <c r="H3866" s="19" t="str">
        <f>IFERROR(__xludf.DUMMYFUNCTION("""COMPUTED_VALUE"""),"Wings Biotech Ltd (GENERIC)")</f>
        <v>Wings Biotech Ltd (GENERIC)</v>
      </c>
    </row>
    <row r="3867">
      <c r="H3867" s="19" t="str">
        <f>IFERROR(__xludf.DUMMYFUNCTION("""COMPUTED_VALUE"""),"WINTECH PHARMACEUTICALS (PHARMA)")</f>
        <v>WINTECH PHARMACEUTICALS (PHARMA)</v>
      </c>
    </row>
    <row r="3868">
      <c r="H3868" s="19" t="str">
        <f>IFERROR(__xludf.DUMMYFUNCTION("""COMPUTED_VALUE"""),"WINTECH PHARMACEUTICALS (ZENOVA)")</f>
        <v>WINTECH PHARMACEUTICALS (ZENOVA)</v>
      </c>
    </row>
    <row r="3869">
      <c r="H3869" s="19" t="str">
        <f>IFERROR(__xludf.DUMMYFUNCTION("""COMPUTED_VALUE"""),"WINY HEALTHCARE")</f>
        <v>WINY HEALTHCARE</v>
      </c>
    </row>
    <row r="3870">
      <c r="H3870" s="19" t="str">
        <f>IFERROR(__xludf.DUMMYFUNCTION("""COMPUTED_VALUE"""),"Wiscon Pharmaceuticals Pvt Ltd")</f>
        <v>Wiscon Pharmaceuticals Pvt Ltd</v>
      </c>
    </row>
    <row r="3871">
      <c r="H3871" s="19" t="str">
        <f>IFERROR(__xludf.DUMMYFUNCTION("""COMPUTED_VALUE"""),"WISE LIFECARE PVT LTD")</f>
        <v>WISE LIFECARE PVT LTD</v>
      </c>
    </row>
    <row r="3872">
      <c r="H3872" s="19" t="str">
        <f>IFERROR(__xludf.DUMMYFUNCTION("""COMPUTED_VALUE"""),"WIZ HEALTH CARE")</f>
        <v>WIZ HEALTH CARE</v>
      </c>
    </row>
    <row r="3873">
      <c r="H3873" s="19" t="str">
        <f>IFERROR(__xludf.DUMMYFUNCTION("""COMPUTED_VALUE"""),"WOCCKAHCHARLES PHARMA LTD")</f>
        <v>WOCCKAHCHARLES PHARMA LTD</v>
      </c>
    </row>
    <row r="3874">
      <c r="H3874" s="19" t="str">
        <f>IFERROR(__xludf.DUMMYFUNCTION("""COMPUTED_VALUE"""),"WOCKHARDT (CARDIO)")</f>
        <v>WOCKHARDT (CARDIO)</v>
      </c>
    </row>
    <row r="3875">
      <c r="H3875" s="19" t="str">
        <f>IFERROR(__xludf.DUMMYFUNCTION("""COMPUTED_VALUE"""),"WOCKHARDT (M1)")</f>
        <v>WOCKHARDT (M1)</v>
      </c>
    </row>
    <row r="3876">
      <c r="H3876" s="19" t="str">
        <f>IFERROR(__xludf.DUMMYFUNCTION("""COMPUTED_VALUE"""),"WOCKHARDT (MERIND)")</f>
        <v>WOCKHARDT (MERIND)</v>
      </c>
    </row>
    <row r="3877">
      <c r="H3877" s="19" t="str">
        <f>IFERROR(__xludf.DUMMYFUNCTION("""COMPUTED_VALUE"""),"WOCKHARDT (METABOLICS)")</f>
        <v>WOCKHARDT (METABOLICS)</v>
      </c>
    </row>
    <row r="3878">
      <c r="H3878" s="19" t="str">
        <f>IFERROR(__xludf.DUMMYFUNCTION("""COMPUTED_VALUE"""),"WOCKHARDT (NEPHRO)")</f>
        <v>WOCKHARDT (NEPHRO)</v>
      </c>
    </row>
    <row r="3879">
      <c r="H3879" s="19" t="str">
        <f>IFERROR(__xludf.DUMMYFUNCTION("""COMPUTED_VALUE"""),"WOCKHARDT (ORION)")</f>
        <v>WOCKHARDT (ORION)</v>
      </c>
    </row>
    <row r="3880">
      <c r="H3880" s="19" t="str">
        <f>IFERROR(__xludf.DUMMYFUNCTION("""COMPUTED_VALUE"""),"WOCKHARDT (PHARMA)")</f>
        <v>WOCKHARDT (PHARMA)</v>
      </c>
    </row>
    <row r="3881">
      <c r="H3881" s="19" t="str">
        <f>IFERROR(__xludf.DUMMYFUNCTION("""COMPUTED_VALUE"""),"WOCKHARDT (SPACIEL)")</f>
        <v>WOCKHARDT (SPACIEL)</v>
      </c>
    </row>
    <row r="3882">
      <c r="H3882" s="19" t="str">
        <f>IFERROR(__xludf.DUMMYFUNCTION("""COMPUTED_VALUE"""),"Wockhardt Ltd")</f>
        <v>Wockhardt Ltd</v>
      </c>
    </row>
    <row r="3883">
      <c r="H3883" s="19" t="str">
        <f>IFERROR(__xludf.DUMMYFUNCTION("""COMPUTED_VALUE"""),"Wockhardt Ltd  (SPECTRA)")</f>
        <v>Wockhardt Ltd  (SPECTRA)</v>
      </c>
    </row>
    <row r="3884">
      <c r="H3884" s="19" t="str">
        <f>IFERROR(__xludf.DUMMYFUNCTION("""COMPUTED_VALUE"""),"Wockhardt Ltd (CORDIC)")</f>
        <v>Wockhardt Ltd (CORDIC)</v>
      </c>
    </row>
    <row r="3885">
      <c r="H3885" s="19" t="str">
        <f>IFERROR(__xludf.DUMMYFUNCTION("""COMPUTED_VALUE"""),"Wockhardt Ltd (CRITICAL CARE-NTF)")</f>
        <v>Wockhardt Ltd (CRITICAL CARE-NTF)</v>
      </c>
    </row>
    <row r="3886">
      <c r="H3886" s="19" t="str">
        <f>IFERROR(__xludf.DUMMYFUNCTION("""COMPUTED_VALUE"""),"Wockhardt Ltd (CRITICAL CARE)")</f>
        <v>Wockhardt Ltd (CRITICAL CARE)</v>
      </c>
    </row>
    <row r="3887">
      <c r="H3887" s="19" t="str">
        <f>IFERROR(__xludf.DUMMYFUNCTION("""COMPUTED_VALUE"""),"Wockhardt Ltd (DERMA)")</f>
        <v>Wockhardt Ltd (DERMA)</v>
      </c>
    </row>
    <row r="3888">
      <c r="H3888" s="19" t="str">
        <f>IFERROR(__xludf.DUMMYFUNCTION("""COMPUTED_VALUE"""),"Wockhardt Ltd (DIABETIC)")</f>
        <v>Wockhardt Ltd (DIABETIC)</v>
      </c>
    </row>
    <row r="3889">
      <c r="H3889" s="19" t="str">
        <f>IFERROR(__xludf.DUMMYFUNCTION("""COMPUTED_VALUE"""),"Wockhardt Ltd (GENERIC)")</f>
        <v>Wockhardt Ltd (GENERIC)</v>
      </c>
    </row>
    <row r="3890">
      <c r="H3890" s="19" t="str">
        <f>IFERROR(__xludf.DUMMYFUNCTION("""COMPUTED_VALUE"""),"Wockhardt Ltd (MAIN)")</f>
        <v>Wockhardt Ltd (MAIN)</v>
      </c>
    </row>
    <row r="3891">
      <c r="H3891" s="19" t="str">
        <f>IFERROR(__xludf.DUMMYFUNCTION("""COMPUTED_VALUE"""),"Wockhardt Ltd (RESPIRATORY)")</f>
        <v>Wockhardt Ltd (RESPIRATORY)</v>
      </c>
    </row>
    <row r="3892">
      <c r="H3892" s="19" t="str">
        <f>IFERROR(__xludf.DUMMYFUNCTION("""COMPUTED_VALUE"""),"Wockhardt Ltd (SPECTRA)")</f>
        <v>Wockhardt Ltd (SPECTRA)</v>
      </c>
    </row>
    <row r="3893">
      <c r="H3893" s="19" t="str">
        <f>IFERROR(__xludf.DUMMYFUNCTION("""COMPUTED_VALUE"""),"Wockhardt Ltd (SUPER SPECIALITY)")</f>
        <v>Wockhardt Ltd (SUPER SPECIALITY)</v>
      </c>
    </row>
    <row r="3894">
      <c r="H3894" s="19" t="str">
        <f>IFERROR(__xludf.DUMMYFUNCTION("""COMPUTED_VALUE"""),"Wockhardt Ltd (TARUS-2)")</f>
        <v>Wockhardt Ltd (TARUS-2)</v>
      </c>
    </row>
    <row r="3895">
      <c r="H3895" s="19" t="str">
        <f>IFERROR(__xludf.DUMMYFUNCTION("""COMPUTED_VALUE"""),"Wockhardt Ltd (TARUS)")</f>
        <v>Wockhardt Ltd (TARUS)</v>
      </c>
    </row>
    <row r="3896">
      <c r="H3896" s="19" t="str">
        <f>IFERROR(__xludf.DUMMYFUNCTION("""COMPUTED_VALUE"""),"WOHLTAT LIFE SCIENCES")</f>
        <v>WOHLTAT LIFE SCIENCES</v>
      </c>
    </row>
    <row r="3897">
      <c r="H3897" s="19" t="str">
        <f>IFERROR(__xludf.DUMMYFUNCTION("""COMPUTED_VALUE"""),"WONNE INTERNATIONAL")</f>
        <v>WONNE INTERNATIONAL</v>
      </c>
    </row>
    <row r="3898">
      <c r="H3898" s="19" t="str">
        <f>IFERROR(__xludf.DUMMYFUNCTION("""COMPUTED_VALUE"""),"WONSET HEALTHCARE")</f>
        <v>WONSET HEALTHCARE</v>
      </c>
    </row>
    <row r="3899">
      <c r="H3899" s="19" t="str">
        <f>IFERROR(__xludf.DUMMYFUNCTION("""COMPUTED_VALUE"""),"WOOD GERMAN BIOTECH")</f>
        <v>WOOD GERMAN BIOTECH</v>
      </c>
    </row>
    <row r="3900">
      <c r="H3900" s="19" t="str">
        <f>IFERROR(__xludf.DUMMYFUNCTION("""COMPUTED_VALUE"""),"WORLD HEALTHCARE PHARMA")</f>
        <v>WORLD HEALTHCARE PHARMA</v>
      </c>
    </row>
    <row r="3901">
      <c r="H3901" s="19" t="str">
        <f>IFERROR(__xludf.DUMMYFUNCTION("""COMPUTED_VALUE"""),"WRIGHT LIFESCIENCES P LTD")</f>
        <v>WRIGHT LIFESCIENCES P LTD</v>
      </c>
    </row>
    <row r="3902">
      <c r="H3902" s="19" t="str">
        <f>IFERROR(__xludf.DUMMYFUNCTION("""COMPUTED_VALUE"""),"WRIGHT LIFESCIENCES PVT LTD")</f>
        <v>WRIGHT LIFESCIENCES PVT LTD</v>
      </c>
    </row>
    <row r="3903">
      <c r="H3903" s="19" t="str">
        <f>IFERROR(__xludf.DUMMYFUNCTION("""COMPUTED_VALUE"""),"WSI")</f>
        <v>WSI</v>
      </c>
    </row>
    <row r="3904">
      <c r="H3904" s="19" t="str">
        <f>IFERROR(__xludf.DUMMYFUNCTION("""COMPUTED_VALUE"""),"Wyeth Limited")</f>
        <v>Wyeth Limited</v>
      </c>
    </row>
    <row r="3905">
      <c r="H3905" s="19" t="str">
        <f>IFERROR(__xludf.DUMMYFUNCTION("""COMPUTED_VALUE"""),"WYETH LIMITED (NEUROSCIENCE)")</f>
        <v>WYETH LIMITED (NEUROSCIENCE)</v>
      </c>
    </row>
    <row r="3906">
      <c r="H3906" s="19" t="str">
        <f>IFERROR(__xludf.DUMMYFUNCTION("""COMPUTED_VALUE"""),"XANOCIA LIFE SCIENCES")</f>
        <v>XANOCIA LIFE SCIENCES</v>
      </c>
    </row>
    <row r="3907">
      <c r="H3907" s="19" t="str">
        <f>IFERROR(__xludf.DUMMYFUNCTION("""COMPUTED_VALUE"""),"XENA CORONUS HEALTH CARE")</f>
        <v>XENA CORONUS HEALTH CARE</v>
      </c>
    </row>
    <row r="3908">
      <c r="H3908" s="19" t="str">
        <f>IFERROR(__xludf.DUMMYFUNCTION("""COMPUTED_VALUE"""),"XENO LIFE SCIENCE PVT LTD")</f>
        <v>XENO LIFE SCIENCE PVT LTD</v>
      </c>
    </row>
    <row r="3909">
      <c r="H3909" s="19" t="str">
        <f>IFERROR(__xludf.DUMMYFUNCTION("""COMPUTED_VALUE"""),"XIEON LIFE SCIENCES")</f>
        <v>XIEON LIFE SCIENCES</v>
      </c>
    </row>
    <row r="3910">
      <c r="H3910" s="19" t="str">
        <f>IFERROR(__xludf.DUMMYFUNCTION("""COMPUTED_VALUE"""),"Y E HADVAIDYA")</f>
        <v>Y E HADVAIDYA</v>
      </c>
    </row>
    <row r="3911">
      <c r="H3911" s="19" t="str">
        <f>IFERROR(__xludf.DUMMYFUNCTION("""COMPUTED_VALUE"""),"YAJAT LIFE SCIENCES")</f>
        <v>YAJAT LIFE SCIENCES</v>
      </c>
    </row>
    <row r="3912">
      <c r="H3912" s="19" t="str">
        <f>IFERROR(__xludf.DUMMYFUNCTION("""COMPUTED_VALUE"""),"YAP BIOCEUTICALS")</f>
        <v>YAP BIOCEUTICALS</v>
      </c>
    </row>
    <row r="3913">
      <c r="H3913" s="19" t="str">
        <f>IFERROR(__xludf.DUMMYFUNCTION("""COMPUTED_VALUE"""),"YAP COSDERM LABORATORIES PVT LTD")</f>
        <v>YAP COSDERM LABORATORIES PVT LTD</v>
      </c>
    </row>
    <row r="3914">
      <c r="H3914" s="19" t="str">
        <f>IFERROR(__xludf.DUMMYFUNCTION("""COMPUTED_VALUE"""),"YASH PHARMA (DERMA)")</f>
        <v>YASH PHARMA (DERMA)</v>
      </c>
    </row>
    <row r="3915">
      <c r="H3915" s="19" t="str">
        <f>IFERROR(__xludf.DUMMYFUNCTION("""COMPUTED_VALUE"""),"YASH PHARMA LAB")</f>
        <v>YASH PHARMA LAB</v>
      </c>
    </row>
    <row r="3916">
      <c r="H3916" s="19" t="str">
        <f>IFERROR(__xludf.DUMMYFUNCTION("""COMPUTED_VALUE"""),"YASODAKHYAA REMEDIES")</f>
        <v>YASODAKHYAA REMEDIES</v>
      </c>
    </row>
    <row r="3917">
      <c r="H3917" s="19" t="str">
        <f>IFERROR(__xludf.DUMMYFUNCTION("""COMPUTED_VALUE"""),"YGEIA HEALTH PVT LTD")</f>
        <v>YGEIA HEALTH PVT LTD</v>
      </c>
    </row>
    <row r="3918">
      <c r="H3918" s="19" t="str">
        <f>IFERROR(__xludf.DUMMYFUNCTION("""COMPUTED_VALUE"""),"YOGEE HERBAL INDIA")</f>
        <v>YOGEE HERBAL INDIA</v>
      </c>
    </row>
    <row r="3919">
      <c r="H3919" s="19" t="str">
        <f>IFERROR(__xludf.DUMMYFUNCTION("""COMPUTED_VALUE"""),"YOGI AYURVEDIC PRODUCTS LTD")</f>
        <v>YOGI AYURVEDIC PRODUCTS LTD</v>
      </c>
    </row>
    <row r="3920">
      <c r="H3920" s="19" t="str">
        <f>IFERROR(__xludf.DUMMYFUNCTION("""COMPUTED_VALUE"""),"YOGI HERBALS")</f>
        <v>YOGI HERBALS</v>
      </c>
    </row>
    <row r="3921">
      <c r="H3921" s="19" t="str">
        <f>IFERROR(__xludf.DUMMYFUNCTION("""COMPUTED_VALUE"""),"YOURS PHARMA DISTRIBUTERS PVT LTD")</f>
        <v>YOURS PHARMA DISTRIBUTERS PVT LTD</v>
      </c>
    </row>
    <row r="3922">
      <c r="H3922" s="19" t="str">
        <f>IFERROR(__xludf.DUMMYFUNCTION("""COMPUTED_VALUE"""),"YUDERMA LABORATORIE")</f>
        <v>YUDERMA LABORATORIE</v>
      </c>
    </row>
    <row r="3923">
      <c r="H3923" s="19" t="str">
        <f>IFERROR(__xludf.DUMMYFUNCTION("""COMPUTED_VALUE"""),"YUZDERM PHARMACEUTICALS")</f>
        <v>YUZDERM PHARMACEUTICALS</v>
      </c>
    </row>
    <row r="3924">
      <c r="H3924" s="19" t="str">
        <f>IFERROR(__xludf.DUMMYFUNCTION("""COMPUTED_VALUE"""),"ZADINE RUMBS LIMITED")</f>
        <v>ZADINE RUMBS LIMITED</v>
      </c>
    </row>
    <row r="3925">
      <c r="H3925" s="19" t="str">
        <f>IFERROR(__xludf.DUMMYFUNCTION("""COMPUTED_VALUE"""),"ZANDU (OTC)")</f>
        <v>ZANDU (OTC)</v>
      </c>
    </row>
    <row r="3926">
      <c r="H3926" s="19" t="str">
        <f>IFERROR(__xludf.DUMMYFUNCTION("""COMPUTED_VALUE"""),"Zandu Pharmaceutical Works Ltd")</f>
        <v>Zandu Pharmaceutical Works Ltd</v>
      </c>
    </row>
    <row r="3927">
      <c r="H3927" s="19" t="str">
        <f>IFERROR(__xludf.DUMMYFUNCTION("""COMPUTED_VALUE"""),"ZARETA BIOTEC PVT LTD")</f>
        <v>ZARETA BIOTEC PVT LTD</v>
      </c>
    </row>
    <row r="3928">
      <c r="H3928" s="19" t="str">
        <f>IFERROR(__xludf.DUMMYFUNCTION("""COMPUTED_VALUE"""),"ZATROPHA PHARMA")</f>
        <v>ZATROPHA PHARMA</v>
      </c>
    </row>
    <row r="3929">
      <c r="H3929" s="19" t="str">
        <f>IFERROR(__xludf.DUMMYFUNCTION("""COMPUTED_VALUE"""),"ZEDIP FORMULATIONS")</f>
        <v>ZEDIP FORMULATIONS</v>
      </c>
    </row>
    <row r="3930">
      <c r="H3930" s="19" t="str">
        <f>IFERROR(__xludf.DUMMYFUNCTION("""COMPUTED_VALUE"""),"ZEDON PHARMA")</f>
        <v>ZEDON PHARMA</v>
      </c>
    </row>
    <row r="3931">
      <c r="H3931" s="19" t="str">
        <f>IFERROR(__xludf.DUMMYFUNCTION("""COMPUTED_VALUE"""),"ZEE LABORATORIES LTD")</f>
        <v>ZEE LABORATORIES LTD</v>
      </c>
    </row>
    <row r="3932">
      <c r="H3932" s="19" t="str">
        <f>IFERROR(__xludf.DUMMYFUNCTION("""COMPUTED_VALUE"""),"ZEE LABORATORIES LTD (ELWIN)")</f>
        <v>ZEE LABORATORIES LTD (ELWIN)</v>
      </c>
    </row>
    <row r="3933">
      <c r="H3933" s="19" t="str">
        <f>IFERROR(__xludf.DUMMYFUNCTION("""COMPUTED_VALUE"""),"ZEE LABORATORIES LTD (KLOKTER)")</f>
        <v>ZEE LABORATORIES LTD (KLOKTER)</v>
      </c>
    </row>
    <row r="3934">
      <c r="H3934" s="19" t="str">
        <f>IFERROR(__xludf.DUMMYFUNCTION("""COMPUTED_VALUE"""),"ZEE LABORATORIS")</f>
        <v>ZEE LABORATORIS</v>
      </c>
    </row>
    <row r="3935">
      <c r="H3935" s="19" t="str">
        <f>IFERROR(__xludf.DUMMYFUNCTION("""COMPUTED_VALUE"""),"ZEE PHARMA")</f>
        <v>ZEE PHARMA</v>
      </c>
    </row>
    <row r="3936">
      <c r="H3936" s="19" t="str">
        <f>IFERROR(__xludf.DUMMYFUNCTION("""COMPUTED_VALUE"""),"ZEIDIX HEALTHCARE")</f>
        <v>ZEIDIX HEALTHCARE</v>
      </c>
    </row>
    <row r="3937">
      <c r="H3937" s="19" t="str">
        <f>IFERROR(__xludf.DUMMYFUNCTION("""COMPUTED_VALUE"""),"ZELKOVA LIFESCIENCES PVT LTD")</f>
        <v>ZELKOVA LIFESCIENCES PVT LTD</v>
      </c>
    </row>
    <row r="3938">
      <c r="H3938" s="19" t="str">
        <f>IFERROR(__xludf.DUMMYFUNCTION("""COMPUTED_VALUE"""),"ZELLEVEN PHARMA PVT LTD")</f>
        <v>ZELLEVEN PHARMA PVT LTD</v>
      </c>
    </row>
    <row r="3939">
      <c r="H3939" s="19" t="str">
        <f>IFERROR(__xludf.DUMMYFUNCTION("""COMPUTED_VALUE"""),"ZEN LABS")</f>
        <v>ZEN LABS</v>
      </c>
    </row>
    <row r="3940">
      <c r="H3940" s="19" t="str">
        <f>IFERROR(__xludf.DUMMYFUNCTION("""COMPUTED_VALUE"""),"ZEN PHARMACEUTICALS")</f>
        <v>ZEN PHARMACEUTICALS</v>
      </c>
    </row>
    <row r="3941">
      <c r="H3941" s="19" t="str">
        <f>IFERROR(__xludf.DUMMYFUNCTION("""COMPUTED_VALUE"""),"Zenacts Pharma P Ltd")</f>
        <v>Zenacts Pharma P Ltd</v>
      </c>
    </row>
    <row r="3942">
      <c r="H3942" s="19" t="str">
        <f>IFERROR(__xludf.DUMMYFUNCTION("""COMPUTED_VALUE"""),"ZENCUS PHARMA")</f>
        <v>ZENCUS PHARMA</v>
      </c>
    </row>
    <row r="3943">
      <c r="H3943" s="19" t="str">
        <f>IFERROR(__xludf.DUMMYFUNCTION("""COMPUTED_VALUE"""),"ZENEX HEALTHCARE")</f>
        <v>ZENEX HEALTHCARE</v>
      </c>
    </row>
    <row r="3944">
      <c r="H3944" s="19" t="str">
        <f>IFERROR(__xludf.DUMMYFUNCTION("""COMPUTED_VALUE"""),"ZENITH DRUGS")</f>
        <v>ZENITH DRUGS</v>
      </c>
    </row>
    <row r="3945">
      <c r="H3945" s="19" t="str">
        <f>IFERROR(__xludf.DUMMYFUNCTION("""COMPUTED_VALUE"""),"Zenith Healthcare Ltd")</f>
        <v>Zenith Healthcare Ltd</v>
      </c>
    </row>
    <row r="3946">
      <c r="H3946" s="19" t="str">
        <f>IFERROR(__xludf.DUMMYFUNCTION("""COMPUTED_VALUE"""),"ZENLABS (GENERIC)")</f>
        <v>ZENLABS (GENERIC)</v>
      </c>
    </row>
    <row r="3947">
      <c r="H3947" s="19" t="str">
        <f>IFERROR(__xludf.DUMMYFUNCTION("""COMPUTED_VALUE"""),"ZENLABS ETHICA LTD")</f>
        <v>ZENLABS ETHICA LTD</v>
      </c>
    </row>
    <row r="3948">
      <c r="H3948" s="19" t="str">
        <f>IFERROR(__xludf.DUMMYFUNCTION("""COMPUTED_VALUE"""),"ZENLIFE")</f>
        <v>ZENLIFE</v>
      </c>
    </row>
    <row r="3949">
      <c r="H3949" s="19" t="str">
        <f>IFERROR(__xludf.DUMMYFUNCTION("""COMPUTED_VALUE"""),"ZENNAR LIFE SCIENCES")</f>
        <v>ZENNAR LIFE SCIENCES</v>
      </c>
    </row>
    <row r="3950">
      <c r="H3950" s="19" t="str">
        <f>IFERROR(__xludf.DUMMYFUNCTION("""COMPUTED_VALUE"""),"ZENOBIC LIFE SCIENCES (ZENOBIC)")</f>
        <v>ZENOBIC LIFE SCIENCES (ZENOBIC)</v>
      </c>
    </row>
    <row r="3951">
      <c r="H3951" s="19" t="str">
        <f>IFERROR(__xludf.DUMMYFUNCTION("""COMPUTED_VALUE"""),"ZENON HEALTHCARE LTD")</f>
        <v>ZENON HEALTHCARE LTD</v>
      </c>
    </row>
    <row r="3952">
      <c r="H3952" s="19" t="str">
        <f>IFERROR(__xludf.DUMMYFUNCTION("""COMPUTED_VALUE"""),"ZENONA LIFESCIENCES PVT LTD")</f>
        <v>ZENONA LIFESCIENCES PVT LTD</v>
      </c>
    </row>
    <row r="3953">
      <c r="H3953" s="19" t="str">
        <f>IFERROR(__xludf.DUMMYFUNCTION("""COMPUTED_VALUE"""),"ZENOTECH LOBORATORIES LTD.")</f>
        <v>ZENOTECH LOBORATORIES LTD.</v>
      </c>
    </row>
    <row r="3954">
      <c r="H3954" s="19" t="str">
        <f>IFERROR(__xludf.DUMMYFUNCTION("""COMPUTED_VALUE"""),"ZENOTIS HEALTHCARE")</f>
        <v>ZENOTIS HEALTHCARE</v>
      </c>
    </row>
    <row r="3955">
      <c r="H3955" s="19" t="str">
        <f>IFERROR(__xludf.DUMMYFUNCTION("""COMPUTED_VALUE"""),"ZENOVA BIO NUTRITION")</f>
        <v>ZENOVA BIO NUTRITION</v>
      </c>
    </row>
    <row r="3956">
      <c r="H3956" s="19" t="str">
        <f>IFERROR(__xludf.DUMMYFUNCTION("""COMPUTED_VALUE"""),"ZENOWAY HEALTHCARE PVT LTD")</f>
        <v>ZENOWAY HEALTHCARE PVT LTD</v>
      </c>
    </row>
    <row r="3957">
      <c r="H3957" s="19" t="str">
        <f>IFERROR(__xludf.DUMMYFUNCTION("""COMPUTED_VALUE"""),"ZENSKA LIFE SCIENCE PVT LTD")</f>
        <v>ZENSKA LIFE SCIENCE PVT LTD</v>
      </c>
    </row>
    <row r="3958">
      <c r="H3958" s="19" t="str">
        <f>IFERROR(__xludf.DUMMYFUNCTION("""COMPUTED_VALUE"""),"ZENSTAR LIFE SCIENCES")</f>
        <v>ZENSTAR LIFE SCIENCES</v>
      </c>
    </row>
    <row r="3959">
      <c r="H3959" s="19" t="str">
        <f>IFERROR(__xludf.DUMMYFUNCTION("""COMPUTED_VALUE"""),"ZERICO LIFESCIENCE")</f>
        <v>ZERICO LIFESCIENCE</v>
      </c>
    </row>
    <row r="3960">
      <c r="H3960" s="19" t="str">
        <f>IFERROR(__xludf.DUMMYFUNCTION("""COMPUTED_VALUE"""),"ZERICO LIFESCIENCES")</f>
        <v>ZERICO LIFESCIENCES</v>
      </c>
    </row>
    <row r="3961">
      <c r="H3961" s="19" t="str">
        <f>IFERROR(__xludf.DUMMYFUNCTION("""COMPUTED_VALUE"""),"Zest Pharma")</f>
        <v>Zest Pharma</v>
      </c>
    </row>
    <row r="3962">
      <c r="H3962" s="19" t="str">
        <f>IFERROR(__xludf.DUMMYFUNCTION("""COMPUTED_VALUE"""),"ZESTICA PHARMA")</f>
        <v>ZESTICA PHARMA</v>
      </c>
    </row>
    <row r="3963">
      <c r="H3963" s="19" t="str">
        <f>IFERROR(__xludf.DUMMYFUNCTION("""COMPUTED_VALUE"""),"ZETA")</f>
        <v>ZETA</v>
      </c>
    </row>
    <row r="3964">
      <c r="H3964" s="19" t="str">
        <f>IFERROR(__xludf.DUMMYFUNCTION("""COMPUTED_VALUE"""),"ZETACA LIFESCIENCES")</f>
        <v>ZETACA LIFESCIENCES</v>
      </c>
    </row>
    <row r="3965">
      <c r="H3965" s="19" t="str">
        <f>IFERROR(__xludf.DUMMYFUNCTION("""COMPUTED_VALUE"""),"ZEUS DRUG")</f>
        <v>ZEUS DRUG</v>
      </c>
    </row>
    <row r="3966">
      <c r="H3966" s="19" t="str">
        <f>IFERROR(__xludf.DUMMYFUNCTION("""COMPUTED_VALUE"""),"ZEVEN LIFESCIENCES LTD")</f>
        <v>ZEVEN LIFESCIENCES LTD</v>
      </c>
    </row>
    <row r="3967">
      <c r="H3967" s="19" t="str">
        <f>IFERROR(__xludf.DUMMYFUNCTION("""COMPUTED_VALUE"""),"ZEYCNOVO LIFE SCIENCES")</f>
        <v>ZEYCNOVO LIFE SCIENCES</v>
      </c>
    </row>
    <row r="3968">
      <c r="H3968" s="19" t="str">
        <f>IFERROR(__xludf.DUMMYFUNCTION("""COMPUTED_VALUE"""),"ZIAAN PHARMA")</f>
        <v>ZIAAN PHARMA</v>
      </c>
    </row>
    <row r="3969">
      <c r="H3969" s="19" t="str">
        <f>IFERROR(__xludf.DUMMYFUNCTION("""COMPUTED_VALUE"""),"ZICAD LIFE CARE")</f>
        <v>ZICAD LIFE CARE</v>
      </c>
    </row>
    <row r="3970">
      <c r="H3970" s="19" t="str">
        <f>IFERROR(__xludf.DUMMYFUNCTION("""COMPUTED_VALUE"""),"ZIVIRA LABS P LTD")</f>
        <v>ZIVIRA LABS P LTD</v>
      </c>
    </row>
    <row r="3971">
      <c r="H3971" s="19" t="str">
        <f>IFERROR(__xludf.DUMMYFUNCTION("""COMPUTED_VALUE"""),"ZIVOT HEALTHCARE")</f>
        <v>ZIVOT HEALTHCARE</v>
      </c>
    </row>
    <row r="3972">
      <c r="H3972" s="19" t="str">
        <f>IFERROR(__xludf.DUMMYFUNCTION("""COMPUTED_VALUE"""),"ZOETIC AYURVEDICS PVT LTD")</f>
        <v>ZOETIC AYURVEDICS PVT LTD</v>
      </c>
    </row>
    <row r="3973">
      <c r="H3973" s="19" t="str">
        <f>IFERROR(__xludf.DUMMYFUNCTION("""COMPUTED_VALUE"""),"ZOITHROSS")</f>
        <v>ZOITHROSS</v>
      </c>
    </row>
    <row r="3974">
      <c r="H3974" s="19" t="str">
        <f>IFERROR(__xludf.DUMMYFUNCTION("""COMPUTED_VALUE"""),"ZOREX PHARMA PVT LTD")</f>
        <v>ZOREX PHARMA PVT LTD</v>
      </c>
    </row>
    <row r="3975">
      <c r="H3975" s="19" t="str">
        <f>IFERROR(__xludf.DUMMYFUNCTION("""COMPUTED_VALUE"""),"ZORICON PHARMACEUTICALS")</f>
        <v>ZORICON PHARMACEUTICALS</v>
      </c>
    </row>
    <row r="3976">
      <c r="H3976" s="19" t="str">
        <f>IFERROR(__xludf.DUMMYFUNCTION("""COMPUTED_VALUE"""),"ZORILANT PHARMA")</f>
        <v>ZORILANT PHARMA</v>
      </c>
    </row>
    <row r="3977">
      <c r="H3977" s="19" t="str">
        <f>IFERROR(__xludf.DUMMYFUNCTION("""COMPUTED_VALUE"""),"ZORRICK HEALTHCARE")</f>
        <v>ZORRICK HEALTHCARE</v>
      </c>
    </row>
    <row r="3978">
      <c r="H3978" s="19" t="str">
        <f>IFERROR(__xludf.DUMMYFUNCTION("""COMPUTED_VALUE"""),"ZOTA HEALTHCARE")</f>
        <v>ZOTA HEALTHCARE</v>
      </c>
    </row>
    <row r="3979">
      <c r="H3979" s="19" t="str">
        <f>IFERROR(__xludf.DUMMYFUNCTION("""COMPUTED_VALUE"""),"Zovaitalia Healthcare Pvt Ltd")</f>
        <v>Zovaitalia Healthcare Pvt Ltd</v>
      </c>
    </row>
    <row r="3980">
      <c r="H3980" s="19" t="str">
        <f>IFERROR(__xludf.DUMMYFUNCTION("""COMPUTED_VALUE"""),"ZUBIT LIFECARE")</f>
        <v>ZUBIT LIFECARE</v>
      </c>
    </row>
    <row r="3981">
      <c r="H3981" s="19" t="str">
        <f>IFERROR(__xludf.DUMMYFUNCTION("""COMPUTED_VALUE"""),"ZURICH HEALTH CARE UJJAIN")</f>
        <v>ZURICH HEALTH CARE UJJAIN</v>
      </c>
    </row>
    <row r="3982">
      <c r="H3982" s="19" t="str">
        <f>IFERROR(__xludf.DUMMYFUNCTION("""COMPUTED_VALUE"""),"ZUVENTUS (GENERIC)")</f>
        <v>ZUVENTUS (GENERIC)</v>
      </c>
    </row>
    <row r="3983">
      <c r="H3983" s="19" t="str">
        <f>IFERROR(__xludf.DUMMYFUNCTION("""COMPUTED_VALUE"""),"ZUVENTUS (GROMAXX)")</f>
        <v>ZUVENTUS (GROMAXX)</v>
      </c>
    </row>
    <row r="3984">
      <c r="H3984" s="19" t="str">
        <f>IFERROR(__xludf.DUMMYFUNCTION("""COMPUTED_VALUE"""),"ZUVENTUS (HEALTHCARE)")</f>
        <v>ZUVENTUS (HEALTHCARE)</v>
      </c>
    </row>
    <row r="3985">
      <c r="H3985" s="19" t="str">
        <f>IFERROR(__xludf.DUMMYFUNCTION("""COMPUTED_VALUE"""),"ZUVENTUS (LASUR)")</f>
        <v>ZUVENTUS (LASUR)</v>
      </c>
    </row>
    <row r="3986">
      <c r="H3986" s="19" t="str">
        <f>IFERROR(__xludf.DUMMYFUNCTION("""COMPUTED_VALUE"""),"ZUVENTUS (LIFESTYLE)")</f>
        <v>ZUVENTUS (LIFESTYLE)</v>
      </c>
    </row>
    <row r="3987">
      <c r="H3987" s="19" t="str">
        <f>IFERROR(__xludf.DUMMYFUNCTION("""COMPUTED_VALUE"""),"ZUVENTUS (ODENEA)")</f>
        <v>ZUVENTUS (ODENEA)</v>
      </c>
    </row>
    <row r="3988">
      <c r="H3988" s="19" t="str">
        <f>IFERROR(__xludf.DUMMYFUNCTION("""COMPUTED_VALUE"""),"ZUVENTUS (ONCO)")</f>
        <v>ZUVENTUS (ONCO)</v>
      </c>
    </row>
    <row r="3989">
      <c r="H3989" s="19" t="str">
        <f>IFERROR(__xludf.DUMMYFUNCTION("""COMPUTED_VALUE"""),"Zuventus Healthcare Ltd")</f>
        <v>Zuventus Healthcare Ltd</v>
      </c>
    </row>
    <row r="3990">
      <c r="H3990" s="19" t="str">
        <f>IFERROR(__xludf.DUMMYFUNCTION("""COMPUTED_VALUE"""),"Zuventus Healthcare Ltd (SPECIALITY)")</f>
        <v>Zuventus Healthcare Ltd (SPECIALITY)</v>
      </c>
    </row>
    <row r="3991">
      <c r="H3991" s="19" t="str">
        <f>IFERROR(__xludf.DUMMYFUNCTION("""COMPUTED_VALUE"""),"ZUVIUS LIFE SCIENSE PVT LTD")</f>
        <v>ZUVIUS LIFE SCIENSE PVT LTD</v>
      </c>
    </row>
    <row r="3992">
      <c r="H3992" s="19" t="str">
        <f>IFERROR(__xludf.DUMMYFUNCTION("""COMPUTED_VALUE"""),"ZYCARE PHARMACEUTICALS")</f>
        <v>ZYCARE PHARMACEUTICALS</v>
      </c>
    </row>
    <row r="3993">
      <c r="H3993" s="19" t="str">
        <f>IFERROR(__xludf.DUMMYFUNCTION("""COMPUTED_VALUE"""),"ZYDAR PHARMACEUTICALS P LTD")</f>
        <v>ZYDAR PHARMACEUTICALS P LTD</v>
      </c>
    </row>
    <row r="3994">
      <c r="H3994" s="19" t="str">
        <f>IFERROR(__xludf.DUMMYFUNCTION("""COMPUTED_VALUE"""),"ZYDUS (ALIDAC)")</f>
        <v>ZYDUS (ALIDAC)</v>
      </c>
    </row>
    <row r="3995">
      <c r="H3995" s="19" t="str">
        <f>IFERROR(__xludf.DUMMYFUNCTION("""COMPUTED_VALUE"""),"ZYDUS (BIOVATION)")</f>
        <v>ZYDUS (BIOVATION)</v>
      </c>
    </row>
    <row r="3996">
      <c r="H3996" s="19" t="str">
        <f>IFERROR(__xludf.DUMMYFUNCTION("""COMPUTED_VALUE"""),"ZYDUS (CADILA)")</f>
        <v>ZYDUS (CADILA)</v>
      </c>
    </row>
    <row r="3997">
      <c r="H3997" s="19" t="str">
        <f>IFERROR(__xludf.DUMMYFUNCTION("""COMPUTED_VALUE"""),"ZYDUS (CARDIVA)")</f>
        <v>ZYDUS (CARDIVA)</v>
      </c>
    </row>
    <row r="3998">
      <c r="H3998" s="19" t="str">
        <f>IFERROR(__xludf.DUMMYFUNCTION("""COMPUTED_VALUE"""),"ZYDUS (CND)")</f>
        <v>ZYDUS (CND)</v>
      </c>
    </row>
    <row r="3999">
      <c r="H3999" s="19" t="str">
        <f>IFERROR(__xludf.DUMMYFUNCTION("""COMPUTED_VALUE"""),"ZYDUS (CORZA)")</f>
        <v>ZYDUS (CORZA)</v>
      </c>
    </row>
    <row r="4000">
      <c r="H4000" s="19" t="str">
        <f>IFERROR(__xludf.DUMMYFUNCTION("""COMPUTED_VALUE"""),"ZYDUS (DISCOVERY)")</f>
        <v>ZYDUS (DISCOVERY)</v>
      </c>
    </row>
    <row r="4001">
      <c r="H4001" s="19" t="str">
        <f>IFERROR(__xludf.DUMMYFUNCTION("""COMPUTED_VALUE"""),"ZYDUS (FORTIZA)")</f>
        <v>ZYDUS (FORTIZA)</v>
      </c>
    </row>
    <row r="4002">
      <c r="H4002" s="19" t="str">
        <f>IFERROR(__xludf.DUMMYFUNCTION("""COMPUTED_VALUE"""),"ZYDUS (GEO)")</f>
        <v>ZYDUS (GEO)</v>
      </c>
    </row>
    <row r="4003">
      <c r="H4003" s="19" t="str">
        <f>IFERROR(__xludf.DUMMYFUNCTION("""COMPUTED_VALUE"""),"ZYDUS (HEPTIZA)")</f>
        <v>ZYDUS (HEPTIZA)</v>
      </c>
    </row>
    <row r="4004">
      <c r="H4004" s="19" t="str">
        <f>IFERROR(__xludf.DUMMYFUNCTION("""COMPUTED_VALUE"""),"ZYDUS (LIVA)")</f>
        <v>ZYDUS (LIVA)</v>
      </c>
    </row>
    <row r="4005">
      <c r="H4005" s="19" t="str">
        <f>IFERROR(__xludf.DUMMYFUNCTION("""COMPUTED_VALUE"""),"ZYDUS (MEDICA)")</f>
        <v>ZYDUS (MEDICA)</v>
      </c>
    </row>
    <row r="4006">
      <c r="H4006" s="19" t="str">
        <f>IFERROR(__xludf.DUMMYFUNCTION("""COMPUTED_VALUE"""),"ZYDUS (NEPHRO 1)")</f>
        <v>ZYDUS (NEPHRO 1)</v>
      </c>
    </row>
    <row r="4007">
      <c r="H4007" s="19" t="str">
        <f>IFERROR(__xludf.DUMMYFUNCTION("""COMPUTED_VALUE"""),"ZYDUS (NEPHRO TRANSPLANT)")</f>
        <v>ZYDUS (NEPHRO TRANSPLANT)</v>
      </c>
    </row>
    <row r="4008">
      <c r="H4008" s="19" t="str">
        <f>IFERROR(__xludf.DUMMYFUNCTION("""COMPUTED_VALUE"""),"ZYDUS (NEUROSCIENCES)")</f>
        <v>ZYDUS (NEUROSCIENCES)</v>
      </c>
    </row>
    <row r="4009">
      <c r="H4009" s="19" t="str">
        <f>IFERROR(__xludf.DUMMYFUNCTION("""COMPUTED_VALUE"""),"ZYDUS (NUTRIVA)")</f>
        <v>ZYDUS (NUTRIVA)</v>
      </c>
    </row>
    <row r="4010">
      <c r="H4010" s="19" t="str">
        <f>IFERROR(__xludf.DUMMYFUNCTION("""COMPUTED_VALUE"""),"ZYDUS (OCCURE)")</f>
        <v>ZYDUS (OCCURE)</v>
      </c>
    </row>
    <row r="4011">
      <c r="H4011" s="19" t="str">
        <f>IFERROR(__xludf.DUMMYFUNCTION("""COMPUTED_VALUE"""),"ZYDUS (ONCOSCIENCES)")</f>
        <v>ZYDUS (ONCOSCIENCES)</v>
      </c>
    </row>
    <row r="4012">
      <c r="H4012" s="19" t="str">
        <f>IFERROR(__xludf.DUMMYFUNCTION("""COMPUTED_VALUE"""),"ZYDUS (OSTIVIA)")</f>
        <v>ZYDUS (OSTIVIA)</v>
      </c>
    </row>
    <row r="4013">
      <c r="H4013" s="19" t="str">
        <f>IFERROR(__xludf.DUMMYFUNCTION("""COMPUTED_VALUE"""),"ZYDUS (SYNOVIA)")</f>
        <v>ZYDUS (SYNOVIA)</v>
      </c>
    </row>
    <row r="4014">
      <c r="H4014" s="19" t="str">
        <f>IFERROR(__xludf.DUMMYFUNCTION("""COMPUTED_VALUE"""),"ZYDUS (UROSCIENCES)")</f>
        <v>ZYDUS (UROSCIENCES)</v>
      </c>
    </row>
    <row r="4015">
      <c r="H4015" s="19" t="str">
        <f>IFERROR(__xludf.DUMMYFUNCTION("""COMPUTED_VALUE"""),"ZYDUS ANIMAL HEALTHCARE LIMITED")</f>
        <v>ZYDUS ANIMAL HEALTHCARE LIMITED</v>
      </c>
    </row>
    <row r="4016">
      <c r="H4016" s="19" t="str">
        <f>IFERROR(__xludf.DUMMYFUNCTION("""COMPUTED_VALUE"""),"Zydus Cadila Healthcare")</f>
        <v>Zydus Cadila Healthcare</v>
      </c>
    </row>
    <row r="4017">
      <c r="H4017" s="19" t="str">
        <f>IFERROR(__xludf.DUMMYFUNCTION("""COMPUTED_VALUE"""),"ZYDUS WELLNESS LIMITED")</f>
        <v>ZYDUS WELLNESS LIMITED</v>
      </c>
    </row>
    <row r="4018">
      <c r="H4018" s="19" t="str">
        <f>IFERROR(__xludf.DUMMYFUNCTION("""COMPUTED_VALUE"""),"ZYLIG LIFESCIENCES")</f>
        <v>ZYLIG LIFESCIENCES</v>
      </c>
    </row>
    <row r="4019">
      <c r="H4019" s="19" t="str">
        <f>IFERROR(__xludf.DUMMYFUNCTION("""COMPUTED_VALUE"""),"ZYMES BIOSCIENCE PVT LTD")</f>
        <v>ZYMES BIOSCIENCE PVT LTD</v>
      </c>
    </row>
    <row r="4020">
      <c r="H4020" s="19" t="str">
        <f>IFERROR(__xludf.DUMMYFUNCTION("""COMPUTED_VALUE"""),"ZYNEXT PHARMA")</f>
        <v>ZYNEXT PHARMA</v>
      </c>
    </row>
    <row r="4021">
      <c r="H4021" s="19" t="str">
        <f>IFERROR(__xludf.DUMMYFUNCTION("""COMPUTED_VALUE"""),"ZYPHAR'S PHARMACEUTIC'S PVT LT")</f>
        <v>ZYPHAR'S PHARMACEUTIC'S PVT LT</v>
      </c>
    </row>
    <row r="4022">
      <c r="H4022" s="19"/>
    </row>
    <row r="4023">
      <c r="H4023" s="19"/>
    </row>
    <row r="4024">
      <c r="H4024" s="19"/>
    </row>
    <row r="4025">
      <c r="H4025" s="19"/>
    </row>
    <row r="4026">
      <c r="H4026" s="19"/>
    </row>
    <row r="4027">
      <c r="H4027" s="19"/>
    </row>
    <row r="4028">
      <c r="H4028" s="19"/>
    </row>
    <row r="4029">
      <c r="H4029" s="19"/>
    </row>
    <row r="4030">
      <c r="H4030" s="19"/>
    </row>
    <row r="4031">
      <c r="H4031" s="19"/>
    </row>
    <row r="4032">
      <c r="H4032" s="19"/>
    </row>
    <row r="4033">
      <c r="H4033" s="19"/>
    </row>
    <row r="4034">
      <c r="H4034" s="19"/>
    </row>
    <row r="4035">
      <c r="H4035" s="19"/>
    </row>
    <row r="4036">
      <c r="H4036" s="19"/>
    </row>
    <row r="4037">
      <c r="H4037" s="19"/>
    </row>
    <row r="4038">
      <c r="H4038" s="19"/>
    </row>
    <row r="4039">
      <c r="H4039" s="19"/>
    </row>
    <row r="4040">
      <c r="H4040" s="19"/>
    </row>
    <row r="4041">
      <c r="H4041" s="19"/>
    </row>
    <row r="4042">
      <c r="H4042" s="19"/>
    </row>
    <row r="4043">
      <c r="H4043" s="19"/>
    </row>
    <row r="4044">
      <c r="H4044" s="19"/>
    </row>
    <row r="4045">
      <c r="H4045" s="19"/>
    </row>
    <row r="4046">
      <c r="H4046" s="19"/>
    </row>
    <row r="4047">
      <c r="H4047" s="19"/>
    </row>
    <row r="4048">
      <c r="H4048" s="19"/>
    </row>
    <row r="4049">
      <c r="H4049" s="19"/>
    </row>
    <row r="4050">
      <c r="H4050" s="19"/>
    </row>
    <row r="4051">
      <c r="H4051" s="19"/>
    </row>
    <row r="4052">
      <c r="H4052" s="19"/>
    </row>
    <row r="4053">
      <c r="H4053" s="19"/>
    </row>
    <row r="4054">
      <c r="H4054" s="19"/>
    </row>
    <row r="4055">
      <c r="H4055" s="19"/>
    </row>
    <row r="4056">
      <c r="H4056" s="19"/>
    </row>
    <row r="4057">
      <c r="H4057" s="19"/>
    </row>
    <row r="4058">
      <c r="H4058" s="19"/>
    </row>
    <row r="4059">
      <c r="H4059" s="19"/>
    </row>
    <row r="4060">
      <c r="H4060" s="19"/>
    </row>
    <row r="4061">
      <c r="H4061" s="19"/>
    </row>
    <row r="4062">
      <c r="H4062" s="19"/>
    </row>
    <row r="4063">
      <c r="H4063" s="19"/>
    </row>
    <row r="4064">
      <c r="H4064" s="19"/>
    </row>
    <row r="4065">
      <c r="H4065" s="19"/>
    </row>
    <row r="4066">
      <c r="H4066" s="19"/>
    </row>
    <row r="4067">
      <c r="H4067" s="19"/>
    </row>
    <row r="4068">
      <c r="H4068" s="19"/>
    </row>
    <row r="4069">
      <c r="H4069" s="19"/>
    </row>
    <row r="4070">
      <c r="H4070" s="19"/>
    </row>
    <row r="4071">
      <c r="H4071" s="19"/>
    </row>
    <row r="4072">
      <c r="H4072" s="19"/>
    </row>
    <row r="4073">
      <c r="H4073" s="19"/>
    </row>
    <row r="4074">
      <c r="H4074" s="19"/>
    </row>
    <row r="4075">
      <c r="H4075" s="19"/>
    </row>
    <row r="4076">
      <c r="H4076" s="19"/>
    </row>
    <row r="4077">
      <c r="H4077" s="19"/>
    </row>
    <row r="4078">
      <c r="H4078" s="19"/>
    </row>
    <row r="4079">
      <c r="H4079" s="19"/>
    </row>
    <row r="4080">
      <c r="H4080" s="19"/>
    </row>
    <row r="4081">
      <c r="H4081" s="19"/>
    </row>
    <row r="4082">
      <c r="H4082" s="19"/>
    </row>
    <row r="4083">
      <c r="H4083" s="19"/>
    </row>
    <row r="4084">
      <c r="H4084" s="19"/>
    </row>
    <row r="4085">
      <c r="H4085" s="19"/>
    </row>
    <row r="4086">
      <c r="H4086" s="19"/>
    </row>
    <row r="4087">
      <c r="H4087" s="19"/>
    </row>
    <row r="4088">
      <c r="H4088" s="19"/>
    </row>
    <row r="4089">
      <c r="H4089" s="19"/>
    </row>
    <row r="4090">
      <c r="H4090" s="19"/>
    </row>
    <row r="4091">
      <c r="H4091" s="19"/>
    </row>
    <row r="4092">
      <c r="H4092" s="19"/>
    </row>
    <row r="4093">
      <c r="H4093" s="19"/>
    </row>
    <row r="4094">
      <c r="H4094" s="19"/>
    </row>
    <row r="4095">
      <c r="H4095" s="19"/>
    </row>
    <row r="4096">
      <c r="H4096" s="19"/>
    </row>
    <row r="4097">
      <c r="H4097" s="19"/>
    </row>
    <row r="4098">
      <c r="H4098" s="19"/>
    </row>
    <row r="4099">
      <c r="H4099" s="19"/>
    </row>
    <row r="4100">
      <c r="H4100" s="19"/>
    </row>
    <row r="4101">
      <c r="H4101" s="19"/>
    </row>
    <row r="4102">
      <c r="H4102" s="19"/>
    </row>
    <row r="4103">
      <c r="H4103" s="19"/>
    </row>
    <row r="4104">
      <c r="H4104" s="19"/>
    </row>
    <row r="4105">
      <c r="H4105" s="19"/>
    </row>
    <row r="4106">
      <c r="H4106" s="19"/>
    </row>
    <row r="4107">
      <c r="H4107" s="19"/>
    </row>
    <row r="4108">
      <c r="H4108" s="19"/>
    </row>
    <row r="4109">
      <c r="H4109" s="19"/>
    </row>
    <row r="4110">
      <c r="H4110" s="19"/>
    </row>
    <row r="4111">
      <c r="H4111" s="19"/>
    </row>
    <row r="4112">
      <c r="H4112" s="19"/>
    </row>
    <row r="4113">
      <c r="H4113" s="19"/>
    </row>
    <row r="4114">
      <c r="H4114" s="19"/>
    </row>
    <row r="4115">
      <c r="H4115" s="19"/>
    </row>
    <row r="4116">
      <c r="H4116" s="19"/>
    </row>
    <row r="4117">
      <c r="H4117" s="19"/>
    </row>
    <row r="4118">
      <c r="H4118" s="19"/>
    </row>
    <row r="4119">
      <c r="H4119" s="19"/>
    </row>
    <row r="4120">
      <c r="H4120" s="19"/>
    </row>
    <row r="4121">
      <c r="H4121" s="19"/>
    </row>
    <row r="4122">
      <c r="H4122" s="19"/>
    </row>
    <row r="4123">
      <c r="H4123" s="19"/>
    </row>
    <row r="4124">
      <c r="H4124" s="19"/>
    </row>
    <row r="4125">
      <c r="H4125" s="19"/>
    </row>
    <row r="4126">
      <c r="H4126" s="19"/>
    </row>
    <row r="4127">
      <c r="H4127" s="19"/>
    </row>
    <row r="4128">
      <c r="H4128" s="19"/>
    </row>
    <row r="4129">
      <c r="H4129" s="19"/>
    </row>
    <row r="4130">
      <c r="H4130" s="19"/>
    </row>
    <row r="4131">
      <c r="H4131" s="19"/>
    </row>
    <row r="4132">
      <c r="H4132" s="19"/>
    </row>
    <row r="4133">
      <c r="H4133" s="19"/>
    </row>
    <row r="4134">
      <c r="H4134" s="19"/>
    </row>
    <row r="4135">
      <c r="H4135" s="19"/>
    </row>
    <row r="4136">
      <c r="H4136" s="19"/>
    </row>
    <row r="4137">
      <c r="H4137" s="19"/>
    </row>
    <row r="4138">
      <c r="H4138" s="19"/>
    </row>
    <row r="4139">
      <c r="H4139" s="19"/>
    </row>
    <row r="4140">
      <c r="H4140" s="19"/>
    </row>
    <row r="4141">
      <c r="H4141" s="19"/>
    </row>
    <row r="4142">
      <c r="H4142" s="19"/>
    </row>
    <row r="4143">
      <c r="H4143" s="19"/>
    </row>
    <row r="4144">
      <c r="H4144" s="19"/>
    </row>
    <row r="4145">
      <c r="H4145" s="19"/>
    </row>
    <row r="4146">
      <c r="H4146" s="19"/>
    </row>
    <row r="4147">
      <c r="H4147" s="19"/>
    </row>
    <row r="4148">
      <c r="H4148" s="19"/>
    </row>
    <row r="4149">
      <c r="H4149" s="19"/>
    </row>
    <row r="4150">
      <c r="H4150" s="19"/>
    </row>
    <row r="4151">
      <c r="H4151" s="19"/>
    </row>
    <row r="4152">
      <c r="H4152" s="19"/>
    </row>
    <row r="4153">
      <c r="H4153" s="19"/>
    </row>
    <row r="4154">
      <c r="H4154" s="19"/>
    </row>
    <row r="4155">
      <c r="H4155" s="19"/>
    </row>
    <row r="4156">
      <c r="H4156" s="19"/>
    </row>
    <row r="4157">
      <c r="H4157" s="19"/>
    </row>
    <row r="4158">
      <c r="H4158" s="19"/>
    </row>
    <row r="4159">
      <c r="H4159" s="19"/>
    </row>
    <row r="4160">
      <c r="H4160" s="19"/>
    </row>
    <row r="4161">
      <c r="H4161" s="19"/>
    </row>
    <row r="4162">
      <c r="H4162" s="19"/>
    </row>
    <row r="4163">
      <c r="H4163" s="19"/>
    </row>
    <row r="4164">
      <c r="H4164" s="19"/>
    </row>
    <row r="4165">
      <c r="H4165" s="19"/>
    </row>
    <row r="4166">
      <c r="H4166" s="19"/>
    </row>
    <row r="4167">
      <c r="H4167" s="19"/>
    </row>
    <row r="4168">
      <c r="H4168" s="19"/>
    </row>
    <row r="4169">
      <c r="H4169" s="19"/>
    </row>
    <row r="4170">
      <c r="H4170" s="19"/>
    </row>
    <row r="4171">
      <c r="H4171" s="19"/>
    </row>
    <row r="4172">
      <c r="H4172" s="19"/>
    </row>
    <row r="4173">
      <c r="H4173" s="19"/>
    </row>
    <row r="4174">
      <c r="H4174" s="19"/>
    </row>
    <row r="4175">
      <c r="H4175" s="19"/>
    </row>
    <row r="4176">
      <c r="H4176" s="19"/>
    </row>
    <row r="4177">
      <c r="H4177" s="19"/>
    </row>
    <row r="4178">
      <c r="H4178" s="19"/>
    </row>
    <row r="4179">
      <c r="H4179" s="19"/>
    </row>
    <row r="4180">
      <c r="H4180" s="19"/>
    </row>
    <row r="4181">
      <c r="H4181" s="19"/>
    </row>
    <row r="4182">
      <c r="H4182" s="19"/>
    </row>
    <row r="4183">
      <c r="H4183" s="19"/>
    </row>
    <row r="4184">
      <c r="H4184" s="19"/>
    </row>
    <row r="4185">
      <c r="H4185" s="19"/>
    </row>
    <row r="4186">
      <c r="H4186" s="19"/>
    </row>
    <row r="4187">
      <c r="H4187" s="19"/>
    </row>
    <row r="4188">
      <c r="H4188" s="19"/>
    </row>
    <row r="4189">
      <c r="H4189" s="19"/>
    </row>
    <row r="4190">
      <c r="H4190" s="19"/>
    </row>
    <row r="4191">
      <c r="H4191" s="19"/>
    </row>
    <row r="4192">
      <c r="H4192" s="19"/>
    </row>
    <row r="4193">
      <c r="H4193" s="19"/>
    </row>
    <row r="4194">
      <c r="H4194" s="19"/>
    </row>
    <row r="4195">
      <c r="H4195" s="19"/>
    </row>
    <row r="4196">
      <c r="H4196" s="19"/>
    </row>
    <row r="4197">
      <c r="H4197" s="19"/>
    </row>
    <row r="4198">
      <c r="H4198" s="19"/>
    </row>
    <row r="4199">
      <c r="H4199" s="19"/>
    </row>
    <row r="4200">
      <c r="H4200" s="19"/>
    </row>
    <row r="4201">
      <c r="H4201" s="19"/>
    </row>
    <row r="4202">
      <c r="H4202" s="19"/>
    </row>
    <row r="4203">
      <c r="H4203" s="19"/>
    </row>
    <row r="4204">
      <c r="H4204" s="19"/>
    </row>
    <row r="4205">
      <c r="H4205" s="19"/>
    </row>
    <row r="4206">
      <c r="H4206" s="19"/>
    </row>
    <row r="4207">
      <c r="H4207" s="19"/>
    </row>
    <row r="4208">
      <c r="H4208" s="19"/>
    </row>
    <row r="4209">
      <c r="H4209" s="19"/>
    </row>
    <row r="4210">
      <c r="H4210" s="19"/>
    </row>
    <row r="4211">
      <c r="H4211" s="19"/>
    </row>
    <row r="4212">
      <c r="H4212" s="19"/>
    </row>
    <row r="4213">
      <c r="H4213" s="19"/>
    </row>
    <row r="4214">
      <c r="H4214" s="19"/>
    </row>
    <row r="4215">
      <c r="H4215" s="19"/>
    </row>
    <row r="4216">
      <c r="H4216" s="19"/>
    </row>
    <row r="4217">
      <c r="H4217" s="19"/>
    </row>
    <row r="4218">
      <c r="H4218" s="19"/>
    </row>
    <row r="4219">
      <c r="H4219" s="19"/>
    </row>
    <row r="4220">
      <c r="H4220" s="19"/>
    </row>
    <row r="4221">
      <c r="H4221" s="19"/>
    </row>
    <row r="4222">
      <c r="H4222" s="19"/>
    </row>
    <row r="4223">
      <c r="H4223" s="19"/>
    </row>
    <row r="4224">
      <c r="H4224" s="19"/>
    </row>
    <row r="4225">
      <c r="H4225" s="19"/>
    </row>
    <row r="4226">
      <c r="H4226" s="19"/>
    </row>
    <row r="4227">
      <c r="H4227" s="19"/>
    </row>
    <row r="4228">
      <c r="H4228" s="19"/>
    </row>
    <row r="4229">
      <c r="H4229" s="19"/>
    </row>
    <row r="4230">
      <c r="H4230" s="19"/>
    </row>
    <row r="4231">
      <c r="H4231" s="19"/>
    </row>
    <row r="4232">
      <c r="H4232" s="19"/>
    </row>
    <row r="4233">
      <c r="H4233" s="19"/>
    </row>
    <row r="4234">
      <c r="H4234" s="19"/>
    </row>
    <row r="4235">
      <c r="H4235" s="19"/>
    </row>
    <row r="4236">
      <c r="H4236" s="19"/>
    </row>
    <row r="4237">
      <c r="H4237" s="19"/>
    </row>
    <row r="4238">
      <c r="H4238" s="19"/>
    </row>
    <row r="4239">
      <c r="H4239" s="19"/>
    </row>
    <row r="4240">
      <c r="H4240" s="19"/>
    </row>
    <row r="4241">
      <c r="H4241" s="19"/>
    </row>
    <row r="4242">
      <c r="H4242" s="19"/>
    </row>
    <row r="4243">
      <c r="H4243" s="19"/>
    </row>
    <row r="4244">
      <c r="H4244" s="19"/>
    </row>
    <row r="4245">
      <c r="H4245" s="19"/>
    </row>
    <row r="4246">
      <c r="H4246" s="19"/>
    </row>
    <row r="4247">
      <c r="H4247" s="19"/>
    </row>
    <row r="4248">
      <c r="H4248" s="19"/>
    </row>
    <row r="4249">
      <c r="H4249" s="19"/>
    </row>
    <row r="4250">
      <c r="H4250" s="19"/>
    </row>
    <row r="4251">
      <c r="H4251" s="19"/>
    </row>
    <row r="4252">
      <c r="H4252" s="19"/>
    </row>
    <row r="4253">
      <c r="H4253" s="19"/>
    </row>
    <row r="4254">
      <c r="H4254" s="19"/>
    </row>
    <row r="4255">
      <c r="H4255" s="19"/>
    </row>
    <row r="4256">
      <c r="H4256" s="19"/>
    </row>
    <row r="4257">
      <c r="H4257" s="19"/>
    </row>
    <row r="4258">
      <c r="H4258" s="19"/>
    </row>
    <row r="4259">
      <c r="H4259" s="19"/>
    </row>
    <row r="4260">
      <c r="H4260" s="19"/>
    </row>
    <row r="4261">
      <c r="H4261" s="19"/>
    </row>
    <row r="4262">
      <c r="H4262" s="19"/>
    </row>
    <row r="4263">
      <c r="H4263" s="19"/>
    </row>
    <row r="4264">
      <c r="H4264" s="19"/>
    </row>
    <row r="4265">
      <c r="H4265" s="19"/>
    </row>
    <row r="4266">
      <c r="H4266" s="19"/>
    </row>
    <row r="4267">
      <c r="H4267" s="19"/>
    </row>
    <row r="4268">
      <c r="H4268" s="19"/>
    </row>
    <row r="4269">
      <c r="H4269" s="19"/>
    </row>
    <row r="4270">
      <c r="H4270" s="19"/>
    </row>
    <row r="4271">
      <c r="H4271" s="19"/>
    </row>
    <row r="4272">
      <c r="H4272" s="19"/>
    </row>
    <row r="4273">
      <c r="H4273" s="19"/>
    </row>
    <row r="4274">
      <c r="H4274" s="19"/>
    </row>
    <row r="4275">
      <c r="H4275" s="19"/>
    </row>
    <row r="4276">
      <c r="H4276" s="19"/>
    </row>
    <row r="4277">
      <c r="H4277" s="19"/>
    </row>
    <row r="4278">
      <c r="H4278" s="19"/>
    </row>
    <row r="4279">
      <c r="H4279" s="19"/>
    </row>
    <row r="4280">
      <c r="H4280" s="19"/>
    </row>
    <row r="4281">
      <c r="H4281" s="19"/>
    </row>
    <row r="4282">
      <c r="H4282" s="19"/>
    </row>
    <row r="4283">
      <c r="H4283" s="19"/>
    </row>
    <row r="4284">
      <c r="H4284" s="19"/>
    </row>
    <row r="4285">
      <c r="H4285" s="19"/>
    </row>
    <row r="4286">
      <c r="H4286" s="19"/>
    </row>
    <row r="4287">
      <c r="H4287" s="19"/>
    </row>
    <row r="4288">
      <c r="H4288" s="19"/>
    </row>
    <row r="4289">
      <c r="H4289" s="19"/>
    </row>
    <row r="4290">
      <c r="H4290" s="19"/>
    </row>
    <row r="4291">
      <c r="H4291" s="19"/>
    </row>
    <row r="4292">
      <c r="H4292" s="19"/>
    </row>
    <row r="4293">
      <c r="H4293" s="19"/>
    </row>
    <row r="4294">
      <c r="H4294" s="19"/>
    </row>
    <row r="4295">
      <c r="H4295" s="19"/>
    </row>
    <row r="4296">
      <c r="H4296" s="19"/>
    </row>
    <row r="4297">
      <c r="H4297" s="19"/>
    </row>
    <row r="4298">
      <c r="H4298" s="19"/>
    </row>
    <row r="4299">
      <c r="H4299" s="19"/>
    </row>
    <row r="4300">
      <c r="H4300" s="19"/>
    </row>
    <row r="4301">
      <c r="H4301" s="19"/>
    </row>
    <row r="4302">
      <c r="H4302" s="19"/>
    </row>
    <row r="4303">
      <c r="H4303" s="19"/>
    </row>
    <row r="4304">
      <c r="H4304" s="19"/>
    </row>
    <row r="4305">
      <c r="H4305" s="19"/>
    </row>
    <row r="4306">
      <c r="H4306" s="19"/>
    </row>
    <row r="4307">
      <c r="H4307" s="19"/>
    </row>
    <row r="4308">
      <c r="H4308" s="19"/>
    </row>
    <row r="4309">
      <c r="H4309" s="19"/>
    </row>
    <row r="4310">
      <c r="H4310" s="19"/>
    </row>
    <row r="4311">
      <c r="H4311" s="19"/>
    </row>
    <row r="4312">
      <c r="H4312" s="19"/>
    </row>
    <row r="4313">
      <c r="H4313" s="19"/>
    </row>
    <row r="4314">
      <c r="H4314" s="19"/>
    </row>
    <row r="4315">
      <c r="H4315" s="19"/>
    </row>
    <row r="4316">
      <c r="H4316" s="19"/>
    </row>
    <row r="4317">
      <c r="H4317" s="19"/>
    </row>
    <row r="4318">
      <c r="H4318" s="19"/>
    </row>
    <row r="4319">
      <c r="H4319" s="19"/>
    </row>
    <row r="4320">
      <c r="H4320" s="19"/>
    </row>
    <row r="4321">
      <c r="H4321" s="19"/>
    </row>
    <row r="4322">
      <c r="H4322" s="19"/>
    </row>
    <row r="4323">
      <c r="H4323" s="19"/>
    </row>
    <row r="4324">
      <c r="H4324" s="19"/>
    </row>
    <row r="4325">
      <c r="H4325" s="19"/>
    </row>
    <row r="4326">
      <c r="H4326" s="19"/>
    </row>
    <row r="4327">
      <c r="H4327" s="19"/>
    </row>
    <row r="4328">
      <c r="H4328" s="19"/>
    </row>
    <row r="4329">
      <c r="H4329" s="19"/>
    </row>
    <row r="4330">
      <c r="H4330" s="19"/>
    </row>
    <row r="4331">
      <c r="H4331" s="19"/>
    </row>
    <row r="4332">
      <c r="H4332" s="19"/>
    </row>
    <row r="4333">
      <c r="H4333" s="19"/>
    </row>
    <row r="4334">
      <c r="H4334" s="19"/>
    </row>
    <row r="4335">
      <c r="H4335" s="19"/>
    </row>
    <row r="4336">
      <c r="H4336" s="19"/>
    </row>
    <row r="4337">
      <c r="H4337" s="19"/>
    </row>
    <row r="4338">
      <c r="H4338" s="19"/>
    </row>
    <row r="4339">
      <c r="H4339" s="19"/>
    </row>
    <row r="4340">
      <c r="H4340" s="19"/>
    </row>
    <row r="4341">
      <c r="H4341" s="19"/>
    </row>
    <row r="4342">
      <c r="H4342" s="19"/>
    </row>
    <row r="4343">
      <c r="H4343" s="19"/>
    </row>
    <row r="4344">
      <c r="H4344" s="19"/>
    </row>
    <row r="4345">
      <c r="H4345" s="19"/>
    </row>
    <row r="4346">
      <c r="H4346" s="19"/>
    </row>
    <row r="4347">
      <c r="H4347" s="19"/>
    </row>
    <row r="4348">
      <c r="H4348" s="19"/>
    </row>
    <row r="4349">
      <c r="H4349" s="19"/>
    </row>
    <row r="4350">
      <c r="H4350" s="19"/>
    </row>
    <row r="4351">
      <c r="H4351" s="19"/>
    </row>
    <row r="4352">
      <c r="H4352" s="19"/>
    </row>
    <row r="4353">
      <c r="H4353" s="19"/>
    </row>
    <row r="4354">
      <c r="H4354" s="19"/>
    </row>
    <row r="4355">
      <c r="H4355" s="19"/>
    </row>
    <row r="4356">
      <c r="H4356" s="19"/>
    </row>
    <row r="4357">
      <c r="H4357" s="19"/>
    </row>
    <row r="4358">
      <c r="H4358" s="19"/>
    </row>
    <row r="4359">
      <c r="H4359" s="19"/>
    </row>
    <row r="4360">
      <c r="H4360" s="19"/>
    </row>
    <row r="4361">
      <c r="H4361" s="19"/>
    </row>
    <row r="4362">
      <c r="H4362" s="19"/>
    </row>
    <row r="4363">
      <c r="H4363" s="19"/>
    </row>
    <row r="4364">
      <c r="H4364" s="19"/>
    </row>
    <row r="4365">
      <c r="H4365" s="19"/>
    </row>
    <row r="4366">
      <c r="H4366" s="19"/>
    </row>
    <row r="4367">
      <c r="H4367" s="19"/>
    </row>
    <row r="4368">
      <c r="H4368" s="19"/>
    </row>
    <row r="4369">
      <c r="H4369" s="19"/>
    </row>
    <row r="4370">
      <c r="H4370" s="19"/>
    </row>
    <row r="4371">
      <c r="H4371" s="19"/>
    </row>
    <row r="4372">
      <c r="H4372" s="19"/>
    </row>
    <row r="4373">
      <c r="H4373" s="19"/>
    </row>
    <row r="4374">
      <c r="H4374" s="19"/>
    </row>
    <row r="4375">
      <c r="H4375" s="19"/>
    </row>
    <row r="4376">
      <c r="H4376" s="19"/>
    </row>
    <row r="4377">
      <c r="H4377" s="19"/>
    </row>
    <row r="4378">
      <c r="H4378" s="19"/>
    </row>
    <row r="4379">
      <c r="H4379" s="19"/>
    </row>
    <row r="4380">
      <c r="H4380" s="19"/>
    </row>
    <row r="4381">
      <c r="H4381" s="19"/>
    </row>
    <row r="4382">
      <c r="H4382" s="19"/>
    </row>
    <row r="4383">
      <c r="H4383" s="19"/>
    </row>
    <row r="4384">
      <c r="H4384" s="19"/>
    </row>
    <row r="4385">
      <c r="H4385" s="19"/>
    </row>
    <row r="4386">
      <c r="H4386" s="19"/>
    </row>
    <row r="4387">
      <c r="H4387" s="19"/>
    </row>
    <row r="4388">
      <c r="H4388" s="19"/>
    </row>
    <row r="4389">
      <c r="H4389" s="19"/>
    </row>
    <row r="4390">
      <c r="H4390" s="19"/>
    </row>
    <row r="4391">
      <c r="H4391" s="19"/>
    </row>
    <row r="4392">
      <c r="H4392" s="19"/>
    </row>
    <row r="4393">
      <c r="H4393" s="19"/>
    </row>
    <row r="4394">
      <c r="H4394" s="19"/>
    </row>
    <row r="4395">
      <c r="H4395" s="19"/>
    </row>
    <row r="4396">
      <c r="H4396" s="19"/>
    </row>
    <row r="4397">
      <c r="H4397" s="19"/>
    </row>
    <row r="4398">
      <c r="H4398" s="19"/>
    </row>
    <row r="4399">
      <c r="H4399" s="19"/>
    </row>
    <row r="4400">
      <c r="H4400" s="19"/>
    </row>
    <row r="4401">
      <c r="H4401" s="19"/>
    </row>
    <row r="4402">
      <c r="H4402" s="19"/>
    </row>
    <row r="4403">
      <c r="H4403" s="19"/>
    </row>
    <row r="4404">
      <c r="H4404" s="19"/>
    </row>
    <row r="4405">
      <c r="H4405" s="19"/>
    </row>
    <row r="4406">
      <c r="H4406" s="19"/>
    </row>
    <row r="4407">
      <c r="H4407" s="19"/>
    </row>
    <row r="4408">
      <c r="H4408" s="19"/>
    </row>
    <row r="4409">
      <c r="H4409" s="19"/>
    </row>
    <row r="4410">
      <c r="H4410" s="19"/>
    </row>
    <row r="4411">
      <c r="H4411" s="19"/>
    </row>
    <row r="4412">
      <c r="H4412" s="19"/>
    </row>
    <row r="4413">
      <c r="H4413" s="19"/>
    </row>
    <row r="4414">
      <c r="H4414" s="19"/>
    </row>
    <row r="4415">
      <c r="H4415" s="19"/>
    </row>
    <row r="4416">
      <c r="H4416" s="19"/>
    </row>
    <row r="4417">
      <c r="H4417" s="19"/>
    </row>
    <row r="4418">
      <c r="H4418" s="19"/>
    </row>
    <row r="4419">
      <c r="H4419" s="19"/>
    </row>
    <row r="4420">
      <c r="H4420" s="19"/>
    </row>
    <row r="4421">
      <c r="H4421" s="19"/>
    </row>
    <row r="4422">
      <c r="H4422" s="19"/>
    </row>
    <row r="4423">
      <c r="H4423" s="19"/>
    </row>
    <row r="4424">
      <c r="H4424" s="19"/>
    </row>
    <row r="4425">
      <c r="H4425" s="19"/>
    </row>
    <row r="4426">
      <c r="H4426" s="19"/>
    </row>
    <row r="4427">
      <c r="H4427" s="19"/>
    </row>
    <row r="4428">
      <c r="H4428" s="19"/>
    </row>
    <row r="4429">
      <c r="H4429" s="19"/>
    </row>
    <row r="4430">
      <c r="H4430" s="19"/>
    </row>
    <row r="4431">
      <c r="H4431" s="19"/>
    </row>
    <row r="4432">
      <c r="H4432" s="19"/>
    </row>
    <row r="4433">
      <c r="H4433" s="19"/>
    </row>
    <row r="4434">
      <c r="H4434" s="19"/>
    </row>
    <row r="4435">
      <c r="H4435" s="19"/>
    </row>
    <row r="4436">
      <c r="H4436" s="19"/>
    </row>
    <row r="4437">
      <c r="H4437" s="19"/>
    </row>
    <row r="4438">
      <c r="H4438" s="19"/>
    </row>
    <row r="4439">
      <c r="H4439" s="19"/>
    </row>
    <row r="4440">
      <c r="H4440" s="19"/>
    </row>
    <row r="4441">
      <c r="H4441" s="19"/>
    </row>
    <row r="4442">
      <c r="H4442" s="19"/>
    </row>
    <row r="4443">
      <c r="H4443" s="19"/>
    </row>
    <row r="4444">
      <c r="H4444" s="19"/>
    </row>
    <row r="4445">
      <c r="H4445" s="19"/>
    </row>
    <row r="4446">
      <c r="H4446" s="19"/>
    </row>
    <row r="4447">
      <c r="H4447" s="19"/>
    </row>
    <row r="4448">
      <c r="H4448" s="19"/>
    </row>
    <row r="4449">
      <c r="H4449" s="19"/>
    </row>
    <row r="4450">
      <c r="H4450" s="19"/>
    </row>
    <row r="4451">
      <c r="H4451" s="19"/>
    </row>
    <row r="4452">
      <c r="H4452" s="19"/>
    </row>
    <row r="4453">
      <c r="H4453" s="19"/>
    </row>
    <row r="4454">
      <c r="H4454" s="19"/>
    </row>
    <row r="4455">
      <c r="H4455" s="19"/>
    </row>
    <row r="4456">
      <c r="H4456" s="19"/>
    </row>
    <row r="4457">
      <c r="H4457" s="19"/>
    </row>
    <row r="4458">
      <c r="H4458" s="19"/>
    </row>
    <row r="4459">
      <c r="H4459" s="19"/>
    </row>
    <row r="4460">
      <c r="H4460" s="19"/>
    </row>
    <row r="4461">
      <c r="H4461" s="19"/>
    </row>
    <row r="4462">
      <c r="H4462" s="19"/>
    </row>
    <row r="4463">
      <c r="H4463" s="19"/>
    </row>
    <row r="4464">
      <c r="H4464" s="19"/>
    </row>
    <row r="4465">
      <c r="H4465" s="19"/>
    </row>
    <row r="4466">
      <c r="H4466" s="19"/>
    </row>
    <row r="4467">
      <c r="H4467" s="19"/>
    </row>
    <row r="4468">
      <c r="H4468" s="19"/>
    </row>
    <row r="4469">
      <c r="H4469" s="19"/>
    </row>
    <row r="4470">
      <c r="H4470" s="19"/>
    </row>
    <row r="4471">
      <c r="H4471" s="19"/>
    </row>
    <row r="4472">
      <c r="H4472" s="19"/>
    </row>
    <row r="4473">
      <c r="H4473" s="19"/>
    </row>
    <row r="4474">
      <c r="H4474" s="19"/>
    </row>
    <row r="4475">
      <c r="H4475" s="19"/>
    </row>
    <row r="4476">
      <c r="H4476" s="19"/>
    </row>
    <row r="4477">
      <c r="H4477" s="19"/>
    </row>
    <row r="4478">
      <c r="H4478" s="19"/>
    </row>
    <row r="4479">
      <c r="H4479" s="19"/>
    </row>
    <row r="4480">
      <c r="H4480" s="19"/>
    </row>
    <row r="4481">
      <c r="H4481" s="19"/>
    </row>
    <row r="4482">
      <c r="H4482" s="19"/>
    </row>
    <row r="4483">
      <c r="H4483" s="19"/>
    </row>
    <row r="4484">
      <c r="H4484" s="19"/>
    </row>
    <row r="4485">
      <c r="H4485" s="19"/>
    </row>
    <row r="4486">
      <c r="H4486" s="19"/>
    </row>
    <row r="4487">
      <c r="H4487" s="19"/>
    </row>
    <row r="4488">
      <c r="H4488" s="19"/>
    </row>
    <row r="4489">
      <c r="H4489" s="19"/>
    </row>
    <row r="4490">
      <c r="H4490" s="19"/>
    </row>
    <row r="4491">
      <c r="H4491" s="19"/>
    </row>
    <row r="4492">
      <c r="H4492" s="19"/>
    </row>
    <row r="4493">
      <c r="H4493" s="19"/>
    </row>
    <row r="4494">
      <c r="H4494" s="19"/>
    </row>
    <row r="4495">
      <c r="H4495" s="19"/>
    </row>
    <row r="4496">
      <c r="H4496" s="19"/>
    </row>
    <row r="4497">
      <c r="H4497" s="19"/>
    </row>
    <row r="4498">
      <c r="H4498" s="19"/>
    </row>
    <row r="4499">
      <c r="H4499" s="19"/>
    </row>
    <row r="4500">
      <c r="H4500" s="19"/>
    </row>
    <row r="4501">
      <c r="H4501" s="19"/>
    </row>
    <row r="4502">
      <c r="H4502" s="19"/>
    </row>
    <row r="4503">
      <c r="H4503" s="19"/>
    </row>
    <row r="4504">
      <c r="H4504" s="19"/>
    </row>
    <row r="4505">
      <c r="H4505" s="19"/>
    </row>
    <row r="4506">
      <c r="H4506" s="19"/>
    </row>
    <row r="4507">
      <c r="H4507" s="19"/>
    </row>
    <row r="4508">
      <c r="H4508" s="19"/>
    </row>
    <row r="4509">
      <c r="H4509" s="19"/>
    </row>
    <row r="4510">
      <c r="H4510" s="19"/>
    </row>
    <row r="4511">
      <c r="H4511" s="19"/>
    </row>
    <row r="4512">
      <c r="H4512" s="19"/>
    </row>
    <row r="4513">
      <c r="H4513" s="19"/>
    </row>
    <row r="4514">
      <c r="H4514" s="19"/>
    </row>
    <row r="4515">
      <c r="H4515" s="19"/>
    </row>
    <row r="4516">
      <c r="H4516" s="19"/>
    </row>
    <row r="4517">
      <c r="H4517" s="19"/>
    </row>
    <row r="4518">
      <c r="H4518" s="19"/>
    </row>
    <row r="4519">
      <c r="H4519" s="19"/>
    </row>
    <row r="4520">
      <c r="H4520" s="19"/>
    </row>
    <row r="4521">
      <c r="H4521" s="19"/>
    </row>
  </sheetData>
  <dataValidations>
    <dataValidation type="list" allowBlank="1" showErrorMessage="1" sqref="C2:C6">
      <formula1>$H:$H</formula1>
    </dataValidation>
  </dataValidation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2023-07-22T11:53:28Z</dcterms:created>
  <dc:creator>Lenovo Laptop</dc:creator>
</cp:coreProperties>
</file>