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 File" sheetId="1" r:id="rId4"/>
    <sheet state="visible" name="Company Validation" sheetId="2" r:id="rId5"/>
    <sheet state="visible" name="MARG ERP 9+ Excel Report" sheetId="3" r:id="rId6"/>
  </sheets>
  <definedNames>
    <definedName hidden="1" localSheetId="0" name="_xlnm._FilterDatabase">'Work File'!$A$1:$I$3939</definedName>
    <definedName hidden="1" localSheetId="1" name="_xlnm._FilterDatabase">'Company Validation'!$A$1:$X$3790</definedName>
  </definedNames>
  <calcPr/>
  <extLst>
    <ext uri="GoogleSheetsCustomDataVersion1">
      <go:sheetsCustomData xmlns:go="http://customooxmlschemas.google.com/" r:id="rId7" roundtripDataSignature="AMtx7mjbveAgu0P4MMum6h+L/vfJ2FzWIg=="/>
    </ext>
  </extLst>
</workbook>
</file>

<file path=xl/sharedStrings.xml><?xml version="1.0" encoding="utf-8"?>
<sst xmlns="http://schemas.openxmlformats.org/spreadsheetml/2006/main" count="16707" uniqueCount="8292">
  <si>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</si>
  <si>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</si>
  <si>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</si>
  <si>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</si>
  <si>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</si>
  <si>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</si>
  <si>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</si>
  <si>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</si>
  <si>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</si>
  <si>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ABOCAL 500 TAB</t>
  </si>
  <si>
    <t>Abbott India Ltd</t>
  </si>
  <si>
    <t>ABVIDA M 50/1000</t>
  </si>
  <si>
    <t>ABVIDA M 50/500 TAB</t>
  </si>
  <si>
    <t>ANAFORTAN TAB.</t>
  </si>
  <si>
    <t>BETONIN SYP SMALL.</t>
  </si>
  <si>
    <t>BILAZEST 20 TAB</t>
  </si>
  <si>
    <t>BILAZEST KID SYP</t>
  </si>
  <si>
    <t>BILAZEST M TAB</t>
  </si>
  <si>
    <t>BRIVETOIN 50 MG TAB</t>
  </si>
  <si>
    <t>BRUFEN 200 TAB</t>
  </si>
  <si>
    <t>BRUFEN 400 TAB</t>
  </si>
  <si>
    <t>COMBINORM CAP.</t>
  </si>
  <si>
    <t>CREMA ANO CREAM</t>
  </si>
  <si>
    <t>CREMADIET POW BIG</t>
  </si>
  <si>
    <t>CREMAFFIN MX FRUIT</t>
  </si>
  <si>
    <t>CREMAFFIN PINK SYP</t>
  </si>
  <si>
    <t>CREMAFFIN PLUS SYP</t>
  </si>
  <si>
    <t>CREMAFFIN WHITE</t>
  </si>
  <si>
    <t>CREMAGEL</t>
  </si>
  <si>
    <t>CREMAGEL L</t>
  </si>
  <si>
    <t>CREMALAX TAB</t>
  </si>
  <si>
    <t>CWIN SHAMPOO</t>
  </si>
  <si>
    <t>CYTOGARD MR TAB</t>
  </si>
  <si>
    <t>DABIGO 110 TAB</t>
  </si>
  <si>
    <t>DIGENE SYP BIG MINT</t>
  </si>
  <si>
    <t>DIGENE SYP BIG ORG</t>
  </si>
  <si>
    <t>DIGENE MINT SYP</t>
  </si>
  <si>
    <t>DIGENE MINT TAB</t>
  </si>
  <si>
    <t>DIGENE ORG TAB</t>
  </si>
  <si>
    <t>DIGENE ORG. SYP</t>
  </si>
  <si>
    <t>DIGERAFT SYRUP</t>
  </si>
  <si>
    <t>DUPHALAC ENEMA</t>
  </si>
  <si>
    <t>EPTOIN TAB</t>
  </si>
  <si>
    <t>EPTOIN ER 300 TAB</t>
  </si>
  <si>
    <t>ESGYPYRIN A TAB</t>
  </si>
  <si>
    <t>ESTRABET GEL</t>
  </si>
  <si>
    <t>ESTRABET 2 TAB</t>
  </si>
  <si>
    <t>ETODAY TH TAB</t>
  </si>
  <si>
    <t>FIASP INSULIN INJ</t>
  </si>
  <si>
    <t>FOLLIHAIR COMBO PACK</t>
  </si>
  <si>
    <t>FOLLIHAIR A CAP</t>
  </si>
  <si>
    <t>GANATON TAB</t>
  </si>
  <si>
    <t>GANATON TOTAL</t>
  </si>
  <si>
    <t>HUMAN ACTRAPID P\F</t>
  </si>
  <si>
    <t>HUMAN ACTRAPID VIAL</t>
  </si>
  <si>
    <t>HUMAN MIXTARD VIAL</t>
  </si>
  <si>
    <t>HUMAN MIXTARD 50/50P\F</t>
  </si>
  <si>
    <t>HUMAN MIXTARD P\F</t>
  </si>
  <si>
    <t>I CAN TAB</t>
  </si>
  <si>
    <t>I WIN200 TAB</t>
  </si>
  <si>
    <t>LACOXA 200 TAB</t>
  </si>
  <si>
    <t>LEVESAM SYP</t>
  </si>
  <si>
    <t>LEVESAM 500 TAB</t>
  </si>
  <si>
    <t>MOXON 0.2 TAB</t>
  </si>
  <si>
    <t>MOXON 0.3 TAB ABBOT</t>
  </si>
  <si>
    <t>MYFOS POWDER</t>
  </si>
  <si>
    <t>NICODUCE 10 TAB</t>
  </si>
  <si>
    <t>NOVOMIX 30 PENFILL</t>
  </si>
  <si>
    <t>NOVOMIX 50 PENFILL</t>
  </si>
  <si>
    <t>NOVOPEN 4</t>
  </si>
  <si>
    <t>NOVORAPID PENFILL</t>
  </si>
  <si>
    <t>PANKREOFLAT HD TAB</t>
  </si>
  <si>
    <t>PREGAMET SR TAB</t>
  </si>
  <si>
    <t>ROWASA 1g SACHET</t>
  </si>
  <si>
    <t>ROWASA 2GM SACHET</t>
  </si>
  <si>
    <t>RYBELSUS 3 MG TAB</t>
  </si>
  <si>
    <t>RYBELSUS 7MG TAB</t>
  </si>
  <si>
    <t>RYZODEG INSULIN CARTAGE</t>
  </si>
  <si>
    <t>SIAGLIDE M OD 100/1000</t>
  </si>
  <si>
    <t>SUPRA PLUS TAB</t>
  </si>
  <si>
    <t>SURBEX GOLD CAP</t>
  </si>
  <si>
    <t>SURBEX FE TAB</t>
  </si>
  <si>
    <t>SURBEX XT TAB</t>
  </si>
  <si>
    <t>TELPRES MT 25</t>
  </si>
  <si>
    <t>THYRONORM 12.50</t>
  </si>
  <si>
    <t>THYRONORM 62.50</t>
  </si>
  <si>
    <t>THYRONORM 100 TAB</t>
  </si>
  <si>
    <t>THYRONORM 112 MG</t>
  </si>
  <si>
    <t>THYRONORM 125 TAB</t>
  </si>
  <si>
    <t>THYRONORM 150 TAB</t>
  </si>
  <si>
    <t>THYRONORM 25 TAB</t>
  </si>
  <si>
    <t>THYRONORM 37.5 TAB</t>
  </si>
  <si>
    <t>THYRONORM 50 TAB</t>
  </si>
  <si>
    <t>THYRONORM 75 TAB</t>
  </si>
  <si>
    <t>THYRONORM 88MG</t>
  </si>
  <si>
    <t>THYROWELL SOFTGEL</t>
  </si>
  <si>
    <t>TRESIBA P\F</t>
  </si>
  <si>
    <t>TRIBETROL 1 FORTE</t>
  </si>
  <si>
    <t>UDISTRONG SACHET</t>
  </si>
  <si>
    <t>AP DROP</t>
  </si>
  <si>
    <t>Ajanta Pharma Ltd</t>
  </si>
  <si>
    <t>AP DROP LP</t>
  </si>
  <si>
    <t>AP DROP PD EYE DROP</t>
  </si>
  <si>
    <t>AP DROP KT</t>
  </si>
  <si>
    <t>AQUALUBE E/D</t>
  </si>
  <si>
    <t>AQUASOFT BIG LOTION 200ML</t>
  </si>
  <si>
    <t>AQUASOFT SOAP</t>
  </si>
  <si>
    <t>ATORFIT CV 10 TAB</t>
  </si>
  <si>
    <t>BIDIN LS DROP</t>
  </si>
  <si>
    <t>BILANTA M TAB</t>
  </si>
  <si>
    <t>BILANTA 20 TAB</t>
  </si>
  <si>
    <t>BRINZOX DROP</t>
  </si>
  <si>
    <t>BRIVEX EYE DROP</t>
  </si>
  <si>
    <t>CALTUF TAB</t>
  </si>
  <si>
    <t>CALTUF XT TAB</t>
  </si>
  <si>
    <t>CILAMET XL 10/25</t>
  </si>
  <si>
    <t>CILAMET XL 20/50 TAB</t>
  </si>
  <si>
    <t>CINOD T 10</t>
  </si>
  <si>
    <t>CINOD 10 TAB</t>
  </si>
  <si>
    <t>CINOD 20 TAB</t>
  </si>
  <si>
    <t>DAPALEX 10 TAB</t>
  </si>
  <si>
    <t>FEBURIC 40 TAB</t>
  </si>
  <si>
    <t>FEBURIC 80 TAB</t>
  </si>
  <si>
    <t>IVERA SHAMPOO 30ML</t>
  </si>
  <si>
    <t>MACUGOLD PLUS TAB</t>
  </si>
  <si>
    <t>MET XL TRIO 25 TAB</t>
  </si>
  <si>
    <t>MET XL TRIO 50 TAB</t>
  </si>
  <si>
    <t>MET XL 100 TAB</t>
  </si>
  <si>
    <t>MET XL 12.5 TAB</t>
  </si>
  <si>
    <t>MET XL 25 TAB</t>
  </si>
  <si>
    <t>MET XL 3D 25/6.25</t>
  </si>
  <si>
    <t>MET XL 3D/50/12.5</t>
  </si>
  <si>
    <t>MET XL 3D/50/6.25</t>
  </si>
  <si>
    <t>MET XL 50 TAB</t>
  </si>
  <si>
    <t>MET XL AM 25/5 TAB</t>
  </si>
  <si>
    <t>MET XL AM 2.5/25</t>
  </si>
  <si>
    <t>MET XL AM 50/5 TAB</t>
  </si>
  <si>
    <t>MET XL R 25/2.5</t>
  </si>
  <si>
    <t>MET XL R 25/5 TAB</t>
  </si>
  <si>
    <t>MET XL R 50/5 TAB</t>
  </si>
  <si>
    <t>MET XL T 50 TAB</t>
  </si>
  <si>
    <t>NEPAFLAM DROP</t>
  </si>
  <si>
    <t>NEPAFLAM OD DROP</t>
  </si>
  <si>
    <t>OLOPAT DROP</t>
  </si>
  <si>
    <t>ROSUFIT CV 10 TAB</t>
  </si>
  <si>
    <t>TOFANTA 5 TAB</t>
  </si>
  <si>
    <t>TOVAXO DROP</t>
  </si>
  <si>
    <t>TOVAXO T DROP</t>
  </si>
  <si>
    <t>TRI CINOD 10/6.25 TAB</t>
  </si>
  <si>
    <t>VERTIZAC TAB</t>
  </si>
  <si>
    <t>VOLGA R 0.3/0.5</t>
  </si>
  <si>
    <t>VOLGA R 2/1 TAB</t>
  </si>
  <si>
    <t>VOLGA R 3/1 MG TAB</t>
  </si>
  <si>
    <t>ZOTABAC GEL</t>
  </si>
  <si>
    <t>BENITOWA TRIO TAB</t>
  </si>
  <si>
    <t>Akumentis Healthcare Ltd</t>
  </si>
  <si>
    <t>BENITOWA 8 TAB</t>
  </si>
  <si>
    <t>MET PCO CARE TAB</t>
  </si>
  <si>
    <t>PCO CARE TAB</t>
  </si>
  <si>
    <t>ALIVHER TAB</t>
  </si>
  <si>
    <t>AKUMENTIS HEALTHCARE LTD (CRETIS)</t>
  </si>
  <si>
    <t>ALL 9 TAB</t>
  </si>
  <si>
    <t>ALL 9 BOH TAB</t>
  </si>
  <si>
    <t>BENITOWA 4 MG</t>
  </si>
  <si>
    <t>OOSURE M TAB</t>
  </si>
  <si>
    <t>AKUMENTIS HEALTHCARE LTD (HARMONICA)</t>
  </si>
  <si>
    <t>CERVIFERT CAP</t>
  </si>
  <si>
    <t>ELOCON CREAM 30GM</t>
  </si>
  <si>
    <t>FIBRONORM CAP</t>
  </si>
  <si>
    <t>FO 29 TAB</t>
  </si>
  <si>
    <t>LINEATOR CAP</t>
  </si>
  <si>
    <t>OOSURE FORTE TAB</t>
  </si>
  <si>
    <t>ALAMIN M FORTE CAP</t>
  </si>
  <si>
    <t>Albert David Ltd</t>
  </si>
  <si>
    <t>ALAMIN SN I.V.</t>
  </si>
  <si>
    <t>ALAMIN XTRA CAP</t>
  </si>
  <si>
    <t>CYP L SYP</t>
  </si>
  <si>
    <t>EVICT SYP</t>
  </si>
  <si>
    <t>PLACENTREX GEL</t>
  </si>
  <si>
    <t>SIOTONE CAP</t>
  </si>
  <si>
    <t>PATADAY DROP</t>
  </si>
  <si>
    <t>Alcon Laboratories</t>
  </si>
  <si>
    <t>SIMBRINZA DROP</t>
  </si>
  <si>
    <t>SYSTANE ULTRA</t>
  </si>
  <si>
    <t>TEARS NATURAL FORTE</t>
  </si>
  <si>
    <t>TRAVATAN DROP</t>
  </si>
  <si>
    <t>VIGAMOX DROP</t>
  </si>
  <si>
    <t>ALTHROCIN 250 TAB</t>
  </si>
  <si>
    <t>Alembic Pharmaceuticals Ltd</t>
  </si>
  <si>
    <t>ALTHROCIN 500 TAB</t>
  </si>
  <si>
    <t>ALTHROCIN DROP.</t>
  </si>
  <si>
    <t>ALTHROCIN LIQ.</t>
  </si>
  <si>
    <t>AZITHRAL 100 SYP.</t>
  </si>
  <si>
    <t>AZITHRAL 200 SYP.</t>
  </si>
  <si>
    <t>AZITHRAL 250 TAB.</t>
  </si>
  <si>
    <t>AZITHRAL 500 TAB</t>
  </si>
  <si>
    <t>AZITHRAL XL 200 SYP</t>
  </si>
  <si>
    <t>BILAMBIC M TAB</t>
  </si>
  <si>
    <t>BROZEET LS SYP</t>
  </si>
  <si>
    <t>BROZEET SYP.</t>
  </si>
  <si>
    <t>CETANIL 10 TAB</t>
  </si>
  <si>
    <t>CETANIL 20</t>
  </si>
  <si>
    <t>CETANIL M TAB</t>
  </si>
  <si>
    <t>CETANIL TRIO 6.25</t>
  </si>
  <si>
    <t>CETANIL CT TAB</t>
  </si>
  <si>
    <t>CETANIL TM 50 TAB</t>
  </si>
  <si>
    <t>CETANIL TRIO 12.5 TAB</t>
  </si>
  <si>
    <t>CETANIL 5 TAB</t>
  </si>
  <si>
    <t>CETANIL T 20 TAB</t>
  </si>
  <si>
    <t>CRINA NCR 15</t>
  </si>
  <si>
    <t>CRINA NCR 10MG</t>
  </si>
  <si>
    <t>CYCLOSET SYP</t>
  </si>
  <si>
    <t>DARIF 7.5 TAB</t>
  </si>
  <si>
    <t>ENZICTRA DS TAB</t>
  </si>
  <si>
    <t>ESTROPLUS TAB</t>
  </si>
  <si>
    <t>ETRIK 90 TAB</t>
  </si>
  <si>
    <t>ETRIK MR TAB</t>
  </si>
  <si>
    <t>ETRIK P TAB</t>
  </si>
  <si>
    <t>FREEGO POW BIG</t>
  </si>
  <si>
    <t>FREEGO POWDER</t>
  </si>
  <si>
    <t>GERIFLO CAP</t>
  </si>
  <si>
    <t>GERIFLO D TAB</t>
  </si>
  <si>
    <t>GESTOFIT SR 200</t>
  </si>
  <si>
    <t>GESTOFIT 200 CAP</t>
  </si>
  <si>
    <t>GLIPYMET 500MG TAB</t>
  </si>
  <si>
    <t>HARMONI TAB</t>
  </si>
  <si>
    <t>HERMIN IV</t>
  </si>
  <si>
    <t>LACTONIC POWDER</t>
  </si>
  <si>
    <t>LIVFIT SYP</t>
  </si>
  <si>
    <t>LIVFIT TAB</t>
  </si>
  <si>
    <t>MAGADOL SYP.</t>
  </si>
  <si>
    <t>MAGADOL TAB.</t>
  </si>
  <si>
    <t>OVIGYN D3 CAP</t>
  </si>
  <si>
    <t>PROTINULES POWDER</t>
  </si>
  <si>
    <t>PROTINULES PL POWDER</t>
  </si>
  <si>
    <t>REKOOL 20MG TAB</t>
  </si>
  <si>
    <t>REKOOL D CAP</t>
  </si>
  <si>
    <t>REKOOL L</t>
  </si>
  <si>
    <t>RICHAR CR CAP</t>
  </si>
  <si>
    <t>RICHGLOW GEL</t>
  </si>
  <si>
    <t>ROSAVE 10</t>
  </si>
  <si>
    <t>ROSAVE F 10</t>
  </si>
  <si>
    <t>ROSAVE GOLD 20 TAB</t>
  </si>
  <si>
    <t>ROSAVE GOLD 10 TAB</t>
  </si>
  <si>
    <t>ROXID 50 SYP.</t>
  </si>
  <si>
    <t>ROXID 150 TAB.</t>
  </si>
  <si>
    <t>ROXID 300 TAB</t>
  </si>
  <si>
    <t>ROXID M TAB</t>
  </si>
  <si>
    <t>SHARKOFERROL SYP</t>
  </si>
  <si>
    <t>TELLZY 20 TAB</t>
  </si>
  <si>
    <t>TELLZY 40</t>
  </si>
  <si>
    <t>TELLZY AM TAB</t>
  </si>
  <si>
    <t>TELLZY MT 25</t>
  </si>
  <si>
    <t>TELLZY MT 50</t>
  </si>
  <si>
    <t>TETAN 20</t>
  </si>
  <si>
    <t>TETAN AM</t>
  </si>
  <si>
    <t>TETAN BETA 25</t>
  </si>
  <si>
    <t>TETAN BETA 50</t>
  </si>
  <si>
    <t>TETAN H TAB</t>
  </si>
  <si>
    <t>TETAN 40 TAB</t>
  </si>
  <si>
    <t>ULGEL ELAICHI</t>
  </si>
  <si>
    <t>ULGEL SAUF SYP</t>
  </si>
  <si>
    <t>ULGEL A SYP</t>
  </si>
  <si>
    <t>VALEMBIC 40 TAB</t>
  </si>
  <si>
    <t>VEHYCAL XT TAB</t>
  </si>
  <si>
    <t>VELDROP DROP</t>
  </si>
  <si>
    <t>VILDAMBIC M 500 TAB</t>
  </si>
  <si>
    <t>VOGO M 0.2</t>
  </si>
  <si>
    <t>VOGO M0.3 TAB</t>
  </si>
  <si>
    <t>WIKORY 325 DT TAB</t>
  </si>
  <si>
    <t>WIKORYL DROP</t>
  </si>
  <si>
    <t>WIKORYL SYP.</t>
  </si>
  <si>
    <t>WIKORYL TAB</t>
  </si>
  <si>
    <t>WIKORYL DS SYP</t>
  </si>
  <si>
    <t>ZEET SYP.</t>
  </si>
  <si>
    <t>A TO Z CAP</t>
  </si>
  <si>
    <t>Alkem Laboratories Ltd</t>
  </si>
  <si>
    <t>A TO Z DROP</t>
  </si>
  <si>
    <t>A TO Z GOLD CAP</t>
  </si>
  <si>
    <t>A TO Z SYP.</t>
  </si>
  <si>
    <t>ALCIPRO 500 TAB</t>
  </si>
  <si>
    <t>ALPROVIT GRANULES</t>
  </si>
  <si>
    <t>CETRIZ SYP</t>
  </si>
  <si>
    <t>CLAVAM 375</t>
  </si>
  <si>
    <t>CLAVAM BID SYP.</t>
  </si>
  <si>
    <t>CLAVAM DROP</t>
  </si>
  <si>
    <t>CLAVAM SYP.</t>
  </si>
  <si>
    <t>CLAVAM 1.2 INJ</t>
  </si>
  <si>
    <t>CLAVAM 625 TAB</t>
  </si>
  <si>
    <t>CLAVAM FORTE SYP</t>
  </si>
  <si>
    <t>CLINDAC A SOLUTION</t>
  </si>
  <si>
    <t>DAPANORM 10 TAB</t>
  </si>
  <si>
    <t>ENZOCORT 6 TAB</t>
  </si>
  <si>
    <t>ENZOFLAM TAB</t>
  </si>
  <si>
    <t>FENCETA SYP</t>
  </si>
  <si>
    <t>FENCETA TAB</t>
  </si>
  <si>
    <t>GEMCAL D3 CAP</t>
  </si>
  <si>
    <t>GEMCAL DS SG CAP</t>
  </si>
  <si>
    <t>GEMCAL MOM TAB</t>
  </si>
  <si>
    <t>GEMCAL P SYP</t>
  </si>
  <si>
    <t>GEMCAL PLUS CAP</t>
  </si>
  <si>
    <t>GEMCAL SPRAY</t>
  </si>
  <si>
    <t>GEMCAL SYP</t>
  </si>
  <si>
    <t>GEMCAL XT CAP</t>
  </si>
  <si>
    <t>GLUVILDA M 500 TAB</t>
  </si>
  <si>
    <t>HEMFER SYP.</t>
  </si>
  <si>
    <t>HOMOCHEK ALKEM CAP</t>
  </si>
  <si>
    <t>JUPIROSE GOLD 10 MG</t>
  </si>
  <si>
    <t>JUPIROSE GOLD 20 TAB</t>
  </si>
  <si>
    <t>JUPIROSE 20 TAB</t>
  </si>
  <si>
    <t>JUPIROSE 40 TAB</t>
  </si>
  <si>
    <t>JUPIROSE A 75 CAP</t>
  </si>
  <si>
    <t>JUPIRSE CV 10</t>
  </si>
  <si>
    <t>KOJIGLO FORTE CREAM</t>
  </si>
  <si>
    <t>MAXVOID PLUS 8 TAB</t>
  </si>
  <si>
    <t>MELBILD SOLUTION</t>
  </si>
  <si>
    <t>NERVMAX SR 75 TAB</t>
  </si>
  <si>
    <t>ONDEM MD 8 TAB</t>
  </si>
  <si>
    <t>ONDEM SYP</t>
  </si>
  <si>
    <t>ONDEM INJECTION.</t>
  </si>
  <si>
    <t>ONDEM MD 4MG.TAB</t>
  </si>
  <si>
    <t>PAN 20 TAB</t>
  </si>
  <si>
    <t>PAN 40 TAB</t>
  </si>
  <si>
    <t>PAN D TAB</t>
  </si>
  <si>
    <t>PAN MPS SYP</t>
  </si>
  <si>
    <t>PAN L CAP</t>
  </si>
  <si>
    <t>PIPZO 2.25MG</t>
  </si>
  <si>
    <t>PIPZO 1.125 INJ</t>
  </si>
  <si>
    <t>PIPZO 4.5 INJ.</t>
  </si>
  <si>
    <t>RENOCIA SHAMPOO</t>
  </si>
  <si>
    <t>SATROGYL 300 TAB</t>
  </si>
  <si>
    <t>SATROGYL O SYP</t>
  </si>
  <si>
    <t>SATROGYL O TAB</t>
  </si>
  <si>
    <t>SUMO TAB</t>
  </si>
  <si>
    <t>SUMO COLD TAB</t>
  </si>
  <si>
    <t>SUMO FLAM TAB</t>
  </si>
  <si>
    <t>SUMO L DROP</t>
  </si>
  <si>
    <t>SUMO L DS SYP</t>
  </si>
  <si>
    <t>SUMO L SYP</t>
  </si>
  <si>
    <t>SUMOCOLD DROP</t>
  </si>
  <si>
    <t>SUMOCOLD SYP</t>
  </si>
  <si>
    <t>SWICH CV 325</t>
  </si>
  <si>
    <t>SWICH 100 SYP</t>
  </si>
  <si>
    <t>SWICH 50 SYP</t>
  </si>
  <si>
    <t>T HEAL TAB</t>
  </si>
  <si>
    <t>TAXIM O FORTE SYP.</t>
  </si>
  <si>
    <t>TAXIM 1GM VIAL</t>
  </si>
  <si>
    <t>TAXIM 250 INJ</t>
  </si>
  <si>
    <t>TAXIM 500 INJ</t>
  </si>
  <si>
    <t>TAXIM O DROP</t>
  </si>
  <si>
    <t>TAXIM O SYP.</t>
  </si>
  <si>
    <t>TAXIM O 100 TAB</t>
  </si>
  <si>
    <t>TAXIM O 200 TAB</t>
  </si>
  <si>
    <t>TAXIMAX 1500 INJ</t>
  </si>
  <si>
    <t>UPRISE D3 60K (8)CAP</t>
  </si>
  <si>
    <t>UPRISE D3 KID SYP</t>
  </si>
  <si>
    <t>UPRISE D3 60K SYP(1 4)</t>
  </si>
  <si>
    <t>XONE 125 INJ.</t>
  </si>
  <si>
    <t>XONE 500 INJ</t>
  </si>
  <si>
    <t>ZOCEF 500 TAB</t>
  </si>
  <si>
    <t>ZOCEF CV 250 TAB</t>
  </si>
  <si>
    <t>ZOCEF CV 500 TAB</t>
  </si>
  <si>
    <t>ACULAR LS DROPS</t>
  </si>
  <si>
    <t>Allergan India Pvt Ltd</t>
  </si>
  <si>
    <t>ALPHAGAN DROP</t>
  </si>
  <si>
    <t>ALPHAGAN P DROP</t>
  </si>
  <si>
    <t>ALPHAGAN Z DROP</t>
  </si>
  <si>
    <t>AMPLINAK DROP</t>
  </si>
  <si>
    <t>COMBIGAN E\D</t>
  </si>
  <si>
    <t>FLUR DROP.</t>
  </si>
  <si>
    <t>FML DROP</t>
  </si>
  <si>
    <t>FML T DROP</t>
  </si>
  <si>
    <t>GANFORT DROP</t>
  </si>
  <si>
    <t>KETOFLOX DROP</t>
  </si>
  <si>
    <t>L PRED DROP</t>
  </si>
  <si>
    <t>LUMIGAN E/D 0.1</t>
  </si>
  <si>
    <t>PRED FORTE DROP</t>
  </si>
  <si>
    <t>REFRESH LIQUIGEL</t>
  </si>
  <si>
    <t>REFRESH TEARS DROP</t>
  </si>
  <si>
    <t>TEARS PLUS DROP</t>
  </si>
  <si>
    <t>ZYLOPRED</t>
  </si>
  <si>
    <t>AMLYCURE SYP</t>
  </si>
  <si>
    <t>AIMIL PHARMACEUTICALS</t>
  </si>
  <si>
    <t>AMLYCURE DS BIG.SYP</t>
  </si>
  <si>
    <t>AMLYCURE DS CAP</t>
  </si>
  <si>
    <t>AMLYCURE DS SMALL SYP</t>
  </si>
  <si>
    <t>AMREE PLUS TAB</t>
  </si>
  <si>
    <t>AMROID TAB AMIL</t>
  </si>
  <si>
    <t>AMYCORDIAL SYP</t>
  </si>
  <si>
    <t>AMYCORDIAL TAB</t>
  </si>
  <si>
    <t>AMYRON SYP.</t>
  </si>
  <si>
    <t>AMYRON TAB</t>
  </si>
  <si>
    <t>BGR 34 TAB</t>
  </si>
  <si>
    <t>JUFEX FORTE SYP</t>
  </si>
  <si>
    <t>K.G TONE FORTE SYP</t>
  </si>
  <si>
    <t>LUKOSKIN KIT</t>
  </si>
  <si>
    <t>MUSCALT FORTE TAB.</t>
  </si>
  <si>
    <t>NEERI SYP</t>
  </si>
  <si>
    <t>NEERI TAB</t>
  </si>
  <si>
    <t>PURODIL GEL</t>
  </si>
  <si>
    <t>PURODIL SYP</t>
  </si>
  <si>
    <t>PURODIL TAB</t>
  </si>
  <si>
    <t>SEMENTO TAB</t>
  </si>
  <si>
    <t>CARDIOTEL BETA 25 TAB</t>
  </si>
  <si>
    <t>ANDROMEDA PHARMACEUTICALS</t>
  </si>
  <si>
    <t>CARDIOTEL BETA 50 TAB</t>
  </si>
  <si>
    <t>CARDIOTEL TRIO 6.25 TAB</t>
  </si>
  <si>
    <t>CARDIOTEL 40 TAB</t>
  </si>
  <si>
    <t>CARDIOTEL CT/40 TAB</t>
  </si>
  <si>
    <t>CARDIOTEL LN40 TAB</t>
  </si>
  <si>
    <t>GCPRED 4 TAB</t>
  </si>
  <si>
    <t>GCPRED 8MG TAB</t>
  </si>
  <si>
    <t>LEVEDA 120 TAB</t>
  </si>
  <si>
    <t>LEVEDA 180 TAB</t>
  </si>
  <si>
    <t>LEVEDA M TAB</t>
  </si>
  <si>
    <t>LYCOMEDA SYP</t>
  </si>
  <si>
    <t>LYCOMEDA TAB</t>
  </si>
  <si>
    <t>NEUROMEDA FORTE TAB</t>
  </si>
  <si>
    <t>NEUROMEDA TAB</t>
  </si>
  <si>
    <t>ORGACIUM TAB</t>
  </si>
  <si>
    <t>PROMEDA DSR CAP</t>
  </si>
  <si>
    <t>PROMEDA 20</t>
  </si>
  <si>
    <t>TAMANDRO TAB</t>
  </si>
  <si>
    <t>TAMANDRO (D) TAB</t>
  </si>
  <si>
    <t>BEPLEX FORTE ELIXIR</t>
  </si>
  <si>
    <t>Anglo-French Drugs &amp; Industries Ltd</t>
  </si>
  <si>
    <t>BEPLEX FORTE TAB</t>
  </si>
  <si>
    <t>EPILAN TAB</t>
  </si>
  <si>
    <t>ANIGEST 200 TAB</t>
  </si>
  <si>
    <t>ANIYA PHARACEUTICAL PVT LTD</t>
  </si>
  <si>
    <t>ANIRAB DSR TAB</t>
  </si>
  <si>
    <t>ANIROSE PLUS CAP</t>
  </si>
  <si>
    <t>ANIVIT M CAP</t>
  </si>
  <si>
    <t>ANIVIT M DROPS</t>
  </si>
  <si>
    <t>ANIVIT M SYP.</t>
  </si>
  <si>
    <t>BONEFLEX GOLD TAB</t>
  </si>
  <si>
    <t>CALCICARB D SYP</t>
  </si>
  <si>
    <t>ETENIYA 90 TAB</t>
  </si>
  <si>
    <t>ETENIYA MR TAB</t>
  </si>
  <si>
    <t>NIYAFLEM SP TAB.</t>
  </si>
  <si>
    <t>NIYAVESTIN UC TAB</t>
  </si>
  <si>
    <t>PLATNIYA PLUS SYP.</t>
  </si>
  <si>
    <t>PLATNIYA PLUS TAB</t>
  </si>
  <si>
    <t>SUNTOP D3 CAP</t>
  </si>
  <si>
    <t>SUNTOP D3 DROP</t>
  </si>
  <si>
    <t>TENDANIYA FORTE TAB</t>
  </si>
  <si>
    <t>ZINCOVIT DROPS</t>
  </si>
  <si>
    <t>Apex Laboratories Pvt Ltd</t>
  </si>
  <si>
    <t>ZINCOVIT SYP</t>
  </si>
  <si>
    <t>ZINCOVIT TAB</t>
  </si>
  <si>
    <t>ZINCOVIT SF SYP</t>
  </si>
  <si>
    <t>ZINCOVIT W TAB</t>
  </si>
  <si>
    <t>ACECLO PLUS TAB</t>
  </si>
  <si>
    <t>Aristo Pharmaceuticals Pvt Ltd</t>
  </si>
  <si>
    <t>ACECLO SR TAB</t>
  </si>
  <si>
    <t>AMLOSAF AT TAB</t>
  </si>
  <si>
    <t>AMLOSAFE MT50 TAB</t>
  </si>
  <si>
    <t>AMLOSAFE TM 40 TAB</t>
  </si>
  <si>
    <t>AMLOSAFE 2.5 TAB</t>
  </si>
  <si>
    <t>AMLOSAFE 5 TAB</t>
  </si>
  <si>
    <t>AMLOSAFE H TAB</t>
  </si>
  <si>
    <t>AMRODIL DROP</t>
  </si>
  <si>
    <t>AMRODIL LX SYP</t>
  </si>
  <si>
    <t>AMRODIL LX DROP</t>
  </si>
  <si>
    <t>AMRODIL PLUS SYP.</t>
  </si>
  <si>
    <t>AMRODIL S SYP</t>
  </si>
  <si>
    <t>AMRODIL SYP</t>
  </si>
  <si>
    <t>AMRODIL XP CAP</t>
  </si>
  <si>
    <t>AMRODIL XP SYP</t>
  </si>
  <si>
    <t>ARISTOZYME CAP</t>
  </si>
  <si>
    <t>ARISTOZYME DROP</t>
  </si>
  <si>
    <t>ARISTOZYME GOLD TAB</t>
  </si>
  <si>
    <t>ARISTOZYME SYP</t>
  </si>
  <si>
    <t>BIOGERMINA ORAL RESPULES</t>
  </si>
  <si>
    <t>BUTRUM 2MG INJ</t>
  </si>
  <si>
    <t>CEFADROX CV 250</t>
  </si>
  <si>
    <t>CEFADROX CV 500 TAB</t>
  </si>
  <si>
    <t>CEFADROX 250 TAB</t>
  </si>
  <si>
    <t>CEFADROX 500 TAB</t>
  </si>
  <si>
    <t>CHEXID 40 TAB</t>
  </si>
  <si>
    <t>CLINGEN SUPP.</t>
  </si>
  <si>
    <t>CLINGEN 3</t>
  </si>
  <si>
    <t>CLINGEN FORTE SUPP.</t>
  </si>
  <si>
    <t>COMBITHER SYP</t>
  </si>
  <si>
    <t>DAROLAC AQUA SYP</t>
  </si>
  <si>
    <t>DAROLAC CAP</t>
  </si>
  <si>
    <t>DAROLAC SACHET</t>
  </si>
  <si>
    <t>DAROLAC SYP</t>
  </si>
  <si>
    <t>DAROLAC Z SACHET</t>
  </si>
  <si>
    <t>DURATAZ 4.5 INJ</t>
  </si>
  <si>
    <t>FLEXON SYP</t>
  </si>
  <si>
    <t>FLEXON TAB</t>
  </si>
  <si>
    <t>FLEXON MR TAB</t>
  </si>
  <si>
    <t>FLODART PLUS</t>
  </si>
  <si>
    <t>FLODART TAB</t>
  </si>
  <si>
    <t>FOLINEXT TAB</t>
  </si>
  <si>
    <t>FOLINEXT D CAP</t>
  </si>
  <si>
    <t>FORCEF 500 TAB</t>
  </si>
  <si>
    <t>FOSFOSCIN SACHET</t>
  </si>
  <si>
    <t>GABAMAX 75 TAB</t>
  </si>
  <si>
    <t>GABAMAX GOLD TAB</t>
  </si>
  <si>
    <t>GABANEURON 100 TAB</t>
  </si>
  <si>
    <t>GABANEURON NT 100 TAB</t>
  </si>
  <si>
    <t>GABANEURON SR TAB</t>
  </si>
  <si>
    <t>GABANEURON TAB</t>
  </si>
  <si>
    <t>GABANEURON NT 300 TAB</t>
  </si>
  <si>
    <t>GLIMIPREX MF 1\500 TAB</t>
  </si>
  <si>
    <t>GLYCIGON TAB</t>
  </si>
  <si>
    <t>GLYCIGON M TAB</t>
  </si>
  <si>
    <t>GRANDEM MD TAB</t>
  </si>
  <si>
    <t>HATRIC SYP</t>
  </si>
  <si>
    <t>HATRIC 2 SYP</t>
  </si>
  <si>
    <t>HATRIC 3 SYP</t>
  </si>
  <si>
    <t>HATRIC 3 TAB</t>
  </si>
  <si>
    <t>IMAX S INJ</t>
  </si>
  <si>
    <t>INTIMACY PLUS 2</t>
  </si>
  <si>
    <t>LULIDERM CREAM</t>
  </si>
  <si>
    <t>MEGA CV FORTE SYP</t>
  </si>
  <si>
    <t>MEGA CV DROP</t>
  </si>
  <si>
    <t>MEGA CV DT TAB</t>
  </si>
  <si>
    <t>MEGA CV SYP</t>
  </si>
  <si>
    <t>MEGA CV 375 TAB</t>
  </si>
  <si>
    <t>MEGA CV 625 TAB</t>
  </si>
  <si>
    <t>MEGA FLEXON TAB</t>
  </si>
  <si>
    <t>MEGAGLIPTIN MF TAB</t>
  </si>
  <si>
    <t>MEGAGLIPTIN TAB</t>
  </si>
  <si>
    <t>MEGAGLIPTIN MF FORTE TAB</t>
  </si>
  <si>
    <t>MEGAHEAL GEL</t>
  </si>
  <si>
    <t>MEGAHEAL GEL MID.</t>
  </si>
  <si>
    <t>MEGANEURON CAP</t>
  </si>
  <si>
    <t>MEGANEURON NT75 TAB</t>
  </si>
  <si>
    <t>MEGANEURON NT 50 TAB</t>
  </si>
  <si>
    <t>MEGANEURON OD plus CAP</t>
  </si>
  <si>
    <t>MEGAPEN CAP</t>
  </si>
  <si>
    <t>MEGAPEN KID TAB</t>
  </si>
  <si>
    <t>MEGAZOLID 600 TAB</t>
  </si>
  <si>
    <t>MEGAZOLID SYP</t>
  </si>
  <si>
    <t>MERO 1GM INJ</t>
  </si>
  <si>
    <t>MERO SB 1.5 INJ</t>
  </si>
  <si>
    <t>MIKACIN 100 INJ</t>
  </si>
  <si>
    <t>MIKACIN 250 INJ</t>
  </si>
  <si>
    <t>MIKACIN 500 VAIL</t>
  </si>
  <si>
    <t>MONOCEF 125 INJ</t>
  </si>
  <si>
    <t>MONOCEF 1GM VAIL</t>
  </si>
  <si>
    <t>MONOCEF 250 INJ</t>
  </si>
  <si>
    <t>MONOCEF 2GM INJ.</t>
  </si>
  <si>
    <t>MONOCEF 500 INJ</t>
  </si>
  <si>
    <t>MONOCEF O 100 SYP</t>
  </si>
  <si>
    <t>MONOCEF O 100 TAB</t>
  </si>
  <si>
    <t>MONOCEF O 200 TAB</t>
  </si>
  <si>
    <t>MONOCEF O 50 SYP</t>
  </si>
  <si>
    <t>MONOCEF O 50 TAB</t>
  </si>
  <si>
    <t>MONOCEF O CV 200</t>
  </si>
  <si>
    <t>MONOCEF SB 1GM INJ</t>
  </si>
  <si>
    <t>MONTAZ 1GM INJ</t>
  </si>
  <si>
    <t>MONTAZ 500GM INJ</t>
  </si>
  <si>
    <t>MONTINA L DT</t>
  </si>
  <si>
    <t>MONTINA L SY</t>
  </si>
  <si>
    <t>MONTINA L TAB</t>
  </si>
  <si>
    <t>NEBI 5 TAB</t>
  </si>
  <si>
    <t>OFLER 200 TAB</t>
  </si>
  <si>
    <t>OFLOMAC M FORTE SYP BIG</t>
  </si>
  <si>
    <t>OMCEF 200 MG</t>
  </si>
  <si>
    <t>ORNIDA 500 TAB</t>
  </si>
  <si>
    <t>ORNIDA I.V.</t>
  </si>
  <si>
    <t>ORNOF TAB</t>
  </si>
  <si>
    <t>PANTOP I.V.</t>
  </si>
  <si>
    <t>PANTOP MPS SYP</t>
  </si>
  <si>
    <t>PANTOP 20 TAB</t>
  </si>
  <si>
    <t>PANTOP 40 TAB</t>
  </si>
  <si>
    <t>PANTOP D CAP</t>
  </si>
  <si>
    <t>PANTOP DSR TAB</t>
  </si>
  <si>
    <t>PANTOP HP TAB</t>
  </si>
  <si>
    <t>PROSTAGARD D4 CAPS 10S</t>
  </si>
  <si>
    <t>PROSTAGARD 8MG CAP</t>
  </si>
  <si>
    <t>PROSTAGARD D 8 CAP</t>
  </si>
  <si>
    <t>PROSTAGARD 4MG TAB</t>
  </si>
  <si>
    <t>RANTOP SYP</t>
  </si>
  <si>
    <t>SMUTH CAP</t>
  </si>
  <si>
    <t>SMUTH CREAM</t>
  </si>
  <si>
    <t>SMUTH FIBER POWDER</t>
  </si>
  <si>
    <t>SMUTH L SYP</t>
  </si>
  <si>
    <t>SMUTH SYP BIG</t>
  </si>
  <si>
    <t>SMUTH SYP.SMALL</t>
  </si>
  <si>
    <t>TELVAS AM 80/5</t>
  </si>
  <si>
    <t>TELVAS AM TAB</t>
  </si>
  <si>
    <t>TELVAS BETA 25</t>
  </si>
  <si>
    <t>TELVAS BETA 50</t>
  </si>
  <si>
    <t>TELVAS CT 40</t>
  </si>
  <si>
    <t>TELVAS CT 80</t>
  </si>
  <si>
    <t>TELVAS 20 TAB</t>
  </si>
  <si>
    <t>TELVAS 3D TAB</t>
  </si>
  <si>
    <t>TELVAS 3D/80 TAB</t>
  </si>
  <si>
    <t>TELVAS 40 TAB</t>
  </si>
  <si>
    <t>TELVAS 80 TAB</t>
  </si>
  <si>
    <t>TELVAS H 40 TAB</t>
  </si>
  <si>
    <t>TELVAS H 80 TAB</t>
  </si>
  <si>
    <t>UT JOY SYP</t>
  </si>
  <si>
    <t>V TOTAL TAB</t>
  </si>
  <si>
    <t>ZEROTUSS XP DROP</t>
  </si>
  <si>
    <t>ZEROTUSS XP SYP</t>
  </si>
  <si>
    <t>ZYMOFLAM D</t>
  </si>
  <si>
    <t>BETALOC 25MG TAB</t>
  </si>
  <si>
    <t>Astra Zeneca</t>
  </si>
  <si>
    <t>BETALOC 50MG TAB</t>
  </si>
  <si>
    <t>BRILINTA 60 TAB</t>
  </si>
  <si>
    <t>BRILINTA 90 TAB</t>
  </si>
  <si>
    <t>CERVIPRIME GEL</t>
  </si>
  <si>
    <t>CRESTOR 10 TAB</t>
  </si>
  <si>
    <t>CRESTOR 5 TAB</t>
  </si>
  <si>
    <t>FORXIGA TAB</t>
  </si>
  <si>
    <t>FORXIGA 5 TAB</t>
  </si>
  <si>
    <t>IMDUR 30MG TAB</t>
  </si>
  <si>
    <t>IMDUR 60MG TAB</t>
  </si>
  <si>
    <t>KOMBIGLYZE 5/500</t>
  </si>
  <si>
    <t>NEKSIUM 40 TAB</t>
  </si>
  <si>
    <t>ONGLYZA 2.5 TAB</t>
  </si>
  <si>
    <t>ONGLYZA 5 TAB</t>
  </si>
  <si>
    <t>PROSTODIN 125MG INJ.</t>
  </si>
  <si>
    <t>PROSTODIN 250MG INJ.</t>
  </si>
  <si>
    <t>SELOKEN XL 100 TAB</t>
  </si>
  <si>
    <t>SELOKEN XL25</t>
  </si>
  <si>
    <t>SELOKEN XL50</t>
  </si>
  <si>
    <t>SYMBICORT TURBUHALER 160 INH</t>
  </si>
  <si>
    <t>XIGDU 5/1000 TAB</t>
  </si>
  <si>
    <t>XYLOCAIN VISCOUS</t>
  </si>
  <si>
    <t>XYLOCAIN JELLY 50GM BIG</t>
  </si>
  <si>
    <t>XYLOCAINE 2% JELLY</t>
  </si>
  <si>
    <t>XYLOCAINE 5% OINT.</t>
  </si>
  <si>
    <t>ALLEGRA 120MG.TAB</t>
  </si>
  <si>
    <t>Aventis Pasteur India Ltd.</t>
  </si>
  <si>
    <t>ALLEGRA SYP</t>
  </si>
  <si>
    <t>ALLEGRA NASAL DUO SPRAY</t>
  </si>
  <si>
    <t>ALLEGRA 180MG.TAB</t>
  </si>
  <si>
    <t>ALLEGRA M TAB</t>
  </si>
  <si>
    <t>ALLSTAR PEN</t>
  </si>
  <si>
    <t>AMARYL M1 FORTE</t>
  </si>
  <si>
    <t>AMARYL M2 FORTE</t>
  </si>
  <si>
    <t>AMARYL 1MG TAB</t>
  </si>
  <si>
    <t>AMARYL 2MG TAB</t>
  </si>
  <si>
    <t>AMARYL 3MG TAB</t>
  </si>
  <si>
    <t>AMARYL M1 TAB</t>
  </si>
  <si>
    <t>AMARYL M2 TAB</t>
  </si>
  <si>
    <t>AMARYL MV1 TAB</t>
  </si>
  <si>
    <t>AMARYL MV2 TAB</t>
  </si>
  <si>
    <t>APIDRA CARTIGE</t>
  </si>
  <si>
    <t>AVIL AMP.2ML</t>
  </si>
  <si>
    <t>AVIL 25MG TAB</t>
  </si>
  <si>
    <t>AVIL 50MG TAB</t>
  </si>
  <si>
    <t>BARALGAN NU TAB</t>
  </si>
  <si>
    <t>BUSCOGAST INJ</t>
  </si>
  <si>
    <t>BUSCOGAST PLUS</t>
  </si>
  <si>
    <t>BUSCOGAST TAB</t>
  </si>
  <si>
    <t>CARDACE AM 5/5MG</t>
  </si>
  <si>
    <t>CARDACE AM 10 TAB</t>
  </si>
  <si>
    <t>CARDACE METO 5</t>
  </si>
  <si>
    <t>CARDACE PROTECT 2.5 TAB</t>
  </si>
  <si>
    <t>CARDACE PROTECT 5 TAB</t>
  </si>
  <si>
    <t>CARDACE 1.25MG TAB</t>
  </si>
  <si>
    <t>CARDACE 10MG TAB</t>
  </si>
  <si>
    <t>CARDACE 2.5MG TAB</t>
  </si>
  <si>
    <t>CARDACE 5MG TAB</t>
  </si>
  <si>
    <t>CARDACE AM 2.5/5 TAB</t>
  </si>
  <si>
    <t>CARDACE H 2.5MG TAB</t>
  </si>
  <si>
    <t>CARDACE H 10 TAB</t>
  </si>
  <si>
    <t>CARDACE H 5 TAB</t>
  </si>
  <si>
    <t>CETAPIN V .0.3</t>
  </si>
  <si>
    <t>CETAPIN XR 1GM TAB.</t>
  </si>
  <si>
    <t>CETAPIN XR 500 TAB</t>
  </si>
  <si>
    <t>CLEXANE 40MG INJ.</t>
  </si>
  <si>
    <t>CLEXANE 60MG INJ.</t>
  </si>
  <si>
    <t>COMBIFLAM SYP.</t>
  </si>
  <si>
    <t>COMBIFLAM TAB.</t>
  </si>
  <si>
    <t>COQ FORTE CAP</t>
  </si>
  <si>
    <t>CORDARONE 100 TAB</t>
  </si>
  <si>
    <t>CORDARONE X TAB</t>
  </si>
  <si>
    <t>DAONIL TAB</t>
  </si>
  <si>
    <t>DAONIL M TAB</t>
  </si>
  <si>
    <t>DEPURA KID SYP</t>
  </si>
  <si>
    <t>DULCOFLAX SUPP ADELT.</t>
  </si>
  <si>
    <t>DULCOFLEX SUPP CHILD.</t>
  </si>
  <si>
    <t>DULCOFLEX TAB</t>
  </si>
  <si>
    <t>ENTEROGERMINA AMP</t>
  </si>
  <si>
    <t>ENTEROGERMINA CAP</t>
  </si>
  <si>
    <t>FRISIUM 10MG TAB NRX</t>
  </si>
  <si>
    <t>FRISIUM 5MG TAB NRX</t>
  </si>
  <si>
    <t>INSUMAN COMB 25</t>
  </si>
  <si>
    <t>INSUMAN RAPID CARTEG</t>
  </si>
  <si>
    <t>LACTACYD LOTION</t>
  </si>
  <si>
    <t>LANTUS APIDRA</t>
  </si>
  <si>
    <t>LANTUS CARTRIGE</t>
  </si>
  <si>
    <t>LANTUS SOLOSTAR</t>
  </si>
  <si>
    <t>LASILACTONE 50 TAB</t>
  </si>
  <si>
    <t>LASIX AMP.4ML</t>
  </si>
  <si>
    <t>LASIX TAB</t>
  </si>
  <si>
    <t>MYORIL CAP</t>
  </si>
  <si>
    <t>MYORIL 8 TAB</t>
  </si>
  <si>
    <t>PROCTOSEDYL OINT.</t>
  </si>
  <si>
    <t>SEMI AMARYL (M) TAB</t>
  </si>
  <si>
    <t>SEMI AMARYL TAB</t>
  </si>
  <si>
    <t>SOFRAMYCIN OINT</t>
  </si>
  <si>
    <t>SOFRAMYCIN BIG OINT.</t>
  </si>
  <si>
    <t>TELSITE 40 MG</t>
  </si>
  <si>
    <t>TELSITE 20 TAB</t>
  </si>
  <si>
    <t>TELSITE 80 MG</t>
  </si>
  <si>
    <t>TELSITE AM TAB</t>
  </si>
  <si>
    <t>TELSITE AMH TAB</t>
  </si>
  <si>
    <t>TELSITE H 40 TAB</t>
  </si>
  <si>
    <t>TOUJEO CARTAGE</t>
  </si>
  <si>
    <t>TOUJEO SOLOSTAR</t>
  </si>
  <si>
    <t>TOUSTAR PEN</t>
  </si>
  <si>
    <t>TRENTAL 400MG TAB</t>
  </si>
  <si>
    <t>VALPARIN SYP</t>
  </si>
  <si>
    <t>VALPARIN 200 TAB</t>
  </si>
  <si>
    <t>VALPARIN 500 TAB</t>
  </si>
  <si>
    <t>VALPARIN CR 200 TAB</t>
  </si>
  <si>
    <t>VALPARIN CR 300 TAB</t>
  </si>
  <si>
    <t>VALPARIN CR 500 TAB</t>
  </si>
  <si>
    <t>VINLEP 300</t>
  </si>
  <si>
    <t>VINLEP 600 TAB</t>
  </si>
  <si>
    <t>FEMAKE TAB</t>
  </si>
  <si>
    <t>AXELTIS HEALTHCARE</t>
  </si>
  <si>
    <t>FERTICLICK M TAB</t>
  </si>
  <si>
    <t>FERTICLICK F TAB</t>
  </si>
  <si>
    <t>MAYODI TAB</t>
  </si>
  <si>
    <t>MAYODI M TAB</t>
  </si>
  <si>
    <t>NORTIONE NT TAB</t>
  </si>
  <si>
    <t>OVAPIC 2.5 TAB</t>
  </si>
  <si>
    <t>RABTAPE D TAB</t>
  </si>
  <si>
    <t>SURE LMF TAB</t>
  </si>
  <si>
    <t>VITAXEL IMMUNE TAB</t>
  </si>
  <si>
    <t>VITAXEL NEW TAB</t>
  </si>
  <si>
    <t>VITAXEL SYP</t>
  </si>
  <si>
    <t>ZVITAXEL TAB</t>
  </si>
  <si>
    <t>BASALOG ONE PEN</t>
  </si>
  <si>
    <t>Biocon</t>
  </si>
  <si>
    <t>BASALOG REFILL</t>
  </si>
  <si>
    <t>BASALOG VIAL</t>
  </si>
  <si>
    <t>INSUGEN 30/70INJ</t>
  </si>
  <si>
    <t>INSUGEN 30\70REFIL</t>
  </si>
  <si>
    <t>INSUGEN R CAR</t>
  </si>
  <si>
    <t>INSUGEN R VIAL</t>
  </si>
  <si>
    <t>INSUPEN PRO PEN</t>
  </si>
  <si>
    <t>PSORID 50 TAB</t>
  </si>
  <si>
    <t>ZUKAR MF TAB</t>
  </si>
  <si>
    <t>ANGICAM 5 TAB</t>
  </si>
  <si>
    <t>Blue Cross Laboratories Ltd</t>
  </si>
  <si>
    <t>ANGICAM BETA TAB</t>
  </si>
  <si>
    <t>KOL Q TAB</t>
  </si>
  <si>
    <t>LOSTAT 50 TAB</t>
  </si>
  <si>
    <t>MEFTAGESIC DS SYP</t>
  </si>
  <si>
    <t>MEFTAGESIC P SYP</t>
  </si>
  <si>
    <t>MEFTAGESIC P TAB</t>
  </si>
  <si>
    <t>MEFTAL FORTE TAB</t>
  </si>
  <si>
    <t>MEFTAL MR TAB</t>
  </si>
  <si>
    <t>MEFTAL 250MG TAB</t>
  </si>
  <si>
    <t>MEFTAL 500 TAB</t>
  </si>
  <si>
    <t>MEFTAL P SYP.</t>
  </si>
  <si>
    <t>MEFTAL P TAB</t>
  </si>
  <si>
    <t>MEFTAL SPAS SYP</t>
  </si>
  <si>
    <t>MEFTAL SPAS TAB</t>
  </si>
  <si>
    <t>OLMEBLU 20 TAB</t>
  </si>
  <si>
    <t>OLMEBLU 40 TAB</t>
  </si>
  <si>
    <t>OLMEBLU H40 TAB</t>
  </si>
  <si>
    <t>TUSQ LONG.</t>
  </si>
  <si>
    <t>TUSQ TAB</t>
  </si>
  <si>
    <t>TUSQ DX SYP.</t>
  </si>
  <si>
    <t>TUSQ X SYP.</t>
  </si>
  <si>
    <t>VEBA PLUS TAB</t>
  </si>
  <si>
    <t>B PROTIN (CF)PET BIG</t>
  </si>
  <si>
    <t>British Biologicals</t>
  </si>
  <si>
    <t>B PROTIN C POWDER</t>
  </si>
  <si>
    <t>D PROTIN PET BIG</t>
  </si>
  <si>
    <t>D PROTIN C POWDER</t>
  </si>
  <si>
    <t>KIDS PRO POWDER</t>
  </si>
  <si>
    <t>MEDI SLIM POWDER</t>
  </si>
  <si>
    <t>MENO PRO POWDER</t>
  </si>
  <si>
    <t>PRO PL C POWDER BIG</t>
  </si>
  <si>
    <t>PRO PL CA POWDER</t>
  </si>
  <si>
    <t>PULMOCARE POWDER</t>
  </si>
  <si>
    <t>KOFAREST PD DROP</t>
  </si>
  <si>
    <t>Centaur Pharmaceuticals Pvt Ltd</t>
  </si>
  <si>
    <t>KOFAREST PD SYP</t>
  </si>
  <si>
    <t>METOZ 2.5 TAB</t>
  </si>
  <si>
    <t>METOZ 5 TAB</t>
  </si>
  <si>
    <t>OTIFLOX DROP</t>
  </si>
  <si>
    <t>SINAREST TAB 1 10TAB</t>
  </si>
  <si>
    <t>SINAREST AF DROP</t>
  </si>
  <si>
    <t>SINAREST AF SYP</t>
  </si>
  <si>
    <t>SINAREST DROP</t>
  </si>
  <si>
    <t>SINAREST LEVO TAB</t>
  </si>
  <si>
    <t>SINAREST LP TAB</t>
  </si>
  <si>
    <t>SINAREST PLUS SYP</t>
  </si>
  <si>
    <t>SINAREST SYP</t>
  </si>
  <si>
    <t>COSVATE GM CREAM 20G</t>
  </si>
  <si>
    <t>CFL PHARMACEUTICALS LTD</t>
  </si>
  <si>
    <t>JECTOCOS INJ.</t>
  </si>
  <si>
    <t>JECTOCOS PLUS INJ.</t>
  </si>
  <si>
    <t>JECTOCOS LIPO TAB</t>
  </si>
  <si>
    <t>REGLAN INJ.</t>
  </si>
  <si>
    <t>REGLAN TAB</t>
  </si>
  <si>
    <t>ADDYZOA CAP</t>
  </si>
  <si>
    <t>Charak Pharma Pvt Ltd</t>
  </si>
  <si>
    <t>APTIZOOM SYP.</t>
  </si>
  <si>
    <t>CALCURY TAB</t>
  </si>
  <si>
    <t>FEMIFORTE TAB</t>
  </si>
  <si>
    <t>FEMIPLEX TAB</t>
  </si>
  <si>
    <t>GUM TONE GEL</t>
  </si>
  <si>
    <t>GUM TONE POW</t>
  </si>
  <si>
    <t>LIVOMYN SYP BIG</t>
  </si>
  <si>
    <t>LIVOMYN TAB</t>
  </si>
  <si>
    <t>M2 TONE SYP</t>
  </si>
  <si>
    <t>M2 TONE FORTE</t>
  </si>
  <si>
    <t>M2 TONE SYP.(BIG)</t>
  </si>
  <si>
    <t>M2 TONE TAB</t>
  </si>
  <si>
    <t>NEO SILVER TAB</t>
  </si>
  <si>
    <t>PIGMENTO OINT</t>
  </si>
  <si>
    <t>PIGMENTO TAB</t>
  </si>
  <si>
    <t>ACIVIR 400 TAB</t>
  </si>
  <si>
    <t>Cipla Ltd</t>
  </si>
  <si>
    <t>ACIVIR 800 TAB</t>
  </si>
  <si>
    <t>AEROCORT INHALER</t>
  </si>
  <si>
    <t>AEROCORT ROTACAP</t>
  </si>
  <si>
    <t>AEROCORT FORT ROTACAP</t>
  </si>
  <si>
    <t>ALERID SYP</t>
  </si>
  <si>
    <t>ALERID TAB</t>
  </si>
  <si>
    <t>AMLOPRES 5MG TAB</t>
  </si>
  <si>
    <t>AMLOPRES AT 50 TAB</t>
  </si>
  <si>
    <t>AMLOPRESS AT 25 TAB</t>
  </si>
  <si>
    <t>ASTHALIN INHALER 200</t>
  </si>
  <si>
    <t>ASTHALIN RESPULES</t>
  </si>
  <si>
    <t>ASTHALIN ROTACAPS</t>
  </si>
  <si>
    <t>AZEE 250 TAB</t>
  </si>
  <si>
    <t>AZEE 500 TAB</t>
  </si>
  <si>
    <t>BUDECORT RESPU 0.5</t>
  </si>
  <si>
    <t>BUDESAL 0.5 RESPULE</t>
  </si>
  <si>
    <t>CALUTIDE 50 TAB</t>
  </si>
  <si>
    <t>CIPLAR LA 20MG TAB 10</t>
  </si>
  <si>
    <t>CIPLAR LA 40</t>
  </si>
  <si>
    <t>CIPLOX 250 TAB</t>
  </si>
  <si>
    <t>CIPLOX D EYE DROP</t>
  </si>
  <si>
    <t>CIPLOX EYE DROP</t>
  </si>
  <si>
    <t>CIPLOX 500 TAB</t>
  </si>
  <si>
    <t>CLOPIVAS AP 150 TAB</t>
  </si>
  <si>
    <t>DORZOX T DROP</t>
  </si>
  <si>
    <t>DUOLIN R/C</t>
  </si>
  <si>
    <t>DUOLIN 3 RESPULES</t>
  </si>
  <si>
    <t>DYTOR 40MG TAB</t>
  </si>
  <si>
    <t>DYTOR 10 TAB</t>
  </si>
  <si>
    <t>DYTOR 20 TAB</t>
  </si>
  <si>
    <t>DYTOR 5 TAB</t>
  </si>
  <si>
    <t>DYTOR PLUS 20 TAB</t>
  </si>
  <si>
    <t>DYTOR PLUS 5 TAB</t>
  </si>
  <si>
    <t>DYTOR PLUS10 TAB</t>
  </si>
  <si>
    <t>FLOMIST NASAL SPRAY</t>
  </si>
  <si>
    <t>FORACORT 0.5 RESPULES</t>
  </si>
  <si>
    <t>FORACORT 200 INHALER</t>
  </si>
  <si>
    <t>FORACORT 200 ROTA</t>
  </si>
  <si>
    <t>FORACORT 400 ROTA</t>
  </si>
  <si>
    <t>FOSIROL SACHET</t>
  </si>
  <si>
    <t>FURAMIST N/S</t>
  </si>
  <si>
    <t>FURAMIST AZ SPARY</t>
  </si>
  <si>
    <t>GUDCEF XL 200</t>
  </si>
  <si>
    <t>IBUGESIC PLUS SYP</t>
  </si>
  <si>
    <t>IBUGESIC PLUS TAB</t>
  </si>
  <si>
    <t>LEVOLIN 0.31MG RESPU</t>
  </si>
  <si>
    <t>LEVOLIN 0.63MG RESPULES</t>
  </si>
  <si>
    <t>METOLAR XR 25 TAB</t>
  </si>
  <si>
    <t>MONTAIR LC KID TAB</t>
  </si>
  <si>
    <t>MONTAIR FX TAB</t>
  </si>
  <si>
    <t>MONTAIR LC TAB</t>
  </si>
  <si>
    <t>NICOTEX 2 CHEWING TAB</t>
  </si>
  <si>
    <t>NICOTEX 2 TIN</t>
  </si>
  <si>
    <t>NICOTEX 4 TAB STRIP</t>
  </si>
  <si>
    <t>NICOTEX 4 TIN TAB</t>
  </si>
  <si>
    <t>NINTIB 100 TAB</t>
  </si>
  <si>
    <t>NORFLOX 400 TAB</t>
  </si>
  <si>
    <t>NORFLOX TZ TAB</t>
  </si>
  <si>
    <t>OSTEOFOS 70 TAB</t>
  </si>
  <si>
    <t>RIVELA 50 SPF</t>
  </si>
  <si>
    <t>ROTAHALER CIPLA</t>
  </si>
  <si>
    <t>SEBOWASH SHAMPOO</t>
  </si>
  <si>
    <t>TUGAIN 10% LOTION</t>
  </si>
  <si>
    <t>TUGAIN 2% LOTION</t>
  </si>
  <si>
    <t>TUGAIN 5% LOTION</t>
  </si>
  <si>
    <t>URIMAX 0.4 CAP</t>
  </si>
  <si>
    <t>COSRAB 20</t>
  </si>
  <si>
    <t>COSEC HEALTH CARE</t>
  </si>
  <si>
    <t>COSRAB DSR CAP</t>
  </si>
  <si>
    <t>COSTIVAH CT</t>
  </si>
  <si>
    <t>DESAID GEL</t>
  </si>
  <si>
    <t>DESAID SP TAB.</t>
  </si>
  <si>
    <t>FERIQUEEN SYP</t>
  </si>
  <si>
    <t>FERIQUEEN TAB</t>
  </si>
  <si>
    <t>L COS 500</t>
  </si>
  <si>
    <t>ZZZCOSTIVAH CT TAB 18%</t>
  </si>
  <si>
    <t>ABZORB POWDER</t>
  </si>
  <si>
    <t>RANBAXY (CROSSLAND)</t>
  </si>
  <si>
    <t>DIPROVATE + CREAM</t>
  </si>
  <si>
    <t>DIPROVATE +LOTION</t>
  </si>
  <si>
    <t>DIPROVATE G CREAM</t>
  </si>
  <si>
    <t>DIPROVATE RD CREAM</t>
  </si>
  <si>
    <t>DIPROVATE S OINT</t>
  </si>
  <si>
    <t>EXEL CREAM</t>
  </si>
  <si>
    <t>EXEL Gn CREAM</t>
  </si>
  <si>
    <t>EXEL M CREAM</t>
  </si>
  <si>
    <t>FUCIBET CREAM</t>
  </si>
  <si>
    <t>FUCIDIN CREAM</t>
  </si>
  <si>
    <t>FUCIDIN OINT.</t>
  </si>
  <si>
    <t>MOISTUREX CALM LOTION</t>
  </si>
  <si>
    <t>MOISTUREX CREAM</t>
  </si>
  <si>
    <t>MOISTUREX SYNDET</t>
  </si>
  <si>
    <t>SILVEREX AV CREAM</t>
  </si>
  <si>
    <t>SILVEREX CREAM</t>
  </si>
  <si>
    <t>SUNCROS AQUA GEL</t>
  </si>
  <si>
    <t>SUNCROS LOTION</t>
  </si>
  <si>
    <t>TECZINE SYP</t>
  </si>
  <si>
    <t>TECZINE 5MG TAB</t>
  </si>
  <si>
    <t>VOLINI 40GM SPRAY</t>
  </si>
  <si>
    <t>VOLINI 55GM SPRAY</t>
  </si>
  <si>
    <t>VOLINI GEL</t>
  </si>
  <si>
    <t>VOLITRA GEL</t>
  </si>
  <si>
    <t>AUTRIN CAP</t>
  </si>
  <si>
    <t>CYANAMID INDIA LTD</t>
  </si>
  <si>
    <t>AUTRIN XT TAB</t>
  </si>
  <si>
    <t>CANESTEN POWDER</t>
  </si>
  <si>
    <t>FOLVITE MB CAP</t>
  </si>
  <si>
    <t>FOLVITE TAB</t>
  </si>
  <si>
    <t>FOLVITE ACTIVE TAB</t>
  </si>
  <si>
    <t>HETRAZAN 100</t>
  </si>
  <si>
    <t>MUCAINE MINT GEL</t>
  </si>
  <si>
    <t>MUCAINE ORG GEL</t>
  </si>
  <si>
    <t>OVRAL G TAB</t>
  </si>
  <si>
    <t>OVRAL L (1 21)TAB</t>
  </si>
  <si>
    <t>PACITANE TAB</t>
  </si>
  <si>
    <t>PREMARIN CREAM</t>
  </si>
  <si>
    <t>WYSOLONE 10 TAB</t>
  </si>
  <si>
    <t>WYSOLONE 20MG TAB</t>
  </si>
  <si>
    <t>WYSOLONE 5MG TAB</t>
  </si>
  <si>
    <t>GESTOFIT SR 300 CAP</t>
  </si>
  <si>
    <t>Dabur India Ltd</t>
  </si>
  <si>
    <t>OVIGYN DSR TAB</t>
  </si>
  <si>
    <t>TELLZY AH TAB</t>
  </si>
  <si>
    <t>TELLZY RS TAB</t>
  </si>
  <si>
    <t>AGNA 25000 TAB</t>
  </si>
  <si>
    <t>Dr Reddy's Laboratories Ltd</t>
  </si>
  <si>
    <t>ALFOO TAB</t>
  </si>
  <si>
    <t>ANTOXID HC CAP</t>
  </si>
  <si>
    <t>AQUADERM LOTION</t>
  </si>
  <si>
    <t>ATARAX CREAM</t>
  </si>
  <si>
    <t>ATOCOR CV 10 TAB</t>
  </si>
  <si>
    <t>ATOCOR 10MG TAB</t>
  </si>
  <si>
    <t>ATOCOR 20MG TAB</t>
  </si>
  <si>
    <t>ATOCOR 40 TAB</t>
  </si>
  <si>
    <t>ATOCOR 80 TAB</t>
  </si>
  <si>
    <t>BECOZINC CAP.</t>
  </si>
  <si>
    <t>BISPEC 5 TAB</t>
  </si>
  <si>
    <t>BRIV 100 TAB</t>
  </si>
  <si>
    <t>BRIV 50 TAB</t>
  </si>
  <si>
    <t>CARDIOPRIL 5MG TAB</t>
  </si>
  <si>
    <t>CAZIQ CREAM</t>
  </si>
  <si>
    <t>CETZINE SYP DR REDDY</t>
  </si>
  <si>
    <t>CETZINE TAB DR REDDY</t>
  </si>
  <si>
    <t>CHEERIO GEL</t>
  </si>
  <si>
    <t>CLOHEX ADS M/W</t>
  </si>
  <si>
    <t>CLOHEX ORAL RINSE (red)</t>
  </si>
  <si>
    <t>CLOHEX NS BRUSH</t>
  </si>
  <si>
    <t>DANCLEAR SHAMPOO BIG</t>
  </si>
  <si>
    <t>DAPLO 10 TAB</t>
  </si>
  <si>
    <t>DELCYNISE TAB</t>
  </si>
  <si>
    <t>DOLOGEL</t>
  </si>
  <si>
    <t>DOLOGEL CT CREAM</t>
  </si>
  <si>
    <t>DOXT SL TAB</t>
  </si>
  <si>
    <t>DUTALFA TAB</t>
  </si>
  <si>
    <t>DUTAS CAP</t>
  </si>
  <si>
    <t>DUTAS T CAP</t>
  </si>
  <si>
    <t>EBERNET CREAM</t>
  </si>
  <si>
    <t>ECONORM CAP</t>
  </si>
  <si>
    <t>ECONORM SACHET</t>
  </si>
  <si>
    <t>EZINAPI CREAM</t>
  </si>
  <si>
    <t>EZINAPI OINT</t>
  </si>
  <si>
    <t>FINAST TAB</t>
  </si>
  <si>
    <t>FINAX TAB</t>
  </si>
  <si>
    <t>FLURISH TAB</t>
  </si>
  <si>
    <t>GLIMY M2 FORTE</t>
  </si>
  <si>
    <t>GLIMY MV1 TAB</t>
  </si>
  <si>
    <t>GLIMY MV2 TAB</t>
  </si>
  <si>
    <t>GLIMY 1MG TAB</t>
  </si>
  <si>
    <t>GLIMY 2MG TAB</t>
  </si>
  <si>
    <t>GLIMY M1 TAB.</t>
  </si>
  <si>
    <t>GLIMY M2 TAB</t>
  </si>
  <si>
    <t>HYDROHEAL AM S</t>
  </si>
  <si>
    <t>IBUCLIN JUNIOR</t>
  </si>
  <si>
    <t>K CIT SYP</t>
  </si>
  <si>
    <t>KETOROL SP TAB</t>
  </si>
  <si>
    <t>KETOROL DT TAB</t>
  </si>
  <si>
    <t>MEGA 3 CAP</t>
  </si>
  <si>
    <t>METROHEX GEL</t>
  </si>
  <si>
    <t>METSMALL VX 500 TAB</t>
  </si>
  <si>
    <t>METSMALL VX 1000 TAB</t>
  </si>
  <si>
    <t>METSMALL 1000 TAB</t>
  </si>
  <si>
    <t>METSMALL 500 TAB</t>
  </si>
  <si>
    <t>MINTOP 2% LOTION</t>
  </si>
  <si>
    <t>MINTOP 5% FORTE LOTION</t>
  </si>
  <si>
    <t>MINTOP 10% LOTION</t>
  </si>
  <si>
    <t>MUCOLITE DROP</t>
  </si>
  <si>
    <t>MUCOLITE SYP.</t>
  </si>
  <si>
    <t>MUCOLITE TAB</t>
  </si>
  <si>
    <t>MUOUT+ POWDER</t>
  </si>
  <si>
    <t>NISE TAB</t>
  </si>
  <si>
    <t>OLSERTAIN 20 MG TAB</t>
  </si>
  <si>
    <t>OLSERTAIN 40 MG TAB</t>
  </si>
  <si>
    <t>OLSERTAIN AM 20 TAB</t>
  </si>
  <si>
    <t>OLSERTAIN H 20 MG</t>
  </si>
  <si>
    <t>OLSERTAIN H 40 MG</t>
  </si>
  <si>
    <t>OMEZ 20 CAP</t>
  </si>
  <si>
    <t>OMEZ 40 TAB</t>
  </si>
  <si>
    <t>OMEZ DSR TAB</t>
  </si>
  <si>
    <t>OMEZ INSTA SACHET</t>
  </si>
  <si>
    <t>OPTIDOZ TAB</t>
  </si>
  <si>
    <t>ORDENT TAB</t>
  </si>
  <si>
    <t>RAZO SACHET</t>
  </si>
  <si>
    <t>RAZO 20 TAB</t>
  </si>
  <si>
    <t>RAZO D CAP</t>
  </si>
  <si>
    <t>RAZO L TAB</t>
  </si>
  <si>
    <t>RECLIDE XR 60</t>
  </si>
  <si>
    <t>RECLIDE 40MG TAB</t>
  </si>
  <si>
    <t>RECLIMET TAB</t>
  </si>
  <si>
    <t>RECLIMET XR TAB</t>
  </si>
  <si>
    <t>REDOTIL CAP</t>
  </si>
  <si>
    <t>RELENT SYP.</t>
  </si>
  <si>
    <t>RELENT PLUS SYP</t>
  </si>
  <si>
    <t>RESWAS SYP</t>
  </si>
  <si>
    <t>RETOZ 120 TAB</t>
  </si>
  <si>
    <t>RETOZ 90 TAB</t>
  </si>
  <si>
    <t>RETOZ MR 4 TAB</t>
  </si>
  <si>
    <t>ROZAT 10MG TAB</t>
  </si>
  <si>
    <t>ROZAT 20 TAB</t>
  </si>
  <si>
    <t>ROZAT 5MG TAB</t>
  </si>
  <si>
    <t>ROZAT F TAB</t>
  </si>
  <si>
    <t>SEMI RECLIMET TAB</t>
  </si>
  <si>
    <t>SENQUEL GEL</t>
  </si>
  <si>
    <t>SENQUEL AD M.W.</t>
  </si>
  <si>
    <t>SENQUEL AD M/W</t>
  </si>
  <si>
    <t>SENQUEL F GEL</t>
  </si>
  <si>
    <t>SIBOFIX 550 TAB</t>
  </si>
  <si>
    <t>SILDOO D8 CAP</t>
  </si>
  <si>
    <t>SILDOO 8 CAP</t>
  </si>
  <si>
    <t>STAMLO 2.5MG TAB</t>
  </si>
  <si>
    <t>STAMLO 5MG TAB</t>
  </si>
  <si>
    <t>STAMLO T</t>
  </si>
  <si>
    <t>STAMLO D TAB</t>
  </si>
  <si>
    <t>STAMLOBETA TAB</t>
  </si>
  <si>
    <t>STOLIN GEL</t>
  </si>
  <si>
    <t>STOLIN GUM PAINT.</t>
  </si>
  <si>
    <t>STOLIN R GEL</t>
  </si>
  <si>
    <t>TAZZEL 5 TAB</t>
  </si>
  <si>
    <t>TAZZEL 10 TAB</t>
  </si>
  <si>
    <t>TELSARTAN 20 TAB</t>
  </si>
  <si>
    <t>TELSARTAN 40 TAB</t>
  </si>
  <si>
    <t>TELSARTAN TRIO TAB</t>
  </si>
  <si>
    <t>TICAFLO 90 TAB</t>
  </si>
  <si>
    <t>TRISERTAIN 20 TAB</t>
  </si>
  <si>
    <t>ULTRA NISE NRX TAB</t>
  </si>
  <si>
    <t>VANTEJ PASTE</t>
  </si>
  <si>
    <t>VEGAZ OD</t>
  </si>
  <si>
    <t>VENUSIA CREAM</t>
  </si>
  <si>
    <t>VENUSIA DERM CREAM</t>
  </si>
  <si>
    <t>VENUSIA LOTION</t>
  </si>
  <si>
    <t>VENUSIA LOTION BIG</t>
  </si>
  <si>
    <t>VENUSIA MAX BIG LOTION</t>
  </si>
  <si>
    <t>VENUSIA MAX CREAM</t>
  </si>
  <si>
    <t>Z&amp;D DROP</t>
  </si>
  <si>
    <t>REFLORA R SACHET</t>
  </si>
  <si>
    <t>Sundyota Numandis Pharmaceuticals Pvt Ltd</t>
  </si>
  <si>
    <t>CARBOPHAGE XR 1000 TAB</t>
  </si>
  <si>
    <t>Merck Ltd</t>
  </si>
  <si>
    <t>CARBOPHAGE XR 500 TAB</t>
  </si>
  <si>
    <t>CONCOR 2.5 TAB.</t>
  </si>
  <si>
    <t>CONCOR 5 TAB.</t>
  </si>
  <si>
    <t>CONCOR PLUS TAB</t>
  </si>
  <si>
    <t>CONCOR 1.25MG TAB</t>
  </si>
  <si>
    <t>CONCOR 10 TAB</t>
  </si>
  <si>
    <t>CONCOR AM 2.5 TAB</t>
  </si>
  <si>
    <t>CONCOR AM 5 TAB</t>
  </si>
  <si>
    <t>COSOME A SYP.</t>
  </si>
  <si>
    <t>EUTHYROX 100</t>
  </si>
  <si>
    <t>EUTHYROX 25</t>
  </si>
  <si>
    <t>EUTHYROX 50</t>
  </si>
  <si>
    <t>EUTHYROX 75</t>
  </si>
  <si>
    <t>EVION 200 CAP</t>
  </si>
  <si>
    <t>EVION 400 CAP</t>
  </si>
  <si>
    <t>EVION 600</t>
  </si>
  <si>
    <t>EVION CREAM 60g</t>
  </si>
  <si>
    <t>EVION FORTE TAB</t>
  </si>
  <si>
    <t>EVION LC TAB</t>
  </si>
  <si>
    <t>LIVOGEN SYP.</t>
  </si>
  <si>
    <t>LIVOGEN TAB</t>
  </si>
  <si>
    <t>LIVOGEN XT TAB</t>
  </si>
  <si>
    <t>LIVOGEN Z CAP</t>
  </si>
  <si>
    <t>LODOZ 2.5 TAB</t>
  </si>
  <si>
    <t>LODOZ 5 MG TAB</t>
  </si>
  <si>
    <t>MAXEPA CAP</t>
  </si>
  <si>
    <t>NASIVION 0.05% ADL</t>
  </si>
  <si>
    <t>NASIVION 0.25% CHILD DROP.</t>
  </si>
  <si>
    <t>NASIVION BABY DROP</t>
  </si>
  <si>
    <t>NEUROBION ALFA D</t>
  </si>
  <si>
    <t>NEUROBION FORTE AMP.</t>
  </si>
  <si>
    <t>NEUROBION FORTE EMERK TAB.</t>
  </si>
  <si>
    <t>NEUROBION PLUS TAB</t>
  </si>
  <si>
    <t>NEUROBION ALFA TAB</t>
  </si>
  <si>
    <t>POLYBION AMP.</t>
  </si>
  <si>
    <t>POLYBION ACTIVE SYP</t>
  </si>
  <si>
    <t>POLYBION CZS TAB</t>
  </si>
  <si>
    <t>POLYBION LC SYP</t>
  </si>
  <si>
    <t>POLYBION LC SYP SMALL</t>
  </si>
  <si>
    <t>POLYBION SF SYP</t>
  </si>
  <si>
    <t>ASOMEX 5 TAB</t>
  </si>
  <si>
    <t>Emcure Pharmaceuticals Ltd</t>
  </si>
  <si>
    <t>BEVON CAP</t>
  </si>
  <si>
    <t>BEVON SYP</t>
  </si>
  <si>
    <t>DYDROFEM TAB EMCURE</t>
  </si>
  <si>
    <t>FERIUM XT TAB</t>
  </si>
  <si>
    <t>FERONIA XT SYP</t>
  </si>
  <si>
    <t>MAXTRA DROP</t>
  </si>
  <si>
    <t>MAXTRA P DROP</t>
  </si>
  <si>
    <t>MAXTRA P SYP</t>
  </si>
  <si>
    <t>MAXTRA SYP</t>
  </si>
  <si>
    <t>MYOTOP P TAB</t>
  </si>
  <si>
    <t>MYOTOP 150 TAB</t>
  </si>
  <si>
    <t>NUROKIND 500 INJ</t>
  </si>
  <si>
    <t>OROFER XT TOTAL TAB.</t>
  </si>
  <si>
    <t>OROFER FCM 1K INJ</t>
  </si>
  <si>
    <t>OROFER S 100 INJ</t>
  </si>
  <si>
    <t>OROFER XT SYP</t>
  </si>
  <si>
    <t>OROFER XT TAB</t>
  </si>
  <si>
    <t>SYLATE 500 TAB</t>
  </si>
  <si>
    <t>VYLDA M 500 TAB</t>
  </si>
  <si>
    <t>ZOSTUM 1.5 VIAL</t>
  </si>
  <si>
    <t>D3 EVER SG CAP</t>
  </si>
  <si>
    <t>EMMY PHARMACEUTICAL</t>
  </si>
  <si>
    <t>DOXIEM LB TAB</t>
  </si>
  <si>
    <t>EMMYCAL MAX CAP</t>
  </si>
  <si>
    <t>EMMYCAL TAB</t>
  </si>
  <si>
    <t>EMMYFOL D TAB</t>
  </si>
  <si>
    <t>EMMYGESIC SP TAB</t>
  </si>
  <si>
    <t>EMMYGESIC ASP TAB</t>
  </si>
  <si>
    <t>EMMYPRIM SOFT CAP</t>
  </si>
  <si>
    <t>FEMINOWELL SYP</t>
  </si>
  <si>
    <t>FLEXIWAY TAB</t>
  </si>
  <si>
    <t>NUTRASHINE CAP</t>
  </si>
  <si>
    <t>NUTRASHINE SYP</t>
  </si>
  <si>
    <t>RABEWELL DSR CAP</t>
  </si>
  <si>
    <t>4K PEG POWDER</t>
  </si>
  <si>
    <t>Eris Life Sciences Pvt Ltd</t>
  </si>
  <si>
    <t>ADVOG M 0.2 TAB</t>
  </si>
  <si>
    <t>ADVOG M0.3 TAB.</t>
  </si>
  <si>
    <t>ADVOG 03 TAB</t>
  </si>
  <si>
    <t>ALERFIX TOTAL TAB</t>
  </si>
  <si>
    <t>ARBAZEAL ES 40 TAB</t>
  </si>
  <si>
    <t>ATORSAVE 80 MG</t>
  </si>
  <si>
    <t>ATORSAVE CV10 TAB</t>
  </si>
  <si>
    <t>ATORSAVE D10</t>
  </si>
  <si>
    <t>ATORSAVE GOLD 20 TAB</t>
  </si>
  <si>
    <t>ATORSAVE 10 TAB</t>
  </si>
  <si>
    <t>ATORSAVE 20 TAB</t>
  </si>
  <si>
    <t>ATORSAVE D20 TAB</t>
  </si>
  <si>
    <t>AXUNIL 120 SPAY</t>
  </si>
  <si>
    <t>CALSHINE P DROP</t>
  </si>
  <si>
    <t>CREVAST 5 TAB</t>
  </si>
  <si>
    <t>CREVAST GOLD 20 TAB</t>
  </si>
  <si>
    <t>CREVAST GOLD 10 TAB</t>
  </si>
  <si>
    <t>CREVAST A 10 75</t>
  </si>
  <si>
    <t>CREVAST 10</t>
  </si>
  <si>
    <t>CREVAST 20 TAB</t>
  </si>
  <si>
    <t>CREVAST 40 TAB</t>
  </si>
  <si>
    <t>CREVAST CV 10 TAB</t>
  </si>
  <si>
    <t>CYBLEX M 40 TAB</t>
  </si>
  <si>
    <t>CYBLEX MV 40.2 TAB</t>
  </si>
  <si>
    <t>CYBLEX MV 40.3</t>
  </si>
  <si>
    <t>CYBLEX MV 80.2 TAB</t>
  </si>
  <si>
    <t>CYBLEX MV 80.3 TAB</t>
  </si>
  <si>
    <t>CYBLEX 40 TAB</t>
  </si>
  <si>
    <t>CYBLEX M XR 30 TAB</t>
  </si>
  <si>
    <t>CYBLEX M XR 60 TAB</t>
  </si>
  <si>
    <t>CYBLEX M80 TAB</t>
  </si>
  <si>
    <t>D 500 CAL TAB</t>
  </si>
  <si>
    <t>D CAL 1GM</t>
  </si>
  <si>
    <t>DROLUTE TAB</t>
  </si>
  <si>
    <t>ERITEL AM 80</t>
  </si>
  <si>
    <t>ERITEL CH 40</t>
  </si>
  <si>
    <t>ERITEL CH 80</t>
  </si>
  <si>
    <t>ERITEL LN 40</t>
  </si>
  <si>
    <t>ERITEL LN 80</t>
  </si>
  <si>
    <t>ERITEL TRIO TAB</t>
  </si>
  <si>
    <t>ERITEL BETA 50 TAB</t>
  </si>
  <si>
    <t>ERITEL CH 6.25 TAB</t>
  </si>
  <si>
    <t>ERITEL 20 TAB</t>
  </si>
  <si>
    <t>ERITEL 40 TAB</t>
  </si>
  <si>
    <t>ERITEL 80 TAB</t>
  </si>
  <si>
    <t>ERITEL AM TAB</t>
  </si>
  <si>
    <t>ERITEL CH TRIO 40 TAB</t>
  </si>
  <si>
    <t>ERITEL H TAB</t>
  </si>
  <si>
    <t>ERITEL H80 TAB</t>
  </si>
  <si>
    <t>ETORVEL 60 TAB</t>
  </si>
  <si>
    <t>ETORVEL 90 TAB</t>
  </si>
  <si>
    <t>FOCII GR SACHET</t>
  </si>
  <si>
    <t>GLIMISAVE 4</t>
  </si>
  <si>
    <t>GLIMISAVE M 0.5</t>
  </si>
  <si>
    <t>GLIMISAVE M1 FORTE</t>
  </si>
  <si>
    <t>GLIMISAVE M1 TAB</t>
  </si>
  <si>
    <t>GLIMISAVE M2 FORTE</t>
  </si>
  <si>
    <t>GLIMISAVE M2 TAB</t>
  </si>
  <si>
    <t>GLIMISAVE M3 FORTE</t>
  </si>
  <si>
    <t>GLIMISAVE M3 TAB</t>
  </si>
  <si>
    <t>GLIMISAVE M4 FORTE</t>
  </si>
  <si>
    <t>GLIMISAVE MAX1 TAB</t>
  </si>
  <si>
    <t>GLIMISAVE MAX2 FORTE</t>
  </si>
  <si>
    <t>GLIMISAVE MAX2 TAB</t>
  </si>
  <si>
    <t>GLIMISAVE MV 1</t>
  </si>
  <si>
    <t>GLIMISAVE MV 1.3</t>
  </si>
  <si>
    <t>GLIMISAVE MV 2</t>
  </si>
  <si>
    <t>GLIMISAVE MV 2 FORTE</t>
  </si>
  <si>
    <t>GLIMISAVE MV 2.3</t>
  </si>
  <si>
    <t>GLIMISAVE MV 3.3 TAB</t>
  </si>
  <si>
    <t>GLIMISAVE MV 3.3(F)</t>
  </si>
  <si>
    <t>GLIMISAVE 1MG TAB</t>
  </si>
  <si>
    <t>GLIMISAVE 2 TAB</t>
  </si>
  <si>
    <t>GLIMSAVE 4MG TAB</t>
  </si>
  <si>
    <t>GLITARIS 15</t>
  </si>
  <si>
    <t>GLURA M XR 500 TAB</t>
  </si>
  <si>
    <t>GLUXIT S 10/100 TAB</t>
  </si>
  <si>
    <t>GLUXIT 10 TAB</t>
  </si>
  <si>
    <t>GLUXIT 5MG TAB</t>
  </si>
  <si>
    <t>GLUXIT M 10/500</t>
  </si>
  <si>
    <t>GLUXIT M 5 TAB</t>
  </si>
  <si>
    <t>INZIT 4 TAB</t>
  </si>
  <si>
    <t>LINARES M TAB</t>
  </si>
  <si>
    <t>LN TRIO 10</t>
  </si>
  <si>
    <t>LN BETA 2.5 TAB</t>
  </si>
  <si>
    <t>LN BETA 5 TAB</t>
  </si>
  <si>
    <t>LNBLOC 10 MG</t>
  </si>
  <si>
    <t>LNBLOC 20 TAB</t>
  </si>
  <si>
    <t>LNBLOC 5 MG</t>
  </si>
  <si>
    <t>LNMET 50 TAB</t>
  </si>
  <si>
    <t>MAC RABONIK DSR CAP</t>
  </si>
  <si>
    <t>MAC RABONIK PLUS TAB</t>
  </si>
  <si>
    <t>MAGE 1 TAB</t>
  </si>
  <si>
    <t>MAGE 2 TAB</t>
  </si>
  <si>
    <t>MAGE V 0.3 TAB</t>
  </si>
  <si>
    <t>MAXAFORMIN 750 TAB</t>
  </si>
  <si>
    <t>MAXUM MEN TAB</t>
  </si>
  <si>
    <t>MAXUM TAB</t>
  </si>
  <si>
    <t>METAFORT 500 TAB</t>
  </si>
  <si>
    <t>METITOL TAB</t>
  </si>
  <si>
    <t>NEW GTN 2.6 TAB</t>
  </si>
  <si>
    <t>OLMIN A 20</t>
  </si>
  <si>
    <t>OLMIN CH 20</t>
  </si>
  <si>
    <t>OLMIN CH 40</t>
  </si>
  <si>
    <t>OLMIN LN 20</t>
  </si>
  <si>
    <t>OLMIN LN 40</t>
  </si>
  <si>
    <t>OLMIN TRIO 40</t>
  </si>
  <si>
    <t>OLMIN 20MG</t>
  </si>
  <si>
    <t>OLMIN 40 TAB</t>
  </si>
  <si>
    <t>OLMIN AH TAB</t>
  </si>
  <si>
    <t>OLMIN H 20 TAB</t>
  </si>
  <si>
    <t>OLMIN H 40 TAB</t>
  </si>
  <si>
    <t>OLMIN TRIO TAB</t>
  </si>
  <si>
    <t>ORLEAN 120 MG</t>
  </si>
  <si>
    <t>ORLEAN 60 CAP</t>
  </si>
  <si>
    <t>ORTHOSENZ OINT</t>
  </si>
  <si>
    <t>PROTOL AM</t>
  </si>
  <si>
    <t>PROTOL XL 50 TAB</t>
  </si>
  <si>
    <t>PROTOL XL 25 TAB</t>
  </si>
  <si>
    <t>RABONIK 40 DSR</t>
  </si>
  <si>
    <t>RABONIK PLUS 40</t>
  </si>
  <si>
    <t>RABONIK PLUS TAB</t>
  </si>
  <si>
    <t>RABONIK DSR TAB</t>
  </si>
  <si>
    <t>RARICAP DROP</t>
  </si>
  <si>
    <t>RARICAP 100 TAB</t>
  </si>
  <si>
    <t>RARICAP L SYP</t>
  </si>
  <si>
    <t>RARISET TAB</t>
  </si>
  <si>
    <t>REDRIM TAB</t>
  </si>
  <si>
    <t>REMYLIN D TAB</t>
  </si>
  <si>
    <t>RENERVE CAP</t>
  </si>
  <si>
    <t>RENERVE PLUS CAP</t>
  </si>
  <si>
    <t>RENERVE PLUS INJ</t>
  </si>
  <si>
    <t>RENERVE PSR TAB</t>
  </si>
  <si>
    <t>RENERVE P TAB</t>
  </si>
  <si>
    <t>REUNION SOFTGEL</t>
  </si>
  <si>
    <t>REVLIN M TAB</t>
  </si>
  <si>
    <t>REVLIN M SR 150 TAB</t>
  </si>
  <si>
    <t>RIVALTO 10 TAB</t>
  </si>
  <si>
    <t>ROSIFLEX TAB</t>
  </si>
  <si>
    <t>ROSIFLEX C TAB</t>
  </si>
  <si>
    <t>TAYO K 60 MG</t>
  </si>
  <si>
    <t>TAYO M TAB</t>
  </si>
  <si>
    <t>TAYO TAB</t>
  </si>
  <si>
    <t>TAYO RAGA TAB</t>
  </si>
  <si>
    <t>TENDIA TAB</t>
  </si>
  <si>
    <t>TENDIA M TAB</t>
  </si>
  <si>
    <t>TENDIA M FORTE TAB</t>
  </si>
  <si>
    <t>THYROFIT 150 TAB</t>
  </si>
  <si>
    <t>THYROFIT 25BOTTLE</t>
  </si>
  <si>
    <t>TRIGLIMISAVE 1 TAB</t>
  </si>
  <si>
    <t>TRIGLIMISAVE 2 HS</t>
  </si>
  <si>
    <t>TRIGLIMISAVE 2 TAB</t>
  </si>
  <si>
    <t>XSULIN 30/70 CARTAGE</t>
  </si>
  <si>
    <t>XSULIN R CARTAGE</t>
  </si>
  <si>
    <t>ZAC D TAB</t>
  </si>
  <si>
    <t>ZAC NEURO TAB</t>
  </si>
  <si>
    <t>ZAC DAY TAB</t>
  </si>
  <si>
    <t>ZOMELIS SR 100 TAB</t>
  </si>
  <si>
    <t>ZOMELIS D TAB</t>
  </si>
  <si>
    <t>ZOMELIS SG TAB</t>
  </si>
  <si>
    <t>AMODEP AT TAB</t>
  </si>
  <si>
    <t>FDC Ltd</t>
  </si>
  <si>
    <t>AMODEP TM 40 TAB</t>
  </si>
  <si>
    <t>COTARYL CREAM</t>
  </si>
  <si>
    <t>ELECTRAL ORANGE SMALL</t>
  </si>
  <si>
    <t>ELECTRAL POWDER</t>
  </si>
  <si>
    <t>ELECTRAL POWDER. ORANGE 21.8G</t>
  </si>
  <si>
    <t>ELECTRAL LIQUID</t>
  </si>
  <si>
    <t>ELECTROL LIQUID ORNG</t>
  </si>
  <si>
    <t>ENERZAL LIQUID</t>
  </si>
  <si>
    <t>ENERZAL POWDER BIG</t>
  </si>
  <si>
    <t>ENERZAL POWDER SMALL.</t>
  </si>
  <si>
    <t>MUMMUM 1 POWDER</t>
  </si>
  <si>
    <t>OCUVIR 400 TAB</t>
  </si>
  <si>
    <t>OTEK AC DROP</t>
  </si>
  <si>
    <t>SIMYL MCT OIL</t>
  </si>
  <si>
    <t>SIMYL MCT POW</t>
  </si>
  <si>
    <t>VIROVIR 500 TAB</t>
  </si>
  <si>
    <t>VITCOFOL CAP</t>
  </si>
  <si>
    <t>VITCOFOL INJ.</t>
  </si>
  <si>
    <t>VITCOFOL SYP</t>
  </si>
  <si>
    <t>ZEFU 250 G. TAB</t>
  </si>
  <si>
    <t>ZEFU 500 MG.TAB</t>
  </si>
  <si>
    <t>ZIFI 100 DT TAB</t>
  </si>
  <si>
    <t>ZIFI 100 SYP</t>
  </si>
  <si>
    <t>ZIFI 200 TAB</t>
  </si>
  <si>
    <t>ZIFI CV 100DT</t>
  </si>
  <si>
    <t>ZIFI CV 200DT</t>
  </si>
  <si>
    <t>ZIFI O 100TAB</t>
  </si>
  <si>
    <t>ZIFI O TAB</t>
  </si>
  <si>
    <t>ZIFI 50 SYP</t>
  </si>
  <si>
    <t>ZIFI 50DT TAB</t>
  </si>
  <si>
    <t>ZIFI CV 100 SYP</t>
  </si>
  <si>
    <t>ZIFI CV 50 TAB</t>
  </si>
  <si>
    <t>ZIFI LBX TAB</t>
  </si>
  <si>
    <t>ZIFI TURBO 600 TAB</t>
  </si>
  <si>
    <t>ZO 200 TAB</t>
  </si>
  <si>
    <t>ADDEX OINTMENT</t>
  </si>
  <si>
    <t>Franco-Indian Pharmaceuticals (DIABETIC)</t>
  </si>
  <si>
    <t>AMICLIN PLUS</t>
  </si>
  <si>
    <t>AMICLIN TAB</t>
  </si>
  <si>
    <t>BENALGIS 100 TAB</t>
  </si>
  <si>
    <t>BENALGIS FORTE CAP</t>
  </si>
  <si>
    <t>BRAKKE TAB.</t>
  </si>
  <si>
    <t>DEXORANGE CAP</t>
  </si>
  <si>
    <t>DEXORANGE PAEDI.[SYP]</t>
  </si>
  <si>
    <t>DEXORANGE SYP</t>
  </si>
  <si>
    <t>DIAVIT + CAP</t>
  </si>
  <si>
    <t>ETICORT TAB</t>
  </si>
  <si>
    <t>GLIDE TAB</t>
  </si>
  <si>
    <t>GLIMET DS TAB</t>
  </si>
  <si>
    <t>GLYCIPHAGE 850</t>
  </si>
  <si>
    <t>GLYCIPHAGE 850 SR TAB</t>
  </si>
  <si>
    <t>GLYCIPHAGE TAB</t>
  </si>
  <si>
    <t>GLYCIPHAGE 250 TAB</t>
  </si>
  <si>
    <t>GLYCIPHAGE G1 TAB</t>
  </si>
  <si>
    <t>GLYCIPHAGE G2 TAB</t>
  </si>
  <si>
    <t>GLYCIPHAGE P15</t>
  </si>
  <si>
    <t>GLYCIPHAGE SR 1GM</t>
  </si>
  <si>
    <t>GLYCIPHAGE SR 500</t>
  </si>
  <si>
    <t>GLYPTEN TAB</t>
  </si>
  <si>
    <t>GRILINCTUS BM SYP</t>
  </si>
  <si>
    <t>GRILINCTUS SYP</t>
  </si>
  <si>
    <t>GRILINCTUS BM PEAD</t>
  </si>
  <si>
    <t>GRILINCTUS BM TAB</t>
  </si>
  <si>
    <t>GRILINCTUS L SYP</t>
  </si>
  <si>
    <t>GRILINCTUS LS SYP</t>
  </si>
  <si>
    <t>LACTISYN SCAHET</t>
  </si>
  <si>
    <t>MELANOCYL LOTION</t>
  </si>
  <si>
    <t>MELANOCYL OINT</t>
  </si>
  <si>
    <t>MELANOCYL TAB</t>
  </si>
  <si>
    <t>MONADINE TAB</t>
  </si>
  <si>
    <t>MONLEVO TAB</t>
  </si>
  <si>
    <t>NATVIE 400MG. TAB</t>
  </si>
  <si>
    <t>NATVIE GOLD TAB</t>
  </si>
  <si>
    <t>NATVIE 200MG. TAB.</t>
  </si>
  <si>
    <t>OMILCAL FORTE TAB</t>
  </si>
  <si>
    <t>OMILCAL SYP.</t>
  </si>
  <si>
    <t>RELAXYL DA GEL</t>
  </si>
  <si>
    <t>RELAXYL GEL</t>
  </si>
  <si>
    <t>RELAXYL OINT.</t>
  </si>
  <si>
    <t>SORBIDIOL 150 TAB</t>
  </si>
  <si>
    <t>SORBIDIOL 300 TAB</t>
  </si>
  <si>
    <t>SORBILINE SYP</t>
  </si>
  <si>
    <t>STIMULIV 100ML SYP.</t>
  </si>
  <si>
    <t>STIMULIV SYP</t>
  </si>
  <si>
    <t>STIMULIVE TAB</t>
  </si>
  <si>
    <t>SURFAZ LOTION</t>
  </si>
  <si>
    <t>SURFAZ OINT</t>
  </si>
  <si>
    <t>SURFAZ POWDER.</t>
  </si>
  <si>
    <t>SURFAZ SN OINT</t>
  </si>
  <si>
    <t>TOPIFORT MX LOTION</t>
  </si>
  <si>
    <t>ZASCOR TAB</t>
  </si>
  <si>
    <t>ZINDEE SACHET</t>
  </si>
  <si>
    <t>ALASPAN AM TAB</t>
  </si>
  <si>
    <t>Fulford India Ltd</t>
  </si>
  <si>
    <t>ALASPAN SYP</t>
  </si>
  <si>
    <t>DIPSALIC CRE.</t>
  </si>
  <si>
    <t>ELOCON CREAM 10GM</t>
  </si>
  <si>
    <t>ELOCON OINT 10GM</t>
  </si>
  <si>
    <t>POLARMINE TAB</t>
  </si>
  <si>
    <t>QUADRIDERM 5GR.CREAM SMALL</t>
  </si>
  <si>
    <t>QUARDIDERM 10GM.CREAM BIG</t>
  </si>
  <si>
    <t>CYPON CAP</t>
  </si>
  <si>
    <t>GENOTEK PHARMACEUTICALS</t>
  </si>
  <si>
    <t>CYPON DROP</t>
  </si>
  <si>
    <t>CYPON SYP</t>
  </si>
  <si>
    <t>MYOLAXIN CREAM</t>
  </si>
  <si>
    <t>MYOLAXIN D CREAM</t>
  </si>
  <si>
    <t>RESPIRA SYP</t>
  </si>
  <si>
    <t>RESPIRA D SYP</t>
  </si>
  <si>
    <t>VERTIGON TAB</t>
  </si>
  <si>
    <t>AERODIL DX SYP</t>
  </si>
  <si>
    <t>GERMAN REMEDIES (AEROFORCE)</t>
  </si>
  <si>
    <t>AERODIL SYP</t>
  </si>
  <si>
    <t>AERODIL LS SYP</t>
  </si>
  <si>
    <t>ALLRITE TAB</t>
  </si>
  <si>
    <t>ALLRITE DC TAB</t>
  </si>
  <si>
    <t>ALUPENT(ORCIBEST)10 TAB</t>
  </si>
  <si>
    <t>ARZEP NASAL SPRAY</t>
  </si>
  <si>
    <t>BAYERS TONIC</t>
  </si>
  <si>
    <t>BILOVAS TAB</t>
  </si>
  <si>
    <t>BTN FORTE TAB</t>
  </si>
  <si>
    <t>BTN TAB</t>
  </si>
  <si>
    <t>CLOP CREM</t>
  </si>
  <si>
    <t>CLOP G CREAM</t>
  </si>
  <si>
    <t>CLOP GM NEO CR</t>
  </si>
  <si>
    <t>CLOP S NANO LOTION</t>
  </si>
  <si>
    <t>CLOP S OINT</t>
  </si>
  <si>
    <t>COMBIMIST L ROTA</t>
  </si>
  <si>
    <t>COMBINASE AQ SPRAY</t>
  </si>
  <si>
    <t>COMBINASE FT NASAL</t>
  </si>
  <si>
    <t>COMPLAMINA RET 500</t>
  </si>
  <si>
    <t>COMPLAMINA TAB</t>
  </si>
  <si>
    <t>DANCLEAR SHAMPOO</t>
  </si>
  <si>
    <t>DERIPHYLIN M TAB</t>
  </si>
  <si>
    <t>DERIPHYLIN OD 300 TAB</t>
  </si>
  <si>
    <t>DERIPHYLIN OD 450 TAB</t>
  </si>
  <si>
    <t>DERIPHYLLIN BM SYP</t>
  </si>
  <si>
    <t>DERIPHYLLIN INJ</t>
  </si>
  <si>
    <t>DERIPHYLLIN SYP.</t>
  </si>
  <si>
    <t>DERIPHYLLIN RET 150</t>
  </si>
  <si>
    <t>DERIPHYLLIN RET 300</t>
  </si>
  <si>
    <t>DERISONE ROTA</t>
  </si>
  <si>
    <t>DIANE 35 TAB</t>
  </si>
  <si>
    <t>DOXOLIN M TAB</t>
  </si>
  <si>
    <t>DOXOLIN 200 TAB</t>
  </si>
  <si>
    <t>DOXOLIN 400 TAB</t>
  </si>
  <si>
    <t>DUOLUTON L TAB</t>
  </si>
  <si>
    <t>DYDROGEST 10 TAB</t>
  </si>
  <si>
    <t>EPISOFT AC</t>
  </si>
  <si>
    <t>FLUTICON N/SPRAY</t>
  </si>
  <si>
    <t>FLUTICON OX NASAL SPARY</t>
  </si>
  <si>
    <t>FLUTICONE FT SPARY</t>
  </si>
  <si>
    <t>FOLSAFE D CAP</t>
  </si>
  <si>
    <t>FOLSAFE L TAB</t>
  </si>
  <si>
    <t>FORGLYN ROTA</t>
  </si>
  <si>
    <t>FORMONIDE 0.5 RESPULES</t>
  </si>
  <si>
    <t>FORMONIDE FORTE ROTA</t>
  </si>
  <si>
    <t>FORMONIDE 1MG RESPULES</t>
  </si>
  <si>
    <t>FORMONIDE 200 INH.</t>
  </si>
  <si>
    <t>FORMONIDE 200 R/C</t>
  </si>
  <si>
    <t>FORMONIDE 400 INH</t>
  </si>
  <si>
    <t>FORMONIDE 400 R/C</t>
  </si>
  <si>
    <t>FORMOST 200 R/C</t>
  </si>
  <si>
    <t>FORMOST 400 ROTA</t>
  </si>
  <si>
    <t>GERBISA L SYP</t>
  </si>
  <si>
    <t>GLOBAC XT TAB</t>
  </si>
  <si>
    <t>HAPPI 20 TAB</t>
  </si>
  <si>
    <t>HAPPI L</t>
  </si>
  <si>
    <t>HAPPICID GEL</t>
  </si>
  <si>
    <t>JONAC SUPP.</t>
  </si>
  <si>
    <t>JULIANA TAB</t>
  </si>
  <si>
    <t>LIVAFIN CREAM BIG</t>
  </si>
  <si>
    <t>LIVAFIN CREAM</t>
  </si>
  <si>
    <t>METATOP N\S</t>
  </si>
  <si>
    <t>MILIANA TAB</t>
  </si>
  <si>
    <t>MUCOTAB TAB</t>
  </si>
  <si>
    <t>NASOCLEAR DROP</t>
  </si>
  <si>
    <t>NATUROGEST GEL8%</t>
  </si>
  <si>
    <t>NATUROGEST SR 200</t>
  </si>
  <si>
    <t>ODASTIN M TAB</t>
  </si>
  <si>
    <t>ODIMONT FX TAB</t>
  </si>
  <si>
    <t>ODIMONT LC SYP</t>
  </si>
  <si>
    <t>ODIMONT LC TAB GERMEN</t>
  </si>
  <si>
    <t>OXYSPRAY</t>
  </si>
  <si>
    <t>PRIMOLUT N TAB</t>
  </si>
  <si>
    <t>PROGYNOVA 2 TAB</t>
  </si>
  <si>
    <t>PROLUTON DEPOT 250 INJ.</t>
  </si>
  <si>
    <t>PROLUTON DEPOT 500 INJ.</t>
  </si>
  <si>
    <t>SKINLITE CREAM</t>
  </si>
  <si>
    <t>SKINLITE CREAM SMALL</t>
  </si>
  <si>
    <t>SMARTI M</t>
  </si>
  <si>
    <t>SPYE TAB</t>
  </si>
  <si>
    <t>TESTO DEPOT 250</t>
  </si>
  <si>
    <t>THROMBOPHOB OINT.(RED)</t>
  </si>
  <si>
    <t>TIOMIST RESPI</t>
  </si>
  <si>
    <t>TRIQULAR TAB</t>
  </si>
  <si>
    <t>XARELTO 15 MG</t>
  </si>
  <si>
    <t>XARELTO 10 TAB</t>
  </si>
  <si>
    <t>XARELTO 20 TAB</t>
  </si>
  <si>
    <t>XYLOMIST NASAL</t>
  </si>
  <si>
    <t>XYLOMIST P DROP</t>
  </si>
  <si>
    <t>YASMIN TAB.</t>
  </si>
  <si>
    <t>AUGMENTIN 375MG TAB</t>
  </si>
  <si>
    <t>Glaxo SmithKline Pharmaceuticals Ltd</t>
  </si>
  <si>
    <t>AUGMENTIN DUO 625 TAB</t>
  </si>
  <si>
    <t>AUGMENTIN DUO SYP</t>
  </si>
  <si>
    <t>AUGMENTIN DDS SYP</t>
  </si>
  <si>
    <t>AUGMENTIN ES SYP</t>
  </si>
  <si>
    <t>AUGMNTIN 1.2 INJ</t>
  </si>
  <si>
    <t>BECADEXAMIN CAP</t>
  </si>
  <si>
    <t>CALPOL 120 SYP</t>
  </si>
  <si>
    <t>CALPOL 250SYP</t>
  </si>
  <si>
    <t>CALPOL 500 TAB</t>
  </si>
  <si>
    <t>CALPOL 650 TAB</t>
  </si>
  <si>
    <t>CALPOL DROP</t>
  </si>
  <si>
    <t>CCM TAB</t>
  </si>
  <si>
    <t>CEFTUM 250 GLAXO TAB</t>
  </si>
  <si>
    <t>CEFTUM 500 (GLAXO) TAB</t>
  </si>
  <si>
    <t>COBADEX CZS TAB</t>
  </si>
  <si>
    <t>CROCIN ADVNACE 650 TAB</t>
  </si>
  <si>
    <t>ELTROXIN 100 TAB</t>
  </si>
  <si>
    <t>ELTROXIN 25 TAB</t>
  </si>
  <si>
    <t>ELTROXIN 50 TAB</t>
  </si>
  <si>
    <t>ELTROXIN 75 TAB</t>
  </si>
  <si>
    <t>FLUTIVATE CREAM</t>
  </si>
  <si>
    <t>LANOXIN 0.25 TAB</t>
  </si>
  <si>
    <t>OSTOCALCIUM PLUS TAB</t>
  </si>
  <si>
    <t>OSTOCALCIUM SYP</t>
  </si>
  <si>
    <t>T BACT OINTMENT</t>
  </si>
  <si>
    <t>T BACT ONITMENT</t>
  </si>
  <si>
    <t>ZIMIVIR 1000 TAB</t>
  </si>
  <si>
    <t>AHAGLOW FACE WASH 100GM</t>
  </si>
  <si>
    <t>Glenmark Pharmaceuticals Ltd</t>
  </si>
  <si>
    <t>AHAGLOW FACE WASH 50GM</t>
  </si>
  <si>
    <t>ALEX DROP</t>
  </si>
  <si>
    <t>ALEX JR SYP</t>
  </si>
  <si>
    <t>ALEX P DROP</t>
  </si>
  <si>
    <t>ALEX P SYP</t>
  </si>
  <si>
    <t>ALEX SF SYP</t>
  </si>
  <si>
    <t>ALEX SYP</t>
  </si>
  <si>
    <t>ALEX L SYP</t>
  </si>
  <si>
    <t>ALEX LONZGES</t>
  </si>
  <si>
    <t>ANABOOM AD SHAMPOO</t>
  </si>
  <si>
    <t>ANABOOM ANTI HAIRFALL SHAMPOO</t>
  </si>
  <si>
    <t>APREZO 30 TAB</t>
  </si>
  <si>
    <t>ARACHITOL NANO 2K SYP</t>
  </si>
  <si>
    <t>ASCORIL EXP SYP</t>
  </si>
  <si>
    <t>ASCORIL FLU KIDZ SYP</t>
  </si>
  <si>
    <t>ASCORIL LS SYP</t>
  </si>
  <si>
    <t>ASCORIL D PLUS. SYP</t>
  </si>
  <si>
    <t>BETNOVATE C CREAM</t>
  </si>
  <si>
    <t>BONTRESS PRO SERUM</t>
  </si>
  <si>
    <t>CANDIBIOTIC E DROP</t>
  </si>
  <si>
    <t>CANDID B CREAM.BIG</t>
  </si>
  <si>
    <t>CANDID B CREAM.SMALL</t>
  </si>
  <si>
    <t>CANDID B LOTION</t>
  </si>
  <si>
    <t>CANDID CL CAP</t>
  </si>
  <si>
    <t>CANDID CREAM</t>
  </si>
  <si>
    <t>CANDID LOTION</t>
  </si>
  <si>
    <t>CANDID MOUTH PAINT</t>
  </si>
  <si>
    <t>CANDID POWDER BIG</t>
  </si>
  <si>
    <t>CANDID POWDER S</t>
  </si>
  <si>
    <t>CANDID TOTAL CREAM</t>
  </si>
  <si>
    <t>CANDID TV SH</t>
  </si>
  <si>
    <t>CANDID V GEL</t>
  </si>
  <si>
    <t>CANDID V3 TAB</t>
  </si>
  <si>
    <t>CANDID V6 TAB</t>
  </si>
  <si>
    <t>CANDIDERMA CR</t>
  </si>
  <si>
    <t>CANDIDOX CREAM</t>
  </si>
  <si>
    <t>CANDIDOX LOTION</t>
  </si>
  <si>
    <t>CANDIDOX SHAMPOO</t>
  </si>
  <si>
    <t>CANDITRAL SB 130 TAB</t>
  </si>
  <si>
    <t>CANDITRAL SB 65 TAB</t>
  </si>
  <si>
    <t>CANDITRAL 200 CAP</t>
  </si>
  <si>
    <t>DEMELAN CREAM</t>
  </si>
  <si>
    <t>DERIVA MS GEL</t>
  </si>
  <si>
    <t>DERIVA BPO GEL</t>
  </si>
  <si>
    <t>DOSETIL CREAM</t>
  </si>
  <si>
    <t>DYCERIN GM TAB</t>
  </si>
  <si>
    <t>EFONTA 40 TAB</t>
  </si>
  <si>
    <t>ELOVERA BODY WASH</t>
  </si>
  <si>
    <t>ELOVERA CREAM 75GM</t>
  </si>
  <si>
    <t>ELOVERA IMF CREAM</t>
  </si>
  <si>
    <t>EPISOFT CLEANSING LOTION</t>
  </si>
  <si>
    <t>EPTUS 25 TAB</t>
  </si>
  <si>
    <t>FINTOP AF BIG</t>
  </si>
  <si>
    <t>FLUCORT C CREAM</t>
  </si>
  <si>
    <t>FLUCORT CREAM</t>
  </si>
  <si>
    <t>FLUCORT FORTE LOTION</t>
  </si>
  <si>
    <t>FLUCORT H CREAM</t>
  </si>
  <si>
    <t>FLUCORT N CREAM</t>
  </si>
  <si>
    <t>HALOVATE CREAM BIG</t>
  </si>
  <si>
    <t>HALOVATE F CR</t>
  </si>
  <si>
    <t>HALOVATE S OINT</t>
  </si>
  <si>
    <t>INBIT 5 SOLUTION</t>
  </si>
  <si>
    <t>IRBAN 5 TAB</t>
  </si>
  <si>
    <t>LA SHIELD LITE GEL</t>
  </si>
  <si>
    <t>LA SHEILD GEL</t>
  </si>
  <si>
    <t>LA SHIELD FISICO GEL</t>
  </si>
  <si>
    <t>LA SHIELD IR GEL</t>
  </si>
  <si>
    <t>LULICAN CREAM 30GM</t>
  </si>
  <si>
    <t>LULICAN XL CREAM</t>
  </si>
  <si>
    <t>LULIGEE CREAM.</t>
  </si>
  <si>
    <t>LULIGEE LOTION</t>
  </si>
  <si>
    <t>MELACARE CREAM</t>
  </si>
  <si>
    <t>MELACARE FORTE CREAM</t>
  </si>
  <si>
    <t>MOMAT CREAM SMALL</t>
  </si>
  <si>
    <t>MOMATE XL CREAM</t>
  </si>
  <si>
    <t>MOMATE F (GLEN) CREAM</t>
  </si>
  <si>
    <t>NINDANIB 150 TAB</t>
  </si>
  <si>
    <t>ONABET B CREAM</t>
  </si>
  <si>
    <t>ONABET CREAM</t>
  </si>
  <si>
    <t>ONABET CREAM BIG</t>
  </si>
  <si>
    <t>ONABET LOTION</t>
  </si>
  <si>
    <t>RAZEL GOLD TAB</t>
  </si>
  <si>
    <t>REMO M 100/1000 TAB</t>
  </si>
  <si>
    <t>REMO MV 1000 TAB</t>
  </si>
  <si>
    <t>REMO MV 500TAB</t>
  </si>
  <si>
    <t>REMO V 100/50 TAB</t>
  </si>
  <si>
    <t>REMO M 100/500 TAB</t>
  </si>
  <si>
    <t>REMO ZEN 100 TAB</t>
  </si>
  <si>
    <t>REMO ZEN V 100/50 TAB</t>
  </si>
  <si>
    <t>REVIZE MICRO.025</t>
  </si>
  <si>
    <t>REVIZE MICRO.04</t>
  </si>
  <si>
    <t>SCALPE SHAMPOO</t>
  </si>
  <si>
    <t>SENSUR OIL ROLL</t>
  </si>
  <si>
    <t>SORVATE OINT</t>
  </si>
  <si>
    <t>SORVATE C OINT</t>
  </si>
  <si>
    <t>STILOZ 100 TAB</t>
  </si>
  <si>
    <t>STILOZ 50 TAB</t>
  </si>
  <si>
    <t>SUPIROCIN OINT</t>
  </si>
  <si>
    <t>SYNTRAN 100</t>
  </si>
  <si>
    <t>SYNTRAN SB 130 CAP</t>
  </si>
  <si>
    <t>TELMA 20 MG</t>
  </si>
  <si>
    <t>TELMA 40 MG</t>
  </si>
  <si>
    <t>TELMA 80 TAB</t>
  </si>
  <si>
    <t>TELMA AM 80</t>
  </si>
  <si>
    <t>TELMA AM TAB</t>
  </si>
  <si>
    <t>TELMA AM H 40</t>
  </si>
  <si>
    <t>TELMA BETA 25 TAB</t>
  </si>
  <si>
    <t>TELMA BETA 50 TAB</t>
  </si>
  <si>
    <t>TELMA CT 40/12.5 TAB</t>
  </si>
  <si>
    <t>TELMA CT 40/6.25</t>
  </si>
  <si>
    <t>TELMA CT 80/12.5 TAB</t>
  </si>
  <si>
    <t>TELMA CT 80/6.25</t>
  </si>
  <si>
    <t>TELMA H 80</t>
  </si>
  <si>
    <t>TELMA H 40 TAB</t>
  </si>
  <si>
    <t>TELMA A CT 40/5/12.5 TAB</t>
  </si>
  <si>
    <t>TELMA A CT 40/5/6.25 TAB</t>
  </si>
  <si>
    <t>TELMA LNB 25 TAB</t>
  </si>
  <si>
    <t>TELMA D TAB</t>
  </si>
  <si>
    <t>V WASH PLUS B.</t>
  </si>
  <si>
    <t>V WASH PLUS S.</t>
  </si>
  <si>
    <t>XERINA CREAM</t>
  </si>
  <si>
    <t>ZITA PLUS TAB</t>
  </si>
  <si>
    <t>ZITA MET PLUS20/500 TAB</t>
  </si>
  <si>
    <t>ZITEN TAB</t>
  </si>
  <si>
    <t>ZITEN M 20/500 TAB</t>
  </si>
  <si>
    <t>1 NVP TAB</t>
  </si>
  <si>
    <t>GYNOFEM HEALTHCARE PVT LTD</t>
  </si>
  <si>
    <t>CARNIFEM 3D TAB</t>
  </si>
  <si>
    <t>PMS TOTAL TAB</t>
  </si>
  <si>
    <t>CALFETUS TAB</t>
  </si>
  <si>
    <t>GYNORAMA HEALTHCARE PVT LTD</t>
  </si>
  <si>
    <t>CONTRAFLORA CAP</t>
  </si>
  <si>
    <t>FETISTA SYP</t>
  </si>
  <si>
    <t>FETISTA TAB</t>
  </si>
  <si>
    <t>FINEPREG TAB</t>
  </si>
  <si>
    <t>FOLEONE TAB</t>
  </si>
  <si>
    <t>GLUCOBLESS POWDER</t>
  </si>
  <si>
    <t>GLUCOBLESS ORS LIQUID</t>
  </si>
  <si>
    <t>LAXNOVA 200 SYP</t>
  </si>
  <si>
    <t>LAXOTEC SOLUTIONS</t>
  </si>
  <si>
    <t>MENORAMA SYP</t>
  </si>
  <si>
    <t>MOM MASSAGE OIL</t>
  </si>
  <si>
    <t>PCONORMA TAB</t>
  </si>
  <si>
    <t>POLYTORCH TAB</t>
  </si>
  <si>
    <t>XPRONEX GRANULES</t>
  </si>
  <si>
    <t>C FURO 250MG.TAB</t>
  </si>
  <si>
    <t>Hetero Drugs Ltd</t>
  </si>
  <si>
    <t>C FURO 500MG.TAB</t>
  </si>
  <si>
    <t>DASUTRA 30 X</t>
  </si>
  <si>
    <t>ENUFF 10 SACH</t>
  </si>
  <si>
    <t>ENUFF 30 SACH</t>
  </si>
  <si>
    <t>ENUFF CAP.</t>
  </si>
  <si>
    <t>ETORO 90 TAB</t>
  </si>
  <si>
    <t>ETORO TH 4 TAB</t>
  </si>
  <si>
    <t>FAS 3 KIT</t>
  </si>
  <si>
    <t>FIXAR TAB</t>
  </si>
  <si>
    <t>GENXVAST 10</t>
  </si>
  <si>
    <t>GENXVAST 20</t>
  </si>
  <si>
    <t>GENXVAST F TAB</t>
  </si>
  <si>
    <t>H PEG POWDER</t>
  </si>
  <si>
    <t>HIFEN 200 MG</t>
  </si>
  <si>
    <t>IMIDIL C VAG.</t>
  </si>
  <si>
    <t>KUTAB 30 X</t>
  </si>
  <si>
    <t>LANOL ER TAB.</t>
  </si>
  <si>
    <t>LAZ 500 TAB</t>
  </si>
  <si>
    <t>LEVOCET M SYP</t>
  </si>
  <si>
    <t>LEVOCET M TAB</t>
  </si>
  <si>
    <t>LEVOCET SYP</t>
  </si>
  <si>
    <t>LEVOCET TAB</t>
  </si>
  <si>
    <t>LEVOCET M KID</t>
  </si>
  <si>
    <t>MOVFOR 200 CAP</t>
  </si>
  <si>
    <t>OPOX DROP</t>
  </si>
  <si>
    <t>OPOX 100DT</t>
  </si>
  <si>
    <t>OPOX 100MG SYP</t>
  </si>
  <si>
    <t>OPOX 200 DT</t>
  </si>
  <si>
    <t>OPOX 50 DRY SYP</t>
  </si>
  <si>
    <t>OPOX CV 200DT.</t>
  </si>
  <si>
    <t>PANTIN D TAB</t>
  </si>
  <si>
    <t>PANTIN IV</t>
  </si>
  <si>
    <t>PANTIN L</t>
  </si>
  <si>
    <t>PANTIN TAB</t>
  </si>
  <si>
    <t>PELITRA GEL VAGINAL</t>
  </si>
  <si>
    <t>RABETERO L CAP.</t>
  </si>
  <si>
    <t>RABEZ D CAP</t>
  </si>
  <si>
    <t>VECTORY SP TAB</t>
  </si>
  <si>
    <t>VIKLOT 10 TAB</t>
  </si>
  <si>
    <t>CLINSODENT POWDER</t>
  </si>
  <si>
    <t>Icpa Health Products Ltd</t>
  </si>
  <si>
    <t>DEXOTOL SR POWDER</t>
  </si>
  <si>
    <t>FIXON CREAM</t>
  </si>
  <si>
    <t>FIXON CREAM B</t>
  </si>
  <si>
    <t>FIXON POWDER</t>
  </si>
  <si>
    <t>FIXON SUPER GRIP POWDER</t>
  </si>
  <si>
    <t>HEXIDIN M\W</t>
  </si>
  <si>
    <t>HEXIDINE M/W BIG</t>
  </si>
  <si>
    <t>HEXIGEL</t>
  </si>
  <si>
    <t>MUCOPAIN OINT.</t>
  </si>
  <si>
    <t>PILON OINT</t>
  </si>
  <si>
    <t>PILON TAB</t>
  </si>
  <si>
    <t>THERMOSEAL PASTE</t>
  </si>
  <si>
    <t>THERMOSEAL PROXA NS</t>
  </si>
  <si>
    <t>THERMOSEAL PROXA WS</t>
  </si>
  <si>
    <t>THERMOSEAL ULTRA SOFT</t>
  </si>
  <si>
    <t>THERMOSEAL RA PASTE</t>
  </si>
  <si>
    <t>YOUNIFLOSS</t>
  </si>
  <si>
    <t>CITAL SYP</t>
  </si>
  <si>
    <t>Indoco Remedies Ltd</t>
  </si>
  <si>
    <t>CITAL UTI SYP</t>
  </si>
  <si>
    <t>CLOBEN G CREAM</t>
  </si>
  <si>
    <t>CYCLOPAM DROP</t>
  </si>
  <si>
    <t>CYCLOPAM SYP 30ML.</t>
  </si>
  <si>
    <t>CYCLOPAM SYP 60ML</t>
  </si>
  <si>
    <t>CYCLOPAM TAB</t>
  </si>
  <si>
    <t>FEBREX PLUS DS SYP</t>
  </si>
  <si>
    <t>FEBREX PLUS SYP</t>
  </si>
  <si>
    <t>FEBREX PLUS TAB</t>
  </si>
  <si>
    <t>SM FIBRO CAP</t>
  </si>
  <si>
    <t>CLAVIX 75 TAB</t>
  </si>
  <si>
    <t>Intas Pharmaceuticals Ltd</t>
  </si>
  <si>
    <t>ETOS 60 TAB</t>
  </si>
  <si>
    <t>GABAPIN 100 1 15TAB</t>
  </si>
  <si>
    <t>GABAPIN 300 1 15CAP</t>
  </si>
  <si>
    <t>GABAPIN ME 100 1 10TAB</t>
  </si>
  <si>
    <t>GABAPIN ME 300 1 15TAB</t>
  </si>
  <si>
    <t>GABAPIN NT 100 1 15TAB</t>
  </si>
  <si>
    <t>GABAPIN NT 200 1 15TAB</t>
  </si>
  <si>
    <t>GABAPIN NT 300 1 15TAB</t>
  </si>
  <si>
    <t>LEVERA 500MG TAB.</t>
  </si>
  <si>
    <t>MORR 10 LOTION</t>
  </si>
  <si>
    <t>MORR F 10% LOTION</t>
  </si>
  <si>
    <t>NAPRA D 250MG</t>
  </si>
  <si>
    <t>NAPRA D 500 TAB</t>
  </si>
  <si>
    <t>PREVA GOLD 10 CAP</t>
  </si>
  <si>
    <t>ZORYL M 1 FORTE TAB</t>
  </si>
  <si>
    <t>ZORYL M 1 TAB</t>
  </si>
  <si>
    <t>ZORYL M 2 FORTE TAB</t>
  </si>
  <si>
    <t>ZORYL M 2 TAB</t>
  </si>
  <si>
    <t>ZORYL M4 FORTE TAB.</t>
  </si>
  <si>
    <t>ZORYL M3 FORTE TAB</t>
  </si>
  <si>
    <t>ZORYL 1MG TAB.</t>
  </si>
  <si>
    <t>ZORYL 2MG TAB.</t>
  </si>
  <si>
    <t>ACE REVELOL 25/2.5 TAB.</t>
  </si>
  <si>
    <t>Ipca Laboratories Ltd</t>
  </si>
  <si>
    <t>ACE REVELOL 50/5 TAB.</t>
  </si>
  <si>
    <t>AZR 50 TAB</t>
  </si>
  <si>
    <t>BROMHEXIN SYP</t>
  </si>
  <si>
    <t>CALCHEK 5 TAB</t>
  </si>
  <si>
    <t>CALCHEK L 5 TAB</t>
  </si>
  <si>
    <t>CALTEN D TBA</t>
  </si>
  <si>
    <t>CRANPAC D CAP</t>
  </si>
  <si>
    <t>CTD M 12.5/50 TAB</t>
  </si>
  <si>
    <t>CTD T AM 12.5/80/5 TAB</t>
  </si>
  <si>
    <t>CTD 12.5 TAB</t>
  </si>
  <si>
    <t>CTD 6.25 TAB</t>
  </si>
  <si>
    <t>CTD AZ 40/12.5 TAB</t>
  </si>
  <si>
    <t>CTD M 6.25/50</t>
  </si>
  <si>
    <t>CTD M 6.25/25 TAB</t>
  </si>
  <si>
    <t>CTD O 6.25/20</t>
  </si>
  <si>
    <t>CTD O 6.25/40</t>
  </si>
  <si>
    <t>CTD T 12.5/20</t>
  </si>
  <si>
    <t>CTD T 12.5/40</t>
  </si>
  <si>
    <t>CTD T 6.25/20</t>
  </si>
  <si>
    <t>CTD T 6.25/40</t>
  </si>
  <si>
    <t>CTD T 12.5/80 TAB</t>
  </si>
  <si>
    <t>CTD T 6.25/80</t>
  </si>
  <si>
    <t>CTD T AM 6.25/40/5 TAB</t>
  </si>
  <si>
    <t>DROLGAN TAB</t>
  </si>
  <si>
    <t>ELTOCIN SYP</t>
  </si>
  <si>
    <t>ELTOCIN DS TAB</t>
  </si>
  <si>
    <t>ETOVA 400 TAB</t>
  </si>
  <si>
    <t>ETOVA ER 600 TAB</t>
  </si>
  <si>
    <t>ETOVA MR 400</t>
  </si>
  <si>
    <t>FASTCLAV 500 TAB</t>
  </si>
  <si>
    <t>FLOVAS 20 TAB</t>
  </si>
  <si>
    <t>FOLITRAX 10 TAB</t>
  </si>
  <si>
    <t>FOLITRAX 15 TAB</t>
  </si>
  <si>
    <t>FOLITRAX 2.5 TAB</t>
  </si>
  <si>
    <t>FOLITRAX 20 TAB</t>
  </si>
  <si>
    <t>FOLITRAX 25</t>
  </si>
  <si>
    <t>FOLITRAX 5 TAB</t>
  </si>
  <si>
    <t>FOLITRAX 7.5 TAB</t>
  </si>
  <si>
    <t>FOLITRX 15 INJ</t>
  </si>
  <si>
    <t>GLYCINORM 40 TAB</t>
  </si>
  <si>
    <t>GLYCINORM 80 TAB</t>
  </si>
  <si>
    <t>GLYCINORM M 30 OD TAB</t>
  </si>
  <si>
    <t>GLYCINORM M 40 TAB</t>
  </si>
  <si>
    <t>GLYCINORM M 60 OD TAB</t>
  </si>
  <si>
    <t>GLYCINORM M 80 TAB</t>
  </si>
  <si>
    <t>GLYCINORM TOTAL30</t>
  </si>
  <si>
    <t>GLYCINORM TOTAL60 TAB</t>
  </si>
  <si>
    <t>GLYREE MV1</t>
  </si>
  <si>
    <t>GLYREE M1 TAB</t>
  </si>
  <si>
    <t>GLYREE M2 TAB</t>
  </si>
  <si>
    <t>GLYREE MV2 TAB</t>
  </si>
  <si>
    <t>HCQS 200MG.TAB</t>
  </si>
  <si>
    <t>HCQS 300MG.TAB</t>
  </si>
  <si>
    <t>HCQS 400MG.TAB</t>
  </si>
  <si>
    <t>IGURATI 25 TAB</t>
  </si>
  <si>
    <t>IPCA MMF 500 TAB</t>
  </si>
  <si>
    <t>ISODRIL 5MG.TAB</t>
  </si>
  <si>
    <t>KERAGLO ANTI DANDRUF</t>
  </si>
  <si>
    <t>KERAGLO MEN TAB</t>
  </si>
  <si>
    <t>KERAGLOW AD LOTION</t>
  </si>
  <si>
    <t>LARIAGO INJ</t>
  </si>
  <si>
    <t>LARIAGO SYP</t>
  </si>
  <si>
    <t>LARIAGO TAB</t>
  </si>
  <si>
    <t>LARIAGO VIAL</t>
  </si>
  <si>
    <t>LARIAGO DS TAB</t>
  </si>
  <si>
    <t>LEFNO 20</t>
  </si>
  <si>
    <t>LEFNO 10 TAB</t>
  </si>
  <si>
    <t>LOSANORM 25 TAB</t>
  </si>
  <si>
    <t>LOSANORM H 25 TAB</t>
  </si>
  <si>
    <t>LOSANORM H 50 TAB</t>
  </si>
  <si>
    <t>LUMERAX SYP SMALL</t>
  </si>
  <si>
    <t>LUMERAX TAB 20</t>
  </si>
  <si>
    <t>LUMERAX 40 TAB</t>
  </si>
  <si>
    <t>LUMERAX 80 TAB</t>
  </si>
  <si>
    <t>LUMEREX 60TAB</t>
  </si>
  <si>
    <t>METAGARD CR 35 TAB</t>
  </si>
  <si>
    <t>METAGARD CR 60 TAB</t>
  </si>
  <si>
    <t>MIRBEG 25 TAB</t>
  </si>
  <si>
    <t>PACIMOL TAB</t>
  </si>
  <si>
    <t>PACIMOL 650 TAB</t>
  </si>
  <si>
    <t>PACIMOL DS SYP</t>
  </si>
  <si>
    <t>PACIMOL MF 250 SYP</t>
  </si>
  <si>
    <t>PARI CR PLUS TAB</t>
  </si>
  <si>
    <t>PARI 10 TAB</t>
  </si>
  <si>
    <t>PARI CR 12.5 TAB</t>
  </si>
  <si>
    <t>PARI CR 25 TAB</t>
  </si>
  <si>
    <t>PERINORM INJ</t>
  </si>
  <si>
    <t>PERINORM SYP</t>
  </si>
  <si>
    <t>PERINORM TAB</t>
  </si>
  <si>
    <t>PERINORM CD CAP</t>
  </si>
  <si>
    <t>PIOMED 15 TAB</t>
  </si>
  <si>
    <t>PIOMED M 15 TAB</t>
  </si>
  <si>
    <t>RAMCOR 2.5 TAB</t>
  </si>
  <si>
    <t>RAMCOR 5 TAB</t>
  </si>
  <si>
    <t>RAPICLAVE 625 TAB</t>
  </si>
  <si>
    <t>RAPILIF D 8 TAB</t>
  </si>
  <si>
    <t>RAPILIF 8 TAB</t>
  </si>
  <si>
    <t>REVELOL CH 25/6.25</t>
  </si>
  <si>
    <t>REVELOL CH 50/12.5</t>
  </si>
  <si>
    <t>REVELOL CH 50/6.25</t>
  </si>
  <si>
    <t>REVELOL XL 12.5</t>
  </si>
  <si>
    <t>REVELOL AM 25/5</t>
  </si>
  <si>
    <t>REVELOL AM 25\2.5 TAB</t>
  </si>
  <si>
    <t>REVELOL AM 50\5 TAB</t>
  </si>
  <si>
    <t>REVELOL H 50</t>
  </si>
  <si>
    <t>REVELOL XL 100 TAB</t>
  </si>
  <si>
    <t>REVELOL XL 25 TAB</t>
  </si>
  <si>
    <t>REVELOL XL 50 TAB</t>
  </si>
  <si>
    <t>RXTOR 10MG.TAB</t>
  </si>
  <si>
    <t>RXTOR 20MG.TAB.</t>
  </si>
  <si>
    <t>RXTOR 5MG.TAB</t>
  </si>
  <si>
    <t>RXTOR F 5 TAB</t>
  </si>
  <si>
    <t>RXTOR F10 TAB</t>
  </si>
  <si>
    <t>RXTOR GOLD 10 TAB</t>
  </si>
  <si>
    <t>RXTOR GOLD 20 TAB</t>
  </si>
  <si>
    <t>SAAZ TAB</t>
  </si>
  <si>
    <t>SAAZ DS TAB</t>
  </si>
  <si>
    <t>SOLVIN DX SYP</t>
  </si>
  <si>
    <t>SOLVIN LS SYP</t>
  </si>
  <si>
    <t>SOLVIN NASAL SPRAY</t>
  </si>
  <si>
    <t>SOLVIN COLD DROP</t>
  </si>
  <si>
    <t>SOLVIN COLD DS SYP</t>
  </si>
  <si>
    <t>SOLVIN COLD SYP</t>
  </si>
  <si>
    <t>SOLVIN COLD TAB</t>
  </si>
  <si>
    <t>SYMPTA 20</t>
  </si>
  <si>
    <t>TEL REVOLOL 40/25</t>
  </si>
  <si>
    <t>TEL REVOLOL 40/50</t>
  </si>
  <si>
    <t>TELMINORM AM 40</t>
  </si>
  <si>
    <t>TELMINORM 20 TAB</t>
  </si>
  <si>
    <t>TELMINORM 40 TAB</t>
  </si>
  <si>
    <t>TENOCHEK 25 TAB</t>
  </si>
  <si>
    <t>TENOLOL 50 TAB</t>
  </si>
  <si>
    <t>TENORIC 50 TAB</t>
  </si>
  <si>
    <t>TFCT NIB 5MG TAB</t>
  </si>
  <si>
    <t>TIKLEEN 90 TAB</t>
  </si>
  <si>
    <t>VALDIFF 50</t>
  </si>
  <si>
    <t>VALDIFF M 1000</t>
  </si>
  <si>
    <t>VALRATE CR 500 TAB</t>
  </si>
  <si>
    <t>XTOR 10 TAB</t>
  </si>
  <si>
    <t>XTOR 20 TAB</t>
  </si>
  <si>
    <t>XTOR 40 TAB</t>
  </si>
  <si>
    <t>XTOR 5 TAB</t>
  </si>
  <si>
    <t>XTOR F TAB</t>
  </si>
  <si>
    <t>ZEBLONG 16 TAB</t>
  </si>
  <si>
    <t>ZEBLONG 8 TAB</t>
  </si>
  <si>
    <t>ZERODOL TAB</t>
  </si>
  <si>
    <t>ZERODOL TH MAX 4</t>
  </si>
  <si>
    <t>ZERODOL TH4 TAB</t>
  </si>
  <si>
    <t>ZERODOL TH8 TAB</t>
  </si>
  <si>
    <t>ZERODOL CR TAB</t>
  </si>
  <si>
    <t>ZERODOL MR TAB</t>
  </si>
  <si>
    <t>ZERODOL P TAB</t>
  </si>
  <si>
    <t>ZERODOL PT TAB</t>
  </si>
  <si>
    <t>ZERODOL SP TAB</t>
  </si>
  <si>
    <t>ZERODOL SPAS</t>
  </si>
  <si>
    <t>ZILAST 50 TAB</t>
  </si>
  <si>
    <t>IMODIUM CAP</t>
  </si>
  <si>
    <t>JOHNSON &amp; JOHNSON (MASS MARKET)</t>
  </si>
  <si>
    <t>MOTIVYST TAB</t>
  </si>
  <si>
    <t>NIZRAL CREAM</t>
  </si>
  <si>
    <t>OTOGESIC DROP</t>
  </si>
  <si>
    <t>RETINO A 25% CR (blue)</t>
  </si>
  <si>
    <t>RETINO A 5%CR (red)</t>
  </si>
  <si>
    <t>RETINO AC GEL</t>
  </si>
  <si>
    <t>SEMI ULTRACET NRX TAB</t>
  </si>
  <si>
    <t>SIBELIUM 10MG TAB NRX</t>
  </si>
  <si>
    <t>SIBELIUM 5 MG (NRX)</t>
  </si>
  <si>
    <t>SPORANOX CAP</t>
  </si>
  <si>
    <t>STUGERON FORTE TAB</t>
  </si>
  <si>
    <t>STUGERON PLUS TAB</t>
  </si>
  <si>
    <t>STUGERON TAB</t>
  </si>
  <si>
    <t>STUGIL TAB</t>
  </si>
  <si>
    <t>TOPAMAC 25 MG</t>
  </si>
  <si>
    <t>TOPAMAC 100 TAB</t>
  </si>
  <si>
    <t>TOPAMAC 50 TAB</t>
  </si>
  <si>
    <t>ULTRACET TAB NRX</t>
  </si>
  <si>
    <t>ECOPROT CHOC. 200GM</t>
  </si>
  <si>
    <t>Jenburkt Pharmaceuticals Ltd</t>
  </si>
  <si>
    <t>ECOPROT KESAR ELAICHI 200GM</t>
  </si>
  <si>
    <t>NERVIJEN P CAP</t>
  </si>
  <si>
    <t>NERVIJEN PLUS CAPS</t>
  </si>
  <si>
    <t>NERVIJEN PLUS INJ.</t>
  </si>
  <si>
    <t>POWERGESIC TAB</t>
  </si>
  <si>
    <t>POWERGESIC PLUS GEL</t>
  </si>
  <si>
    <t>DESOSOFT CREAM</t>
  </si>
  <si>
    <t>KLM Laboratories Pvt Ltd</t>
  </si>
  <si>
    <t>KLM KLIN FACE WASH</t>
  </si>
  <si>
    <t>KLM KLIN AHA FACEWASH</t>
  </si>
  <si>
    <t>LULIZOL CREAM</t>
  </si>
  <si>
    <t>MELAPIK HQ CEAM</t>
  </si>
  <si>
    <t>CREMADIET DUO</t>
  </si>
  <si>
    <t>Knoll Pharmaceuticals Ltd</t>
  </si>
  <si>
    <t>EPILEX CHRONO 500</t>
  </si>
  <si>
    <t>EPILEX SYP</t>
  </si>
  <si>
    <t>EPTOIN SYP.</t>
  </si>
  <si>
    <t>GANATON OD TAB</t>
  </si>
  <si>
    <t>HUMAN INSULATARD VIAL</t>
  </si>
  <si>
    <t>HUMAN MIXTARD 50/50 VIAL</t>
  </si>
  <si>
    <t>LEVEMIR FLEXPEN</t>
  </si>
  <si>
    <t>MIXTARD 30 FLEXPEN</t>
  </si>
  <si>
    <t>NEDDLLE PF.</t>
  </si>
  <si>
    <t>NOVOMIX 50 FLEXPEN</t>
  </si>
  <si>
    <t>NOVOMIX 30 FLEXPEN</t>
  </si>
  <si>
    <t>NOVONORM 0.5 TAB</t>
  </si>
  <si>
    <t>NOVONORM 1MG TAB</t>
  </si>
  <si>
    <t>NOVONORM 2MG TAB</t>
  </si>
  <si>
    <t>NOVORAPID FLEXPEN</t>
  </si>
  <si>
    <t>PROTHIADEN 50 MG</t>
  </si>
  <si>
    <t>PROTHODIN 25MG TAB.</t>
  </si>
  <si>
    <t>ZOLFRESH 5MG TAB(NRX)</t>
  </si>
  <si>
    <t>ZOLFRESH 10 TAB (NRX)</t>
  </si>
  <si>
    <t>CELIN 500 TAB</t>
  </si>
  <si>
    <t>Koye Pharmaceuticals Pvt ltd</t>
  </si>
  <si>
    <t>CELIN CHEWABLE TAB</t>
  </si>
  <si>
    <t>DINOGEST 2 TAB KOYE</t>
  </si>
  <si>
    <t>SEPTRAN DS TAB</t>
  </si>
  <si>
    <t>ALFUGRESS 10 TAB</t>
  </si>
  <si>
    <t>La Renon Healthcare Pvt Ltd</t>
  </si>
  <si>
    <t>ALFUGRESS D TAB</t>
  </si>
  <si>
    <t>CELIZAREN TAB</t>
  </si>
  <si>
    <t>ESOGRESS 40 TAB</t>
  </si>
  <si>
    <t>ESOGRESS D TAB</t>
  </si>
  <si>
    <t>ESOGRESS L TAB</t>
  </si>
  <si>
    <t>FERRONOMIC PLUS TAB</t>
  </si>
  <si>
    <t>GLIAREN D TAB</t>
  </si>
  <si>
    <t>IMMUTI S 360 TAB</t>
  </si>
  <si>
    <t>LAFORMIN GV 1 TAB</t>
  </si>
  <si>
    <t>LAFORMIN G1 FORTE TAB</t>
  </si>
  <si>
    <t>LAFORMIN G1 TAB</t>
  </si>
  <si>
    <t>LAFORMIN G2 FORTE TAB</t>
  </si>
  <si>
    <t>LAFORMIN G2 TAB</t>
  </si>
  <si>
    <t>LANUM TAB</t>
  </si>
  <si>
    <t>LEVIGRESS 250MG</t>
  </si>
  <si>
    <t>LEVIGRESS 1000 TAB</t>
  </si>
  <si>
    <t>LEVIGRESS 500 TAB</t>
  </si>
  <si>
    <t>NUHENZ CAP</t>
  </si>
  <si>
    <t>PALMIGES TAB</t>
  </si>
  <si>
    <t>PBREN NT TAB</t>
  </si>
  <si>
    <t>RENOLOG TAB LARENON</t>
  </si>
  <si>
    <t>RENOQUE CAP</t>
  </si>
  <si>
    <t>ROSLAREN 10 TAB</t>
  </si>
  <si>
    <t>ROSLAREN 20 TAB</t>
  </si>
  <si>
    <t>SITAHANZ 100 TAB</t>
  </si>
  <si>
    <t>SOBISIS FORTE TAB</t>
  </si>
  <si>
    <t>SOBISIS TAB</t>
  </si>
  <si>
    <t>SOIHENZ TAB</t>
  </si>
  <si>
    <t>THICOREN AC 4 TAB</t>
  </si>
  <si>
    <t>TOLMOVE 150 TAB</t>
  </si>
  <si>
    <t>VOGLIGRESS 0.3 TAB</t>
  </si>
  <si>
    <t>AB FLO SR TAB</t>
  </si>
  <si>
    <t>Lupin Ltd</t>
  </si>
  <si>
    <t>AJADUO 10/5 TAB</t>
  </si>
  <si>
    <t>AJADUO 5/25 TAB</t>
  </si>
  <si>
    <t>APTIVATE SYP</t>
  </si>
  <si>
    <t>CIDMUS 100 TAB</t>
  </si>
  <si>
    <t>CIDMUS 50 TAB</t>
  </si>
  <si>
    <t>GIBTULIO 25 TAB</t>
  </si>
  <si>
    <t>GLADOR M2 TAB</t>
  </si>
  <si>
    <t>GLUCONORM SR 500 TAB</t>
  </si>
  <si>
    <t>LIPRIL 5 TAB</t>
  </si>
  <si>
    <t>NOVASTAT GOLD 20 TAB</t>
  </si>
  <si>
    <t>ONDERO 5 TAB</t>
  </si>
  <si>
    <t>ONDERO MET 2.5/500 TAB</t>
  </si>
  <si>
    <t>PICLIN SYP</t>
  </si>
  <si>
    <t>PINOM CT 20 TAB</t>
  </si>
  <si>
    <t>RABLET D CAP</t>
  </si>
  <si>
    <t>RABLET IT CAP</t>
  </si>
  <si>
    <t>SIGNOFLAM TAB LUPIN</t>
  </si>
  <si>
    <t>STARPRESS XL 25 TAB</t>
  </si>
  <si>
    <t>STARPRESS XL 50 TAB</t>
  </si>
  <si>
    <t>ACCUZON 500 INJ</t>
  </si>
  <si>
    <t>Macleods Pharmaceuticals Pvt Ltd</t>
  </si>
  <si>
    <t>ALKARET SYP</t>
  </si>
  <si>
    <t>ALRISTA PLUS TAB</t>
  </si>
  <si>
    <t>AMLOVAS XM 5/50</t>
  </si>
  <si>
    <t>AMLOVAS 10 TAB</t>
  </si>
  <si>
    <t>AMLOVAS 2.5 TAB</t>
  </si>
  <si>
    <t>AMLOVAS 5 TAB.</t>
  </si>
  <si>
    <t>AMLOVAS AT TAB</t>
  </si>
  <si>
    <t>AMLOVAS AT 25 TAB</t>
  </si>
  <si>
    <t>AMLOVAS H TAB.</t>
  </si>
  <si>
    <t>AMLOVAS L TAB</t>
  </si>
  <si>
    <t>AMLOVAS M 2.5/25</t>
  </si>
  <si>
    <t>AMLOVAS M 5/25</t>
  </si>
  <si>
    <t>AMLOVAS M 5/50</t>
  </si>
  <si>
    <t>AMROLMAC CREAM BIG</t>
  </si>
  <si>
    <t>ANTI THYROX 20</t>
  </si>
  <si>
    <t>ANTI THYROX 5 TAB</t>
  </si>
  <si>
    <t>ATORMAC 10 TAB</t>
  </si>
  <si>
    <t>ATORMAC 20 TAB</t>
  </si>
  <si>
    <t>ATORMAC 40 TAB</t>
  </si>
  <si>
    <t>BENIDUCE 4 TAB</t>
  </si>
  <si>
    <t>BIO D3 FEM</t>
  </si>
  <si>
    <t>BIO D3 STRONG TAB</t>
  </si>
  <si>
    <t>BIO D3 MAX</t>
  </si>
  <si>
    <t>BIO D3 PLUS CAP</t>
  </si>
  <si>
    <t>BIO D3 PLUS SYP</t>
  </si>
  <si>
    <t>BIO D3 TAB</t>
  </si>
  <si>
    <t>BUDETROL 200 ROTA</t>
  </si>
  <si>
    <t>BUDETROL 400 ROTA</t>
  </si>
  <si>
    <t>CEFOLAC 200 TAB.</t>
  </si>
  <si>
    <t>CEFOLAC DROP</t>
  </si>
  <si>
    <t>CEFOLAC DT 100</t>
  </si>
  <si>
    <t>CEFOLAC SYP</t>
  </si>
  <si>
    <t>CEFOLAC 100 SYP</t>
  </si>
  <si>
    <t>CEFOLAC 50 TAB</t>
  </si>
  <si>
    <t>CEFOLAC O 200</t>
  </si>
  <si>
    <t>CLARIGARD 125 SYP</t>
  </si>
  <si>
    <t>CLARIGARD 250 SYP</t>
  </si>
  <si>
    <t>DAPAMAC 10 TAB</t>
  </si>
  <si>
    <t>DAPAMAC 5 TAB</t>
  </si>
  <si>
    <t>DEBILYSE PLUS TAB</t>
  </si>
  <si>
    <t>DEFCORT 12 TAB</t>
  </si>
  <si>
    <t>DEFCORT TM TAB</t>
  </si>
  <si>
    <t>ENSULES PLUS 400 CAP</t>
  </si>
  <si>
    <t>ENTROFLORA SACHET</t>
  </si>
  <si>
    <t>ENTROFLORA SYP</t>
  </si>
  <si>
    <t>ENZOMAC PLUS</t>
  </si>
  <si>
    <t>ENZOMAC TAB</t>
  </si>
  <si>
    <t>ETIZOLA PLUS 10</t>
  </si>
  <si>
    <t>ETIZOLA .25 MG NRX</t>
  </si>
  <si>
    <t>ETIZOLA 0.5 TAB NRX</t>
  </si>
  <si>
    <t>ETIZOLA PLUS 5</t>
  </si>
  <si>
    <t>ETOSAID 120 TAB</t>
  </si>
  <si>
    <t>FLEXABENZ GEL</t>
  </si>
  <si>
    <t>FLEXABENZ PLUS TAB</t>
  </si>
  <si>
    <t>FT MAC CREAM</t>
  </si>
  <si>
    <t>GEMINOR M1 FORTE</t>
  </si>
  <si>
    <t>GEMINOR M1 TAB.</t>
  </si>
  <si>
    <t>GEMINOR M2 FORTE</t>
  </si>
  <si>
    <t>GEMINOR M2 TAB.</t>
  </si>
  <si>
    <t>GEMINOR 1MG TAB.</t>
  </si>
  <si>
    <t>GEMINOR 2MG TAB.</t>
  </si>
  <si>
    <t>GEMINOR MP2</t>
  </si>
  <si>
    <t>INVOKANA 100 TAB</t>
  </si>
  <si>
    <t>IROZORB TAB</t>
  </si>
  <si>
    <t>IT MAC SB 100 CAP</t>
  </si>
  <si>
    <t>IT MAC 100 CAP</t>
  </si>
  <si>
    <t>IT MAC 200 TAB</t>
  </si>
  <si>
    <t>IT MAC SB 130 TAB</t>
  </si>
  <si>
    <t>IT MAC SB 65 TAB</t>
  </si>
  <si>
    <t>ITMAC SB 50 CAP</t>
  </si>
  <si>
    <t>IVAMAC 5 TAB</t>
  </si>
  <si>
    <t>K COR 10 TAB</t>
  </si>
  <si>
    <t>LAXITOL SYP.200 ML</t>
  </si>
  <si>
    <t>LAXITOL HUSK POW</t>
  </si>
  <si>
    <t>LEVOMAC 500MG TAB.</t>
  </si>
  <si>
    <t>LEVOMAC 250 TAB</t>
  </si>
  <si>
    <t>LEXANOX OINT</t>
  </si>
  <si>
    <t>LIZOMAC DS SYP</t>
  </si>
  <si>
    <t>LIZOMAC IV</t>
  </si>
  <si>
    <t>LIZOMAC 600 TAB</t>
  </si>
  <si>
    <t>LT MAC CREAM</t>
  </si>
  <si>
    <t>LT MAC LOTION</t>
  </si>
  <si>
    <t>LULIMAC LOTION</t>
  </si>
  <si>
    <t>LULIMAC OINT</t>
  </si>
  <si>
    <t>MAC TOTAL SYP</t>
  </si>
  <si>
    <t>MAC TOTAL TAB</t>
  </si>
  <si>
    <t>MACBERY DX SYP</t>
  </si>
  <si>
    <t>MACBERY JUNIOR SYP</t>
  </si>
  <si>
    <t>MACBERY LEVO SYP</t>
  </si>
  <si>
    <t>MACBERY LS SYP</t>
  </si>
  <si>
    <t>MACBERY SYP</t>
  </si>
  <si>
    <t>MACBERY PD SYP</t>
  </si>
  <si>
    <t>MACBERY XT SYP</t>
  </si>
  <si>
    <t>MACBRITE D3 800 ED</t>
  </si>
  <si>
    <t>MACFOLATE ACTIVE CAP</t>
  </si>
  <si>
    <t>MACFOLATE PLUS TAB</t>
  </si>
  <si>
    <t>MACFOLATE TAB</t>
  </si>
  <si>
    <t>MACGEST SR200 CAP</t>
  </si>
  <si>
    <t>MACPOD CV 200</t>
  </si>
  <si>
    <t>MACPOD DROP</t>
  </si>
  <si>
    <t>MACPOD 100 SYP</t>
  </si>
  <si>
    <t>MACPOD 100 TAB</t>
  </si>
  <si>
    <t>MACPOD 200 TAB</t>
  </si>
  <si>
    <t>MACPOD 50 SYP</t>
  </si>
  <si>
    <t>MACPOD 50 TAB</t>
  </si>
  <si>
    <t>MACPOD O 200 TAB</t>
  </si>
  <si>
    <t>MACPROT POWDER</t>
  </si>
  <si>
    <t>MACRALFATE O SYP</t>
  </si>
  <si>
    <t>MACROMYCIN TAB.</t>
  </si>
  <si>
    <t>MACSART 40</t>
  </si>
  <si>
    <t>MACSART AM</t>
  </si>
  <si>
    <t>MACSART BETA 25 TAB</t>
  </si>
  <si>
    <t>MACSART BETA 50</t>
  </si>
  <si>
    <t>MACSART 20 TAB</t>
  </si>
  <si>
    <t>MACSART CH 40 TAB</t>
  </si>
  <si>
    <t>MACSART H TAB</t>
  </si>
  <si>
    <t>MACTOR 10 TAB</t>
  </si>
  <si>
    <t>MACTOR 20 TAB</t>
  </si>
  <si>
    <t>MACTOR ASP 75</t>
  </si>
  <si>
    <t>MACTOR F TAB</t>
  </si>
  <si>
    <t>MACVESTIN 500</t>
  </si>
  <si>
    <t>MEFOMIN 500 SR TAB</t>
  </si>
  <si>
    <t>MEGALIS 10 TAB</t>
  </si>
  <si>
    <t>MEGALIS 20 TAB</t>
  </si>
  <si>
    <t>MENOJOY CAP</t>
  </si>
  <si>
    <t>MEROMAC 1GM</t>
  </si>
  <si>
    <t>METACORTIL LITE CREAM</t>
  </si>
  <si>
    <t>METOMAC 25 TAB</t>
  </si>
  <si>
    <t>METOMAC 50 TAB</t>
  </si>
  <si>
    <t>MONTEMAC BL TAB.</t>
  </si>
  <si>
    <t>MONTEMAC FX TAB</t>
  </si>
  <si>
    <t>MONTEMAC L TAB</t>
  </si>
  <si>
    <t>MOXIMAC TAB</t>
  </si>
  <si>
    <t>MOXOVAS 0.3 TAB</t>
  </si>
  <si>
    <t>MOXOVAS 0.2 TAB</t>
  </si>
  <si>
    <t>MYLAMIN TAB</t>
  </si>
  <si>
    <t>NAZOMAC AF N/S</t>
  </si>
  <si>
    <t>NEXOVAS 20</t>
  </si>
  <si>
    <t>NEXOVAS O 20 TAB</t>
  </si>
  <si>
    <t>NEXOVAS O 40</t>
  </si>
  <si>
    <t>NEXOVAS CH 10 TAB</t>
  </si>
  <si>
    <t>NEXOVAS M 50 TAB</t>
  </si>
  <si>
    <t>NEXOVAS T TAB</t>
  </si>
  <si>
    <t>NEXSART 40 TAB</t>
  </si>
  <si>
    <t>NUPENTA 40 TAB</t>
  </si>
  <si>
    <t>NUPENTA DSR CAP</t>
  </si>
  <si>
    <t>OFLOMAC 100 TAB</t>
  </si>
  <si>
    <t>OFLOMAC 200 TAB.</t>
  </si>
  <si>
    <t>OFLOMAC FORTE SYP</t>
  </si>
  <si>
    <t>OFLOMAC SYP</t>
  </si>
  <si>
    <t>OFLOMAC 400 TAB</t>
  </si>
  <si>
    <t>OFLOMAC M SYP</t>
  </si>
  <si>
    <t>OLMESAR CH 20</t>
  </si>
  <si>
    <t>OLMESAR CH 40MG TAB</t>
  </si>
  <si>
    <t>OLMESAR PLUS 20 TAB</t>
  </si>
  <si>
    <t>OLMESAR 10 TAB</t>
  </si>
  <si>
    <t>OLMESAR 20 TAB.</t>
  </si>
  <si>
    <t>OLMESAR 40 TAB</t>
  </si>
  <si>
    <t>OLMESAR A TAB</t>
  </si>
  <si>
    <t>OLMESAR A 40 TAB</t>
  </si>
  <si>
    <t>OLMESAR H TAB</t>
  </si>
  <si>
    <t>OLMESAR H 40 TAB</t>
  </si>
  <si>
    <t>OLMESAR M 25 TAB</t>
  </si>
  <si>
    <t>OMNACORTIL SYP</t>
  </si>
  <si>
    <t>OMNACORTIL 10 TAB</t>
  </si>
  <si>
    <t>OMNACORTIL 20 TAB</t>
  </si>
  <si>
    <t>OMNACORTIL 30 TAB</t>
  </si>
  <si>
    <t>OMNACORTIL 40 TAB</t>
  </si>
  <si>
    <t>OMNACORTIL 5 TAB</t>
  </si>
  <si>
    <t>OMNITAN 50 TAB</t>
  </si>
  <si>
    <t>OMNITAN H TAB</t>
  </si>
  <si>
    <t>ORATIL 250 TAB</t>
  </si>
  <si>
    <t>ORATIL 500 CAP</t>
  </si>
  <si>
    <t>ORATIL CV 250 TAB</t>
  </si>
  <si>
    <t>ORATIL CV 500 TAB</t>
  </si>
  <si>
    <t>ORCERIN CAP</t>
  </si>
  <si>
    <t>ORNAMAC TAB</t>
  </si>
  <si>
    <t>ORPENEM ER TAB</t>
  </si>
  <si>
    <t>PANDERM ++ CREAM</t>
  </si>
  <si>
    <t>PANDERM SUPER CREAM</t>
  </si>
  <si>
    <t>PLATIMAX TAB</t>
  </si>
  <si>
    <t>POLYCLAV 625 TAB</t>
  </si>
  <si>
    <t>PRINCICAL TAB</t>
  </si>
  <si>
    <t>PRINICLAV TAB</t>
  </si>
  <si>
    <t>RABEMAC MPS SYP</t>
  </si>
  <si>
    <t>RABEMAC 20 TAB</t>
  </si>
  <si>
    <t>RABEMAC DSR CAP</t>
  </si>
  <si>
    <t>RABEMAC LS CAP</t>
  </si>
  <si>
    <t>RAPITUS PLUS SYP</t>
  </si>
  <si>
    <t>RAPITUS SYP</t>
  </si>
  <si>
    <t>ROLAZIN TAB</t>
  </si>
  <si>
    <t>ROSUMAC 10 MG</t>
  </si>
  <si>
    <t>ROSUMAC GOLD CAP</t>
  </si>
  <si>
    <t>ROSUMAC ASP TAB</t>
  </si>
  <si>
    <t>ROSUMAC CV 10 TAB</t>
  </si>
  <si>
    <t>ROSUMAC F</t>
  </si>
  <si>
    <t>ROSUMAC GOLD 20 TAB</t>
  </si>
  <si>
    <t>ROZUSTAT 20MG TAB</t>
  </si>
  <si>
    <t>ROZUSTAT 10MG TAB</t>
  </si>
  <si>
    <t>ROZUSTAT ASP TAB</t>
  </si>
  <si>
    <t>ROZUSTAT F TAB</t>
  </si>
  <si>
    <t>RUBIRED SYP</t>
  </si>
  <si>
    <t>RUBIRED TAB</t>
  </si>
  <si>
    <t>RUBIRED Z CAP</t>
  </si>
  <si>
    <t>SENSICLAV 375 MG</t>
  </si>
  <si>
    <t>SENSICLAV 625</t>
  </si>
  <si>
    <t>SENSICLAV BD DRY SYP</t>
  </si>
  <si>
    <t>SENSICLAV KID DT</t>
  </si>
  <si>
    <t>SENSICLAV DS SYP</t>
  </si>
  <si>
    <t>SENSIFOL CAP</t>
  </si>
  <si>
    <t>TAZOMAC 4.5 INJ</t>
  </si>
  <si>
    <t>TELMIDUCE 20 TAB</t>
  </si>
  <si>
    <t>TELMIDUCE 40 TAB</t>
  </si>
  <si>
    <t>TELMIDUCE AM TAB</t>
  </si>
  <si>
    <t>TELMIDUCE H TAB</t>
  </si>
  <si>
    <t>TENGINOW M TAB</t>
  </si>
  <si>
    <t>TENGINOW TAB</t>
  </si>
  <si>
    <t>TENLIMAC M 1000</t>
  </si>
  <si>
    <t>TENLIMAC M 500</t>
  </si>
  <si>
    <t>TENLIMAC TAB</t>
  </si>
  <si>
    <t>TERBITOTAL 500 TAB</t>
  </si>
  <si>
    <t>THYROX 37.5 TAB</t>
  </si>
  <si>
    <t>THYROX 62.50</t>
  </si>
  <si>
    <t>THYROX 100 TAB</t>
  </si>
  <si>
    <t>THYROX 12.5</t>
  </si>
  <si>
    <t>THYROX 125 TAB</t>
  </si>
  <si>
    <t>THYROX 150 TAB</t>
  </si>
  <si>
    <t>THYROX 200 TAB</t>
  </si>
  <si>
    <t>THYROX 25 TAB</t>
  </si>
  <si>
    <t>THYROX 50 TAB</t>
  </si>
  <si>
    <t>THYROX 75</t>
  </si>
  <si>
    <t>THYROX 88 TAB</t>
  </si>
  <si>
    <t>TRENAXA INJ</t>
  </si>
  <si>
    <t>TRENAXA 500 TAB</t>
  </si>
  <si>
    <t>TRENAXA MF TAB</t>
  </si>
  <si>
    <t>TRIMACSART TAB</t>
  </si>
  <si>
    <t>TRINEXOVAS 20MG TAB</t>
  </si>
  <si>
    <t>TRINEXOVAS 40MG TAB</t>
  </si>
  <si>
    <t>TRIOLMESAR CH 20</t>
  </si>
  <si>
    <t>TRIOLMESAR CH 40</t>
  </si>
  <si>
    <t>TRIOLMESAR 20</t>
  </si>
  <si>
    <t>TRIOLMESAR 40</t>
  </si>
  <si>
    <t>VILDAMAC 50 TAB</t>
  </si>
  <si>
    <t>VILDAMAC M 50/1000 TAB.</t>
  </si>
  <si>
    <t>VILDAMAC M 50/500 TAB</t>
  </si>
  <si>
    <t>VILDAMAC M 50/850 TAB.</t>
  </si>
  <si>
    <t>VILDAMAC OD 100 TAB</t>
  </si>
  <si>
    <t>VOGLIMAC GM 2</t>
  </si>
  <si>
    <t>VOGLIMAC GM1</t>
  </si>
  <si>
    <t>VOGLIMAC MF .02</t>
  </si>
  <si>
    <t>VOGLIMAC 0.2 TAB</t>
  </si>
  <si>
    <t>VOGLIMAC 0.3 TAB</t>
  </si>
  <si>
    <t>VOGLIMAC MF 0.3 TAB</t>
  </si>
  <si>
    <t>ZEDOCEF CV 200 TAB</t>
  </si>
  <si>
    <t>ZITHROX 200 SYP</t>
  </si>
  <si>
    <t>ZITHROX 250 TAB</t>
  </si>
  <si>
    <t>ZITHROX 500 TAB</t>
  </si>
  <si>
    <t>CARBATEC 1 GM</t>
  </si>
  <si>
    <t>MACTEC LIFE SCIENCES</t>
  </si>
  <si>
    <t>CYPROMAC SYRUP</t>
  </si>
  <si>
    <t>ENZOTECH D TAB</t>
  </si>
  <si>
    <t>ENZOTECH FORTE TAB</t>
  </si>
  <si>
    <t>ENZOTECH P TAB</t>
  </si>
  <si>
    <t>ENZOTECH SP TAB</t>
  </si>
  <si>
    <t>ENZOTECH TAB</t>
  </si>
  <si>
    <t>ENZOTECH MR TAB</t>
  </si>
  <si>
    <t>FEROTEC SYP</t>
  </si>
  <si>
    <t>FEROTEC TAB</t>
  </si>
  <si>
    <t>GLUCOMAC POWDER</t>
  </si>
  <si>
    <t>KIT 19 TAB.</t>
  </si>
  <si>
    <t>MACOSTEO SYP</t>
  </si>
  <si>
    <t>MACOSTEO TABLET 12%</t>
  </si>
  <si>
    <t>MACTECEF 250TAB</t>
  </si>
  <si>
    <t>MACTECEF 500 TAB</t>
  </si>
  <si>
    <t>MACTECEF S INJ</t>
  </si>
  <si>
    <t>MACTECOF SYP</t>
  </si>
  <si>
    <t>MACTECOF XT SYP</t>
  </si>
  <si>
    <t>MACTEDEF TAB</t>
  </si>
  <si>
    <t>MACTEDEF 12 TAB</t>
  </si>
  <si>
    <t>MACTEMAC TAB</t>
  </si>
  <si>
    <t>MACTEPAN CAP</t>
  </si>
  <si>
    <t>MACTEPAN DSR TAB</t>
  </si>
  <si>
    <t>MACTEVIT SOFTGEL CAP</t>
  </si>
  <si>
    <t>MACTEVIT SYP MACTEC</t>
  </si>
  <si>
    <t>MECTECEF XP INJ</t>
  </si>
  <si>
    <t>MOXTEC 375 MG</t>
  </si>
  <si>
    <t>MOXTEC 625 TAB</t>
  </si>
  <si>
    <t>NTP GOLD TAB</t>
  </si>
  <si>
    <t>ORNITEC TAB</t>
  </si>
  <si>
    <t>TECFIN SYP</t>
  </si>
  <si>
    <t>ARGIPREG SACHET</t>
  </si>
  <si>
    <t>Mankind Pharma Ltd</t>
  </si>
  <si>
    <t>CANDIFORCE 200 CAP</t>
  </si>
  <si>
    <t>D3 MUST FORTE DROP</t>
  </si>
  <si>
    <t>DROGYNA TAB</t>
  </si>
  <si>
    <t>DYDROBOON TAB</t>
  </si>
  <si>
    <t>ENTROMAX SUSPENSION</t>
  </si>
  <si>
    <t>GUDPRES XL 50 TAB</t>
  </si>
  <si>
    <t>HISTAFREE M TAB</t>
  </si>
  <si>
    <t>INTIWASH SOAP</t>
  </si>
  <si>
    <t>LETROHOPE 2.5 TAB</t>
  </si>
  <si>
    <t>LOSAKIND 25 TAB</t>
  </si>
  <si>
    <t>MAHACEF CV 200 TAB.</t>
  </si>
  <si>
    <t>MOXIKIND CV 625 TAB</t>
  </si>
  <si>
    <t>MOXIKIND CV 375 TAB</t>
  </si>
  <si>
    <t>NUROKIND GOLD CAP.</t>
  </si>
  <si>
    <t>NUROKIND MORE TAB</t>
  </si>
  <si>
    <t>NUROKIND OD TAB</t>
  </si>
  <si>
    <t>TELMIKIND 20 TAB</t>
  </si>
  <si>
    <t>TELMIKIND 40 TAB</t>
  </si>
  <si>
    <t>TELMIKIND AMH TAB</t>
  </si>
  <si>
    <t>URIKIND KM SACHET</t>
  </si>
  <si>
    <t>AXOL BR SYP</t>
  </si>
  <si>
    <t>MAXZEN BIOTECH</t>
  </si>
  <si>
    <t>AXTOL LS SYP</t>
  </si>
  <si>
    <t>BETAWISH TAB</t>
  </si>
  <si>
    <t>CALORIT 60K TAB.</t>
  </si>
  <si>
    <t>CALORIT K2 TAB</t>
  </si>
  <si>
    <t>CALORIT 60K NANO</t>
  </si>
  <si>
    <t>CALORIT C TAB</t>
  </si>
  <si>
    <t>CLOTIZEN CT CAP</t>
  </si>
  <si>
    <t>CYPOZEN SYP</t>
  </si>
  <si>
    <t>DEFALAZ 6</t>
  </si>
  <si>
    <t>DEXTO DS SYP 100ML</t>
  </si>
  <si>
    <t>ENZOPAN TAB</t>
  </si>
  <si>
    <t>ENZOPAN D TAB</t>
  </si>
  <si>
    <t>FAST COUNT CAP</t>
  </si>
  <si>
    <t>FAST COUNT SYRUP</t>
  </si>
  <si>
    <t>HEXCIP M/W</t>
  </si>
  <si>
    <t>IMOCLAV 375 TAB</t>
  </si>
  <si>
    <t>IMOCLAV 625 TAB</t>
  </si>
  <si>
    <t>MEFZEN FORTE SYP</t>
  </si>
  <si>
    <t>PRMIS E CAP</t>
  </si>
  <si>
    <t>Q10 FORT SOFT CAP</t>
  </si>
  <si>
    <t>SIZCEF 250 TAB</t>
  </si>
  <si>
    <t>SIZCEF 500 TAB</t>
  </si>
  <si>
    <t>TARDOL P TAB</t>
  </si>
  <si>
    <t>TENDOR FORT TAB</t>
  </si>
  <si>
    <t>TENDOZEN TAB</t>
  </si>
  <si>
    <t>TOCOBETA CAP.</t>
  </si>
  <si>
    <t>VICOZEN L SYRUP 200ML</t>
  </si>
  <si>
    <t>CALCIMAX FORTE PLUS TAB</t>
  </si>
  <si>
    <t>Meyer Organics Pvt Ltd</t>
  </si>
  <si>
    <t>CALCIMAX SYP</t>
  </si>
  <si>
    <t>CALCIMAX 500 TAB</t>
  </si>
  <si>
    <t>CALCIMAX D 1000MG TAB</t>
  </si>
  <si>
    <t>CALCIMAX ISO CAP</t>
  </si>
  <si>
    <t>CALCIMAX P SYP</t>
  </si>
  <si>
    <t>CALCIMAX TOTAL TAB</t>
  </si>
  <si>
    <t>CALCIMAX P TAB</t>
  </si>
  <si>
    <t>CARIPAYA TAB</t>
  </si>
  <si>
    <t>COLICAID DROPS</t>
  </si>
  <si>
    <t>COLICAID SYP</t>
  </si>
  <si>
    <t>JOINTACE C2 TAB</t>
  </si>
  <si>
    <t>MENOPACE CAP</t>
  </si>
  <si>
    <t>PREGNACARE TAB</t>
  </si>
  <si>
    <t>UGESIC TAB</t>
  </si>
  <si>
    <t>ULTRA D3 DROP</t>
  </si>
  <si>
    <t>WELL WOMAN CAP 15CAP</t>
  </si>
  <si>
    <t>MOTINORM DROP</t>
  </si>
  <si>
    <t>Medley Pharmaceuticals</t>
  </si>
  <si>
    <t>O2 SYP</t>
  </si>
  <si>
    <t>O2 TAB</t>
  </si>
  <si>
    <t>PRIMODIL 2.5 TAB</t>
  </si>
  <si>
    <t>PRIMODIL 5 TAB</t>
  </si>
  <si>
    <t>R.B.TONE CAP</t>
  </si>
  <si>
    <t>R.B.TONE SYP</t>
  </si>
  <si>
    <t>TELMED AH 40 TAB</t>
  </si>
  <si>
    <t>TELMED AM TAB</t>
  </si>
  <si>
    <t>TELMED BETA 50 TAB</t>
  </si>
  <si>
    <t>TELMED H TAB</t>
  </si>
  <si>
    <t>VOGLI 0.2 TAB</t>
  </si>
  <si>
    <t>VOGLI 0.3 TAB</t>
  </si>
  <si>
    <t>VOGLI GM 1 TAB</t>
  </si>
  <si>
    <t>VOGLI GM 2 FORTE TAB</t>
  </si>
  <si>
    <t>VOGLI M 0.2 TAB</t>
  </si>
  <si>
    <t>VOGLI M 0.3 TAB</t>
  </si>
  <si>
    <t>VOGLI RAPID 0.2/0.5 TAB</t>
  </si>
  <si>
    <t>VOGLI RAPID 0.2/1.0 TAB</t>
  </si>
  <si>
    <t>VOGLI RAPID 0.3/1 TAB</t>
  </si>
  <si>
    <t>VOGLI RAPID 0.3/2.0 TAB</t>
  </si>
  <si>
    <t>VOGLI TRIO 0.2 MG TABS</t>
  </si>
  <si>
    <t>VOGLI TRIO 0.3 TAB</t>
  </si>
  <si>
    <t>DECDAN TAB</t>
  </si>
  <si>
    <t>Dr Reddy's Lab (MERIND)</t>
  </si>
  <si>
    <t>LIBOTRYP NRX TAB</t>
  </si>
  <si>
    <t>LIBOTRYP DS NRX TAB</t>
  </si>
  <si>
    <t>METHYCOBAL INJ.</t>
  </si>
  <si>
    <t>METHYCOBAL TAB</t>
  </si>
  <si>
    <t>PRACTIN SYP.</t>
  </si>
  <si>
    <t>PRACTIN EN SYP.</t>
  </si>
  <si>
    <t>TRYPTOMER 10MG TAB</t>
  </si>
  <si>
    <t>ACE PROXY CR TAB</t>
  </si>
  <si>
    <t>ACE PROXYVON TAB</t>
  </si>
  <si>
    <t>PRACTIN TAB</t>
  </si>
  <si>
    <t>TRYPTOMER 25MG TAB</t>
  </si>
  <si>
    <t>AZIDERM 15% GEL</t>
  </si>
  <si>
    <t>Micro Labs Ltd</t>
  </si>
  <si>
    <t>AZIDERM 20% CREAM</t>
  </si>
  <si>
    <t>DIBIZIDE M TAB</t>
  </si>
  <si>
    <t>DOLO 500 TAB</t>
  </si>
  <si>
    <t>DOLO 650 TAB</t>
  </si>
  <si>
    <t>LUTIVIT NF 1 10</t>
  </si>
  <si>
    <t>MONUROL GRANULES</t>
  </si>
  <si>
    <t>Modi Mundi Pharma Pvt Ltd</t>
  </si>
  <si>
    <t>NITROCONTIN 2.6 TAB</t>
  </si>
  <si>
    <t>PYRICONTIN TAB</t>
  </si>
  <si>
    <t>UNICONTIN 400 TAB</t>
  </si>
  <si>
    <t>CANESTEN V6 CAP</t>
  </si>
  <si>
    <t>MSD Pharmaceuticals</t>
  </si>
  <si>
    <t>EMOLENE CREAM BIG</t>
  </si>
  <si>
    <t>FEMOVAN TAB</t>
  </si>
  <si>
    <t>GLUCOBAY 50MG.TAB</t>
  </si>
  <si>
    <t>GLUCOBAY M 25MG.TAB</t>
  </si>
  <si>
    <t>GLUCOBAY M 50MG.TAB.</t>
  </si>
  <si>
    <t>GLYXAMBI 5/25 TAB</t>
  </si>
  <si>
    <t>GLYXAMBI 10/5</t>
  </si>
  <si>
    <t>INCID ULTRA TAB</t>
  </si>
  <si>
    <t>JANUMET 50/500</t>
  </si>
  <si>
    <t>JANUMET XR CAP</t>
  </si>
  <si>
    <t>JANUMET 50/1000 MG TAB</t>
  </si>
  <si>
    <t>JANUVIA 100</t>
  </si>
  <si>
    <t>JANUVIA 50</t>
  </si>
  <si>
    <t>JARDIANCE 10 MG</t>
  </si>
  <si>
    <t>JARDIANCE 25 MG</t>
  </si>
  <si>
    <t>JARDIANCE MET 12.5/1000</t>
  </si>
  <si>
    <t>JARDIANE MET 12.5/500</t>
  </si>
  <si>
    <t>LUCIARA CREAM</t>
  </si>
  <si>
    <t>SUSTANON 250 INJ</t>
  </si>
  <si>
    <t>ABVIDA 50 TAB</t>
  </si>
  <si>
    <t>NICHOLAS PIRAMAL INDIA LTD</t>
  </si>
  <si>
    <t>ACITROM 0.5 MG</t>
  </si>
  <si>
    <t>AQUAVIRON INJ</t>
  </si>
  <si>
    <t>AROVIT TAB</t>
  </si>
  <si>
    <t>ASCABION LOTION BIG.</t>
  </si>
  <si>
    <t>ASCABION LOTION SMALL.</t>
  </si>
  <si>
    <t>AVOMINE TAB.</t>
  </si>
  <si>
    <t>BACTRIM DS TAB</t>
  </si>
  <si>
    <t>BACTRIM SYP.</t>
  </si>
  <si>
    <t>BECOZYME C FORTE TAB.</t>
  </si>
  <si>
    <t>BENADONE TAB</t>
  </si>
  <si>
    <t>BIZOBID PLUS TAB</t>
  </si>
  <si>
    <t>CAAT 10 TAB</t>
  </si>
  <si>
    <t>CAAT 20 TAB</t>
  </si>
  <si>
    <t>CAAT 40 TAB</t>
  </si>
  <si>
    <t>CALAPTIN SR 120 TAB</t>
  </si>
  <si>
    <t>CALAPTIN 40MG TAB</t>
  </si>
  <si>
    <t>CALAPTIN 80MG TAB</t>
  </si>
  <si>
    <t>CWIN CREAM 30GR.</t>
  </si>
  <si>
    <t>CYTOGARD OD 60 CAP.</t>
  </si>
  <si>
    <t>DELOK 20 CAP</t>
  </si>
  <si>
    <t>DIABETROL SR</t>
  </si>
  <si>
    <t>DIABETROL TAB</t>
  </si>
  <si>
    <t>DURAPAIN TAB NRX</t>
  </si>
  <si>
    <t>EBILITY TAB</t>
  </si>
  <si>
    <t>ESGYPYRIN GEL</t>
  </si>
  <si>
    <t>ESGYPYRIN SP TAB</t>
  </si>
  <si>
    <t>ESOGA RD CAP</t>
  </si>
  <si>
    <t>ESSENTIAL L CAP.</t>
  </si>
  <si>
    <t>ETODY 120TAB</t>
  </si>
  <si>
    <t>ETODY 60TAB</t>
  </si>
  <si>
    <t>FACECLIN GEL</t>
  </si>
  <si>
    <t>FACECLINE A GEL</t>
  </si>
  <si>
    <t>FAMTAC 40MG TAB</t>
  </si>
  <si>
    <t>FEBUSTAT 40 MG</t>
  </si>
  <si>
    <t>FEBUSTAT 80 TAB</t>
  </si>
  <si>
    <t>FLAGYL SYP.</t>
  </si>
  <si>
    <t>FLAGYL ER TAB</t>
  </si>
  <si>
    <t>FLAGYL 200 TAB.</t>
  </si>
  <si>
    <t>FLAGYL 400 TAB.</t>
  </si>
  <si>
    <t>FOLLIHAIR SOFTGEL</t>
  </si>
  <si>
    <t>FORTIUS 10</t>
  </si>
  <si>
    <t>GARDENAL 30MG NRX TAB</t>
  </si>
  <si>
    <t>GARDENAL 60 MG NRX TAB</t>
  </si>
  <si>
    <t>GARDINAL NRX SYP.</t>
  </si>
  <si>
    <t>GAROIN NRX TAB.</t>
  </si>
  <si>
    <t>GENTICYN 80 VIAL</t>
  </si>
  <si>
    <t>GLIMER 1MG TAB</t>
  </si>
  <si>
    <t>GLIMER 2MG TAB</t>
  </si>
  <si>
    <t>GLUFORMIN 500 TAB</t>
  </si>
  <si>
    <t>GLUFORMIN G1 TAB</t>
  </si>
  <si>
    <t>GLUFORMIN G2 TAB</t>
  </si>
  <si>
    <t>GLUFORMIN XL 500</t>
  </si>
  <si>
    <t>GLUFORMIN G1 FORTE</t>
  </si>
  <si>
    <t>GLUFORMIN G2 FORTE TAB</t>
  </si>
  <si>
    <t>GLUFORMIN XL 1000 TAB</t>
  </si>
  <si>
    <t>GTN SORBI 2.6 TAB</t>
  </si>
  <si>
    <t>HEAMCEEL INJ.</t>
  </si>
  <si>
    <t>HYDENT PRO TOOTHPAST</t>
  </si>
  <si>
    <t>I PILL TAB</t>
  </si>
  <si>
    <t>I TYZA 200 TAB</t>
  </si>
  <si>
    <t>INDERAL 10MG TAB</t>
  </si>
  <si>
    <t>INDERAL 40MG TAB</t>
  </si>
  <si>
    <t>ISMO RETARD TAB</t>
  </si>
  <si>
    <t>ISMO 20MG TAB</t>
  </si>
  <si>
    <t>KENACORT 0.1% OINT.</t>
  </si>
  <si>
    <t>KENACORT 10MG.INJ.</t>
  </si>
  <si>
    <t>KENACORT 40MG.INJ.</t>
  </si>
  <si>
    <t>KENACORT 4MG. TAB.</t>
  </si>
  <si>
    <t>LEVESAM 1 GM</t>
  </si>
  <si>
    <t>LIBREX TAB NRX</t>
  </si>
  <si>
    <t>LIBRIUM 10 NRX TAB</t>
  </si>
  <si>
    <t>LIBRIUM 25MG NRX TAB</t>
  </si>
  <si>
    <t>LIMCEE TAB</t>
  </si>
  <si>
    <t>LOBAT GMN LOTION</t>
  </si>
  <si>
    <t>LOBAT GN CREAM</t>
  </si>
  <si>
    <t>LOBAT M CREAM</t>
  </si>
  <si>
    <t>LOBATE SKIN CREAM.</t>
  </si>
  <si>
    <t>LOBATE GMN</t>
  </si>
  <si>
    <t>LORSAID P8 TAB</t>
  </si>
  <si>
    <t>LORSAID SD 4 TAB</t>
  </si>
  <si>
    <t>MDD XR 50 TAB</t>
  </si>
  <si>
    <t>MELAGARD LOTION +50</t>
  </si>
  <si>
    <t>MELALITE CREAM</t>
  </si>
  <si>
    <t>MELALITE FORTE CREAM</t>
  </si>
  <si>
    <t>MELALITE XL CREAM</t>
  </si>
  <si>
    <t>NEOMERCAZOLE 10 TAB</t>
  </si>
  <si>
    <t>NEOMERCAZOLE 20 TAB</t>
  </si>
  <si>
    <t>NEOMERCAZOLE 5 TAB</t>
  </si>
  <si>
    <t>NERVUP INJ.</t>
  </si>
  <si>
    <t>NERVUP OD CAP.</t>
  </si>
  <si>
    <t>NERVUP PG TAB</t>
  </si>
  <si>
    <t>NICODUCE OD 10</t>
  </si>
  <si>
    <t>NICODUCE 5 MG</t>
  </si>
  <si>
    <t>PARAXIN SYP.</t>
  </si>
  <si>
    <t>PARAXIN 250MG CAP</t>
  </si>
  <si>
    <t>PARAXIN 500MG CAP.</t>
  </si>
  <si>
    <t>PENTIDS 200 TAB</t>
  </si>
  <si>
    <t>PENTIDS 400 TAB</t>
  </si>
  <si>
    <t>PENTIDS 800 TAB</t>
  </si>
  <si>
    <t>PHENARGAN AMP.</t>
  </si>
  <si>
    <t>PHENARGAN SYP.</t>
  </si>
  <si>
    <t>PPG MET 0.3 TAB</t>
  </si>
  <si>
    <t>PPG 0.2 TAB</t>
  </si>
  <si>
    <t>PPG 0.3 TAB</t>
  </si>
  <si>
    <t>REJOINT CAP.</t>
  </si>
  <si>
    <t>RIVOTRIL .5 MG TAB NRX</t>
  </si>
  <si>
    <t>RIVOTRIL 2MG TAB NRX</t>
  </si>
  <si>
    <t>ROCKBON D 400 TAB</t>
  </si>
  <si>
    <t>ROVAMYCIN FORT</t>
  </si>
  <si>
    <t>SARIDON TAB</t>
  </si>
  <si>
    <t>SECNIL FORTE TAB</t>
  </si>
  <si>
    <t>SORBITRATE 10MG TAB</t>
  </si>
  <si>
    <t>SORBITRATE 5MG TAB</t>
  </si>
  <si>
    <t>STATOR 10 TAB</t>
  </si>
  <si>
    <t>STATOR F</t>
  </si>
  <si>
    <t>STEMETIL INJ.</t>
  </si>
  <si>
    <t>STEMETIL MD TAB</t>
  </si>
  <si>
    <t>SUPERMET AM TAB</t>
  </si>
  <si>
    <t>SUPERMET XL 50</t>
  </si>
  <si>
    <t>SUPERMET XL 25 TAB</t>
  </si>
  <si>
    <t>SUPRACTIV CAP</t>
  </si>
  <si>
    <t>SUPRADYN IMMNUO BOTTLE.</t>
  </si>
  <si>
    <t>SUPRADYN IMMNUO STRIP.</t>
  </si>
  <si>
    <t>SUPRADYN TAB.</t>
  </si>
  <si>
    <t>SZITALO 10MG TAB</t>
  </si>
  <si>
    <t>SZITALO 5MG TAB</t>
  </si>
  <si>
    <t>TELPRES CT 40/12.5</t>
  </si>
  <si>
    <t>TELPRES MT 50</t>
  </si>
  <si>
    <t>TELPRES 20 TAB</t>
  </si>
  <si>
    <t>TELPRES 40 TAB</t>
  </si>
  <si>
    <t>TELPRES AM TAB</t>
  </si>
  <si>
    <t>TELPRES CT 40/6.25</t>
  </si>
  <si>
    <t>TELPRES H TAB</t>
  </si>
  <si>
    <t>TELPRESS CT 80 TAB</t>
  </si>
  <si>
    <t>TETMOSOL SAOP</t>
  </si>
  <si>
    <t>THIOSPAS A4 TAB</t>
  </si>
  <si>
    <t>TIXILIX LS SYP.</t>
  </si>
  <si>
    <t>TIXILIX SYP</t>
  </si>
  <si>
    <t>TRIBET 1MG TAB</t>
  </si>
  <si>
    <t>TRIBET 2MG TAB</t>
  </si>
  <si>
    <t>TRIBETROL 1 MG</t>
  </si>
  <si>
    <t>TRIBETROL 2 FOTRE</t>
  </si>
  <si>
    <t>TRIBETROL 2 MG</t>
  </si>
  <si>
    <t>TYZA M CREAM</t>
  </si>
  <si>
    <t>VALANCE OD 500 TAB</t>
  </si>
  <si>
    <t>XEVOR TAB</t>
  </si>
  <si>
    <t>ZEFORMIN XR 30 TAB</t>
  </si>
  <si>
    <t>ZEFORMIN XR 60 TAB</t>
  </si>
  <si>
    <t>ZOMELIS MET 50/1000</t>
  </si>
  <si>
    <t>ZOMELIS MET 500 MG</t>
  </si>
  <si>
    <t>ARG 9 SCAHET</t>
  </si>
  <si>
    <t>Nouveau Medicament Pvt Ltd</t>
  </si>
  <si>
    <t>MEC GLA CAP</t>
  </si>
  <si>
    <t>TRIMEG SACHET</t>
  </si>
  <si>
    <t>CALCIUM SANDOZ INJ.</t>
  </si>
  <si>
    <t>Novartis India Ltd</t>
  </si>
  <si>
    <t>GALVAS OD 100 TAB</t>
  </si>
  <si>
    <t>GALVUS TAB</t>
  </si>
  <si>
    <t>GALVUS MET 50/1000</t>
  </si>
  <si>
    <t>GALVUS MET 50/500</t>
  </si>
  <si>
    <t>GENTEAL DROP NOVARTIS</t>
  </si>
  <si>
    <t>GENTEAL GEL nov</t>
  </si>
  <si>
    <t>MACALVIT SYP.</t>
  </si>
  <si>
    <t>METHERGIN AMP</t>
  </si>
  <si>
    <t>METHERGIN TAB</t>
  </si>
  <si>
    <t>OTRIVIN ADL. DROP</t>
  </si>
  <si>
    <t>OTRIVIN PED. DROP</t>
  </si>
  <si>
    <t>REGESTRON CR TAB</t>
  </si>
  <si>
    <t>REGESTRONE TAB</t>
  </si>
  <si>
    <t>T MINIC SYP.</t>
  </si>
  <si>
    <t>TEGRITAL 100 TAB</t>
  </si>
  <si>
    <t>TEGRITAL 200 TAB</t>
  </si>
  <si>
    <t>TEGRITAL 400 TAB</t>
  </si>
  <si>
    <t>TEGRITAL CR 200</t>
  </si>
  <si>
    <t>TEGRITAL CR 300 TAB</t>
  </si>
  <si>
    <t>TEGRITAL CR 400</t>
  </si>
  <si>
    <t>TRESIBA 100 ML</t>
  </si>
  <si>
    <t>VOVERAN AMP.</t>
  </si>
  <si>
    <t>VOVERAN GEL</t>
  </si>
  <si>
    <t>VOVERAN PLUS</t>
  </si>
  <si>
    <t>VOVERAN 50 TAB</t>
  </si>
  <si>
    <t>VOVERAN D TAB</t>
  </si>
  <si>
    <t>VOVERAN SR 100</t>
  </si>
  <si>
    <t>VOVERAN SR 75</t>
  </si>
  <si>
    <t>VYMADA 100 TAB</t>
  </si>
  <si>
    <t>VYMADA 50 TAB</t>
  </si>
  <si>
    <t>DECADURABOLIN 100 INJ</t>
  </si>
  <si>
    <t>Organon (India) Ltd</t>
  </si>
  <si>
    <t>DECADURABOLIN 50 INJ</t>
  </si>
  <si>
    <t>EVALON CREAM</t>
  </si>
  <si>
    <t>FEMILON TAB</t>
  </si>
  <si>
    <t>NATUROLAX POWDER</t>
  </si>
  <si>
    <t>NOVALON TAB</t>
  </si>
  <si>
    <t>GLIZID MR 30 TAB</t>
  </si>
  <si>
    <t>PANACEA BIOTEC</t>
  </si>
  <si>
    <t>LIVOLUK SYP</t>
  </si>
  <si>
    <t>METLONG 500 TAB</t>
  </si>
  <si>
    <t>METLONG DS TAB</t>
  </si>
  <si>
    <t>NIMULID MD TAB</t>
  </si>
  <si>
    <t>GLIZID MV TAB</t>
  </si>
  <si>
    <t>GLIZID 40 TAB</t>
  </si>
  <si>
    <t>GLIZID M TAB</t>
  </si>
  <si>
    <t>GLIZID M OD 60 TAB</t>
  </si>
  <si>
    <t>GLIZID MR 60 TAB</t>
  </si>
  <si>
    <t>LIVOLUK FIBER</t>
  </si>
  <si>
    <t>MYELOGEN FORTE CAP.</t>
  </si>
  <si>
    <t>NIMULID TAB</t>
  </si>
  <si>
    <t>NIMULID HF TAB</t>
  </si>
  <si>
    <t>SITCOM CREAM</t>
  </si>
  <si>
    <t>SITCOM FORTE TAB</t>
  </si>
  <si>
    <t>SITCOM LD CREAM</t>
  </si>
  <si>
    <t>VILACT 50 TAB</t>
  </si>
  <si>
    <t>VILACT M 1000 TAB</t>
  </si>
  <si>
    <t>VILACT M 500 TAB</t>
  </si>
  <si>
    <t>CALADRYL LOTION</t>
  </si>
  <si>
    <t>PFIZER (MAGNUM)</t>
  </si>
  <si>
    <t>CITRALKA SYP.</t>
  </si>
  <si>
    <t>GELUSIL MPS TAB</t>
  </si>
  <si>
    <t>GELUSIL MPS SYP.BIG</t>
  </si>
  <si>
    <t>GELUSIL MPS SYP.SMALL.</t>
  </si>
  <si>
    <t>NEKO BEAUTY SOAP</t>
  </si>
  <si>
    <t>PITOCIN INJ.</t>
  </si>
  <si>
    <t>SLOANS BALM</t>
  </si>
  <si>
    <t>SLOANS LINIMENT</t>
  </si>
  <si>
    <t>AMLOGARD 2.5 TAB</t>
  </si>
  <si>
    <t>Pfizer Ltd</t>
  </si>
  <si>
    <t>AMLOGARD 5 TAB</t>
  </si>
  <si>
    <t>BECOSULE PLUS CAP</t>
  </si>
  <si>
    <t>BECOSULE Z CAP</t>
  </si>
  <si>
    <t>BECOSULES CAP</t>
  </si>
  <si>
    <t>BECOSULES PERFOMACNCE CAP</t>
  </si>
  <si>
    <t>BECOSULES SYP</t>
  </si>
  <si>
    <t>BRON COREX SYP.</t>
  </si>
  <si>
    <t>CITRA SODA POWDER</t>
  </si>
  <si>
    <t>CLARIBID 250 TAB</t>
  </si>
  <si>
    <t>CLARIBID 500 TABS</t>
  </si>
  <si>
    <t>COREX DX SYP</t>
  </si>
  <si>
    <t>DALACIN 300 INJ</t>
  </si>
  <si>
    <t>DALACIN C 300 CAP</t>
  </si>
  <si>
    <t>DAXID 50</t>
  </si>
  <si>
    <t>DEPO PROVERA 150</t>
  </si>
  <si>
    <t>DOLONEX DT TAB</t>
  </si>
  <si>
    <t>DOLONEX IM</t>
  </si>
  <si>
    <t>ELIQUIS 5 TAB</t>
  </si>
  <si>
    <t>ELIQUIS 2.5 TAB</t>
  </si>
  <si>
    <t>INFINAIR 5MG TAB</t>
  </si>
  <si>
    <t>MAGNEX 1GM INJ.</t>
  </si>
  <si>
    <t>MAGNEX FORTE 1.5</t>
  </si>
  <si>
    <t>MEDROL 16 TAB</t>
  </si>
  <si>
    <t>MEDROL 4MG TAB</t>
  </si>
  <si>
    <t>MEDROL 8MG</t>
  </si>
  <si>
    <t>MINIPRESS XL 2.5MG.TAB</t>
  </si>
  <si>
    <t>MINIPRESS XL 5 TAB</t>
  </si>
  <si>
    <t>NEBASULF POWDER</t>
  </si>
  <si>
    <t>PICLIN PLUS SYP</t>
  </si>
  <si>
    <t>PYRIDIUM 200 TAB</t>
  </si>
  <si>
    <t>RASHFREE OINT</t>
  </si>
  <si>
    <t>SELSUN SHAMPOO</t>
  </si>
  <si>
    <t>SOLUMEDROL 500 INJ</t>
  </si>
  <si>
    <t>BASAGLAR INSULIN</t>
  </si>
  <si>
    <t>Pharma Link Pvt Ltd</t>
  </si>
  <si>
    <t>EGLUCENT LISPRO PEN</t>
  </si>
  <si>
    <t>EGLUCENT MIX 50 PEN</t>
  </si>
  <si>
    <t>EGLUCENT LISRO</t>
  </si>
  <si>
    <t>EGLUCENT MIX25 CART</t>
  </si>
  <si>
    <t>EGLUCENT MIX50 CART</t>
  </si>
  <si>
    <t>HUMA PEN</t>
  </si>
  <si>
    <t>HUMALOG MIX 25 P\F</t>
  </si>
  <si>
    <t>HUMALOG MIX 50 P\F</t>
  </si>
  <si>
    <t>HUMALOG PEN</t>
  </si>
  <si>
    <t>HUMALOG P\F</t>
  </si>
  <si>
    <t>HUMALOGMIX 50 PEN</t>
  </si>
  <si>
    <t>HUMINSULIN 30/70 PENFIL.</t>
  </si>
  <si>
    <t>HUMINSULIN N P/F</t>
  </si>
  <si>
    <t>HUMINSULIN 30/70 VIAL</t>
  </si>
  <si>
    <t>HUMINSULIN N VAIL.</t>
  </si>
  <si>
    <t>HUMINSULIN R PENFIL.</t>
  </si>
  <si>
    <t>HUMINSULIN R VAIL.</t>
  </si>
  <si>
    <t>TRAJENTA DUO 1000</t>
  </si>
  <si>
    <t>TRAJENTA DUO 500</t>
  </si>
  <si>
    <t>TRAJENTA TAB</t>
  </si>
  <si>
    <t>ABSOLUT DM CAP 1 10</t>
  </si>
  <si>
    <t>Pharmed Ltd</t>
  </si>
  <si>
    <t>ABSOLUT WOMAN TAB</t>
  </si>
  <si>
    <t>ABSOLUT 369 TAB</t>
  </si>
  <si>
    <t>ABSOLUTE 3G TAB</t>
  </si>
  <si>
    <t>ABSOLUTE GOLD TAB</t>
  </si>
  <si>
    <t>CARTIGEN 1500 CAP</t>
  </si>
  <si>
    <t>CARTIGEN DUO</t>
  </si>
  <si>
    <t>CARTIGEN FORTE CAP</t>
  </si>
  <si>
    <t>CARTIGEN PRO TAB</t>
  </si>
  <si>
    <t>CARTIGEN DN CAP</t>
  </si>
  <si>
    <t>CITRAVITE XT TAB</t>
  </si>
  <si>
    <t>CORECTIA TAB</t>
  </si>
  <si>
    <t>CORECTIA M TAB</t>
  </si>
  <si>
    <t>FOL 123 CAP</t>
  </si>
  <si>
    <t>FOL 123 MF CAP</t>
  </si>
  <si>
    <t>MENOEASE CAP</t>
  </si>
  <si>
    <t>MG D3 60K TAB</t>
  </si>
  <si>
    <t>MG HT TAB</t>
  </si>
  <si>
    <t>MGD3 TAB</t>
  </si>
  <si>
    <t>OSTEOCYNC TAB</t>
  </si>
  <si>
    <t>Q GOLD CAP</t>
  </si>
  <si>
    <t>Q GOLD F CAP</t>
  </si>
  <si>
    <t>SUPRACAL 2000 TAB</t>
  </si>
  <si>
    <t>SUPRACAL TAB</t>
  </si>
  <si>
    <t>SUPRACAL XT TAB</t>
  </si>
  <si>
    <t>SUPRACAL HD TAB</t>
  </si>
  <si>
    <t>SUPRACAL ISO TAB</t>
  </si>
  <si>
    <t>SUPRACAL K2 TAB</t>
  </si>
  <si>
    <t>SUPRACAL PRO TAB</t>
  </si>
  <si>
    <t>TENDOCARE FORTE TAB</t>
  </si>
  <si>
    <t>TENDOCARE TAB</t>
  </si>
  <si>
    <t>2B12 CAP</t>
  </si>
  <si>
    <t>Premier Nutraceuticals Pvt Ltd</t>
  </si>
  <si>
    <t>CORAL CALCIUM TAB</t>
  </si>
  <si>
    <t>AFDURA TAB</t>
  </si>
  <si>
    <t>Ranbaxy Laboratories Ltd</t>
  </si>
  <si>
    <t>BILASURE M TAB</t>
  </si>
  <si>
    <t>BILASURE 20 TAB</t>
  </si>
  <si>
    <t>CANESTEN S CREAM</t>
  </si>
  <si>
    <t>CARDIBETA XR 25MG</t>
  </si>
  <si>
    <t>CARDIBETA XR 50MG</t>
  </si>
  <si>
    <t>CEPODEM 200 TAB</t>
  </si>
  <si>
    <t>CEPODEM 50 SYP</t>
  </si>
  <si>
    <t>CEPODEM O TAB</t>
  </si>
  <si>
    <t>CEPODEM XP 325 TAB</t>
  </si>
  <si>
    <t>CEROXIM 250</t>
  </si>
  <si>
    <t>CEROXIM 500 TAB</t>
  </si>
  <si>
    <t>CEROXIM XP 625 TAB</t>
  </si>
  <si>
    <t>CHERICOFF (JUNIOR) SYP</t>
  </si>
  <si>
    <t>CHERICOFF LS SYP</t>
  </si>
  <si>
    <t>CONTIFLO D</t>
  </si>
  <si>
    <t>CONTIFLO ICON TAB</t>
  </si>
  <si>
    <t>COVANCE 50MG TAB</t>
  </si>
  <si>
    <t>COVANCE D TAB</t>
  </si>
  <si>
    <t>DESVAL ER 1</t>
  </si>
  <si>
    <t>ETROBAX 60 TAB</t>
  </si>
  <si>
    <t>ETROBAX 90 TAB</t>
  </si>
  <si>
    <t>FABIFLU 400 TAB</t>
  </si>
  <si>
    <t>FARONEM ER TAB</t>
  </si>
  <si>
    <t>FLOTRAL 10 TAB</t>
  </si>
  <si>
    <t>FLOTRAL D KIT</t>
  </si>
  <si>
    <t>FUNGICROS CREAM BIG</t>
  </si>
  <si>
    <t>IDROFOS 150 TAB</t>
  </si>
  <si>
    <t>KEFLOR DROP</t>
  </si>
  <si>
    <t>LEVROXA 250 TAB</t>
  </si>
  <si>
    <t>LULIFEN BIG CREAM</t>
  </si>
  <si>
    <t>LULIFIN CREAM 50GM</t>
  </si>
  <si>
    <t>MIRAGO S 50 TAB</t>
  </si>
  <si>
    <t>MIRAGO 50 TAB</t>
  </si>
  <si>
    <t>MOISTUREX SOFT CR</t>
  </si>
  <si>
    <t>NIFTRAN CP TAB</t>
  </si>
  <si>
    <t>NIFTRAN 10 CAP</t>
  </si>
  <si>
    <t>OFRAMAX FORTE INJ</t>
  </si>
  <si>
    <t>OFRAMAX 1GM INJ</t>
  </si>
  <si>
    <t>OLVANCE AM 20</t>
  </si>
  <si>
    <t>PRASITA 10</t>
  </si>
  <si>
    <t>PRASITA A CAP</t>
  </si>
  <si>
    <t>PROHANCE D CHOCO POWDER</t>
  </si>
  <si>
    <t>PROHANCE D VANILLA 12%</t>
  </si>
  <si>
    <t>RACIPER PLUS TAB</t>
  </si>
  <si>
    <t>RACIPER 40 TAB</t>
  </si>
  <si>
    <t>RANCIL 5 TAB</t>
  </si>
  <si>
    <t>RANCIL T 10 TAB</t>
  </si>
  <si>
    <t>RANCIL 10 TAB</t>
  </si>
  <si>
    <t>REVITAL CAP BIG 60CAP.</t>
  </si>
  <si>
    <t>REVITAL CAP SMALL 30CAP.</t>
  </si>
  <si>
    <t>REVITAL CAP STRIP.</t>
  </si>
  <si>
    <t>REVITAL WOMAN BOTTLE</t>
  </si>
  <si>
    <t>REVITAL WOMAN STRIP.</t>
  </si>
  <si>
    <t>RICONIA TAB LP</t>
  </si>
  <si>
    <t>RILIGOL INJ</t>
  </si>
  <si>
    <t>ROSUVAS CV 10</t>
  </si>
  <si>
    <t>ROSUVAS F 10MG</t>
  </si>
  <si>
    <t>ROSUVAS 40 TAB</t>
  </si>
  <si>
    <t>ROSUVAS F 20 TAB</t>
  </si>
  <si>
    <t>ROSUVAS GOLD TAB</t>
  </si>
  <si>
    <t>ROSUVAS GOLD 20 TAB</t>
  </si>
  <si>
    <t>SELZIC 300 TAB</t>
  </si>
  <si>
    <t>SILDURA 8</t>
  </si>
  <si>
    <t>SILODAL 4MG. CAP</t>
  </si>
  <si>
    <t>SILODAL 8MG. CAP</t>
  </si>
  <si>
    <t>SILODAL D8 CAP.</t>
  </si>
  <si>
    <t>SILODOL D4 TAB</t>
  </si>
  <si>
    <t>SOLITEN 10 TAB</t>
  </si>
  <si>
    <t>SOLITRAL CAP</t>
  </si>
  <si>
    <t>SOTRET NF 8MG CAP</t>
  </si>
  <si>
    <t>SPORIDEX CV750 TAB</t>
  </si>
  <si>
    <t>STANLIP 145 TAB</t>
  </si>
  <si>
    <t>STORVAS CV 10</t>
  </si>
  <si>
    <t>STORVAS GOLD 10 TAB</t>
  </si>
  <si>
    <t>STORVAS GOLD 20 TAB</t>
  </si>
  <si>
    <t>STORVAS 10MG TAB</t>
  </si>
  <si>
    <t>STORVAS 20MG TAB</t>
  </si>
  <si>
    <t>SYNRIAM TAB</t>
  </si>
  <si>
    <t>TAMDURA CAP</t>
  </si>
  <si>
    <t>TECZINE 10 TAB</t>
  </si>
  <si>
    <t>TECZINE M TAB</t>
  </si>
  <si>
    <t>TELECT CT 40 TAB</t>
  </si>
  <si>
    <t>TUFPRO SUSP</t>
  </si>
  <si>
    <t>VENLA XR 75 TAB</t>
  </si>
  <si>
    <t>VOLINI GEL BIG</t>
  </si>
  <si>
    <t>VOLIX TRIO 1</t>
  </si>
  <si>
    <t>VOLIX TRIO 2</t>
  </si>
  <si>
    <t>VOLIX TRIO 2 FORTE TAB</t>
  </si>
  <si>
    <t>VOLIX R 0.2/.05 TAB</t>
  </si>
  <si>
    <t>VOLIX R 0.2/1 MG</t>
  </si>
  <si>
    <t>VOLIX R 0.3/1 MG</t>
  </si>
  <si>
    <t>VOLIX R 3/0.5 TAB</t>
  </si>
  <si>
    <t>VOLIX 0.3 TAB</t>
  </si>
  <si>
    <t>VOLIX M 0.2</t>
  </si>
  <si>
    <t>VOLIX M 0.3</t>
  </si>
  <si>
    <t>ZANOCIN 200</t>
  </si>
  <si>
    <t>ZANOCIN OD 400</t>
  </si>
  <si>
    <t>ZOFER MD TAB</t>
  </si>
  <si>
    <t>ANGISTAT 2.5 MG</t>
  </si>
  <si>
    <t>RANBAXY (CV)</t>
  </si>
  <si>
    <t>CAVERTA 25 TAB</t>
  </si>
  <si>
    <t>CAVETRA 50 TAB</t>
  </si>
  <si>
    <t>CEPODEM 100 SYP</t>
  </si>
  <si>
    <t>CERUVIN A75</t>
  </si>
  <si>
    <t>COVANCE 25MG TAB</t>
  </si>
  <si>
    <t>COVANCE AT TAB</t>
  </si>
  <si>
    <t>DESVOL ER 750 TAB</t>
  </si>
  <si>
    <t>FARONEM 200 TAB</t>
  </si>
  <si>
    <t>GINKOCER TAB</t>
  </si>
  <si>
    <t>LEVROXA 1000 TAB</t>
  </si>
  <si>
    <t>LEVROXA 500 TAB</t>
  </si>
  <si>
    <t>OLANEX 10 TAB</t>
  </si>
  <si>
    <t>OLVANCE 20 TAB</t>
  </si>
  <si>
    <t>OLVANCE 40 TAB</t>
  </si>
  <si>
    <t>OLVANCE H20 TAB</t>
  </si>
  <si>
    <t>PIOGLAR G TAB</t>
  </si>
  <si>
    <t>RIOMET DUO 1 TAB</t>
  </si>
  <si>
    <t>RIOMET OD 500MG TAB</t>
  </si>
  <si>
    <t>RIOMET TRIO 2 TAB</t>
  </si>
  <si>
    <t>ROSUVAS 10MG TAB</t>
  </si>
  <si>
    <t>ROSUVAS 20 TAB</t>
  </si>
  <si>
    <t>ROSUVAS 5MG TAB</t>
  </si>
  <si>
    <t>SELZIC OD 600 TAB</t>
  </si>
  <si>
    <t>SERLIFT 100 TAB</t>
  </si>
  <si>
    <t>SOLITEN 5 TAB</t>
  </si>
  <si>
    <t>SPECTRA 10 CAP</t>
  </si>
  <si>
    <t>SPECTRA 25 TAB</t>
  </si>
  <si>
    <t>SPORIDEX AF 375</t>
  </si>
  <si>
    <t>SPORIDEX AF 750 TAB</t>
  </si>
  <si>
    <t>STORFIB TAB</t>
  </si>
  <si>
    <t>STORVAS CV20 TAB</t>
  </si>
  <si>
    <t>STORVAS 40 TAB</t>
  </si>
  <si>
    <t>STORVAS 5MG TAB</t>
  </si>
  <si>
    <t>STORVAS 80 TAB</t>
  </si>
  <si>
    <t>STORVAS EZ TAB</t>
  </si>
  <si>
    <t>TELEACT 40 TAB</t>
  </si>
  <si>
    <t>TELEACT AM TAB</t>
  </si>
  <si>
    <t>VENLA XR 150 CAP</t>
  </si>
  <si>
    <t>VOLIX 0.2 TAB</t>
  </si>
  <si>
    <t>ZANOCIN OZ TAB</t>
  </si>
  <si>
    <t>HEPTAGLOBIN SYP</t>
  </si>
  <si>
    <t>Raptakos Brett &amp; Co Ltd</t>
  </si>
  <si>
    <t>HEPTAGLOBIN SYP BIG</t>
  </si>
  <si>
    <t>HOVITE DROP</t>
  </si>
  <si>
    <t>NEOGADINE ELIXIR SYP.</t>
  </si>
  <si>
    <t>NEOPEPTINE SYP</t>
  </si>
  <si>
    <t>THREPTIN BIS 275GR.</t>
  </si>
  <si>
    <t>THREPTIN LITE</t>
  </si>
  <si>
    <t>THREPTIN DIS CHOCO</t>
  </si>
  <si>
    <t>ZEROLAC POWDER B.</t>
  </si>
  <si>
    <t>ZEROLAC POWDER S.</t>
  </si>
  <si>
    <t>ZYTEE LOTION</t>
  </si>
  <si>
    <t>ZYTEE OINT</t>
  </si>
  <si>
    <t>FRUCTODEX 10% I.V.</t>
  </si>
  <si>
    <t>HOVITE L SYP</t>
  </si>
  <si>
    <t>ISOFLAV CR TAB</t>
  </si>
  <si>
    <t>LACTODEX (LBW)</t>
  </si>
  <si>
    <t>LACTODEX HMF</t>
  </si>
  <si>
    <t>LACTODEX NO.1(STARTER)</t>
  </si>
  <si>
    <t>LACTODEX NO.2(FOLLOW)</t>
  </si>
  <si>
    <t>NEOGADINE SG SYP.</t>
  </si>
  <si>
    <t>NEOPEPTINE DROPS</t>
  </si>
  <si>
    <t>SUBSYDE CR CAP</t>
  </si>
  <si>
    <t>THREPTIN MICROMIX.</t>
  </si>
  <si>
    <t>DESVAL ER 250 TAB</t>
  </si>
  <si>
    <t>DESVAL ER 500 TAB</t>
  </si>
  <si>
    <t>ETROBAX 120</t>
  </si>
  <si>
    <t>LOXOF 250 TAB</t>
  </si>
  <si>
    <t>LOXOF 500 TAB</t>
  </si>
  <si>
    <t>LOXOF 750MG TAB</t>
  </si>
  <si>
    <t>LOXOF OZ TAB</t>
  </si>
  <si>
    <t>MOX CLAV 156.25 SYP</t>
  </si>
  <si>
    <t>MOX CLAV 375</t>
  </si>
  <si>
    <t>MOX CLAV 625 TAB</t>
  </si>
  <si>
    <t>MOX CLAV BD 228.5 DISTAB</t>
  </si>
  <si>
    <t>MOX CLAV BD SYP.</t>
  </si>
  <si>
    <t>MOX CLAV DS SYP</t>
  </si>
  <si>
    <t>MOX CLAV DS TAB</t>
  </si>
  <si>
    <t>MOX DROPS R.M.</t>
  </si>
  <si>
    <t>MOX KID 125 TAB</t>
  </si>
  <si>
    <t>MOX 125 R.M.60ML</t>
  </si>
  <si>
    <t>MOX 250 R.M.30ML</t>
  </si>
  <si>
    <t>MOX 250 TAB</t>
  </si>
  <si>
    <t>MOX 250MG CAP.</t>
  </si>
  <si>
    <t>MOX 500MG CAP.</t>
  </si>
  <si>
    <t>MOX CV 228 SYP</t>
  </si>
  <si>
    <t>MOX CV 375 TAB</t>
  </si>
  <si>
    <t>MOX CV 625 TAB</t>
  </si>
  <si>
    <t>ROLES 20MG TAB</t>
  </si>
  <si>
    <t>ROLES D TAB</t>
  </si>
  <si>
    <t>SELZIC OD 900</t>
  </si>
  <si>
    <t>SELZIC 600 TAB</t>
  </si>
  <si>
    <t>SERLIFT 25</t>
  </si>
  <si>
    <t>SERLIFT 50 TAB</t>
  </si>
  <si>
    <t>SOLITEN 5 MG</t>
  </si>
  <si>
    <t>ZOLE F LOT</t>
  </si>
  <si>
    <t>ZOLE F OINT</t>
  </si>
  <si>
    <t>ALDACTON 100 TAB</t>
  </si>
  <si>
    <t>RPG Life Sciences Ltd</t>
  </si>
  <si>
    <t>ALDACTONE 25MG TAB.</t>
  </si>
  <si>
    <t>ALDACTONE 50MG TAB.</t>
  </si>
  <si>
    <t>AZORAN 50 TAB</t>
  </si>
  <si>
    <t>DRAMINATE TAB</t>
  </si>
  <si>
    <t>LOMOFEN PLUS TAB NRX</t>
  </si>
  <si>
    <t>LOMOTIL 20 TAB</t>
  </si>
  <si>
    <t>MINMIN PB TAB</t>
  </si>
  <si>
    <t>MINMIN TONIC SY 200ML</t>
  </si>
  <si>
    <t>NAPROSYN 250 MG</t>
  </si>
  <si>
    <t>NAPROSYN 500 TAB</t>
  </si>
  <si>
    <t>NAPROSYN D 250 TAB</t>
  </si>
  <si>
    <t>NAPROSYN D 500</t>
  </si>
  <si>
    <t>NAPROSYN SR TAB</t>
  </si>
  <si>
    <t>SERENACE 0.25 MG</t>
  </si>
  <si>
    <t>SERENACE 0.5 MG</t>
  </si>
  <si>
    <t>SERENACE INJ</t>
  </si>
  <si>
    <t>SERENCE LIUID</t>
  </si>
  <si>
    <t>TAMFLO DFZ CAP</t>
  </si>
  <si>
    <t>TRICAN MPS SYP</t>
  </si>
  <si>
    <t>ACITROM 1MG TAB</t>
  </si>
  <si>
    <t>SARABHAI CHEMICALS</t>
  </si>
  <si>
    <t>ACITROM 2MG TAB</t>
  </si>
  <si>
    <t>ACITROM 3MG TAB</t>
  </si>
  <si>
    <t>ACITROM 4MG TAB</t>
  </si>
  <si>
    <t>ACUVIN NRX TAB</t>
  </si>
  <si>
    <t>BIOSUGANRIL 10MG TAB</t>
  </si>
  <si>
    <t>BIOZOBID TAB</t>
  </si>
  <si>
    <t>CONTRAMAL 100 NRX INJ.</t>
  </si>
  <si>
    <t>CONTRAMOL DT NRX TAB</t>
  </si>
  <si>
    <t>CROTORAX CREAM</t>
  </si>
  <si>
    <t>CROTORAX LOTION</t>
  </si>
  <si>
    <t>DEPSONIL 25MG TAB</t>
  </si>
  <si>
    <t>ESGIPYRIN TAB</t>
  </si>
  <si>
    <t>ETODY 90 TAB</t>
  </si>
  <si>
    <t>HYDENT K GEL</t>
  </si>
  <si>
    <t>MAZETOL SR 200 TAB</t>
  </si>
  <si>
    <t>MAZETOL 200</t>
  </si>
  <si>
    <t>SUGANRIL TAB.</t>
  </si>
  <si>
    <t>CORALAN 5 TAB</t>
  </si>
  <si>
    <t>Serdia Pharmaceuticals India Pvt Ltd</t>
  </si>
  <si>
    <t>COVERSYL AM 8/10</t>
  </si>
  <si>
    <t>COVERSYL PLUS</t>
  </si>
  <si>
    <t>COVERSYL PLUS HD</t>
  </si>
  <si>
    <t>COVERSYL 2MG</t>
  </si>
  <si>
    <t>COVERSYL 4 MG</t>
  </si>
  <si>
    <t>COVERSYL 8 MG</t>
  </si>
  <si>
    <t>COVERSYL AM 8/5 TAB</t>
  </si>
  <si>
    <t>COVERSYL AM4/5</t>
  </si>
  <si>
    <t>DAFLON 1000</t>
  </si>
  <si>
    <t>DAFLON 500 MG</t>
  </si>
  <si>
    <t>DIAMICRON XR 60</t>
  </si>
  <si>
    <t>DIAMICRON XR MEX 500 TAB.</t>
  </si>
  <si>
    <t>DIAMICRON XR MEX 1000 MG</t>
  </si>
  <si>
    <t>DIAMICRON MR</t>
  </si>
  <si>
    <t>FLAVEDON OD 80 TAB</t>
  </si>
  <si>
    <t>FLAVEDON MR</t>
  </si>
  <si>
    <t>NATRILAM 10 MG</t>
  </si>
  <si>
    <t>NATRILAM 2.5 TAB</t>
  </si>
  <si>
    <t>NATRILIX SR</t>
  </si>
  <si>
    <t>STABLON TAB</t>
  </si>
  <si>
    <t>TRIPLIXAM TAB</t>
  </si>
  <si>
    <t>ARACHITOL 6L INJ.</t>
  </si>
  <si>
    <t>ABBOTT INDIA LTD (SOLVAY)</t>
  </si>
  <si>
    <t>ARACHITOL NANO</t>
  </si>
  <si>
    <t>COLOSPA TAB</t>
  </si>
  <si>
    <t>CREON 10000 CAP</t>
  </si>
  <si>
    <t>CREON 25000 TAB</t>
  </si>
  <si>
    <t>DUPHALAC SYP. M</t>
  </si>
  <si>
    <t>DUPHALAC SYP. S</t>
  </si>
  <si>
    <t>DUPHASTONE TAB.</t>
  </si>
  <si>
    <t>DUVADILAN TAB</t>
  </si>
  <si>
    <t>DUVADILAN INJ.</t>
  </si>
  <si>
    <t>DUVADILAN RETARD TAB</t>
  </si>
  <si>
    <t>ELDICET TAB</t>
  </si>
  <si>
    <t>KARVOL PLUS CAP.</t>
  </si>
  <si>
    <t>PANKREOFLAT TAB</t>
  </si>
  <si>
    <t>SOLSPRE SPRAY</t>
  </si>
  <si>
    <t>UDILIV 150MG.TAB</t>
  </si>
  <si>
    <t>UDILIV 300MG TAB</t>
  </si>
  <si>
    <t>VERTIN 16MG TAB</t>
  </si>
  <si>
    <t>VERTIN 24MG TAB</t>
  </si>
  <si>
    <t>VERTIN 8MG TAB</t>
  </si>
  <si>
    <t>VERTIN OD TAB</t>
  </si>
  <si>
    <t>CERUVIN 75MG TAB</t>
  </si>
  <si>
    <t>RANBAXY (CV-LIFE)</t>
  </si>
  <si>
    <t>CERUVIN AF TAB</t>
  </si>
  <si>
    <t>CHERICOF SYP.SMALL</t>
  </si>
  <si>
    <t>CHERICOFF BIG SYP.</t>
  </si>
  <si>
    <t>RIOMET OD 1000MG. TAB</t>
  </si>
  <si>
    <t>RIOMET OD 850 TAB</t>
  </si>
  <si>
    <t>PARASAFE TAB</t>
  </si>
  <si>
    <t>Strassenburg Pharmaceuticals.Ltd</t>
  </si>
  <si>
    <t>PARASAFE 650 TAB</t>
  </si>
  <si>
    <t>SUCRAL CREAM</t>
  </si>
  <si>
    <t>SUCRAL POVI CREAM</t>
  </si>
  <si>
    <t>SUCRAL SYP</t>
  </si>
  <si>
    <t>SUCRAL ANO CREAM</t>
  </si>
  <si>
    <t>SUCRAL MU CREAM</t>
  </si>
  <si>
    <t>SUCRAL O SYP</t>
  </si>
  <si>
    <t>AMIXIDE H TAB</t>
  </si>
  <si>
    <t>Sun Pharmaceuticals</t>
  </si>
  <si>
    <t>ANABOOM SERUM</t>
  </si>
  <si>
    <t>AXCER 90 TAB</t>
  </si>
  <si>
    <t>DAZIT TAB</t>
  </si>
  <si>
    <t>FLEXURA D TAB</t>
  </si>
  <si>
    <t>GEMER 1 TAB</t>
  </si>
  <si>
    <t>GEMER 2 TAB</t>
  </si>
  <si>
    <t>GEMER 3 TAB</t>
  </si>
  <si>
    <t>GEMER 4 TAB</t>
  </si>
  <si>
    <t>GEMER P1 TAB</t>
  </si>
  <si>
    <t>I WIN 100 TAB</t>
  </si>
  <si>
    <t>ISTAMET 50/500 TAB</t>
  </si>
  <si>
    <t>MIRAGO 25 TAB</t>
  </si>
  <si>
    <t>MONTEK FX TAB</t>
  </si>
  <si>
    <t>MONTEK LC TAB</t>
  </si>
  <si>
    <t>OXETOL 300 TAB</t>
  </si>
  <si>
    <t>OXRA 10 TAB</t>
  </si>
  <si>
    <t>OXRA 5 TAB.</t>
  </si>
  <si>
    <t>OXRAMET XR 10/500 TAB</t>
  </si>
  <si>
    <t>PANTOCID IT TAB</t>
  </si>
  <si>
    <t>PANTOCID 40 TAB</t>
  </si>
  <si>
    <t>PANTOCID D TAB</t>
  </si>
  <si>
    <t>PANTOCID DSR TAB</t>
  </si>
  <si>
    <t>PREDMET 4MG</t>
  </si>
  <si>
    <t>PREDMET 8 TAB</t>
  </si>
  <si>
    <t>PROLOMET AM 50MG. TAB</t>
  </si>
  <si>
    <t>PROLOMET R 50 TAB</t>
  </si>
  <si>
    <t>PROLOMET XL 25 TAB</t>
  </si>
  <si>
    <t>PROLOMET XL 50MG TAB</t>
  </si>
  <si>
    <t>ROPARK 0.25 TAB</t>
  </si>
  <si>
    <t>ROZA GOLD 10 TAB</t>
  </si>
  <si>
    <t>ROZA GOLD 20 TAB</t>
  </si>
  <si>
    <t>ROZAVEL F TAB</t>
  </si>
  <si>
    <t>SOMPRAZ 40 TAB</t>
  </si>
  <si>
    <t>SOMPRAZ D 40 TAB</t>
  </si>
  <si>
    <t>SUSTEN 200 CAP</t>
  </si>
  <si>
    <t>SYNDOPA PLUS TAB</t>
  </si>
  <si>
    <t>VOLIBO 0.3 TAB SUN</t>
  </si>
  <si>
    <t>DOXINATE PLUS TAB</t>
  </si>
  <si>
    <t>SVIZERA</t>
  </si>
  <si>
    <t>DOXINATE TAB</t>
  </si>
  <si>
    <t>DOXINATE OD TAB</t>
  </si>
  <si>
    <t>EBEXID TAB</t>
  </si>
  <si>
    <t>ALFATEX TAB</t>
  </si>
  <si>
    <t>SYMBIOSIS PHARMA</t>
  </si>
  <si>
    <t>ALKANIT SYP</t>
  </si>
  <si>
    <t>AMINOSTAR TAB</t>
  </si>
  <si>
    <t>AVASA Q10 CAP</t>
  </si>
  <si>
    <t>AZISTAR 500 TAB</t>
  </si>
  <si>
    <t>AZISYM 250 TAB</t>
  </si>
  <si>
    <t>BAM NP PLUS TAB</t>
  </si>
  <si>
    <t>BAM D3 CAPSULES</t>
  </si>
  <si>
    <t>BAM 2500 INJ</t>
  </si>
  <si>
    <t>CAP Q10 CAP</t>
  </si>
  <si>
    <t>CAPTIVA CT TAB</t>
  </si>
  <si>
    <t>CEFUWIN 500 TAB.</t>
  </si>
  <si>
    <t>CICAM TAB</t>
  </si>
  <si>
    <t>CLENO M CAP</t>
  </si>
  <si>
    <t>CLOBESYM OZ CREAM</t>
  </si>
  <si>
    <t>CQ MEG CAP</t>
  </si>
  <si>
    <t>CURENEM INJ</t>
  </si>
  <si>
    <t>CYCLOSYM ET TAB</t>
  </si>
  <si>
    <t>D FEROL CAP</t>
  </si>
  <si>
    <t>DAMCLIN INJ</t>
  </si>
  <si>
    <t>DDZONE 1.5 INJ</t>
  </si>
  <si>
    <t>DECTOCEF 50 SYP</t>
  </si>
  <si>
    <t>DECTOCEF 200 TAB</t>
  </si>
  <si>
    <t>DEFINATE INJECTION</t>
  </si>
  <si>
    <t>DEFINATE LF SYP</t>
  </si>
  <si>
    <t>DICEF O TAB</t>
  </si>
  <si>
    <t>DIZITONE SYP</t>
  </si>
  <si>
    <t>DLOT N TAB</t>
  </si>
  <si>
    <t>DOLVOX IV</t>
  </si>
  <si>
    <t>DOXYMEG INJ</t>
  </si>
  <si>
    <t>DOXYMEG LB CAP</t>
  </si>
  <si>
    <t>DURADOL TD 50 TAB</t>
  </si>
  <si>
    <t>ENZOPLEX SYP</t>
  </si>
  <si>
    <t>EXEMITE IV</t>
  </si>
  <si>
    <t>EXEMITE 500 TAB</t>
  </si>
  <si>
    <t>EXEMITE 750 TAB</t>
  </si>
  <si>
    <t>FAVOR 250 INJ</t>
  </si>
  <si>
    <t>FEROPIC XT SYP</t>
  </si>
  <si>
    <t>FERTORES TAB</t>
  </si>
  <si>
    <t>FEXOMEG 180 TAB</t>
  </si>
  <si>
    <t>FEXOMEG M TAB</t>
  </si>
  <si>
    <t>FIBER PLUS POWDER</t>
  </si>
  <si>
    <t>FULLREST TAB</t>
  </si>
  <si>
    <t>GLOWIN MM TAB</t>
  </si>
  <si>
    <t>GROWFOL M TAB</t>
  </si>
  <si>
    <t>GYNOBOOST SYP</t>
  </si>
  <si>
    <t>HYCORT 12 TAB</t>
  </si>
  <si>
    <t>HYCORT 6 TAB</t>
  </si>
  <si>
    <t>IRCOMEG 200</t>
  </si>
  <si>
    <t>IUPRINE RETARD CAP</t>
  </si>
  <si>
    <t>IVERMEG 12 TAB</t>
  </si>
  <si>
    <t>JOINTCHARGE TAB</t>
  </si>
  <si>
    <t>JUNTO DS SYP</t>
  </si>
  <si>
    <t>L CETRA PLUS TAB</t>
  </si>
  <si>
    <t>LACTAHY CAPSULES</t>
  </si>
  <si>
    <t>LACTOGEE CAP</t>
  </si>
  <si>
    <t>LARGECLAV 625 TAB</t>
  </si>
  <si>
    <t>LIPTY CAP</t>
  </si>
  <si>
    <t>LIZOBACT 600 IV</t>
  </si>
  <si>
    <t>LOFTY OIL</t>
  </si>
  <si>
    <t>LOWTREEN TAB</t>
  </si>
  <si>
    <t>LULI BEE OINT</t>
  </si>
  <si>
    <t>LYCOGRAPE CAP</t>
  </si>
  <si>
    <t>LYCORET CAPSULES</t>
  </si>
  <si>
    <t>LYTER SYP</t>
  </si>
  <si>
    <t>M DOT TAB</t>
  </si>
  <si>
    <t>MACDMR SYP</t>
  </si>
  <si>
    <t>MAX G9 SACHET</t>
  </si>
  <si>
    <t>MEFCOR TX</t>
  </si>
  <si>
    <t>MEG DEPOT 250 INJ</t>
  </si>
  <si>
    <t>MEG SITOL TAB</t>
  </si>
  <si>
    <t>MEGCLID CAP</t>
  </si>
  <si>
    <t>MEGCLID INJ</t>
  </si>
  <si>
    <t>MEGMADOL IV</t>
  </si>
  <si>
    <t>MEGMAFER Z CAP</t>
  </si>
  <si>
    <t>MEGMAFER Z SYP</t>
  </si>
  <si>
    <t>MEGMAGEST SR 300 TAB</t>
  </si>
  <si>
    <t>MEGMANOX 60 INJ</t>
  </si>
  <si>
    <t>MEGMAPRED 125 INJ</t>
  </si>
  <si>
    <t>MEGMAPRED 16 TAB</t>
  </si>
  <si>
    <t>MEGMAPRED 8 TAB</t>
  </si>
  <si>
    <t>MEGMASTOP 3 TAB</t>
  </si>
  <si>
    <t>MEGMATOR AP CAP</t>
  </si>
  <si>
    <t>MEGMAVIT LC TAB</t>
  </si>
  <si>
    <t>MEGPLACE H TAB</t>
  </si>
  <si>
    <t>MEGTHRO 500 TAB</t>
  </si>
  <si>
    <t>MEROSHINE INJ</t>
  </si>
  <si>
    <t>MEROWELL INJ</t>
  </si>
  <si>
    <t>MIXMERY POWDER</t>
  </si>
  <si>
    <t>MONTPHYLLIN 400 TAB</t>
  </si>
  <si>
    <t>MORMECT SYP</t>
  </si>
  <si>
    <t>MORMECT 250 TAB</t>
  </si>
  <si>
    <t>MOXIDIP 0.3 TAB</t>
  </si>
  <si>
    <t>MULTICAL SYP</t>
  </si>
  <si>
    <t>MULTIFER GOLD TAB</t>
  </si>
  <si>
    <t>NEBIMEG 2.5 TAB</t>
  </si>
  <si>
    <t>NEBIMEG 5 TAB</t>
  </si>
  <si>
    <t>NEOCAL K27 TAB</t>
  </si>
  <si>
    <t>NEOCAL MD TAB.</t>
  </si>
  <si>
    <t>NEORAB DSR CAP</t>
  </si>
  <si>
    <t>NEOTOP DSR CAPSULES</t>
  </si>
  <si>
    <t>NEOVIT CAP.</t>
  </si>
  <si>
    <t>NEOZONE SB INJ</t>
  </si>
  <si>
    <t>NEWDOX CV 325 TAB</t>
  </si>
  <si>
    <t>NITROTIME 100 CAP</t>
  </si>
  <si>
    <t>OMESYM CAP</t>
  </si>
  <si>
    <t>ONDEX 4 TAB</t>
  </si>
  <si>
    <t>PANTORES 40 TAB</t>
  </si>
  <si>
    <t>PAZOTAZ 4.5 INJ</t>
  </si>
  <si>
    <t>PEPTOCOOL SYP</t>
  </si>
  <si>
    <t>PLAT CHARGE PLUS</t>
  </si>
  <si>
    <t>PRAZOSHINE XL 2.5 TAB</t>
  </si>
  <si>
    <t>PRAZOSHINE XL 5 TAB</t>
  </si>
  <si>
    <t>RACSYM J SACHET</t>
  </si>
  <si>
    <t>RANAMEG 500 TAB</t>
  </si>
  <si>
    <t>RAYBAN INJ</t>
  </si>
  <si>
    <t>REALGEST 200 CAP</t>
  </si>
  <si>
    <t>REALVIT SYP</t>
  </si>
  <si>
    <t>RECTOCEF INJ</t>
  </si>
  <si>
    <t>RELID SP TAB</t>
  </si>
  <si>
    <t>RELITASE TAB</t>
  </si>
  <si>
    <t>RELITASE MR</t>
  </si>
  <si>
    <t>RENESA FORTE VIAL</t>
  </si>
  <si>
    <t>RENESA INJ</t>
  </si>
  <si>
    <t>RESCAL GOLD TAB</t>
  </si>
  <si>
    <t>RESLIV FORTE TAB</t>
  </si>
  <si>
    <t>RESTORIB MR</t>
  </si>
  <si>
    <t>RESYTIL N TAB</t>
  </si>
  <si>
    <t>RETROZOLE LD CAP</t>
  </si>
  <si>
    <t>RIFAXOR 400 TAB</t>
  </si>
  <si>
    <t>RUTOSHINE TAB</t>
  </si>
  <si>
    <t>SECTOCEF LB TAB</t>
  </si>
  <si>
    <t>SECTOVIT Z TAB</t>
  </si>
  <si>
    <t>SILOMEG 8MG TAB</t>
  </si>
  <si>
    <t>SILOMEG D 8 TAB</t>
  </si>
  <si>
    <t>SOLOCARE DX SYP</t>
  </si>
  <si>
    <t>STYLETAURIN TAB</t>
  </si>
  <si>
    <t>SYM 4G CAP</t>
  </si>
  <si>
    <t>SYM KIT TAB</t>
  </si>
  <si>
    <t>SYMBOCIN 200 TAB</t>
  </si>
  <si>
    <t>SYMLAX SYP</t>
  </si>
  <si>
    <t>TERBIGO SYP</t>
  </si>
  <si>
    <t>THETA AC TAB</t>
  </si>
  <si>
    <t>TICOLEX SYP</t>
  </si>
  <si>
    <t>TIDAMEG TAB</t>
  </si>
  <si>
    <t>TRYFEN PLUS TAB</t>
  </si>
  <si>
    <t>TRYFEN P TAB</t>
  </si>
  <si>
    <t>TRYFER GOLD TAB</t>
  </si>
  <si>
    <t>URSOMIN 300 TAB</t>
  </si>
  <si>
    <t>VEGIFAST SOLUTION</t>
  </si>
  <si>
    <t>VEGIRES CAP</t>
  </si>
  <si>
    <t>VOTRI A TAB</t>
  </si>
  <si>
    <t>WELL C2 INJ</t>
  </si>
  <si>
    <t>WELLCET TAB</t>
  </si>
  <si>
    <t>WINFATE O SYP</t>
  </si>
  <si>
    <t>WINOCEF SB INJ</t>
  </si>
  <si>
    <t>WINOFF OZ TAB</t>
  </si>
  <si>
    <t>WINOGLOBIN POWDER</t>
  </si>
  <si>
    <t>WINTAZ 4.50INJ</t>
  </si>
  <si>
    <t>WINTOP D TAB.</t>
  </si>
  <si>
    <t>YOCAL CT TAB</t>
  </si>
  <si>
    <t>ZNEOTOP D TAB</t>
  </si>
  <si>
    <t>ACENOVA P TAB</t>
  </si>
  <si>
    <t>Synchem Lab</t>
  </si>
  <si>
    <t>ACENOVA FH TAB</t>
  </si>
  <si>
    <t>COLDSOL DM SYP.</t>
  </si>
  <si>
    <t>COLDSOL DROP</t>
  </si>
  <si>
    <t>COLDSOL SYP</t>
  </si>
  <si>
    <t>COLDSOL TABLET</t>
  </si>
  <si>
    <t>FRUTIVIT LB CAP</t>
  </si>
  <si>
    <t>FRUTIVIT Z CAP</t>
  </si>
  <si>
    <t>FRUTOLYTE MIX</t>
  </si>
  <si>
    <t>MEDIMOL KID 125</t>
  </si>
  <si>
    <t>MEDIMOL SYRUP</t>
  </si>
  <si>
    <t>MEDIMOL KID 250</t>
  </si>
  <si>
    <t>MEDIMOL TAB</t>
  </si>
  <si>
    <t>NOVAFLAM PLUS TABLET</t>
  </si>
  <si>
    <t>NOVAFLAM SYP</t>
  </si>
  <si>
    <t>TOCEF 100 MG TAB</t>
  </si>
  <si>
    <t>TOCEF 200 MG TAB</t>
  </si>
  <si>
    <t>TOCEF 50 DRY SYP</t>
  </si>
  <si>
    <t>TOCEF CV 200 TAB</t>
  </si>
  <si>
    <t>TUSSIN DMR PEAD.SY</t>
  </si>
  <si>
    <t>TUSSIN DMR SYP BIG.</t>
  </si>
  <si>
    <t>TUSSIN DMR SYP SMALL</t>
  </si>
  <si>
    <t>TUSSIN DMR TAB</t>
  </si>
  <si>
    <t>TUSSIN TABLET</t>
  </si>
  <si>
    <t>UROSOL SYP</t>
  </si>
  <si>
    <t>ACNESOL SOLUTION</t>
  </si>
  <si>
    <t>Systopic Laboratories Pvt Ltd</t>
  </si>
  <si>
    <t>AMCARD 2.5MG TAB.</t>
  </si>
  <si>
    <t>AMCARD 5MG. TAB.</t>
  </si>
  <si>
    <t>AMCARD AT TAB.</t>
  </si>
  <si>
    <t>CYRA 20 TAB</t>
  </si>
  <si>
    <t>CYRA D</t>
  </si>
  <si>
    <t>ETOSYS TAB.</t>
  </si>
  <si>
    <t>ISRYL 1 TAB</t>
  </si>
  <si>
    <t>ISRYL 2 TAB</t>
  </si>
  <si>
    <t>LEVOSIZ 10 TAB</t>
  </si>
  <si>
    <t>NAC SR 100MG TAB.</t>
  </si>
  <si>
    <t>PIOSYS 15MG TAB.</t>
  </si>
  <si>
    <t>SYSTAFLAM GEL</t>
  </si>
  <si>
    <t>TERBEST CREAM</t>
  </si>
  <si>
    <t>TERBEST 250 TAB</t>
  </si>
  <si>
    <t>TOPINATE 30GM CREAM.</t>
  </si>
  <si>
    <t>TOPISAL 3% OINT</t>
  </si>
  <si>
    <t>ACNESOL NC GEL</t>
  </si>
  <si>
    <t>AF 150</t>
  </si>
  <si>
    <t>AF 200 TAB</t>
  </si>
  <si>
    <t>AF 400 TAB</t>
  </si>
  <si>
    <t>AF K LOTION</t>
  </si>
  <si>
    <t>AIR 120 TAB</t>
  </si>
  <si>
    <t>AIR 180 TAB</t>
  </si>
  <si>
    <t>AIR M TAB</t>
  </si>
  <si>
    <t>CYMET PLUS</t>
  </si>
  <si>
    <t>CYRA LS TAB</t>
  </si>
  <si>
    <t>CYRA 40 TAB</t>
  </si>
  <si>
    <t>CYRA IT TAB</t>
  </si>
  <si>
    <t>DAILYCAL 500 TAB</t>
  </si>
  <si>
    <t>DAILYSHINE 60K TAB</t>
  </si>
  <si>
    <t>ETOS 90 TAB</t>
  </si>
  <si>
    <t>ETOS P TAB</t>
  </si>
  <si>
    <t>ETOSYS MF TAB</t>
  </si>
  <si>
    <t>H VIT FORTE</t>
  </si>
  <si>
    <t>H VIT TAB</t>
  </si>
  <si>
    <t>ISRYL M 3</t>
  </si>
  <si>
    <t>ISRYL M1</t>
  </si>
  <si>
    <t>ISRYL M2</t>
  </si>
  <si>
    <t>ISRYL M2 FORTE</t>
  </si>
  <si>
    <t>ITRASYS 200 CAP</t>
  </si>
  <si>
    <t>ITRASYS 100 CAP</t>
  </si>
  <si>
    <t>L SYS (30GM) CREAM</t>
  </si>
  <si>
    <t>L SYS CREAM 10GM</t>
  </si>
  <si>
    <t>L SYS LOTION</t>
  </si>
  <si>
    <t>LEVOSIZ 5 TAB</t>
  </si>
  <si>
    <t>LEVOSIZ M TAB</t>
  </si>
  <si>
    <t>ME 12 OD TAB</t>
  </si>
  <si>
    <t>ME PXL TAB</t>
  </si>
  <si>
    <t>NEWTEL AM</t>
  </si>
  <si>
    <t>NEWTEL H 40</t>
  </si>
  <si>
    <t>NEWTEL 40 TAB</t>
  </si>
  <si>
    <t>NEWTEL AMH</t>
  </si>
  <si>
    <t>NEWTEL CH 40 TAB</t>
  </si>
  <si>
    <t>NORMAXIN TAB</t>
  </si>
  <si>
    <t>NORMAXIN RT TAB</t>
  </si>
  <si>
    <t>SYSFOL D</t>
  </si>
  <si>
    <t>SYSFOL TAB.</t>
  </si>
  <si>
    <t>SYSRON ND</t>
  </si>
  <si>
    <t>SYSRON N TAB</t>
  </si>
  <si>
    <t>TOPISAL MF 3 OINT</t>
  </si>
  <si>
    <t>TOPISAL MF 6 OINT</t>
  </si>
  <si>
    <t>TOPISAL 3% LOTION</t>
  </si>
  <si>
    <t>TOPISAL 6% LOTION</t>
  </si>
  <si>
    <t>TOPISAL 6% OINT</t>
  </si>
  <si>
    <t>VOGS 0.2</t>
  </si>
  <si>
    <t>VOGS 0.3</t>
  </si>
  <si>
    <t>CYSTONE SYP</t>
  </si>
  <si>
    <t>Himalaya Drug Company</t>
  </si>
  <si>
    <t>CYSTONE TAB</t>
  </si>
  <si>
    <t>KOFLET LONGES</t>
  </si>
  <si>
    <t>DICLOPEP P TAB</t>
  </si>
  <si>
    <t>Theta Lab Pvt Ltd</t>
  </si>
  <si>
    <t>FOLTOP TAB</t>
  </si>
  <si>
    <t>FOLTOP M TAB</t>
  </si>
  <si>
    <t>PCL SYP.</t>
  </si>
  <si>
    <t>PROPUMP D CAP.</t>
  </si>
  <si>
    <t>ITEM FOR 12% 2106</t>
  </si>
  <si>
    <t>Torrent Pharmaceuticals Ltd</t>
  </si>
  <si>
    <t>AMIFRU 40 TAB</t>
  </si>
  <si>
    <t>ARIP MT 15 TAB</t>
  </si>
  <si>
    <t>AZULIX 1 MF FORTE TAB</t>
  </si>
  <si>
    <t>CARNISURE 500 TAB TORENT</t>
  </si>
  <si>
    <t>CHYMORAL FORTE DS TAB</t>
  </si>
  <si>
    <t>CHYMORAL FORTE TAB</t>
  </si>
  <si>
    <t>CORBIS AM 5 TAB</t>
  </si>
  <si>
    <t>DEPLATT A 150 TAB</t>
  </si>
  <si>
    <t>DEPLATT A 75 TAB</t>
  </si>
  <si>
    <t>DEPLATT 75MG TAB</t>
  </si>
  <si>
    <t>DEPLATT CV 10 TAB</t>
  </si>
  <si>
    <t>DEPLATT CV 20 TAB</t>
  </si>
  <si>
    <t>DILZEM CD 120 TAB</t>
  </si>
  <si>
    <t>DILZEM CD 90 CAP</t>
  </si>
  <si>
    <t>DILZEM 60 TAB</t>
  </si>
  <si>
    <t>DOMSTAL DROP</t>
  </si>
  <si>
    <t>DOMSTAL TAB</t>
  </si>
  <si>
    <t>ENCELIN D 10MG TAB.</t>
  </si>
  <si>
    <t>ENCELIN 50 TAB</t>
  </si>
  <si>
    <t>ENCELIN M 50/1000 TAB</t>
  </si>
  <si>
    <t>ENCELIN M50/500 TAB</t>
  </si>
  <si>
    <t>ENCELIN OD 100 TAB</t>
  </si>
  <si>
    <t>EUREPA 0.5 TAB</t>
  </si>
  <si>
    <t>EUREPA 1 TAB</t>
  </si>
  <si>
    <t>EUREPA 2MG TAB</t>
  </si>
  <si>
    <t>EUREPA MF 1 TAB</t>
  </si>
  <si>
    <t>FLAVOSPAS TAB</t>
  </si>
  <si>
    <t>LACOSAM 100 TAB</t>
  </si>
  <si>
    <t>LACOSAM 200 TAB</t>
  </si>
  <si>
    <t>LAMITOR DT 100 TAB</t>
  </si>
  <si>
    <t>MODLIP ASG 75 CAP</t>
  </si>
  <si>
    <t>NEBICARD SM TAB</t>
  </si>
  <si>
    <t>NEBICARD 2.5 TAB</t>
  </si>
  <si>
    <t>NEBICARD 5 TAB</t>
  </si>
  <si>
    <t>NEXPRO RD 40 TAB</t>
  </si>
  <si>
    <t>NIKORAN OD 10 TAB</t>
  </si>
  <si>
    <t>OLSAR CH 40/12.5 TAB</t>
  </si>
  <si>
    <t>PRAX A 75/10 TAB</t>
  </si>
  <si>
    <t>PREGAB 75 CAP TORRENT</t>
  </si>
  <si>
    <t>PRUVICT 2MG TAB</t>
  </si>
  <si>
    <t>REDULID HB TAB</t>
  </si>
  <si>
    <t>REGESTRON CR 15 TAB</t>
  </si>
  <si>
    <t>ROZUCOR ASP 10/75 TAB</t>
  </si>
  <si>
    <t>ROZUCOR 20 TABLETS</t>
  </si>
  <si>
    <t>SHELCAL 250 TAB</t>
  </si>
  <si>
    <t>SHELCAL ISO TAB</t>
  </si>
  <si>
    <t>SHELCAL JOINTS CAP</t>
  </si>
  <si>
    <t>SHELCAL SYP</t>
  </si>
  <si>
    <t>SHELCAL 500 TAB</t>
  </si>
  <si>
    <t>SHELCAL CT TAB</t>
  </si>
  <si>
    <t>SYMBAL 30 TAB</t>
  </si>
  <si>
    <t>TELSAR CH 40/12.5</t>
  </si>
  <si>
    <t>TORGLIP 50 TAB</t>
  </si>
  <si>
    <t>TORGLIP M 500 TAB</t>
  </si>
  <si>
    <t>TORLEVA 500 TAB</t>
  </si>
  <si>
    <t>TORPLAT 90 TAB</t>
  </si>
  <si>
    <t>TORVATE 200TAB</t>
  </si>
  <si>
    <t>TORVATE CHRONO 200TAB</t>
  </si>
  <si>
    <t>TORVATE CHRONO 500TAB</t>
  </si>
  <si>
    <t>UNISTAR 20/75 TAB</t>
  </si>
  <si>
    <t>VALZAAR 40 TAB</t>
  </si>
  <si>
    <t>VELOZ D 20 CAP</t>
  </si>
  <si>
    <t>VELOZ L CAP</t>
  </si>
  <si>
    <t>XYZAL 10 TAB</t>
  </si>
  <si>
    <t>DYNAPAR GEL</t>
  </si>
  <si>
    <t>Troikaa Pharmaceuticals Ltd</t>
  </si>
  <si>
    <t>DYNAPAR INJ</t>
  </si>
  <si>
    <t>DYNAPAR QPS SPARY</t>
  </si>
  <si>
    <t>DYNAPAR QPS(PLUS) SPARY</t>
  </si>
  <si>
    <t>DYNAPAR TAB</t>
  </si>
  <si>
    <t>MYONIT SR 2.5</t>
  </si>
  <si>
    <t>RECHARGE PLUS TAB</t>
  </si>
  <si>
    <t>TESS OINT</t>
  </si>
  <si>
    <t>TROYACE SP TAB</t>
  </si>
  <si>
    <t>XYKAA 500 TAB</t>
  </si>
  <si>
    <t>XYKAA 650 TAB</t>
  </si>
  <si>
    <t>CALCIEDGE TAB TRUEBASIC</t>
  </si>
  <si>
    <t>BRIGHT LIFECARE PVT LTD (TRUEBASICS)</t>
  </si>
  <si>
    <t>JOINTEDGE CL TRUEBASIC TAB</t>
  </si>
  <si>
    <t>JOINTEDGE TRUEBASIC TAB</t>
  </si>
  <si>
    <t>MULTIVIT AL TAB</t>
  </si>
  <si>
    <t>OMEGA EDGE CAP</t>
  </si>
  <si>
    <t>Q 10 EDGE TAB</t>
  </si>
  <si>
    <t>CARNI Q TAB</t>
  </si>
  <si>
    <t>TTK Healthcare Ltd</t>
  </si>
  <si>
    <t>CCQ 25 TAB</t>
  </si>
  <si>
    <t>CCQ 50 TAB</t>
  </si>
  <si>
    <t>CHROMINAC A TAB</t>
  </si>
  <si>
    <t>EPIDOCIN INJ</t>
  </si>
  <si>
    <t>ERAFOS SACHET</t>
  </si>
  <si>
    <t>LACTARE CAP</t>
  </si>
  <si>
    <t>LACTARE POW</t>
  </si>
  <si>
    <t>LRZIN FORTE SACHET</t>
  </si>
  <si>
    <t>LRZIN SACHET</t>
  </si>
  <si>
    <t>NUTRICELL CAP</t>
  </si>
  <si>
    <t>OSSOPAN D SYP</t>
  </si>
  <si>
    <t>OSSOPAN 500 MG TAB</t>
  </si>
  <si>
    <t>OSSOPAN MCM TAB</t>
  </si>
  <si>
    <t>PCO 360 TAB</t>
  </si>
  <si>
    <t>AFOGLIP M 500 TAB</t>
  </si>
  <si>
    <t>UNICHEM LABORATORIES LTD</t>
  </si>
  <si>
    <t>AMPOXIN SYP.</t>
  </si>
  <si>
    <t>AMPOXIN 1GM INJ.</t>
  </si>
  <si>
    <t>AMPOXIN 250 CAP</t>
  </si>
  <si>
    <t>AMPOXIN 500 CAP</t>
  </si>
  <si>
    <t>AMPOXIN 500 INJ.</t>
  </si>
  <si>
    <t>AMPOXIN CV 625 CAP</t>
  </si>
  <si>
    <t>ARKAMIN TAB</t>
  </si>
  <si>
    <t>ARKAMIN H TAB</t>
  </si>
  <si>
    <t>ATARAX DROPS</t>
  </si>
  <si>
    <t>ATARAX LOTION</t>
  </si>
  <si>
    <t>ATARAX SYP.</t>
  </si>
  <si>
    <t>ATARAX 10 TAB</t>
  </si>
  <si>
    <t>ATARAX 25 TAB</t>
  </si>
  <si>
    <t>B LONG TAB</t>
  </si>
  <si>
    <t>B LONG F TAB</t>
  </si>
  <si>
    <t>CARNISURE INJ 1GM</t>
  </si>
  <si>
    <t>CARNISURE PLUS TAB</t>
  </si>
  <si>
    <t>CETGEL CAP.</t>
  </si>
  <si>
    <t>CHYMORAL PLUS TAB</t>
  </si>
  <si>
    <t>COQ TAB</t>
  </si>
  <si>
    <t>CORBIS 2.5 TAB</t>
  </si>
  <si>
    <t>CORBIS 5 TAB</t>
  </si>
  <si>
    <t>CORVADIL A TAB</t>
  </si>
  <si>
    <t>DEPURA NANO SYP</t>
  </si>
  <si>
    <t>DILIGAN TAB</t>
  </si>
  <si>
    <t>DILZEM 30 TAB</t>
  </si>
  <si>
    <t>DILZEM SR TAB</t>
  </si>
  <si>
    <t>DOMSTAL SYP</t>
  </si>
  <si>
    <t>E COD PLUS CAP</t>
  </si>
  <si>
    <t>ITRACLAR 100 TAB</t>
  </si>
  <si>
    <t>KEPPRA 10% SYP</t>
  </si>
  <si>
    <t>KEPPRA 250 TAB</t>
  </si>
  <si>
    <t>KEPPRA 500 TAB</t>
  </si>
  <si>
    <t>LOSAR 25 TAB</t>
  </si>
  <si>
    <t>LOSAR 50 TAB</t>
  </si>
  <si>
    <t>LOSAR A TAB</t>
  </si>
  <si>
    <t>LOSAR BETA TAB</t>
  </si>
  <si>
    <t>LOSAR H TAB</t>
  </si>
  <si>
    <t>MOMOZ CREAM</t>
  </si>
  <si>
    <t>MOMOZ F CREAM</t>
  </si>
  <si>
    <t>MOXCENT 0.2 TAB</t>
  </si>
  <si>
    <t>MOXCENT 0.3 TAB</t>
  </si>
  <si>
    <t>NANO LEO CAP</t>
  </si>
  <si>
    <t>NEXPRO 40 TAB</t>
  </si>
  <si>
    <t>NOOTROPIL SYP.</t>
  </si>
  <si>
    <t>NOOTROPIL 800 TAB</t>
  </si>
  <si>
    <t>OLSAR H 40</t>
  </si>
  <si>
    <t>OLSAR 20 TAB</t>
  </si>
  <si>
    <t>OLSAR M 50</t>
  </si>
  <si>
    <t>PREGABA M 75 TAB</t>
  </si>
  <si>
    <t>PREGABA NT</t>
  </si>
  <si>
    <t>PREGEB M OD 75 TORR</t>
  </si>
  <si>
    <t>PREGEB M OD 150 TORR</t>
  </si>
  <si>
    <t>PREGNIDOXIN TAB</t>
  </si>
  <si>
    <t>PUBERGEN 10000 INJ</t>
  </si>
  <si>
    <t>PUBERGEN 5000 INJ.</t>
  </si>
  <si>
    <t>RANX TAB</t>
  </si>
  <si>
    <t>SEACOD CAP B.</t>
  </si>
  <si>
    <t>SERTA 100 TAB</t>
  </si>
  <si>
    <t>SERTA 25 TAB</t>
  </si>
  <si>
    <t>SERTA 50 TAB</t>
  </si>
  <si>
    <t>SHELCAL HD TAB</t>
  </si>
  <si>
    <t>SHELCAL HD/12 TAB</t>
  </si>
  <si>
    <t>SHELCAL M TAB</t>
  </si>
  <si>
    <t>SPORLAC PLUS SACHETS</t>
  </si>
  <si>
    <t>SPORLAC POWDER</t>
  </si>
  <si>
    <t>SPORLAC DS TAB</t>
  </si>
  <si>
    <t>TELSAR 20 TAB</t>
  </si>
  <si>
    <t>TELSAR 40 TAB</t>
  </si>
  <si>
    <t>TELSAR 80 TAB</t>
  </si>
  <si>
    <t>TELSAR A TAB</t>
  </si>
  <si>
    <t>TELSAR H</t>
  </si>
  <si>
    <t>TELSARBETA 50</t>
  </si>
  <si>
    <t>TENEPURE M 500</t>
  </si>
  <si>
    <t>TENEZA 20 TAB</t>
  </si>
  <si>
    <t>TENEZA M 1000 TAB</t>
  </si>
  <si>
    <t>TENEZA M 500 TAB</t>
  </si>
  <si>
    <t>TOLOL XR 12.5 TAB</t>
  </si>
  <si>
    <t>TOLOL XR 25 TAB</t>
  </si>
  <si>
    <t>TRI TELSAR 40</t>
  </si>
  <si>
    <t>UNIENZYME TAB.</t>
  </si>
  <si>
    <t>UNISTAR 20/150</t>
  </si>
  <si>
    <t>UNISTAR 75 CAP</t>
  </si>
  <si>
    <t>VIZYLAC CAP</t>
  </si>
  <si>
    <t>VIZYLAC RICH CAP</t>
  </si>
  <si>
    <t>VIZYLAC SYP.</t>
  </si>
  <si>
    <t>VIZYLAC DT</t>
  </si>
  <si>
    <t>XYZAL TAB</t>
  </si>
  <si>
    <t>XYZAL M TAB</t>
  </si>
  <si>
    <t>ZILSAR 40 TAB</t>
  </si>
  <si>
    <t>ZYRCOLD SYP.</t>
  </si>
  <si>
    <t>VITAL EZ POWDER</t>
  </si>
  <si>
    <t>Unicure Remedies Pvt Ltd</t>
  </si>
  <si>
    <t>VITAL Z POWDER 140GR.</t>
  </si>
  <si>
    <t>FLORINA TAB</t>
  </si>
  <si>
    <t>Unicure India Pvt Ltd</t>
  </si>
  <si>
    <t>FLORINA L TAB</t>
  </si>
  <si>
    <t>VITAL Z POWDER 210GR.</t>
  </si>
  <si>
    <t>VITAL Z POWDER JAR.</t>
  </si>
  <si>
    <t>E COD CAP</t>
  </si>
  <si>
    <t>UNIVERSAL MEDICARE PVT LTD</t>
  </si>
  <si>
    <t>MULTIVITE GOLD CAP</t>
  </si>
  <si>
    <t>MULTIVITE FM CAP</t>
  </si>
  <si>
    <t>PRIMOSA 500 CAP</t>
  </si>
  <si>
    <t>PRIMOSA 1000 CAP</t>
  </si>
  <si>
    <t>ZCOQ FORTE CAP</t>
  </si>
  <si>
    <t>BONGEM CAP</t>
  </si>
  <si>
    <t>UNIVICTOR HEALTHCARE</t>
  </si>
  <si>
    <t>CONTRAGESIC TAB NRX</t>
  </si>
  <si>
    <t>CONTRAGESIC SP TAB</t>
  </si>
  <si>
    <t>FOLIZONE D TAB. UNIVICTOR</t>
  </si>
  <si>
    <t>FOLIZONE TAB UNIVICTOR</t>
  </si>
  <si>
    <t>FREEVESTIN TAB</t>
  </si>
  <si>
    <t>GOLDWIN TAB</t>
  </si>
  <si>
    <t>OVAFLAIR TAB</t>
  </si>
  <si>
    <t>PRUGUT CAP</t>
  </si>
  <si>
    <t>ROSE EVE CAP</t>
  </si>
  <si>
    <t>UNIQU FORTE CAP</t>
  </si>
  <si>
    <t>V BLESS SCAHET</t>
  </si>
  <si>
    <t>VIT ED TAB</t>
  </si>
  <si>
    <t>VIT ED 60K SHOTS</t>
  </si>
  <si>
    <t>AMLOPIN 2.5 TAB</t>
  </si>
  <si>
    <t>USV Ltd</t>
  </si>
  <si>
    <t>AMLOPIN 5 TAB</t>
  </si>
  <si>
    <t>AMLOPIN AT TAB</t>
  </si>
  <si>
    <t>AMLOPIN M 25</t>
  </si>
  <si>
    <t>AMLOPIN M TAB</t>
  </si>
  <si>
    <t>ANGISPAN TR 2.5 CAP</t>
  </si>
  <si>
    <t>ANGISPAN TR 6.5 CAP</t>
  </si>
  <si>
    <t>ANOVATE OINT.</t>
  </si>
  <si>
    <t>AQUASOL CAP</t>
  </si>
  <si>
    <t>C.V.P. CAP</t>
  </si>
  <si>
    <t>CATASPA TAB</t>
  </si>
  <si>
    <t>D RISE 60 K CAP</t>
  </si>
  <si>
    <t>D RISE SACHET</t>
  </si>
  <si>
    <t>DEROBIN OINT</t>
  </si>
  <si>
    <t>DIATAAL CAP</t>
  </si>
  <si>
    <t>DOXY 1 L TAB</t>
  </si>
  <si>
    <t>DREGO D CAP</t>
  </si>
  <si>
    <t>ECOSPRIN 150MG TAB</t>
  </si>
  <si>
    <t>ECOSPRIN GOLD FORTE10</t>
  </si>
  <si>
    <t>ECOSPRIN GOLD 40 TAB</t>
  </si>
  <si>
    <t>ECOSPRIN GOLD 10 CAP</t>
  </si>
  <si>
    <t>ECOSPRIN GOLD 20 TAB</t>
  </si>
  <si>
    <t>ECOSPRIN AV 75/40 TAB</t>
  </si>
  <si>
    <t>ECOSPRIN 75MG TAB</t>
  </si>
  <si>
    <t>ECOSPRIN AV 150/20</t>
  </si>
  <si>
    <t>ECOSPRIN AV 150</t>
  </si>
  <si>
    <t>ECOSPRIN AV 75 CAP</t>
  </si>
  <si>
    <t>ECOSPRIN AV 75/20</t>
  </si>
  <si>
    <t>ERYTOP CREAM</t>
  </si>
  <si>
    <t>ERYTOP LOTION</t>
  </si>
  <si>
    <t>EXELYTE LAXATIVE</t>
  </si>
  <si>
    <t>GLYCOMET TRIO 1 FORT</t>
  </si>
  <si>
    <t>GLYCOMET GP 0.5</t>
  </si>
  <si>
    <t>GLYCOMET SR 850</t>
  </si>
  <si>
    <t>GLYCOMET SR 1GM TAB</t>
  </si>
  <si>
    <t>GLYCOMET SR 500 TAB</t>
  </si>
  <si>
    <t>GLYCOMET TRIO 1</t>
  </si>
  <si>
    <t>GLYCOMET TRIO 2</t>
  </si>
  <si>
    <t>GLYCOMET 250 TAB</t>
  </si>
  <si>
    <t>GLYCOMET 500 TAB</t>
  </si>
  <si>
    <t>GLYCOMET 850 TAB</t>
  </si>
  <si>
    <t>GLYCOMET GP 1 TAB</t>
  </si>
  <si>
    <t>GLYCOMET GP 1/850</t>
  </si>
  <si>
    <t>GLYCOMET GP 2 TAB</t>
  </si>
  <si>
    <t>GLYCOMET GP 2/850</t>
  </si>
  <si>
    <t>GLYCOMET GP 3/850</t>
  </si>
  <si>
    <t>GLYCOMET GP.5 FORTE</t>
  </si>
  <si>
    <t>GLYCOMET GP1 FORTE TAB</t>
  </si>
  <si>
    <t>GLYCOMET GP2 FORTE</t>
  </si>
  <si>
    <t>GLYCOMET GP3 FORTE TAB</t>
  </si>
  <si>
    <t>GLYCOMET GP4 FORTE</t>
  </si>
  <si>
    <t>GLYCOMET TRIO 2/0.3 TAB</t>
  </si>
  <si>
    <t>GLYCOMET TRIO 1.3 TAB</t>
  </si>
  <si>
    <t>GLYCOMET TRIO 2 FORTE</t>
  </si>
  <si>
    <t>GLYNASE TAB</t>
  </si>
  <si>
    <t>GLYNASE MF TAB</t>
  </si>
  <si>
    <t>GP 0.5 TAB</t>
  </si>
  <si>
    <t>GP 1 TAB</t>
  </si>
  <si>
    <t>GP 2 TAB</t>
  </si>
  <si>
    <t>GP 3 TAB</t>
  </si>
  <si>
    <t>GP 4 TAB</t>
  </si>
  <si>
    <t>GYNAE C.V.P.</t>
  </si>
  <si>
    <t>JALRA 50/1000 TAB</t>
  </si>
  <si>
    <t>JALRA OD 100 TAB</t>
  </si>
  <si>
    <t>JALRA DP TAB</t>
  </si>
  <si>
    <t>JALRA 50 TAB</t>
  </si>
  <si>
    <t>JALRA M50/500 TAB</t>
  </si>
  <si>
    <t>LIPICARD 160 TAB</t>
  </si>
  <si>
    <t>LIPICARD AV TAB</t>
  </si>
  <si>
    <t>M.V.I. INJ</t>
  </si>
  <si>
    <t>MASHYNE 60K CAP</t>
  </si>
  <si>
    <t>METZOK 12.5 TAB</t>
  </si>
  <si>
    <t>METZOK 25 TAB</t>
  </si>
  <si>
    <t>METZOK 50 TAB</t>
  </si>
  <si>
    <t>MYCHIRO TAB</t>
  </si>
  <si>
    <t>NIMODIP TAB</t>
  </si>
  <si>
    <t>NURIL 5 TAB</t>
  </si>
  <si>
    <t>OLMETRACK 20 TAB</t>
  </si>
  <si>
    <t>OLMETRACK 40 TAB</t>
  </si>
  <si>
    <t>OLMETRACK AM TAB</t>
  </si>
  <si>
    <t>PEVESCA PLUS</t>
  </si>
  <si>
    <t>PIOZ 15 TAB</t>
  </si>
  <si>
    <t>PIOZ 30 TAB</t>
  </si>
  <si>
    <t>PIOZ 7.5 TAB</t>
  </si>
  <si>
    <t>PIOZ MF 15 TAB</t>
  </si>
  <si>
    <t>PIOZ MF G2 TAB</t>
  </si>
  <si>
    <t>RICOSPRIN 15 TAB</t>
  </si>
  <si>
    <t>ROSEDAY 40</t>
  </si>
  <si>
    <t>ROSEDAY F 20 TAB</t>
  </si>
  <si>
    <t>ROSEDAY F5 TAB</t>
  </si>
  <si>
    <t>ROSEDAY GOLD CAP</t>
  </si>
  <si>
    <t>ROSEDAY 20 TAB</t>
  </si>
  <si>
    <t>ROSEDAY 5 TAB</t>
  </si>
  <si>
    <t>ROSEDAY A 10 CAP</t>
  </si>
  <si>
    <t>ROSEDAY A 20 TAB</t>
  </si>
  <si>
    <t>ROSEDAY EZ10 TAB</t>
  </si>
  <si>
    <t>ROSEDAY F 10 TAB</t>
  </si>
  <si>
    <t>ROSEDAY GOLD 20 TAB</t>
  </si>
  <si>
    <t>SR PEVESCA PLUS75</t>
  </si>
  <si>
    <t>SULICENT 100 TAB</t>
  </si>
  <si>
    <t>TAZLOC CT 40</t>
  </si>
  <si>
    <t>TAZLOC CT 80 TAB</t>
  </si>
  <si>
    <t>TAZLOC TRIO 40</t>
  </si>
  <si>
    <t>TAZLOC TRIO 80</t>
  </si>
  <si>
    <t>TAZLOC 20 TAB</t>
  </si>
  <si>
    <t>TAZLOC 40 TAB</t>
  </si>
  <si>
    <t>TAZLOC 80 TAB</t>
  </si>
  <si>
    <t>TAZLOC AM 80 TAB</t>
  </si>
  <si>
    <t>TAZLOC AM TAB</t>
  </si>
  <si>
    <t>TAZLOC BETA 25</t>
  </si>
  <si>
    <t>TAZLOC BETA 50 TAB</t>
  </si>
  <si>
    <t>TAZLOC H TAB</t>
  </si>
  <si>
    <t>TAZLOC H 80 TAB</t>
  </si>
  <si>
    <t>TICASPAN 90 TAB</t>
  </si>
  <si>
    <t>TRIGLYCOMET TAB.</t>
  </si>
  <si>
    <t>TRIGLYNASE 1 TAB</t>
  </si>
  <si>
    <t>TRIGLYNASE 2 TAB</t>
  </si>
  <si>
    <t>TRIPLE A CAL CAP</t>
  </si>
  <si>
    <t>TRIPLE A CAL FD CAP</t>
  </si>
  <si>
    <t>UDAPA 10 TAB</t>
  </si>
  <si>
    <t>UDAPA 5MG TAB</t>
  </si>
  <si>
    <t>UDAPA M 1000 TAB</t>
  </si>
  <si>
    <t>UDAPA M 500 TAB</t>
  </si>
  <si>
    <t>UDAPA S 10/100 TAB</t>
  </si>
  <si>
    <t>VIBACT CAP</t>
  </si>
  <si>
    <t>VIBACT DS CAP</t>
  </si>
  <si>
    <t>COLIMEX DROP</t>
  </si>
  <si>
    <t>Wallace Pharmaceuticals Pvt Ltd</t>
  </si>
  <si>
    <t>COLIMEX SYP</t>
  </si>
  <si>
    <t>COLIMEX TAB</t>
  </si>
  <si>
    <t>FLUCOLD DS SUSP</t>
  </si>
  <si>
    <t>FLUCOLD SUSPENSION</t>
  </si>
  <si>
    <t>SAZO 1000</t>
  </si>
  <si>
    <t>WALAMYCIN SYP</t>
  </si>
  <si>
    <t>WALAMYCIN DS SYP</t>
  </si>
  <si>
    <t>ZN 20 DROP</t>
  </si>
  <si>
    <t>ZN 20 SYP</t>
  </si>
  <si>
    <t>BILALIFE M TAB</t>
  </si>
  <si>
    <t>Walter Bushnell</t>
  </si>
  <si>
    <t>DROTIN DS SYP</t>
  </si>
  <si>
    <t>DROTIN SYP</t>
  </si>
  <si>
    <t>DROTIN TAB</t>
  </si>
  <si>
    <t>DROTIN A TAB</t>
  </si>
  <si>
    <t>DROTIN DS TAB</t>
  </si>
  <si>
    <t>DROTIN INJ</t>
  </si>
  <si>
    <t>DROTIN M TAB</t>
  </si>
  <si>
    <t>DROTIN PLUS TAB</t>
  </si>
  <si>
    <t>GESTIN TAB</t>
  </si>
  <si>
    <t>MARTIFUR WALTER TAB</t>
  </si>
  <si>
    <t>MARTIFUR MR 100 MG TAB</t>
  </si>
  <si>
    <t>MARTIFUR MR 50 MG TAB</t>
  </si>
  <si>
    <t>POTKLOR SYP</t>
  </si>
  <si>
    <t>URILISER SYP</t>
  </si>
  <si>
    <t>URILIZER SYP SMALL</t>
  </si>
  <si>
    <t>URISPAS TAB</t>
  </si>
  <si>
    <t>VENUSMIN 450 TAB</t>
  </si>
  <si>
    <t>VENUSMIN 300 TAB</t>
  </si>
  <si>
    <t>VENUSMIN 900 TAB</t>
  </si>
  <si>
    <t>YAMOO TAB</t>
  </si>
  <si>
    <t>ADTROL PLUS CAP</t>
  </si>
  <si>
    <t>Wanbury Ltd</t>
  </si>
  <si>
    <t>CHYMONAC MR</t>
  </si>
  <si>
    <t>CHYMONAC TAB</t>
  </si>
  <si>
    <t>CLAMIST SYP.</t>
  </si>
  <si>
    <t>CORIMINIC DROP</t>
  </si>
  <si>
    <t>CORIMINIC SYP</t>
  </si>
  <si>
    <t>CPINK SYP</t>
  </si>
  <si>
    <t>CPINK TAB</t>
  </si>
  <si>
    <t>CUSENA TAB</t>
  </si>
  <si>
    <t>FOLININE CAP WANBERY</t>
  </si>
  <si>
    <t>FOLININE D CAP WANBERY</t>
  </si>
  <si>
    <t>NIFTY SR TAB</t>
  </si>
  <si>
    <t>NITROFUR SR TAB</t>
  </si>
  <si>
    <t>NOCK 2 TAB</t>
  </si>
  <si>
    <t>PRODUCTIV F TAB</t>
  </si>
  <si>
    <t>SENASOF TAB</t>
  </si>
  <si>
    <t>VOLITRA APS SPRAY</t>
  </si>
  <si>
    <t>HOMIDE DROP</t>
  </si>
  <si>
    <t>INDOCO REMEDIES (WARREN)</t>
  </si>
  <si>
    <t>RENOLEN E\D</t>
  </si>
  <si>
    <t>REXIDIM SRS M\W</t>
  </si>
  <si>
    <t>REXIDIN M FORTE GEL</t>
  </si>
  <si>
    <t>REXIDIN MOUTHWASH</t>
  </si>
  <si>
    <t>SENSODENT K PASTE</t>
  </si>
  <si>
    <t>SENSODENT KF PASTE</t>
  </si>
  <si>
    <t>SENSOFORM G\P</t>
  </si>
  <si>
    <t>SENSOFORM PASTE</t>
  </si>
  <si>
    <t>BONEMAC D3 CAP</t>
  </si>
  <si>
    <t>WILSHIRE PHARMACEUTICALS</t>
  </si>
  <si>
    <t>BONEMAC XT TAB</t>
  </si>
  <si>
    <t>CALDIUM M TAB</t>
  </si>
  <si>
    <t>CALDIUM XT CAP</t>
  </si>
  <si>
    <t>CALDIUM XT PLUS CAP</t>
  </si>
  <si>
    <t>CHYMERA GEL</t>
  </si>
  <si>
    <t>CHYMERA TAB</t>
  </si>
  <si>
    <t>CHYMERA MR TAB</t>
  </si>
  <si>
    <t>PROMYLIN D TAB WILLBERT</t>
  </si>
  <si>
    <t>RABIGO 20 TAB</t>
  </si>
  <si>
    <t>RABIGO D CAP</t>
  </si>
  <si>
    <t>V GEST SR 200 TAB</t>
  </si>
  <si>
    <t>WILLFER XT TAB</t>
  </si>
  <si>
    <t>BETADINE GARGLE 100ML.</t>
  </si>
  <si>
    <t>Win-Medicare Pvt Ltd</t>
  </si>
  <si>
    <t>BETADINE GARGLE 50ML.</t>
  </si>
  <si>
    <t>BETADINE LOTION 100ML.</t>
  </si>
  <si>
    <t>BETADINE LOTION 500ML.</t>
  </si>
  <si>
    <t>BETADINE OINT 125GR.</t>
  </si>
  <si>
    <t>BETADINE OINT 15GR.</t>
  </si>
  <si>
    <t>BETADINE OINT 250GR.</t>
  </si>
  <si>
    <t>BETADINE OINT 5%</t>
  </si>
  <si>
    <t>BETADINE POWDER</t>
  </si>
  <si>
    <t>BETADINE VAG. TAB</t>
  </si>
  <si>
    <t>BETADINE L0TION 10%</t>
  </si>
  <si>
    <t>CARNITOR 500 TAB</t>
  </si>
  <si>
    <t>CONTRACTUBEX OINT</t>
  </si>
  <si>
    <t>DICLOMOL TAB</t>
  </si>
  <si>
    <t>DICLOMOL SP</t>
  </si>
  <si>
    <t>EVAFOS SACHET.</t>
  </si>
  <si>
    <t>HEPAMERZ INJ.</t>
  </si>
  <si>
    <t>HEPAMERZ SYP</t>
  </si>
  <si>
    <t>HEPAMERZ TAB</t>
  </si>
  <si>
    <t>MOVICAL PED SACHET</t>
  </si>
  <si>
    <t>MOVICAL SACHET</t>
  </si>
  <si>
    <t>MOVICAL SYP</t>
  </si>
  <si>
    <t>MYOSPAZ FORTE TAB</t>
  </si>
  <si>
    <t>MYOSPAZ TAB</t>
  </si>
  <si>
    <t>MYOSPAZ D TAB</t>
  </si>
  <si>
    <t>BROZEDEX LS KID PED SYP</t>
  </si>
  <si>
    <t>Wockhardt Ltd</t>
  </si>
  <si>
    <t>BROZEDEX LS PLUS SYP</t>
  </si>
  <si>
    <t>BROZEDEX SF SYP</t>
  </si>
  <si>
    <t>DECDAN LITE CREAM</t>
  </si>
  <si>
    <t>DEPIWHITE CREAM</t>
  </si>
  <si>
    <t>DEXOLAC NO 1 TIN PACK</t>
  </si>
  <si>
    <t>GLARITUS CARTEGE</t>
  </si>
  <si>
    <t>GLIMADAY 1 TAB</t>
  </si>
  <si>
    <t>GLIMADAY 2 TAB</t>
  </si>
  <si>
    <t>INOGLA M 500</t>
  </si>
  <si>
    <t>NADOXIN OINT 5GM</t>
  </si>
  <si>
    <t>NADOXIN PLUS CREAM</t>
  </si>
  <si>
    <t>NURODAY D3 TAB</t>
  </si>
  <si>
    <t>PP 26/6 FORTE TAB</t>
  </si>
  <si>
    <t>SPASMO PROXYVON T CAP</t>
  </si>
  <si>
    <t>WINOFIT GOLD CAP</t>
  </si>
  <si>
    <t>WOSULIN 30/70 CARTAGE</t>
  </si>
  <si>
    <t>WOSULIN 30/70 VAIL</t>
  </si>
  <si>
    <t>WOSULIN R CARTAGE</t>
  </si>
  <si>
    <t>WOSULIN R VAIL</t>
  </si>
  <si>
    <t>ZEDEX PLUS SYP</t>
  </si>
  <si>
    <t>ZEDEX SF SYP</t>
  </si>
  <si>
    <t>AZIWOK 100 SYP.</t>
  </si>
  <si>
    <t>AZIWOK 200 SYP.</t>
  </si>
  <si>
    <t>AZIWOK 250 TAB</t>
  </si>
  <si>
    <t>AZIWOK 500 TAB</t>
  </si>
  <si>
    <t>BROZEDEX SYP.</t>
  </si>
  <si>
    <t>BUTAPROXYVON CAP</t>
  </si>
  <si>
    <t>DEXOLAC SPECIAL</t>
  </si>
  <si>
    <t>NADIMIX CREAM</t>
  </si>
  <si>
    <t>NADOXIN CREAM</t>
  </si>
  <si>
    <t>NADOXIN GEL</t>
  </si>
  <si>
    <t>NADOXIN C CREAM.</t>
  </si>
  <si>
    <t>NURODAY H TAB</t>
  </si>
  <si>
    <t>PROXYVON PLUS CAP</t>
  </si>
  <si>
    <t>SPASMO PROXY FORTE INJ</t>
  </si>
  <si>
    <t>SPASMO PROXYVON CAP NRX</t>
  </si>
  <si>
    <t>SPER LOTION</t>
  </si>
  <si>
    <t>WINOFIT CAP</t>
  </si>
  <si>
    <t>ZEDEX SYP.</t>
  </si>
  <si>
    <t>ZEDEX P SYP</t>
  </si>
  <si>
    <t>ACILOC INJ.</t>
  </si>
  <si>
    <t>ZYDUS (CADILA)</t>
  </si>
  <si>
    <t>ACILOC ONLY SYP</t>
  </si>
  <si>
    <t>ACILOC 150 TAB</t>
  </si>
  <si>
    <t>ACILOC 300 TAB</t>
  </si>
  <si>
    <t>ACILOC RD TAB</t>
  </si>
  <si>
    <t>ACILOC S SYP.</t>
  </si>
  <si>
    <t>AMLODAC CH</t>
  </si>
  <si>
    <t>AMLODAC D TAB</t>
  </si>
  <si>
    <t>AMLODAC 10 TAB</t>
  </si>
  <si>
    <t>AMLODAC 2.5 TAB</t>
  </si>
  <si>
    <t>AMLODAC 5 TAB</t>
  </si>
  <si>
    <t>AMLODAC AT TAB</t>
  </si>
  <si>
    <t>ATEN 25 TAB</t>
  </si>
  <si>
    <t>ATEN 50 TAB</t>
  </si>
  <si>
    <t>ATEN AM TAB</t>
  </si>
  <si>
    <t>ATEN D TAB</t>
  </si>
  <si>
    <t>ATORVA ASP150 TAB</t>
  </si>
  <si>
    <t>ATORVA ASP75 TAB</t>
  </si>
  <si>
    <t>ATORVA 10 TAB</t>
  </si>
  <si>
    <t>ATORVA 20 TAB</t>
  </si>
  <si>
    <t>ATORVA 40 TAB</t>
  </si>
  <si>
    <t>ATORVA 5 TAB</t>
  </si>
  <si>
    <t>BILYPSA TAB</t>
  </si>
  <si>
    <t>CADILOSE SYP</t>
  </si>
  <si>
    <t>CADISPER C TAB</t>
  </si>
  <si>
    <t>CALCIROL SACHET</t>
  </si>
  <si>
    <t>CARVIL 12.5</t>
  </si>
  <si>
    <t>CARVIL 6.25 TAB</t>
  </si>
  <si>
    <t>CIMUNE TAB</t>
  </si>
  <si>
    <t>CINTODAC CAP</t>
  </si>
  <si>
    <t>CIPROBID 500 TAB</t>
  </si>
  <si>
    <t>CLOPITORVA 10 CAP</t>
  </si>
  <si>
    <t>CLOPITORVA 20</t>
  </si>
  <si>
    <t>DAPAGLYN 10 TAB</t>
  </si>
  <si>
    <t>DAPAGLYN 5 TAB</t>
  </si>
  <si>
    <t>DEPIN RETARD TAB</t>
  </si>
  <si>
    <t>DEPIN 10 TAB</t>
  </si>
  <si>
    <t>DEXONA INJ</t>
  </si>
  <si>
    <t>DEXONA TAB</t>
  </si>
  <si>
    <t>ELICIA 4</t>
  </si>
  <si>
    <t>ENVAS 10 TAB</t>
  </si>
  <si>
    <t>ENVAS 2.5 TAB</t>
  </si>
  <si>
    <t>ENVAS 5 TAB</t>
  </si>
  <si>
    <t>ENVAS H TAB</t>
  </si>
  <si>
    <t>EPSOLIN 100 TAB</t>
  </si>
  <si>
    <t>EPSOLIN INJ.</t>
  </si>
  <si>
    <t>EPSOLIN 300 TAB</t>
  </si>
  <si>
    <t>EPSOLIN ER 300 TAB</t>
  </si>
  <si>
    <t>ETOGESIC ER</t>
  </si>
  <si>
    <t>EUGLIM 1 TAB</t>
  </si>
  <si>
    <t>EUGLIM 2MG TAB</t>
  </si>
  <si>
    <t>EUGLIM M1 TAB</t>
  </si>
  <si>
    <t>EUGLIM M2 TAB</t>
  </si>
  <si>
    <t>FLUDAC 20 CAP</t>
  </si>
  <si>
    <t>FOL 5 TAB</t>
  </si>
  <si>
    <t>FOL XT TAB</t>
  </si>
  <si>
    <t>FORGLYN PLUS RESPICAPS</t>
  </si>
  <si>
    <t>FORMOSONE 250 RC</t>
  </si>
  <si>
    <t>GRD POWDER</t>
  </si>
  <si>
    <t>GRD POWDER BIG</t>
  </si>
  <si>
    <t>GRD SMART VANILLA</t>
  </si>
  <si>
    <t>HEAM UP CAP</t>
  </si>
  <si>
    <t>HEAM UP SYP.</t>
  </si>
  <si>
    <t>HYPONATE O 15 TAB ZYDUS</t>
  </si>
  <si>
    <t>ILADAC 10 TAB</t>
  </si>
  <si>
    <t>IMOL PLUS TAB</t>
  </si>
  <si>
    <t>INDITEL 20 TAB.</t>
  </si>
  <si>
    <t>INDITEL CH 40</t>
  </si>
  <si>
    <t>INDITEL H 40 TAB</t>
  </si>
  <si>
    <t>INDITEL H 80 TAB.</t>
  </si>
  <si>
    <t>INDITEL 40 TAB</t>
  </si>
  <si>
    <t>INDITEL AM TAB</t>
  </si>
  <si>
    <t>INDITEL D TAB</t>
  </si>
  <si>
    <t>INDITEL MX 50 TAB</t>
  </si>
  <si>
    <t>K BIND SACHET</t>
  </si>
  <si>
    <t>LINID I.V.</t>
  </si>
  <si>
    <t>LINID 600 TAB</t>
  </si>
  <si>
    <t>LIPAGLYN TAB</t>
  </si>
  <si>
    <t>LOSACAR 25 TAB</t>
  </si>
  <si>
    <t>LOSACAR 50 TAB</t>
  </si>
  <si>
    <t>LOSACAR A TAB</t>
  </si>
  <si>
    <t>LOSACAR H TAB</t>
  </si>
  <si>
    <t>LOSIUM 50 TAB</t>
  </si>
  <si>
    <t>LOSIUM H TAB</t>
  </si>
  <si>
    <t>NEBULA AM TAB</t>
  </si>
  <si>
    <t>NEBULA 5</t>
  </si>
  <si>
    <t>NEBULA D TAB</t>
  </si>
  <si>
    <t>NEUROTRAT LM TAB</t>
  </si>
  <si>
    <t>NODON AM 2.5 2.5</t>
  </si>
  <si>
    <t>NODON 2.5 TAB</t>
  </si>
  <si>
    <t>NODON 5 TAB</t>
  </si>
  <si>
    <t>NODON AM TAB</t>
  </si>
  <si>
    <t>NODON H TAB</t>
  </si>
  <si>
    <t>NUCOXIA 120MG TAB</t>
  </si>
  <si>
    <t>NUCOXIA 90MG TAB</t>
  </si>
  <si>
    <t>NUCOXIA MR TAB</t>
  </si>
  <si>
    <t>NUCOXIA P</t>
  </si>
  <si>
    <t>OCID 20 CAP</t>
  </si>
  <si>
    <t>OCID D CAP</t>
  </si>
  <si>
    <t>OCID QRS.TAB</t>
  </si>
  <si>
    <t>OFLIN 200 TAB</t>
  </si>
  <si>
    <t>OLMY D40</t>
  </si>
  <si>
    <t>OLMY 20 TAB</t>
  </si>
  <si>
    <t>ORNI 500 TAB</t>
  </si>
  <si>
    <t>ORNI O TAB</t>
  </si>
  <si>
    <t>OXALGIN NANOGEL</t>
  </si>
  <si>
    <t>OXALGIN DP TAB</t>
  </si>
  <si>
    <t>PANTODAC L CAP</t>
  </si>
  <si>
    <t>PANTODAC 40 TAB</t>
  </si>
  <si>
    <t>PANTODAC DSR CAP</t>
  </si>
  <si>
    <t>PATERNIA XT TAB</t>
  </si>
  <si>
    <t>PIVASTA 1 TAB</t>
  </si>
  <si>
    <t>PIVASTA 2</t>
  </si>
  <si>
    <t>RABELOC 20 TAB</t>
  </si>
  <si>
    <t>RABELOC I.V.</t>
  </si>
  <si>
    <t>RABELOC RD TAB</t>
  </si>
  <si>
    <t>RAMITORVA CAP</t>
  </si>
  <si>
    <t>SUGAMET MC 500</t>
  </si>
  <si>
    <t>SUSTAMET 25</t>
  </si>
  <si>
    <t>SUSTAMET 50</t>
  </si>
  <si>
    <t>SUSTAMET AM</t>
  </si>
  <si>
    <t>TENALI M 1000 TAB</t>
  </si>
  <si>
    <t>TENALI M 500 TAB</t>
  </si>
  <si>
    <t>TENALI TAB</t>
  </si>
  <si>
    <t>TENGLYN TAB</t>
  </si>
  <si>
    <t>TENGLYN M 500 TAB</t>
  </si>
  <si>
    <t>THRABIS VACCINE</t>
  </si>
  <si>
    <t>TINIBA 500 TAB</t>
  </si>
  <si>
    <t>TRICORT TAB</t>
  </si>
  <si>
    <t>TRICORT 40 INJ.</t>
  </si>
  <si>
    <t>TRIOFLAM TAB</t>
  </si>
  <si>
    <t>VASOGRAIN TAB</t>
  </si>
  <si>
    <t>VINGLYN M 500 TAB</t>
  </si>
  <si>
    <t>XET 10 TAB</t>
  </si>
  <si>
    <t>XET CR 12.5 TAB</t>
  </si>
  <si>
    <t>ZY Q 200 TAB</t>
  </si>
  <si>
    <t>ZYAQUA DROP</t>
  </si>
  <si>
    <t>ZYCOLOCHIN TAB</t>
  </si>
  <si>
    <t>ZYTANIX 2.5 TAB</t>
  </si>
  <si>
    <t>ZYTANIX 5 TAB</t>
  </si>
  <si>
    <t>COUNTA of Company Name</t>
  </si>
  <si>
    <t>MACLEODS PHARMA</t>
  </si>
  <si>
    <t>ERIS LIFESCIE</t>
  </si>
  <si>
    <t>IPCA LAB</t>
  </si>
  <si>
    <t>NILOCAS PIRAMAL INDIA LIMITED</t>
  </si>
  <si>
    <t>ARISTO LAB</t>
  </si>
  <si>
    <t>ZYDUS CADILA</t>
  </si>
  <si>
    <t>DR.REDDY</t>
  </si>
  <si>
    <t>GLENMARK</t>
  </si>
  <si>
    <t>USV</t>
  </si>
  <si>
    <t>RANBAXY</t>
  </si>
  <si>
    <t>UNICHEM</t>
  </si>
  <si>
    <t>GERMAN REMEDIES</t>
  </si>
  <si>
    <t>AVENTIS PHARMA</t>
  </si>
  <si>
    <t>ABBOTT</t>
  </si>
  <si>
    <t>ALEMBIC</t>
  </si>
  <si>
    <t>ALKEM LAB</t>
  </si>
  <si>
    <t>CIPLA LTD</t>
  </si>
  <si>
    <t>SYSTOPIC</t>
  </si>
  <si>
    <t>TORRENT PHARMA</t>
  </si>
  <si>
    <t>FRANCO INDIAN</t>
  </si>
  <si>
    <t>AJANTA PHARMA LIMITED</t>
  </si>
  <si>
    <t>E-MEARCK INDIA LTD.</t>
  </si>
  <si>
    <t>RANBAXY-CV</t>
  </si>
  <si>
    <t>HETERO HEALTH CARE LTD</t>
  </si>
  <si>
    <t>SUN PHARMA</t>
  </si>
  <si>
    <t>FDC</t>
  </si>
  <si>
    <t>PFIZER</t>
  </si>
  <si>
    <t>REXEL</t>
  </si>
  <si>
    <t>LA RENON HEATHLCARE</t>
  </si>
  <si>
    <t>NOVARTISINDIA LIMITED</t>
  </si>
  <si>
    <t>PHARMED LIMITED</t>
  </si>
  <si>
    <t>GLAXOSMITH</t>
  </si>
  <si>
    <t>CROSSLAND</t>
  </si>
  <si>
    <t>ASTRA ZENECA PHARMA</t>
  </si>
  <si>
    <t>SYNCHEM LAB</t>
  </si>
  <si>
    <t>WIN MEDICARE</t>
  </si>
  <si>
    <t>BLUE CROSS LAB.</t>
  </si>
  <si>
    <t>INTAS PHARMACEUTICALS PVT LTD</t>
  </si>
  <si>
    <t>MEDLEY PHARMA</t>
  </si>
  <si>
    <t>SERDIA PHARMA</t>
  </si>
  <si>
    <t>WOCKHARDT</t>
  </si>
  <si>
    <t>AMIL PAHRAMCEUTICAL</t>
  </si>
  <si>
    <t>EMCURE PARMA</t>
  </si>
  <si>
    <t>ICPA</t>
  </si>
  <si>
    <t>MANKIND</t>
  </si>
  <si>
    <t>PHARMA LINK</t>
  </si>
  <si>
    <t>SOLVAY PHARMACEUTICALS LTD.</t>
  </si>
  <si>
    <t>WALTER BUSHNELL</t>
  </si>
  <si>
    <t>ANDROMEDA PHARMACEUTICAL</t>
  </si>
  <si>
    <t>KONLL PHARMACEUTICALS LTD.</t>
  </si>
  <si>
    <t>LUPIN LTD</t>
  </si>
  <si>
    <t>MSD</t>
  </si>
  <si>
    <t>RPG LIFE SCIENCE</t>
  </si>
  <si>
    <t>JANSSEN-CILAG PHARMA</t>
  </si>
  <si>
    <t>WOCKHARDT LIMITED</t>
  </si>
  <si>
    <t>ALLERGAN</t>
  </si>
  <si>
    <t>SARABHAI PIRAMAL PHARMA</t>
  </si>
  <si>
    <t>ANIYA PHARACEUTICALS PVT LTD</t>
  </si>
  <si>
    <t>MAYER VIABIOTICS</t>
  </si>
  <si>
    <t>WANDER</t>
  </si>
  <si>
    <t>CHARAK PHARMACEUTICALS LTD.</t>
  </si>
  <si>
    <t>CYANAMID INDIA(LTD)</t>
  </si>
  <si>
    <t>TTK HEALTHCARE LIMITED</t>
  </si>
  <si>
    <t>UNIVICTOR HEALTHCARE PRIVATE LTD</t>
  </si>
  <si>
    <t>AXELTIS HEALTHCARE PVT LTD</t>
  </si>
  <si>
    <t>CENTAUR PHARMACEUTICALS PVT LTD</t>
  </si>
  <si>
    <t>WILLSHIRE PHARMA</t>
  </si>
  <si>
    <t>MERIND</t>
  </si>
  <si>
    <t>RAPTAKOS BRETT</t>
  </si>
  <si>
    <t>RAPTAKOS BRETT &amp; CO.LTD.</t>
  </si>
  <si>
    <t>WARREN PHARMA.</t>
  </si>
  <si>
    <t>INDOCO</t>
  </si>
  <si>
    <t>PARKE-DEVIS</t>
  </si>
  <si>
    <t>TROIKAA PHARMACUETICALS</t>
  </si>
  <si>
    <t>BIOCON LIMITED</t>
  </si>
  <si>
    <t>BRITISH BIOLOGICALS</t>
  </si>
  <si>
    <t>WALLACE PHARMACEUTICALS</t>
  </si>
  <si>
    <t>FULFORD</t>
  </si>
  <si>
    <t>GENO PHARMA</t>
  </si>
  <si>
    <t>STRASSENBURG PHARMA</t>
  </si>
  <si>
    <t>ALBERT DAVID</t>
  </si>
  <si>
    <t>JENBURKT PHARACEUTICALS LTD</t>
  </si>
  <si>
    <t>ORGANON LTD</t>
  </si>
  <si>
    <t>AKUMENTIS HEALTHCARE LTD</t>
  </si>
  <si>
    <t>ALCON</t>
  </si>
  <si>
    <t>CFL PHARMACEUTICALS</t>
  </si>
  <si>
    <t>KLM LABORATORIES PVT LTD</t>
  </si>
  <si>
    <t>MICRO LABS LIMITED</t>
  </si>
  <si>
    <t>STANCARE(RANBAXY)</t>
  </si>
  <si>
    <t>TRUEBASICS</t>
  </si>
  <si>
    <t>UNIVERSAL MEDICARE</t>
  </si>
  <si>
    <t>APEX LABORATORIES</t>
  </si>
  <si>
    <t>THETA LABS</t>
  </si>
  <si>
    <t>AKUMENTIS</t>
  </si>
  <si>
    <t>AKUMENTIS CRETIS</t>
  </si>
  <si>
    <t>DABUR PHARMA</t>
  </si>
  <si>
    <t>KOYE PHARMACEUTICALS PVT LTD</t>
  </si>
  <si>
    <t>MODI-MUNDI PHARMA</t>
  </si>
  <si>
    <t>SVIZERA HEALTH</t>
  </si>
  <si>
    <t>UNICURE PHARMA</t>
  </si>
  <si>
    <t>ANGLO-FRENCH DRUGS</t>
  </si>
  <si>
    <t>NOUVEAU MEDICAMENT</t>
  </si>
  <si>
    <t>THE HIMALAYA DRUG COMPANY</t>
  </si>
  <si>
    <t>PREMIER NUTRA</t>
  </si>
  <si>
    <t>UNICURE</t>
  </si>
  <si>
    <t>AKUMENTIS HARMONICA</t>
  </si>
  <si>
    <t>DYOTA NUMADIS</t>
  </si>
  <si>
    <t xml:space="preserve">                             MANGAL MURTI MEDICOSE</t>
  </si>
  <si>
    <t xml:space="preserve">        62, GROUND FLOOR, DAWA BAZAR, 13-14, R.N.T. MARG, INDORE (M.P.)</t>
  </si>
  <si>
    <t xml:space="preserve">                  Phone : 0731-4900406,2700787-788,9826196749</t>
  </si>
  <si>
    <t xml:space="preserve">                      E-Mail : ashu_mangalmurti@yahoo.com</t>
  </si>
  <si>
    <t>GSTIN : 23AFYPB5857K1ZW TIN : 23430904060</t>
  </si>
  <si>
    <t/>
  </si>
  <si>
    <t xml:space="preserve">                          CLOSING STOCK AS ON 26-12-2022</t>
  </si>
  <si>
    <t>S.No.</t>
  </si>
  <si>
    <t>Description</t>
  </si>
  <si>
    <t>Total Stock</t>
  </si>
  <si>
    <t>Unit</t>
  </si>
  <si>
    <t>ABOCAL*500 TAB                1*15</t>
  </si>
  <si>
    <t>PCS</t>
  </si>
  <si>
    <t>ABVIDA M-50/1000              1*15</t>
  </si>
  <si>
    <t>ABVIDA*M*50/500 TAB           1*10</t>
  </si>
  <si>
    <t>ANAFORTAN TAB.                1*15</t>
  </si>
  <si>
    <t>BETONIN SYP SMALL.            1*170ML</t>
  </si>
  <si>
    <t>Pcs</t>
  </si>
  <si>
    <t>BILAZEST 20 TAB               1*10</t>
  </si>
  <si>
    <t>BILAZEST KID SYP              1*60ML</t>
  </si>
  <si>
    <t>BILAZEST*M TAB                1*10</t>
  </si>
  <si>
    <t>BRIVETOIN 50 MG TAB           1*10</t>
  </si>
  <si>
    <t>BRUFEN-200 TAB                1*10</t>
  </si>
  <si>
    <t>BRUFEN-400 TAB                1*15</t>
  </si>
  <si>
    <t>COMBINORM CAP.                1*15</t>
  </si>
  <si>
    <t>CREMA*ANO CREAM               1*20GM</t>
  </si>
  <si>
    <t>CREMADIET POW BIG             1*300GM</t>
  </si>
  <si>
    <t>CREMAFFIN MX FRUIT            1*400ML</t>
  </si>
  <si>
    <t>CREMAFFIN PINK SYP            1*170ML</t>
  </si>
  <si>
    <t>CREMAFFIN PLUS SYP            1*110ML</t>
  </si>
  <si>
    <t>CREMAFFIN WHITE               1*170ML</t>
  </si>
  <si>
    <t>CREMAGEL                      1*30GM</t>
  </si>
  <si>
    <t>CREMAGEL-L                    30GM.</t>
  </si>
  <si>
    <t>CREMALAX TAB                  1*10</t>
  </si>
  <si>
    <t>CWIN SHAMPOO                  1*100ML</t>
  </si>
  <si>
    <t>CYTOGARD*MR TAB               1*10</t>
  </si>
  <si>
    <t>DABIGO*110 TAB                1*10</t>
  </si>
  <si>
    <t>DIGENE SYP BIG MINT           1*400ML</t>
  </si>
  <si>
    <t>DIGENE SYP BIG ORG            1*450ML</t>
  </si>
  <si>
    <t>DIGENE-MINT SYP               1*170ML</t>
  </si>
  <si>
    <t>DIGENE-MINT TAB               1*36</t>
  </si>
  <si>
    <t>DIGENE-ORG TAB                1*36</t>
  </si>
  <si>
    <t>DIGENE-ORG. SYP               1*170ML</t>
  </si>
  <si>
    <t>DIGERAFT SYRUP                1*150ML</t>
  </si>
  <si>
    <t>DUPHALAC-ENEMA                1*1</t>
  </si>
  <si>
    <t>EPTOIN TAB                    1*100</t>
  </si>
  <si>
    <t>EPTOIN-ER-300 TAB             1*30</t>
  </si>
  <si>
    <t xml:space="preserve">        -3</t>
  </si>
  <si>
    <t>ESGYPYRIN-A TAB               1*15</t>
  </si>
  <si>
    <t>TAB</t>
  </si>
  <si>
    <t>ESTRABET*GEL                  1*80GM</t>
  </si>
  <si>
    <t>ESTRABET-2 TAB                1*28</t>
  </si>
  <si>
    <t xml:space="preserve">       -10</t>
  </si>
  <si>
    <t>ETODAY TH TAB                 1*10</t>
  </si>
  <si>
    <t>FIASP INSULIN INJ             1*1</t>
  </si>
  <si>
    <t>FOLLIHAIR COMBO PACK          1*30</t>
  </si>
  <si>
    <t>FOLLIHAIR-A CAP               1*10</t>
  </si>
  <si>
    <t>GANATON TAB                   1*10</t>
  </si>
  <si>
    <t>GANATON TOTAL                 1*10</t>
  </si>
  <si>
    <t>HUMAN ACTRAPID P\F            1*5</t>
  </si>
  <si>
    <t>HUMAN ACTRAPID VIAL           1*VIAL</t>
  </si>
  <si>
    <t>HUMAN MIXTARD VIAL            1*VIAL</t>
  </si>
  <si>
    <t>HUMAN MIXTARD-50/50P\F        1*5</t>
  </si>
  <si>
    <t>HUMAN MIXTARD-P\F             1*5</t>
  </si>
  <si>
    <t>I-CAN TAB                     1*1</t>
  </si>
  <si>
    <t>I-WIN200 TAB                  1*7</t>
  </si>
  <si>
    <t>LACOXA-200 TAB                1*10</t>
  </si>
  <si>
    <t>LEVESAM SYP                   1*100ML</t>
  </si>
  <si>
    <t>LEVESAM-500 TAB               1*15</t>
  </si>
  <si>
    <t>MOXON*0.2 TAB                 1*10</t>
  </si>
  <si>
    <t>MOXON-0.3 TAB ABBOT           1*10</t>
  </si>
  <si>
    <t>MYFOS POWDER                  1*1</t>
  </si>
  <si>
    <t>NICODUCE-10 TAB               1*20</t>
  </si>
  <si>
    <t>NOVOMIX-30 PENFILL            1*5</t>
  </si>
  <si>
    <t>NOVOMIX-50 PENFILL            1*5</t>
  </si>
  <si>
    <t>NOVOPEN-4                     1*1</t>
  </si>
  <si>
    <t>NOVORAPID PENFILL             1*5</t>
  </si>
  <si>
    <t>PANKREOFLAT*HD TAB            1*10</t>
  </si>
  <si>
    <t>PREGAMET-SR TAB               1*10</t>
  </si>
  <si>
    <t>ROWASA 1g SACHET              1*1SACH</t>
  </si>
  <si>
    <t>ROWASA**2GM SACHET            1*1</t>
  </si>
  <si>
    <t>RYBELSUS*3 MG TAB             1*10</t>
  </si>
  <si>
    <t>RYBELSUS*7MG TAB              1*10</t>
  </si>
  <si>
    <t>RYZODEG-INSULIN CARTAGE       1*5</t>
  </si>
  <si>
    <t>INJ</t>
  </si>
  <si>
    <t>SIAGLIDE*M*OD*100/1000        1*15</t>
  </si>
  <si>
    <t>SUPRA-PLUS TAB                1*15</t>
  </si>
  <si>
    <t>SURBEX GOLD CAP               1*15</t>
  </si>
  <si>
    <t>SURBEX-FE TAB                 1*15</t>
  </si>
  <si>
    <t>SURBEX-XT TAB                 1*15</t>
  </si>
  <si>
    <t>TELPRES MT 25                 1*10</t>
  </si>
  <si>
    <t>THYRONORM 12.50               1*50</t>
  </si>
  <si>
    <t>THYRONORM 62.50               50TAB</t>
  </si>
  <si>
    <t>THYRONORM-100 TAB             1*100</t>
  </si>
  <si>
    <t>THYRONORM-112 MG              1*50</t>
  </si>
  <si>
    <t>THYRONORM-125 TAB             1*100</t>
  </si>
  <si>
    <t>THYRONORM-150 TAB             1*100</t>
  </si>
  <si>
    <t>THYRONORM-25 TAB              1*100</t>
  </si>
  <si>
    <t>THYRONORM-37.5 TAB            1*100</t>
  </si>
  <si>
    <t>THYRONORM-50 TAB              1*100</t>
  </si>
  <si>
    <t>THYRONORM-75 TAB              1*100</t>
  </si>
  <si>
    <t>THYRONORM-88MG                1*100</t>
  </si>
  <si>
    <t>THYROWELL SOFTGEL             1*10</t>
  </si>
  <si>
    <t>TRESIBA P\F                   1*5</t>
  </si>
  <si>
    <t xml:space="preserve">        -2</t>
  </si>
  <si>
    <t>TRIBETROL 1 FORTE             1*10</t>
  </si>
  <si>
    <t>UDISTRONG SACHET              1*6.5GM</t>
  </si>
  <si>
    <t xml:space="preserve">                                     TOTAL</t>
  </si>
  <si>
    <t>AP*DROP                       1*5ML</t>
  </si>
  <si>
    <t>AP*DROP LP                    1*5ML</t>
  </si>
  <si>
    <t>AP*DROP PD EYE  DROP          1*10ML</t>
  </si>
  <si>
    <t>AP*DROP*KT                    1*1</t>
  </si>
  <si>
    <t>AQUALUBE E/D                  1*10ML</t>
  </si>
  <si>
    <t>AQUASOFT BIG LOTION 200ML     1*200ML</t>
  </si>
  <si>
    <t>AQUASOFT*SOAP                 1*75GM</t>
  </si>
  <si>
    <t>ATORFIT-CV-10 TAB             1*15</t>
  </si>
  <si>
    <t>BIDIN LS DROP                 1*5ML</t>
  </si>
  <si>
    <t>BILANTA**M TAB                1*10</t>
  </si>
  <si>
    <t>BILANTA-20 TAB                1*10</t>
  </si>
  <si>
    <t>BRINZOX DROP                  1*1</t>
  </si>
  <si>
    <t>BRIVEX EYE DROP               5 ML</t>
  </si>
  <si>
    <t>CALTUF TAB                    1*15</t>
  </si>
  <si>
    <t>CALTUF*XT TAB                 1*10</t>
  </si>
  <si>
    <t>CILAMET XL 10/25              1*20</t>
  </si>
  <si>
    <t>CILAMET*XL*20/50 TAB          1*15</t>
  </si>
  <si>
    <t>CINOD T 10                    1*10</t>
  </si>
  <si>
    <t>CINOD-10 TAB                  1*15</t>
  </si>
  <si>
    <t>CINOD-20 TAB                  1*15</t>
  </si>
  <si>
    <t>DAPALEX*10 TAB                1*10</t>
  </si>
  <si>
    <t>FEBURIC 40 TAB                1*15</t>
  </si>
  <si>
    <t>FEBURIC 80 TAB                1*15</t>
  </si>
  <si>
    <t>IVERA SHAMPOO 30ML            1*30ML</t>
  </si>
  <si>
    <t>MACUGOLD PLUS TAB             1*10</t>
  </si>
  <si>
    <t>MET-XL TRIO 25 TAB            1*10</t>
  </si>
  <si>
    <t>MET-XL TRIO 50 TAB            1*10</t>
  </si>
  <si>
    <t>MET-XL-100 TAB                1*15</t>
  </si>
  <si>
    <t>MET-XL-12.5 TAB               1*15</t>
  </si>
  <si>
    <t>MET-XL-25 TAB                 1*20</t>
  </si>
  <si>
    <t>MET-XL-3D-25/6.25             1*10</t>
  </si>
  <si>
    <t>MET-XL-3D/50/12.5             1*10</t>
  </si>
  <si>
    <t>MET-XL-3D/50/6.25             1*10</t>
  </si>
  <si>
    <t>MET-XL-50 TAB                 1*15</t>
  </si>
  <si>
    <t>MET-XL-AM 25/5 TAB            20S</t>
  </si>
  <si>
    <t>MET-XL-AM-2.5/25              1*10</t>
  </si>
  <si>
    <t>MET-XL-AM-50/5 TAB            1*15</t>
  </si>
  <si>
    <t>MET-XL-R 25/2.5               1*15</t>
  </si>
  <si>
    <t>MET-XL-R-25/5 TAB             1*15</t>
  </si>
  <si>
    <t>MET-XL-R-50/5 TAB             1*15</t>
  </si>
  <si>
    <t>MET-XL-T-50 TAB               1*15</t>
  </si>
  <si>
    <t>NEPAFLAM DROP                 1*15ML</t>
  </si>
  <si>
    <t>NEPAFLAM*OD DROP              1*1</t>
  </si>
  <si>
    <t>OLOPAT DROP                   1*5ML</t>
  </si>
  <si>
    <t>ROSUFIT*CV*10 TAB             1*15</t>
  </si>
  <si>
    <t>TOFANTA*5 TAB                 1*10</t>
  </si>
  <si>
    <t>TOVAXO DROP                   1*1</t>
  </si>
  <si>
    <t>TOVAXO T DROP                 1*1</t>
  </si>
  <si>
    <t>TRI*CINOD*10/6.25 TAB         1*10</t>
  </si>
  <si>
    <t>VERTIZAC TAB                  1*10</t>
  </si>
  <si>
    <t>VOLGA*R*0.3/0.5               1*10</t>
  </si>
  <si>
    <t>VOLGA*R*2/1 TAB               1*10</t>
  </si>
  <si>
    <t>VOLGA*R*3/1 MG TAB</t>
  </si>
  <si>
    <t>ZOTABAC GEL                   1*20GM</t>
  </si>
  <si>
    <t>BENITOWA TRIO TAB             1*10</t>
  </si>
  <si>
    <t>BENITOWA-8 TAB                1*10</t>
  </si>
  <si>
    <t>MET-PCO CARE  TAB             1*10</t>
  </si>
  <si>
    <t>PCO-CARE TAB                  1*10</t>
  </si>
  <si>
    <t>ALIVHER TAB                   1*10</t>
  </si>
  <si>
    <t>ALL 9 TAB                     1*15TAB</t>
  </si>
  <si>
    <t>ALL-9 BOH TAB                 1*10</t>
  </si>
  <si>
    <t>BENITOWA 4 MG                 1*10TAB</t>
  </si>
  <si>
    <t>OOSURE-M TAB                  1*10</t>
  </si>
  <si>
    <t>CERVIFERT CAP                 1*10CAP</t>
  </si>
  <si>
    <t>ELOCON CREAM-30GM             1*30GM</t>
  </si>
  <si>
    <t>CREM</t>
  </si>
  <si>
    <t>FIBRONORM CAP                 *10</t>
  </si>
  <si>
    <t>CAP</t>
  </si>
  <si>
    <t>FO-29 TAB                     1*10</t>
  </si>
  <si>
    <t xml:space="preserve">    -11.30</t>
  </si>
  <si>
    <t>LINEATOR CAP                  1*10</t>
  </si>
  <si>
    <t>OOSURE-FORTE TAB              1*10</t>
  </si>
  <si>
    <t>ALAMIN-M-FORTE CAP            1*10</t>
  </si>
  <si>
    <t>ALAMIN-SN I.V.                1*200ML</t>
  </si>
  <si>
    <t>ALAMIN-XTRA CAP               1*10</t>
  </si>
  <si>
    <t>CYP-L SYP                     1*200ML</t>
  </si>
  <si>
    <t>EVICT SYP                     1*200ML</t>
  </si>
  <si>
    <t>PLACENTREX GEL                1*20GM</t>
  </si>
  <si>
    <t>SIOTONE CAP                   1*10</t>
  </si>
  <si>
    <t>PATADAY DROP                  1*2.5ML</t>
  </si>
  <si>
    <t>SIMBRINZA DROP                1*1</t>
  </si>
  <si>
    <t>DROP</t>
  </si>
  <si>
    <t>SYSTANE ULTRA                 1*1</t>
  </si>
  <si>
    <t>TEARS NATURAL FORTE           1*1</t>
  </si>
  <si>
    <t>TRAVATAN DROP                 1*1</t>
  </si>
  <si>
    <t>VIGAMOX DROP                  1*5ML</t>
  </si>
  <si>
    <t>ALTHROCIN 250 TAB             1*10</t>
  </si>
  <si>
    <t>ALTHROCIN 500 TAB             1*10</t>
  </si>
  <si>
    <t>ALTHROCIN DROP.               1*10ML</t>
  </si>
  <si>
    <t>ALTHROCIN LIQ.                1*60ML.</t>
  </si>
  <si>
    <t>AZITHRAL-100 SYP.             1*15ML</t>
  </si>
  <si>
    <t>AZITHRAL-200 SYP.             1*15ML</t>
  </si>
  <si>
    <t>AZITHRAL-250 TAB.             1*6</t>
  </si>
  <si>
    <t>AZITHRAL-500 TAB              1*3</t>
  </si>
  <si>
    <t>AZITHRAL-XL-200 SYP           1*30ML</t>
  </si>
  <si>
    <t>BILAMBIC-M TAB                10'TAB</t>
  </si>
  <si>
    <t>BROZEET LS SYP                1*170ML</t>
  </si>
  <si>
    <t>BROZEET SYP.                  1*100ML</t>
  </si>
  <si>
    <t>CETANIL 10 TAB                1*10</t>
  </si>
  <si>
    <t>CETANIL 20                    1*10 TAB</t>
  </si>
  <si>
    <t>CETANIL M TAB                 1*10</t>
  </si>
  <si>
    <t>CETANIL TRIO*6.25             1*10</t>
  </si>
  <si>
    <t>CETANIL*CT TAB                1*10</t>
  </si>
  <si>
    <t>CETANIL*TM*50 TAB             1*10</t>
  </si>
  <si>
    <t>CETANIL*TRIO*12.5 TAB         1*10</t>
  </si>
  <si>
    <t>CETANIL-5 TAB                 1*15</t>
  </si>
  <si>
    <t>CETANIL-T-20 TAB              1*10</t>
  </si>
  <si>
    <t>CRINA NCR 15                  1*10TAB</t>
  </si>
  <si>
    <t>CRINA-NCR-10MG                1*10</t>
  </si>
  <si>
    <t>CYCLOSET SYP                  1*300ML</t>
  </si>
  <si>
    <t xml:space="preserve">        -1</t>
  </si>
  <si>
    <t>DARIF 7.5 TAB                 1*10TAB</t>
  </si>
  <si>
    <t>ENZICTRA*DS TAB               1*10</t>
  </si>
  <si>
    <t>ESTROPLUS TAB                 1*21</t>
  </si>
  <si>
    <t>ETRIK-90 TAB                  1*10</t>
  </si>
  <si>
    <t>ETRIK-MR TAB                  1*10</t>
  </si>
  <si>
    <t>ETRIK-P TAB                   1*10</t>
  </si>
  <si>
    <t>FREEGO POW BIG                1*180GM</t>
  </si>
  <si>
    <t>FREEGO POWDER                 1*90GM</t>
  </si>
  <si>
    <t>GERIFLO CAP                   1*10</t>
  </si>
  <si>
    <t>GERIFLO-D TAB                 1*30</t>
  </si>
  <si>
    <t>GESTOFIT SR 200               1*10TAB</t>
  </si>
  <si>
    <t xml:space="preserve">        -7</t>
  </si>
  <si>
    <t>GESTOFIT-200 CAP              1*10</t>
  </si>
  <si>
    <t>GLIPYMET*500MG TAB            1*10</t>
  </si>
  <si>
    <t>HARMONI TAB                   1*21</t>
  </si>
  <si>
    <t>HERMIN IV                     1*200ML</t>
  </si>
  <si>
    <t>LACTONIC POWDER               1*200GM</t>
  </si>
  <si>
    <t>LIVFIT SYP                    1*200ML</t>
  </si>
  <si>
    <t>LIVFIT TAB                    1*10</t>
  </si>
  <si>
    <t>MAGADOL SYP.                  1*60ML</t>
  </si>
  <si>
    <t>MAGADOL TAB.                  1*10</t>
  </si>
  <si>
    <t>OVIGYN-D3 CAP                 1*10</t>
  </si>
  <si>
    <t>PROTINULES POWDER             1*200GM</t>
  </si>
  <si>
    <t>PROTINULES-PL POWDER          1*200GM</t>
  </si>
  <si>
    <t>REKOOL-20MG TAB               1*10</t>
  </si>
  <si>
    <t>REKOOL-D CAP                  1*10</t>
  </si>
  <si>
    <t>REKOOL-L                      1*10TAB</t>
  </si>
  <si>
    <t>RICHAR CR CAP                 1*10</t>
  </si>
  <si>
    <t>RICHGLOW GEL                  1*50GM</t>
  </si>
  <si>
    <t>ROSAVE 10                     1*10TAB</t>
  </si>
  <si>
    <t>ROSAVE F 10                   1*10TAB</t>
  </si>
  <si>
    <t>ROSAVE-GOLD*20 TAB            1*10</t>
  </si>
  <si>
    <t>ROSAVE-GOLD-10 TAB            1*10</t>
  </si>
  <si>
    <t>ROXID*50 SYP.                 1*30ML.</t>
  </si>
  <si>
    <t>ROXID-150 TAB.                1*10TAB</t>
  </si>
  <si>
    <t>ROXID-300 TAB                 1*4 TAB</t>
  </si>
  <si>
    <t>ROXID-M TAB                   1*10</t>
  </si>
  <si>
    <t>SHARKOFERROL SYP              1*450gm</t>
  </si>
  <si>
    <t>TELLZY 20 TAB                 1*10</t>
  </si>
  <si>
    <t>TELLZY 40                     1*15TAB</t>
  </si>
  <si>
    <t>TELLZY AM TAB                 1*10</t>
  </si>
  <si>
    <t>TELLZY MT 25                  1*10TAB</t>
  </si>
  <si>
    <t>TELLZY MT 50                  1*10TAB</t>
  </si>
  <si>
    <t>TETAN 20                      1*10TAB</t>
  </si>
  <si>
    <t>TETAN AM                      1*10</t>
  </si>
  <si>
    <t>TETAN BETA 25                 1*10TA</t>
  </si>
  <si>
    <t>TETAN BETA 50                 1*10TAB</t>
  </si>
  <si>
    <t>TETAN H TAB                   1*10</t>
  </si>
  <si>
    <t>TETAN-40 TAB                  1*10</t>
  </si>
  <si>
    <t>ULGEL ELAICHI                 170 ML</t>
  </si>
  <si>
    <t>ULGEL SAUF SYP                1*170ML</t>
  </si>
  <si>
    <t>ULGEL-A SYP                   1*170ML</t>
  </si>
  <si>
    <t>VALEMBIC-40 TAB               1*10</t>
  </si>
  <si>
    <t>VEHYCAL**XT TAB               1*15</t>
  </si>
  <si>
    <t>VELDROP*DROP                  1*10ML</t>
  </si>
  <si>
    <t>VILDAMBIC-M 500 TAB           10'TAB</t>
  </si>
  <si>
    <t>VOGO M-0.2                    1*10TBA</t>
  </si>
  <si>
    <t>VOGO-M0.3 TAB                 1*10</t>
  </si>
  <si>
    <t>WIKORY*325*DT TAB             1*10</t>
  </si>
  <si>
    <t>WIKORYL DROP                  1*10ML</t>
  </si>
  <si>
    <t>WIKORYL SYP.                  1*60ML</t>
  </si>
  <si>
    <t>WIKORYL TAB                   1*10</t>
  </si>
  <si>
    <t>WIKORYL-DS SYP                1*60ML</t>
  </si>
  <si>
    <t>ZEET SYP.                     1*100ML</t>
  </si>
  <si>
    <t>A TO Z CAP                    1*15</t>
  </si>
  <si>
    <t>A TO Z DROP                   1*15ML</t>
  </si>
  <si>
    <t>A TO Z GOLD CAP               1*15</t>
  </si>
  <si>
    <t>A TO Z SYP.                   1*100ML</t>
  </si>
  <si>
    <t>ALCIPRO-500 TAB               1*10</t>
  </si>
  <si>
    <t>ALPROVIT GRANULES             1*200GM</t>
  </si>
  <si>
    <t>CETRIZ SYP                    1*30ML</t>
  </si>
  <si>
    <t>CLAVAM 375                    1*10</t>
  </si>
  <si>
    <t>CLAVAM BID SYP.               1*30ML</t>
  </si>
  <si>
    <t>CLAVAM DROP                   1*10ML</t>
  </si>
  <si>
    <t>CLAVAM SYP.                   1*30ML</t>
  </si>
  <si>
    <t>CLAVAM-1.2 INJ                1*VIAL</t>
  </si>
  <si>
    <t>CLAVAM-625 TAB                1*10</t>
  </si>
  <si>
    <t>CLAVAM-FORTE SYP              1*30ML</t>
  </si>
  <si>
    <t>CLINDAC-A SOLUTION            1*25ML</t>
  </si>
  <si>
    <t>DAPANORM*10 TAB               1*10</t>
  </si>
  <si>
    <t>ENZOCORT-6 TAB                1*10</t>
  </si>
  <si>
    <t>ENZOFLAM TAB                  1*10</t>
  </si>
  <si>
    <t>FENCETA SYP                   1*60ML</t>
  </si>
  <si>
    <t>FENCETA TAB                   1*10</t>
  </si>
  <si>
    <t>GEMCAL D3 CAP                 1*10</t>
  </si>
  <si>
    <t>GEMCAL DS SG CAP              1*15</t>
  </si>
  <si>
    <t>GEMCAL MOM TAB                1*30</t>
  </si>
  <si>
    <t>GEMCAL P SYP                  150ML</t>
  </si>
  <si>
    <t>SYP</t>
  </si>
  <si>
    <t>GEMCAL PLUS CAP               1*10TAB</t>
  </si>
  <si>
    <t>GEMCAL SPRAY                  1*3.7ML</t>
  </si>
  <si>
    <t>GEMCAL SYP                    1*120ML</t>
  </si>
  <si>
    <t>GEMCAL-XT CAP                 1*15</t>
  </si>
  <si>
    <t>GLUVILDA*M*500 TAB            1*10</t>
  </si>
  <si>
    <t>HEMFER SYP.                   1*200ML</t>
  </si>
  <si>
    <t>HOMOCHEK ALKEM CAP            1*10</t>
  </si>
  <si>
    <t>JUPIROSE GOLD 10 MG           1*10TAB</t>
  </si>
  <si>
    <t>JUPIROSE GOLD 20 TAB          1*10</t>
  </si>
  <si>
    <t>JUPIROSE*20 TAB               1*15</t>
  </si>
  <si>
    <t>JUPIROSE*40 TAB               1*10</t>
  </si>
  <si>
    <t>JUPIROSE*A*75 CAP             1*10</t>
  </si>
  <si>
    <t>JUPIRSE CV-10                 10TAB</t>
  </si>
  <si>
    <t>KOJIGLO FORTE CREAM           1*20GM</t>
  </si>
  <si>
    <t>MAXVOID*PLUS*8 TAB            1*15</t>
  </si>
  <si>
    <t>MELBILD SOLUTION              5 ML</t>
  </si>
  <si>
    <t>NERVMAX SR 75 TAB             1*10</t>
  </si>
  <si>
    <t>ONDEM MD-8 TAB                1*10</t>
  </si>
  <si>
    <t>ONDEM SYP                     1*30ML</t>
  </si>
  <si>
    <t>ONDEM-INJECTION.              1*2ML</t>
  </si>
  <si>
    <t>ONDEM-MD-4MG.TAB              1*10</t>
  </si>
  <si>
    <t>PAN 20 TAB                    1*10</t>
  </si>
  <si>
    <t>PAN 40 TAB                    1*10</t>
  </si>
  <si>
    <t>PAN D TAB                     1*15</t>
  </si>
  <si>
    <t>PAN MPS SYP                   1*200ML</t>
  </si>
  <si>
    <t>PAN-L CAP                     1*10</t>
  </si>
  <si>
    <t>PIPZO 2.25MG                  1*VIAL</t>
  </si>
  <si>
    <t>PIPZO-1.125 INJ               1*VIAL</t>
  </si>
  <si>
    <t>PIPZO-4.5 INJ.                1*VIAL</t>
  </si>
  <si>
    <t>RENOCIA SHAMPOO               1*150ML</t>
  </si>
  <si>
    <t>SATROGYL-300 TAB              1*10</t>
  </si>
  <si>
    <t>SATROGYL-O SYP                1*30</t>
  </si>
  <si>
    <t>SATROGYL-O TAB                1*10</t>
  </si>
  <si>
    <t>SUMO TAB                      1*15</t>
  </si>
  <si>
    <t>SUMO-COLD TAB                 1*10</t>
  </si>
  <si>
    <t>SUMO-FLAM TAB                 1*10</t>
  </si>
  <si>
    <t>SUMO-L DROP                   1*15ML</t>
  </si>
  <si>
    <t>SUMO-L DS SYP                 1*60ML</t>
  </si>
  <si>
    <t>SUMO-L SYP                    1*60ML</t>
  </si>
  <si>
    <t>SUMOCOLD DROP                 1*10ML</t>
  </si>
  <si>
    <t>SUMOCOLD SYP                  1*60ML</t>
  </si>
  <si>
    <t>SWICH CV 325                  1*10TAB</t>
  </si>
  <si>
    <t>SWICH-100 SYP                 1*30ML</t>
  </si>
  <si>
    <t>SWICH-50 SYP                  1*30ML</t>
  </si>
  <si>
    <t>T-HEAL TAB                    1*10</t>
  </si>
  <si>
    <t>TAXIM O FORTE SYP.            1*30ML</t>
  </si>
  <si>
    <t>TAXIM-1GM VIAL                1*1</t>
  </si>
  <si>
    <t>TAXIM-250 INJ                 1*1</t>
  </si>
  <si>
    <t>TAXIM-500 INJ                 1*1</t>
  </si>
  <si>
    <t>TAXIM-O DROP                  1*10ML</t>
  </si>
  <si>
    <t>TAXIM-O SYP.                  1*30ML</t>
  </si>
  <si>
    <t>TAXIM-O-100 TAB               1*10</t>
  </si>
  <si>
    <t>TAXIM-O-200 TAB               1*10</t>
  </si>
  <si>
    <t>TAXIMAX-1500 INJ              VIAL</t>
  </si>
  <si>
    <t>UPRISE D3 60K (8)CAP          1*8</t>
  </si>
  <si>
    <t>UPRISE D3 KID*SYP             1*30ML</t>
  </si>
  <si>
    <t>UPRISE D3*60K SYP(1*4)        5 ML</t>
  </si>
  <si>
    <t>XONE-125 INJ.                 VIAL</t>
  </si>
  <si>
    <t>XONE-500 INJ                  1*VIAL</t>
  </si>
  <si>
    <t>ZOCEF-500 TAB                 1*10</t>
  </si>
  <si>
    <t>ZOCEF-CV 250 TAB              1*6</t>
  </si>
  <si>
    <t>ZOCEF-CV-500 TAB              1*6</t>
  </si>
  <si>
    <t>ACULAR LS DROPS               1*5ML</t>
  </si>
  <si>
    <t>ALPHAGAN DROP                 1*5ML</t>
  </si>
  <si>
    <t>ALPHAGAN-P DROP               1*5ML</t>
  </si>
  <si>
    <t>ALPHAGAN-Z DROP               1*5ML</t>
  </si>
  <si>
    <t>AMPLINAK DROP                 1*5ML</t>
  </si>
  <si>
    <t>COMBIGAN E\D                  1*1</t>
  </si>
  <si>
    <t>FLUR DROP.                    1*5ML</t>
  </si>
  <si>
    <t>FML DROP                      1*5ML</t>
  </si>
  <si>
    <t>FML-T DROP                    1*5ML</t>
  </si>
  <si>
    <t>GANFORT DROP                  1*3ML</t>
  </si>
  <si>
    <t>KETOFLOX DROP                 1*5ML</t>
  </si>
  <si>
    <t>L-PRED DROP                   1*5ML</t>
  </si>
  <si>
    <t>LUMIGAN-E/D 0.1               1*1</t>
  </si>
  <si>
    <t>PRED FORTE DROP               1*10ML</t>
  </si>
  <si>
    <t>REFRESH LIQUIGEL              1*1</t>
  </si>
  <si>
    <t>REFRESH TEARS DROP            1*10ML</t>
  </si>
  <si>
    <t>TEARS PLUS DROP               1*10ML</t>
  </si>
  <si>
    <t>ZYLOPRED                      1*5ML</t>
  </si>
  <si>
    <t>AMLYCURE SYP                  200 ML</t>
  </si>
  <si>
    <t>AMLYCURE-DS BIG.SYP           1*200ML</t>
  </si>
  <si>
    <t>AMLYCURE-DS CAP               1*10</t>
  </si>
  <si>
    <t>AMLYCURE-DS SMALL SYP         1*100ML</t>
  </si>
  <si>
    <t>AMREE PLUS TAB                1*20</t>
  </si>
  <si>
    <t>AMROID TAB *AMIL*             1*30</t>
  </si>
  <si>
    <t>AMYCORDIAL SYP                1*200ML</t>
  </si>
  <si>
    <t>AMYCORDIAL TAB                1*30</t>
  </si>
  <si>
    <t>AMYRON SYP.                   1*200ML</t>
  </si>
  <si>
    <t>AMYRON TAB                    1*30</t>
  </si>
  <si>
    <t>BGR-34 TAB                    1*100</t>
  </si>
  <si>
    <t>JUFEX FORTE SYP               1*100ML</t>
  </si>
  <si>
    <t>K.G TONE FORTE SYP            1*100ML</t>
  </si>
  <si>
    <t>LUKOSKIN KIT                  1*1</t>
  </si>
  <si>
    <t>MUSCALT FORTE TAB.            1*30TAB</t>
  </si>
  <si>
    <t>NEERI SYP                     1*200ML</t>
  </si>
  <si>
    <t>NEERI TAB                     1*30</t>
  </si>
  <si>
    <t>PURODIL GEL                   20GM</t>
  </si>
  <si>
    <t>PURODIL SYP                   1*200ML</t>
  </si>
  <si>
    <t>PURODIL TAB                   1*30</t>
  </si>
  <si>
    <t>SEMENTO TAB                   1*10</t>
  </si>
  <si>
    <t>CARDIOTEL*BETA*25 TAB         1*15</t>
  </si>
  <si>
    <t>CARDIOTEL*BETA*50 TAB         1*15</t>
  </si>
  <si>
    <t>CARDIOTEL*TRIO*6.25 TAB       1*10</t>
  </si>
  <si>
    <t>CARDIOTEL-40 TAB              1*15</t>
  </si>
  <si>
    <t>CARDIOTEL-CT/40 TAB           1*10</t>
  </si>
  <si>
    <t>CARDIOTEL-LN40 TAB            1*10</t>
  </si>
  <si>
    <t>GCPRED*4 TAB                  1*10</t>
  </si>
  <si>
    <t>GCPRED*8MG TAB                1*10</t>
  </si>
  <si>
    <t>LEVEDA*120 TAB                1*10</t>
  </si>
  <si>
    <t>LEVEDA*180 TAB                1*10</t>
  </si>
  <si>
    <t>LEVEDA*M TAB                  1*10</t>
  </si>
  <si>
    <t>LYCOMEDA SYP                  1*200ML</t>
  </si>
  <si>
    <t>LYCOMEDA TAB                  1*10TAB</t>
  </si>
  <si>
    <t>NEUROMEDA FORTE TAB           1*10</t>
  </si>
  <si>
    <t>NEUROMEDA TAB                 1*10TAB</t>
  </si>
  <si>
    <t>ORGACIUM TAB                  1*15TAB.</t>
  </si>
  <si>
    <t>PROMEDA DSR CAP               1*10</t>
  </si>
  <si>
    <t>PROMEDA-20                    1*10TAB</t>
  </si>
  <si>
    <t>TAMANDRO TAB                  1*10</t>
  </si>
  <si>
    <t>TAMANDRO-**(D) TAB            1*10</t>
  </si>
  <si>
    <t>BEPLEX FORTE ELIXIR           1*100ML</t>
  </si>
  <si>
    <t>BEPLEX FORTE TAB              1*15</t>
  </si>
  <si>
    <t>EPILAN TAB                    1*1000</t>
  </si>
  <si>
    <t>ANIGEST*200 TAB               1*10</t>
  </si>
  <si>
    <t>ANIRAB*DSR TAB                1*10</t>
  </si>
  <si>
    <t>ANIROSE PLUS CAP              1*14</t>
  </si>
  <si>
    <t>ANIVIT-M CAP                  1*10</t>
  </si>
  <si>
    <t>ANIVIT-M DROPS                1*30ML</t>
  </si>
  <si>
    <t>ANIVIT-M SYP.                 1*200ML</t>
  </si>
  <si>
    <t>BONEFLEX GOLD TAB             1*10</t>
  </si>
  <si>
    <t>CALCICARB-D SYP               1*200ML</t>
  </si>
  <si>
    <t>ETENIYA*90 TAB                1*10</t>
  </si>
  <si>
    <t>ETENIYA*MR TAB                1*10</t>
  </si>
  <si>
    <t>NIYAFLEM-SP TAB.              10'TAB</t>
  </si>
  <si>
    <t>NIYAVESTIN*UC TAB             1*10</t>
  </si>
  <si>
    <t>PLATNIYA PLUS SYP.            1*120ML</t>
  </si>
  <si>
    <t>PLATNIYA*PLUS TAB             1*10</t>
  </si>
  <si>
    <t>SUNTOP*D3 CAP                 1*10</t>
  </si>
  <si>
    <t>SUNTOP*D3*DROP                1*30ML</t>
  </si>
  <si>
    <t>TENDANIYA FORTE TAB           1*10</t>
  </si>
  <si>
    <t>ZINCOVIT DROPS                1*15ML</t>
  </si>
  <si>
    <t>ZINCOVIT SYP                  1*200ML</t>
  </si>
  <si>
    <t>ZINCOVIT TAB                  1*15TAB</t>
  </si>
  <si>
    <t>ZINCOVIT*SF SYP               1*200ML</t>
  </si>
  <si>
    <t>ZINCOVIT*W TAB                1*10</t>
  </si>
  <si>
    <t>ACECLO-PLUS TAB               1*10</t>
  </si>
  <si>
    <t>ACECLO-SR TAB                 1*10</t>
  </si>
  <si>
    <t>AMLOSAF-AT TAB                1*10</t>
  </si>
  <si>
    <t>AMLOSAFE MT50 TAB             1*10</t>
  </si>
  <si>
    <t>AMLOSAFE TM 40 TAB            1*10 TA</t>
  </si>
  <si>
    <t>AMLOSAFE-2.5 TAB              1*10</t>
  </si>
  <si>
    <t>AMLOSAFE-5 TAB                1*10</t>
  </si>
  <si>
    <t>AMLOSAFE-H TAB                1*10</t>
  </si>
  <si>
    <t>AMRODIL DROP                  1*15ML</t>
  </si>
  <si>
    <t>AMRODIL LX SYP                100ML</t>
  </si>
  <si>
    <t>AMRODIL-LX DROP               1*15</t>
  </si>
  <si>
    <t>AMRODIL-PLUS SYP.             1*100ML</t>
  </si>
  <si>
    <t>AMRODIL-S SYP                 1*100ML</t>
  </si>
  <si>
    <t>AMRODIL-SYP                   1*100ML</t>
  </si>
  <si>
    <t>AMRODIL-XP CAP                1*10</t>
  </si>
  <si>
    <t xml:space="preserve">        -6</t>
  </si>
  <si>
    <t>AMRODIL-XP SYP                100ML</t>
  </si>
  <si>
    <t>ARISTOZYME CAP                1*10</t>
  </si>
  <si>
    <t>ARISTOZYME DROP               1*15ML</t>
  </si>
  <si>
    <t>ARISTOZYME GOLD TAB           1*10</t>
  </si>
  <si>
    <t>ARISTOZYME SYP                1*200ML</t>
  </si>
  <si>
    <t>BIOGERMINA ORAL RESPULES      1*5</t>
  </si>
  <si>
    <t>BUTRUM-2MG INJ                1*5</t>
  </si>
  <si>
    <t>CEFADROX CV 250               1*10TAB</t>
  </si>
  <si>
    <t>CEFADROX CV-500 TAB           1*10</t>
  </si>
  <si>
    <t>CEFADROX-250 TAB              1*10</t>
  </si>
  <si>
    <t>CEFADROX-500 TAB              1*10</t>
  </si>
  <si>
    <t>CHEXID*40 TAB                 1*10</t>
  </si>
  <si>
    <t>CLINGEN SUPP.                 1*7</t>
  </si>
  <si>
    <t>CLINGEN-3                     1*3</t>
  </si>
  <si>
    <t>CLINGEN-FORTE SUPP.           1*7</t>
  </si>
  <si>
    <t>COMBITHER SYP                 1*15ML</t>
  </si>
  <si>
    <t>DAROLAC AQUA SYP              5ML</t>
  </si>
  <si>
    <t>IV</t>
  </si>
  <si>
    <t>DAROLAC CAP                   1*10</t>
  </si>
  <si>
    <t>DAROLAC SACHET                1*1GM</t>
  </si>
  <si>
    <t>DAROLAC SYP                   1*30ML</t>
  </si>
  <si>
    <t>DAROLAC Z SACHET              1*10</t>
  </si>
  <si>
    <t>DURATAZ-4.5 INJ               1*1</t>
  </si>
  <si>
    <t>FLEXON SYP                    1*100ML</t>
  </si>
  <si>
    <t>FLEXON TAB                    1*15</t>
  </si>
  <si>
    <t>FLEXON-MR TAB                 1*10</t>
  </si>
  <si>
    <t>FLODART PLUS                  1*10</t>
  </si>
  <si>
    <t>FLODART TAB                   1*10</t>
  </si>
  <si>
    <t>FOLINEXT TAB                  1*10</t>
  </si>
  <si>
    <t>FOLINEXT-D CAP                1*15</t>
  </si>
  <si>
    <t>FORCEF-500 TAB                1*4</t>
  </si>
  <si>
    <t>FOSFOSCIN SACHET              1*1</t>
  </si>
  <si>
    <t>GABAMAX*75 TAB                1*10</t>
  </si>
  <si>
    <t>GABAMAX-GOLD TAB              1*10</t>
  </si>
  <si>
    <t>GABANEURON 100 TAB            1*10TAB</t>
  </si>
  <si>
    <t>GABANEURON NT-100 TAB         1*10</t>
  </si>
  <si>
    <t>GABANEURON SR TAB             1*10</t>
  </si>
  <si>
    <t>GABANEURON TAB                1*10</t>
  </si>
  <si>
    <t>GABANEURON-NT-300 TAB         1*10</t>
  </si>
  <si>
    <t>GLIMIPREX-MF-1\500 TAB        1*10</t>
  </si>
  <si>
    <t>GLYCIGON TAB                  1*10</t>
  </si>
  <si>
    <t>GLYCIGON-M TAB                1*10</t>
  </si>
  <si>
    <t>GRANDEM MD TAB                1*10</t>
  </si>
  <si>
    <t>HATRIC SYP                    1*30ML</t>
  </si>
  <si>
    <t>HATRIC*2 SYP                  1*60ML</t>
  </si>
  <si>
    <t xml:space="preserve">        -5</t>
  </si>
  <si>
    <t>HATRIC-3 SYP                  1*60ML</t>
  </si>
  <si>
    <t>HATRIC-3 TAB                  1*10</t>
  </si>
  <si>
    <t>IMAX-S INJ                    1*AMP</t>
  </si>
  <si>
    <t>INTIMACY PLUS-2               1*21</t>
  </si>
  <si>
    <t>LULIDERM CREAM                10 GM</t>
  </si>
  <si>
    <t>MEGA CV FORTE SYP             1*30ML</t>
  </si>
  <si>
    <t>MEGA-CV DROP                  1*10ML</t>
  </si>
  <si>
    <t>MEGA-CV DT TAB                1*10</t>
  </si>
  <si>
    <t>MEGA-CV SYP                   1*30ML</t>
  </si>
  <si>
    <t>MEGA-CV-375 TAB               1*6</t>
  </si>
  <si>
    <t>MEGA-CV-625 TAB               1*6</t>
  </si>
  <si>
    <t>MEGA-FLEXON TAB               1*10</t>
  </si>
  <si>
    <t>MEGAGLIPTIN MF TAB            1*10</t>
  </si>
  <si>
    <t>MEGAGLIPTIN TAB               1*10</t>
  </si>
  <si>
    <t>MEGAGLIPTIN-MF FORTE TAB      1*10</t>
  </si>
  <si>
    <t>MEGAHEAL GEL                  1*15GM</t>
  </si>
  <si>
    <t>MEGAHEAL GEL MID.             1*50GM</t>
  </si>
  <si>
    <t>MEGANEURON CAP                1*10</t>
  </si>
  <si>
    <t>MEGANEURON NT75 TAB           1*10</t>
  </si>
  <si>
    <t>MEGANEURON*NT*50 TAB          1*10</t>
  </si>
  <si>
    <t>MEGANEURON-OD plus CAP        1*10</t>
  </si>
  <si>
    <t>MEGAPEN CAP                   1*10</t>
  </si>
  <si>
    <t>MEGAPEN KID TAB               1*10</t>
  </si>
  <si>
    <t>MEGAZOLID 600 TAB             1*10</t>
  </si>
  <si>
    <t>MEGAZOLID SYP                 1*30ML</t>
  </si>
  <si>
    <t>MERO-1GM INJ                  1*VIAL</t>
  </si>
  <si>
    <t>MERO-SB-1.5 INJ               1*VAIL</t>
  </si>
  <si>
    <t>MIKACIN-100 INJ               VIAL</t>
  </si>
  <si>
    <t>MIKACIN-250 INJ               1*VIAL</t>
  </si>
  <si>
    <t>MIKACIN-500 VAIL              VIAL</t>
  </si>
  <si>
    <t>MONOCEF-125 INJ               VIAL</t>
  </si>
  <si>
    <t>MONOCEF-1GM VAIL              VIAL</t>
  </si>
  <si>
    <t>MONOCEF-250 INJ               1*VIAL</t>
  </si>
  <si>
    <t>MONOCEF-2GM INJ.              1*VIAL</t>
  </si>
  <si>
    <t>MONOCEF-500 INJ               1*VIAL</t>
  </si>
  <si>
    <t>MONOCEF-O-100 SYP             1*30ML</t>
  </si>
  <si>
    <t>MONOCEF-O-100 TAB             1*6</t>
  </si>
  <si>
    <t>MONOCEF-O-200 TAB             1*6</t>
  </si>
  <si>
    <t>MONOCEF-O-50 SYP              1*30ML</t>
  </si>
  <si>
    <t>MONOCEF-O-50 TAB              1*10</t>
  </si>
  <si>
    <t>MONOCEF-O-CV-200              1*10</t>
  </si>
  <si>
    <t>MONOCEF-SB-1GM INJ            1*VIAL</t>
  </si>
  <si>
    <t>MONTAZ-1GM INJ                1*VIAL</t>
  </si>
  <si>
    <t>MONTAZ-500GM INJ              1*VIAL</t>
  </si>
  <si>
    <t>MONTINA L DT                  1*10TAB</t>
  </si>
  <si>
    <t>MONTINA L SY                  1*30 ML</t>
  </si>
  <si>
    <t>MONTINA-L TAB                 1*10</t>
  </si>
  <si>
    <t>NEBI-5 TAB                    1*10</t>
  </si>
  <si>
    <t>OFLER 200 TAB                 1*10</t>
  </si>
  <si>
    <t>OFLOMAC-M FORTE SYP BIG       1*60ML</t>
  </si>
  <si>
    <t>OMCEF 200 MG                  1*10TAB</t>
  </si>
  <si>
    <t>ORNIDA-500 TAB                1*10</t>
  </si>
  <si>
    <t>ORNIDA-I.V.                   1*100ML</t>
  </si>
  <si>
    <t>ORNOF TAB                     1*10</t>
  </si>
  <si>
    <t xml:space="preserve">        -4</t>
  </si>
  <si>
    <t>PANTOP I.V.                   1*VIAL</t>
  </si>
  <si>
    <t>PANTOP MPS SYP                200ML</t>
  </si>
  <si>
    <t>PANTOP-20 TAB                 1*10</t>
  </si>
  <si>
    <t>PANTOP-40 TAB                 1*10</t>
  </si>
  <si>
    <t>PANTOP-D CAP                  1*10</t>
  </si>
  <si>
    <t>PANTOP-DSR TAB                1*10</t>
  </si>
  <si>
    <t>PANTOP-HP TAB                 1*10</t>
  </si>
  <si>
    <t>PROSTAGARD***8MG CAP          1*10</t>
  </si>
  <si>
    <t>PROSTAGARD**D*8 CAP           1*10</t>
  </si>
  <si>
    <t>PROSTAGARD*4MG TAB            1*10</t>
  </si>
  <si>
    <t>RANTOP SYP                    1*100ML</t>
  </si>
  <si>
    <t>SMUTH CAP                     1*10</t>
  </si>
  <si>
    <t>SMUTH CREAM                   1*30GM</t>
  </si>
  <si>
    <t>SMUTH FIBER POWDER            1*105GM</t>
  </si>
  <si>
    <t>SMUTH L SYP                   150ML</t>
  </si>
  <si>
    <t>SMUTH SYP BIG                 1*200ML</t>
  </si>
  <si>
    <t>SMUTH SYP.SMALL               1*110ML</t>
  </si>
  <si>
    <t>TELVAS AM 80/5                1*10TAB</t>
  </si>
  <si>
    <t>TELVAS AM TAB                 1*10</t>
  </si>
  <si>
    <t>TELVAS BETA 25                1*10TAB</t>
  </si>
  <si>
    <t>TELVAS BETA 50                1*10TAB</t>
  </si>
  <si>
    <t>TELVAS CT 40                  1*10TAB</t>
  </si>
  <si>
    <t>TELVAS CT 80                  1*10TAB</t>
  </si>
  <si>
    <t>TELVAS-20 TAB                 1*10</t>
  </si>
  <si>
    <t>TELVAS-3D TAB                 1*10</t>
  </si>
  <si>
    <t>TELVAS-3D/80 TAB              1*10</t>
  </si>
  <si>
    <t>TELVAS-40 TAB                 1*10</t>
  </si>
  <si>
    <t>TELVAS-80 TAB                 1*10</t>
  </si>
  <si>
    <t>TELVAS-H-40 TAB               1*10</t>
  </si>
  <si>
    <t>TELVAS-H-80 TAB               1*10</t>
  </si>
  <si>
    <t>UT-JOY SYP                    1*100ML</t>
  </si>
  <si>
    <t>V-TOTAL TAB                   1*10</t>
  </si>
  <si>
    <t>ZEROTUSS XP DROP              15ML</t>
  </si>
  <si>
    <t>ZEROTUSS XP SYP               100ML</t>
  </si>
  <si>
    <t>ZYMOFLAM-D                    1*10TAB</t>
  </si>
  <si>
    <t>BETALOC-25MG TAB              1*30</t>
  </si>
  <si>
    <t>BETALOC-50MG TAB              1*30</t>
  </si>
  <si>
    <t>BRILINTA-60 TAB               1*14</t>
  </si>
  <si>
    <t>BRILINTA-90 TAB               1*14</t>
  </si>
  <si>
    <t>CERVIPRIME GEL                1*3GM</t>
  </si>
  <si>
    <t>CRESTOR-10 TAB                1*30</t>
  </si>
  <si>
    <t>CRESTOR-5 TAB                 1*7</t>
  </si>
  <si>
    <t>FORXIGA TAB                   1*14</t>
  </si>
  <si>
    <t>FORXIGA-5 TAB                 1*14</t>
  </si>
  <si>
    <t>IMDUR-30MG TAB                1*30</t>
  </si>
  <si>
    <t>IMDUR-60MG TAB                1*30</t>
  </si>
  <si>
    <t>KOMBIGLYZE-5/500              1*7</t>
  </si>
  <si>
    <t>NEKSIUM-40 TAB                1*14</t>
  </si>
  <si>
    <t>ONGLYZA 2.5 TAB               1*14</t>
  </si>
  <si>
    <t>ONGLYZA-5 TAB                 1*14</t>
  </si>
  <si>
    <t>PROSTODIN 125MG INJ.          1*1</t>
  </si>
  <si>
    <t>PROSTODIN-250MG INJ.          1*1</t>
  </si>
  <si>
    <t>SELOKEN-XL-100 TAB            1*15</t>
  </si>
  <si>
    <t>SELOKEN-XL25                  1*30</t>
  </si>
  <si>
    <t>SELOKEN-XL50                  1*30</t>
  </si>
  <si>
    <t>SYMBICORT TURBUHALER 160 INH  1*60DOS</t>
  </si>
  <si>
    <t>XIGDU 5/1000  TAB             1*14</t>
  </si>
  <si>
    <t>XIGDUO-XR 10/1000MG           1*7</t>
  </si>
  <si>
    <t>XYLOCAIN VISCOUS              1*100ML</t>
  </si>
  <si>
    <t>XYLOCAIN*JELLY 50GM BIG       1*50GM</t>
  </si>
  <si>
    <t>XYLOCAINE-2% JELLY            1*30GM</t>
  </si>
  <si>
    <t>XYLOCAINE-5% OINT.            1*20GM</t>
  </si>
  <si>
    <t>ALLEGRA 120MG.TAB             1*10</t>
  </si>
  <si>
    <t>ALLEGRA SYP                   1*60ML</t>
  </si>
  <si>
    <t>ALLEGRA*NASAL*DUO SPRAY       1*1</t>
  </si>
  <si>
    <t>ALLEGRA-180MG.TAB             1*10</t>
  </si>
  <si>
    <t>ALLEGRA-M TAB                 1*10</t>
  </si>
  <si>
    <t>ALLSTAR PEN                   1*1</t>
  </si>
  <si>
    <t>AMARYL M1 FORTE               1*10TAB</t>
  </si>
  <si>
    <t>AMARYL M2 FORTE               1*10TAB</t>
  </si>
  <si>
    <t>AMARYL-1MG TAB                1*30</t>
  </si>
  <si>
    <t>AMARYL-2MG TAB                1*15</t>
  </si>
  <si>
    <t>AMARYL-3MG TAB                1*30</t>
  </si>
  <si>
    <t>AMARYL-M1 TAB                 1*20</t>
  </si>
  <si>
    <t>AMARYL-M2 TAB                 1*20</t>
  </si>
  <si>
    <t>AMARYL-MV1 TAB                1*10</t>
  </si>
  <si>
    <t>AMARYL-MV2 TAB                1*10</t>
  </si>
  <si>
    <t>APIDRA CARTIGE                3 ML</t>
  </si>
  <si>
    <t>AVIL AMP.2ML                  1*10</t>
  </si>
  <si>
    <t>AVIL-25MG TAB                 1*10</t>
  </si>
  <si>
    <t>AVIL-50MG TAB                 1*10</t>
  </si>
  <si>
    <t>BARALGAN-NU TAB               1*10</t>
  </si>
  <si>
    <t>BUSCOGAST INJ                 1*10</t>
  </si>
  <si>
    <t>BUSCOGAST PLUS                1*10</t>
  </si>
  <si>
    <t>BUSCOGAST TAB                 1*10</t>
  </si>
  <si>
    <t>CARDACE AM 5/5MG              1*10</t>
  </si>
  <si>
    <t>CARDACE AM-10 TAB             1*10</t>
  </si>
  <si>
    <t>CARDACE METO 5                1*10TAB</t>
  </si>
  <si>
    <t>CARDACE PROTECT 2.5 TAB       1*10</t>
  </si>
  <si>
    <t>CARDACE PROTECT 5 TAB         1*10</t>
  </si>
  <si>
    <t>CARDACE-1.25MG TAB            1*10</t>
  </si>
  <si>
    <t>CARDACE-10MG TAB              1*10</t>
  </si>
  <si>
    <t>CARDACE-2.5MG TAB             1*15</t>
  </si>
  <si>
    <t>CARDACE-5MG TAB               1*10</t>
  </si>
  <si>
    <t>CARDACE-AM 2.5/5 TAB          1*10</t>
  </si>
  <si>
    <t>CARDACE-H 2.5MG TAB           1*10</t>
  </si>
  <si>
    <t>CARDACE-H-10 TAB              1*10</t>
  </si>
  <si>
    <t>CARDACE-H-5 TAB               1*10</t>
  </si>
  <si>
    <t>CETAPIN-V-.0.3                1*10TAB</t>
  </si>
  <si>
    <t>CETAPIN-XR 1GM TAB.           1*15</t>
  </si>
  <si>
    <t>CETAPIN-XR-500 TAB            1*10</t>
  </si>
  <si>
    <t>CLEXANE-40MG INJ.             1*2</t>
  </si>
  <si>
    <t>CLEXANE-60MG INJ.             1*2</t>
  </si>
  <si>
    <t>COMBIFLAM SYP.                1*100ML</t>
  </si>
  <si>
    <t>COMBIFLAM TAB.                1*10</t>
  </si>
  <si>
    <t>COQ*FORTE CAP                 1*10</t>
  </si>
  <si>
    <t>CORDARONE-100 TAB             1*10</t>
  </si>
  <si>
    <t>CORDARONE-X TAB               1*10</t>
  </si>
  <si>
    <t>DAONIL TAB                    1*10</t>
  </si>
  <si>
    <t>DAONIL-M TAB                  1*10</t>
  </si>
  <si>
    <t>DEPURA KID SYP                1*15ML</t>
  </si>
  <si>
    <t>DULCOFLAX SUPP ADELT.         1*5</t>
  </si>
  <si>
    <t>DULCOFLEX SUPP CHILD.         1*5SUP</t>
  </si>
  <si>
    <t>DULCOFLEX TAB                 1*10</t>
  </si>
  <si>
    <t>ENTEROGERMINA AMP             1*1</t>
  </si>
  <si>
    <t>ENTEROGERMINA CAP             1*4</t>
  </si>
  <si>
    <t>FRISIUM-10MG TAB NRX          1*10</t>
  </si>
  <si>
    <t>FRISIUM-5MG TAB  NRX          1*10</t>
  </si>
  <si>
    <t>INSUMAN COMB 25               1*3ML</t>
  </si>
  <si>
    <t>INSUMAN RAPID CARTEG          1*3ML</t>
  </si>
  <si>
    <t>LACTACYD LOTION               1*120ML</t>
  </si>
  <si>
    <t>LANTUS APIDRA                 1*1</t>
  </si>
  <si>
    <t>LANTUS CARTRIGE               1*3ML</t>
  </si>
  <si>
    <t>LANTUS-SOLOSTAR               1*1</t>
  </si>
  <si>
    <t>LASILACTONE-50 TAB            1*10</t>
  </si>
  <si>
    <t>LASIX AMP.4ML                 1*10</t>
  </si>
  <si>
    <t>LASIX TAB                     1*10</t>
  </si>
  <si>
    <t>MYORIL CAP                    1*10</t>
  </si>
  <si>
    <t>MYORIL-8 TAB                  1*10</t>
  </si>
  <si>
    <t>PROCTOSEDYL OINT.             1*10GM</t>
  </si>
  <si>
    <t>SEMI AMARYL (M) TAB           1*10</t>
  </si>
  <si>
    <t>*PCS</t>
  </si>
  <si>
    <t>SEMI-AMARYL TAB               1*30</t>
  </si>
  <si>
    <t>SOFRAMYCIN OINT               1*20GM</t>
  </si>
  <si>
    <t>SOFRAMYCIN-BIG OINT.          1*100GM</t>
  </si>
  <si>
    <t>TELSITE 40 MG                 1*10TAB</t>
  </si>
  <si>
    <t>TELSITE-20 TAB                1*10</t>
  </si>
  <si>
    <t>TELSITE-80 MG                 1*10TAB</t>
  </si>
  <si>
    <t>TELSITE-AM TAB                1*10</t>
  </si>
  <si>
    <t>TELSITE-AMH TAB               1*10</t>
  </si>
  <si>
    <t>TELSITE-H-40 TAB              1*10</t>
  </si>
  <si>
    <t>TOUJEO CARTAGE                1*3</t>
  </si>
  <si>
    <t>TOUJEO SOLOSTAR               1*1</t>
  </si>
  <si>
    <t>INSU</t>
  </si>
  <si>
    <t>TOUSTAR PEN                   1*1</t>
  </si>
  <si>
    <t>TRENTAL-400MG TAB             1*10</t>
  </si>
  <si>
    <t>VALPARIN SYP                  1*100ML</t>
  </si>
  <si>
    <t>VALPARIN-200 TAB              1*10</t>
  </si>
  <si>
    <t>VALPARIN-500 TAB              1*10</t>
  </si>
  <si>
    <t>VALPARIN-CR-200 TAB           1*10</t>
  </si>
  <si>
    <t>VALPARIN-CR-300 TAB           1*10</t>
  </si>
  <si>
    <t>VALPARIN-CR-500 TAB           1*10</t>
  </si>
  <si>
    <t>VINLEP 300                    1*10TAB</t>
  </si>
  <si>
    <t>VINLEP-600 TAB                1*10</t>
  </si>
  <si>
    <t>FEMAKE TAB                    1*10</t>
  </si>
  <si>
    <t>FERTICLICK**M TAB             1*10</t>
  </si>
  <si>
    <t>FERTICLICK*F TAB              1*10</t>
  </si>
  <si>
    <t>MAYODI TAB                    1*10</t>
  </si>
  <si>
    <t>MAYODI*M TAB                  1*10</t>
  </si>
  <si>
    <t>NORTIONE*NT TAB               1*10</t>
  </si>
  <si>
    <t>OVAPIC*2.5 TAB                1*5</t>
  </si>
  <si>
    <t>RABTAPE D TAB                 1*10</t>
  </si>
  <si>
    <t>SURE LMF TAB                  1*10</t>
  </si>
  <si>
    <t>VITAXEL** IMMUNE TAB          1*10</t>
  </si>
  <si>
    <t>VITAXEL*NEW TAB               1*10</t>
  </si>
  <si>
    <t>VITAXEL-SYP                   1*200ML</t>
  </si>
  <si>
    <t>ZVITAXEL TAB                  1*10</t>
  </si>
  <si>
    <t>BASALOG ONE PEN               1*1</t>
  </si>
  <si>
    <t>BASALOG REFILL                1*3</t>
  </si>
  <si>
    <t>BASALOG VIAL                  1*1</t>
  </si>
  <si>
    <t>INSUGEN 30/70INJ              1*1VALI</t>
  </si>
  <si>
    <t>INSUGEN-30\70REFIL            1*5</t>
  </si>
  <si>
    <t>INSUGEN-R CAR                 1*3</t>
  </si>
  <si>
    <t>INSUGEN-R VIAL                I*10ML</t>
  </si>
  <si>
    <t>INSUPEN PRO PEN               1*1</t>
  </si>
  <si>
    <t>PSORID 50 TAB                 1*5</t>
  </si>
  <si>
    <t>ZUKAR MF TAB                  1*10TAB</t>
  </si>
  <si>
    <t>ANGICAM-5 TAB                 1*10</t>
  </si>
  <si>
    <t>ANGICAM-BETA TAB              1*15</t>
  </si>
  <si>
    <t>KOL-Q TAB                     1*10</t>
  </si>
  <si>
    <t>LOSTAT-50 TAB                 1*10</t>
  </si>
  <si>
    <t>MEFTAGESIC DS SYP             1*60ML</t>
  </si>
  <si>
    <t>MEFTAGESIC-P SYP              1*60 ML</t>
  </si>
  <si>
    <t>MEFTAGESIC-P TAB              1*10</t>
  </si>
  <si>
    <t>MEFTAL FORTE TAB              1*10</t>
  </si>
  <si>
    <t>MEFTAL MR TAB                 1*10</t>
  </si>
  <si>
    <t>MEFTAL-250MG TAB              1*10</t>
  </si>
  <si>
    <t>MEFTAL-500 TAB                1*10</t>
  </si>
  <si>
    <t>MEFTAL-P SYP.                 1*60ML</t>
  </si>
  <si>
    <t>MEFTAL-P TAB                  1*10</t>
  </si>
  <si>
    <t>MEFTAL-SPAS SYP               1*30</t>
  </si>
  <si>
    <t>MEFTAL-SPAS TAB               1*10</t>
  </si>
  <si>
    <t>OLMEBLU*20 TAB                1*15</t>
  </si>
  <si>
    <t>OLMEBLU*40 TAB                1*15</t>
  </si>
  <si>
    <t>OLMEBLU*H40 TAB               1*15</t>
  </si>
  <si>
    <t>TUSQ LONG.                    1*6</t>
  </si>
  <si>
    <t>TUSQ TAB                      1*10</t>
  </si>
  <si>
    <t>TUSQ-DX SYP.                  1*100ML</t>
  </si>
  <si>
    <t>TUSQ-X SYP.                   1*100ML</t>
  </si>
  <si>
    <t>VEBA PLUS TAB                 1*15</t>
  </si>
  <si>
    <t>B-PROTIN (CF)PET BIG          400 GM</t>
  </si>
  <si>
    <t>B-PROTIN-C- POWDER            1*200GM</t>
  </si>
  <si>
    <t>D-PROTIN PET BIG              1*500GM</t>
  </si>
  <si>
    <t>D-PROTIN-C-POWDER             1*200GM</t>
  </si>
  <si>
    <t>KIDS-PRO POWDER               1*200GM</t>
  </si>
  <si>
    <t>MEDI-SLIM POWDER              1*400GM</t>
  </si>
  <si>
    <t>MENO-PRO POWDER               1*200GM</t>
  </si>
  <si>
    <t>PRO-PL-C-POWDER BIG           1*400GM</t>
  </si>
  <si>
    <t>PRO-PL-CA-POWDER              1*200GM</t>
  </si>
  <si>
    <t>PULMOCARE POWDER              1*200GM</t>
  </si>
  <si>
    <t>KOFAREST*PD DROP              1*15ML</t>
  </si>
  <si>
    <t>KOFAREST*PD*SYP               1*100ML</t>
  </si>
  <si>
    <t>METOZ*2.5 TAB                 1*10</t>
  </si>
  <si>
    <t>METOZ*5 TAB                   1*10</t>
  </si>
  <si>
    <t>OTIFLOX DROP                  1*5ML</t>
  </si>
  <si>
    <t>SINAREST TAB 1*10TAB          1*10</t>
  </si>
  <si>
    <t>SINAREST*AF DROP              1*15ML</t>
  </si>
  <si>
    <t>SINAREST*AF SYP               1*60ML</t>
  </si>
  <si>
    <t>SINAREST*DROP                 1*15ML</t>
  </si>
  <si>
    <t>SINAREST*LEVO TAB             1*10</t>
  </si>
  <si>
    <t>SINAREST*LP TAB               1*10</t>
  </si>
  <si>
    <t>SINAREST*PLUS SYP             1*75ML</t>
  </si>
  <si>
    <t>SINAREST*SYP                  60ML</t>
  </si>
  <si>
    <t>COSVATE-GM CREAM 20G          1*20GM</t>
  </si>
  <si>
    <t>JECTOCOS INJ.                 1*1.5ML</t>
  </si>
  <si>
    <t>JECTOCOS PLUS INJ.            1*1.5ML</t>
  </si>
  <si>
    <t>JECTOCOS*LIPO TAB             1*10</t>
  </si>
  <si>
    <t>REGLAN INJ.                   1*1</t>
  </si>
  <si>
    <t>REGLAN TAB                    1*15</t>
  </si>
  <si>
    <t>ADDYZOA CAP                   1*20</t>
  </si>
  <si>
    <t>APTIZOOM SYP.                 1*200ML</t>
  </si>
  <si>
    <t>CALCURY TAB                   1*40</t>
  </si>
  <si>
    <t>FEMIFORTE TAB                 1*30</t>
  </si>
  <si>
    <t>FEMIPLEX TAB                  1*100</t>
  </si>
  <si>
    <t>GUM TONE GEL                  1*50GM</t>
  </si>
  <si>
    <t>GUM TONE POW                  1*40GM</t>
  </si>
  <si>
    <t>LIVOMYN SYP BIG               1*200ML</t>
  </si>
  <si>
    <t>LIVOMYN TAB                   1*20</t>
  </si>
  <si>
    <t>M2 TONE SYP                   1*200ML</t>
  </si>
  <si>
    <t>M2-TONE FORTE                 1*200</t>
  </si>
  <si>
    <t>M2-TONE SYP.(BIG)             1*450ML</t>
  </si>
  <si>
    <t>M2-TONE TAB                   1*20</t>
  </si>
  <si>
    <t>NEO SILVER TAB                1*100</t>
  </si>
  <si>
    <t>PIGMENTO OINT                 1*50GM</t>
  </si>
  <si>
    <t>PIGMENTO TAB                  1*75</t>
  </si>
  <si>
    <t>ACIVIR*400 TAB                1*5</t>
  </si>
  <si>
    <t>ACIVIR*800 TAB                1*5</t>
  </si>
  <si>
    <t>AEROCORT INHALER              200MD</t>
  </si>
  <si>
    <t>AEROCORT ROTACAP              60'CAP</t>
  </si>
  <si>
    <t>AEROCORT*FORT*ROTACAP         1*30</t>
  </si>
  <si>
    <t>ALERID SYP                    1*60ML</t>
  </si>
  <si>
    <t>ALERID TAB                    1*10</t>
  </si>
  <si>
    <t>AMLOPRES 5MG TAB              1*15TAB</t>
  </si>
  <si>
    <t>AMLOPRES*AT*50 TAB            1*15</t>
  </si>
  <si>
    <t>AMLOPRESS-AT-25 TAB           1*10</t>
  </si>
  <si>
    <t>ASTHALIN INHALER 200          1*1</t>
  </si>
  <si>
    <t>ASTHALIN RESPULES             1*2.5ML</t>
  </si>
  <si>
    <t>ASTHALIN ROTACAPS             1*60CAPS</t>
  </si>
  <si>
    <t>AZEE*250 TAB                  1*10</t>
  </si>
  <si>
    <t>AZEE*500 TAB                  1*5</t>
  </si>
  <si>
    <t>BUDECORT RESPU*0.5            1*5</t>
  </si>
  <si>
    <t>BUDESAL*0.5 RESPULE           1*5</t>
  </si>
  <si>
    <t>CALUTIDE*50 TAB               1*10</t>
  </si>
  <si>
    <t>CIPLAR-LA 20MG TAB 10         1*10TAB</t>
  </si>
  <si>
    <t>CIPLAR-LA 40                  1*10TAB</t>
  </si>
  <si>
    <t>CIPLOX *250 TAB               1*10</t>
  </si>
  <si>
    <t>CIPLOX*D EYE DROP             1*10ML</t>
  </si>
  <si>
    <t>CIPLOX*EYE DROP               1*10ML</t>
  </si>
  <si>
    <t>CIPLOX-500 TAB                1*10</t>
  </si>
  <si>
    <t>CLOPIVAS AP-150 TAB           1*15</t>
  </si>
  <si>
    <t>DORZOX*T DROP                 1*1</t>
  </si>
  <si>
    <t>DUOLIN R/C                    1*60CAP</t>
  </si>
  <si>
    <t>DUOLIN*3 RESPULES             1*5</t>
  </si>
  <si>
    <t>DYTOR 40MG TAB                1*10</t>
  </si>
  <si>
    <t>DYTOR*10 TAB                  1*15</t>
  </si>
  <si>
    <t>DYTOR*20 TAB                  1*15</t>
  </si>
  <si>
    <t>DYTOR*5 TAB                   1*15</t>
  </si>
  <si>
    <t>DYTOR*PLUS*20 TAB             1*15</t>
  </si>
  <si>
    <t>DYTOR*PLUS*5 TAB              1*15</t>
  </si>
  <si>
    <t>DYTOR*PLUS10 TAB              1*15</t>
  </si>
  <si>
    <t>FLOMIST NASAL SPRAY           1*1</t>
  </si>
  <si>
    <t>FORACORT*0.5 RESPULES         1*5</t>
  </si>
  <si>
    <t>FORACORT*200 INHALER          1*1</t>
  </si>
  <si>
    <t>FORACORT*200 ROTA             1*30</t>
  </si>
  <si>
    <t>FORACORT*400 ROTA             1*30</t>
  </si>
  <si>
    <t>FOSIROL SACHET                1*1</t>
  </si>
  <si>
    <t>FURAMIST N/S                  1*1</t>
  </si>
  <si>
    <t>FURAMIST*AZ SPARY             1*1</t>
  </si>
  <si>
    <t>GUDCEF XL-200                 1*10TAB</t>
  </si>
  <si>
    <t>IBUGESIC PLUS SYP             1*100ML</t>
  </si>
  <si>
    <t>IBUGESIC PLUS SYP             1*60</t>
  </si>
  <si>
    <t>IBUGESIC PLUS TAB             1*20</t>
  </si>
  <si>
    <t>LEVOLIN*0.31MG RESPU          1*5</t>
  </si>
  <si>
    <t>LEVOLIN*0.63MG RESPULES       1*5</t>
  </si>
  <si>
    <t>METOLAR*XR*25 TAB             1*15</t>
  </si>
  <si>
    <t>MONTAIR LC-KID TAB            1*10</t>
  </si>
  <si>
    <t>MONTAIR*FX TAB                1*10</t>
  </si>
  <si>
    <t>MONTAIR*LC TAB                1*10</t>
  </si>
  <si>
    <t>NICOTEX*2 CHEWING TAB         1*1</t>
  </si>
  <si>
    <t>NICOTEX*2*TIN                 1*TIN</t>
  </si>
  <si>
    <t>NICOTEX*4 TAB STRIP           1*9</t>
  </si>
  <si>
    <t>NICOTEX*4 TIN TAB             1*25</t>
  </si>
  <si>
    <t>NINTIB*100 TAB                1*10</t>
  </si>
  <si>
    <t>NORFLOX*400 TAB               1*10</t>
  </si>
  <si>
    <t>NORFLOX*TZ TAB                1*10</t>
  </si>
  <si>
    <t>OSTEOFOS*70 TAB               1*4</t>
  </si>
  <si>
    <t>RIVELA*50 SPF                 1*50ML</t>
  </si>
  <si>
    <t>ROTAHALER CIPLA               1*1</t>
  </si>
  <si>
    <t>SEBOWASH SHAMPOO              1*100ML</t>
  </si>
  <si>
    <t>TUGAIN*10% LOTION             1*60ML</t>
  </si>
  <si>
    <t>TUGAIN*2% LOTION              1*60ML</t>
  </si>
  <si>
    <t>TUGAIN*5% LOTION              1*60ML</t>
  </si>
  <si>
    <t>URIMAX*0.4 CAP                1*15</t>
  </si>
  <si>
    <t>COSRAB-20                     1*10TAB</t>
  </si>
  <si>
    <t>COSRAB-DSR CAP                1*10</t>
  </si>
  <si>
    <t>COSTIVAH-CT                   1*10TAB</t>
  </si>
  <si>
    <t>DESAID GEL                    30GM</t>
  </si>
  <si>
    <t>DESAID-SP TAB.                1*10TAB</t>
  </si>
  <si>
    <t>FERIQUEEN SYP                 1*200ML</t>
  </si>
  <si>
    <t>FERIQUEEN TAB                 1*10</t>
  </si>
  <si>
    <t>L-COS 500                     1*10TAB</t>
  </si>
  <si>
    <t>ZZZCOSTIVAH*CT TAB*18%        1*10</t>
  </si>
  <si>
    <t xml:space="preserve">       -36</t>
  </si>
  <si>
    <t>ABZORB POWDER                 1*75g</t>
  </si>
  <si>
    <t>DIPROVATE + CREAM             1*16GM</t>
  </si>
  <si>
    <t>DIPROVATE +LOTION             1*30ML</t>
  </si>
  <si>
    <t>DIPROVATE-G CREAM             1*16GM</t>
  </si>
  <si>
    <t>DIPROVATE-RD CREAM            1*15GM</t>
  </si>
  <si>
    <t>DIPROVATE-S OINT              1*15GM</t>
  </si>
  <si>
    <t>EXEL CREAM                    1*15GM</t>
  </si>
  <si>
    <t>EXEL Gn CREAM                 16GM</t>
  </si>
  <si>
    <t>EXEL-M CREAM                  1*16g</t>
  </si>
  <si>
    <t>FUCIBET CREAM                 1*15GM</t>
  </si>
  <si>
    <t>FUCIDIN CREAM                 1*15G</t>
  </si>
  <si>
    <t>FUCIDIN OINT.                 1*10GM</t>
  </si>
  <si>
    <t>MOISTUREX CALM LOTION         100ml</t>
  </si>
  <si>
    <t>MOISTUREX CREAM               100'GM</t>
  </si>
  <si>
    <t>MOISTUREX SYNDET              75GM</t>
  </si>
  <si>
    <t>SILVEREX AV CREAM             1*10GM</t>
  </si>
  <si>
    <t>SILVEREX AV CREAM             1*25GM</t>
  </si>
  <si>
    <t>SILVEREX CREAM                1*250GM</t>
  </si>
  <si>
    <t>SUNCROS AQUA GEL              1*100ML</t>
  </si>
  <si>
    <t>SUNCROS LOTION                1*100ML</t>
  </si>
  <si>
    <t>TECZINE SYP                   1*30ML</t>
  </si>
  <si>
    <t>TECZINE-5MG TAB               1*10</t>
  </si>
  <si>
    <t>VOLINI 40GM SPRAY             1*40GM</t>
  </si>
  <si>
    <t>VOLINI 55GM SPRAY             1*55GM</t>
  </si>
  <si>
    <t>VOLINI GEL                    1*15GM</t>
  </si>
  <si>
    <t>VOLINI GEL                    1*30GM</t>
  </si>
  <si>
    <t>VOLITRA GEL                   1*30GM</t>
  </si>
  <si>
    <t>AUTRIN CAP                    1*30</t>
  </si>
  <si>
    <t>AUTRIN XT TAB                 1*10</t>
  </si>
  <si>
    <t>CANESTEN POWDER               1*100GM</t>
  </si>
  <si>
    <t>FOLVITE MB CAP                1*10</t>
  </si>
  <si>
    <t>FOLVITE TAB                   1*45</t>
  </si>
  <si>
    <t>FOLVITE-ACTIVE TAB            1*15</t>
  </si>
  <si>
    <t>HETRAZAN-100                  1*30</t>
  </si>
  <si>
    <t>MUCAINE MINT GEL              1*200ML</t>
  </si>
  <si>
    <t>MUCAINE ORG GEL               1*200ML</t>
  </si>
  <si>
    <t>OVRAL-G TAB                   1*20</t>
  </si>
  <si>
    <t>OVRAL-L (1*21)TAB             3*21TAB</t>
  </si>
  <si>
    <t>PACITANE TAB                  1*10</t>
  </si>
  <si>
    <t>PREMARIN CREAM                1*42.5G</t>
  </si>
  <si>
    <t>WYSOLONE-10 TAB               1*15</t>
  </si>
  <si>
    <t>WYSOLONE-20MG TAB             1*10</t>
  </si>
  <si>
    <t>WYSOLONE-5MG TAB              1*10</t>
  </si>
  <si>
    <t>GESTOFIT SR-300 CAP           1*10</t>
  </si>
  <si>
    <t>OVIGYN-DSR TAB                1*7</t>
  </si>
  <si>
    <t>TELLZY AH TAB                 1*10</t>
  </si>
  <si>
    <t>TELLZY RS TAB                 1*10</t>
  </si>
  <si>
    <t>AGNA-25000 TAB                1*10</t>
  </si>
  <si>
    <t>ALFOO TAB                     1*30</t>
  </si>
  <si>
    <t>ANTOXID-HC CAP                1*30</t>
  </si>
  <si>
    <t>AQUADERM LOTION               1*200ML</t>
  </si>
  <si>
    <t>ATARAX CREAM                  1*100GM</t>
  </si>
  <si>
    <t>ATOCOR CV 10 TAB              1*10</t>
  </si>
  <si>
    <t>ATOCOR-10MG TAB               1*10</t>
  </si>
  <si>
    <t>ATOCOR-20MG TAB               1*10</t>
  </si>
  <si>
    <t>ATOCOR-40 TAB                 1*15</t>
  </si>
  <si>
    <t>ATOCOR-80 TAB                 1*15</t>
  </si>
  <si>
    <t>BECOZINC CAP.                 1*15</t>
  </si>
  <si>
    <t>BISPEC-5 TAB                  1*30</t>
  </si>
  <si>
    <t>BRIV*100 TAB                  1*10</t>
  </si>
  <si>
    <t>BRIV*50 TAB                   1*10</t>
  </si>
  <si>
    <t>CARDIOPRIL-5MG TAB            1*10</t>
  </si>
  <si>
    <t>CAZIQ CREAM                   1*5GM</t>
  </si>
  <si>
    <t>CETZINE SYP DR REDDY          1*60ML</t>
  </si>
  <si>
    <t>CETZINE TAB DR REDDY          1*10</t>
  </si>
  <si>
    <t>CHEERIO GEL                   1*75GM</t>
  </si>
  <si>
    <t>CLOHEX ADS M/W                1*200ML</t>
  </si>
  <si>
    <t>M/W</t>
  </si>
  <si>
    <t>CLOHEX ORAL RINSE (red)       1*150ML</t>
  </si>
  <si>
    <t>CLOHEX*NS BRUSH               1*1</t>
  </si>
  <si>
    <t>DANCLEAR SHAMPOO BIG          1*90ML</t>
  </si>
  <si>
    <t>DAPLO*10 TAB                  1*10</t>
  </si>
  <si>
    <t>DELCYNISE TAB                 1*10TAB</t>
  </si>
  <si>
    <t>DOLOGEL                       1*15GM</t>
  </si>
  <si>
    <t>DOLOGEL-CT CREAM              1*10GM</t>
  </si>
  <si>
    <t>DOXT-SL TAB                   1*10</t>
  </si>
  <si>
    <t>DUTALFA TAB                   1*10</t>
  </si>
  <si>
    <t>DUTAS CAP                     1*30</t>
  </si>
  <si>
    <t>DUTAS-T CAP                   1*10</t>
  </si>
  <si>
    <t>EBERNET CREAM                 1*10GM</t>
  </si>
  <si>
    <t>ECONORM CAP                   1*4</t>
  </si>
  <si>
    <t>ECONORM SACHET                1*765MG</t>
  </si>
  <si>
    <t>EZINAPI CREAM                 1*30GM</t>
  </si>
  <si>
    <t>EZINAPI OINT                  1*10GM</t>
  </si>
  <si>
    <t>FINAST TAB                    1*30</t>
  </si>
  <si>
    <t>FINAX TAB                     1*30</t>
  </si>
  <si>
    <t>FLURISH TAB                   1*1</t>
  </si>
  <si>
    <t>GLIMY M2 FORTE                1*10TAB</t>
  </si>
  <si>
    <t>GLIMY MV1 TAB                 1*10</t>
  </si>
  <si>
    <t>GLIMY MV2 TAB                 1*10</t>
  </si>
  <si>
    <t>GLIMY-1MG TAB                 1*10</t>
  </si>
  <si>
    <t>GLIMY-2MG TAB                 1*10</t>
  </si>
  <si>
    <t>GLIMY-M1 TAB.                 1*15</t>
  </si>
  <si>
    <t>GLIMY-M2 TAB                  1*10</t>
  </si>
  <si>
    <t>HYDROHEAL AM S                1*15GM</t>
  </si>
  <si>
    <t>IBUCLIN JUNIOR                1*10</t>
  </si>
  <si>
    <t>K CIT SYP                     1*200ML</t>
  </si>
  <si>
    <t>KETOROL*SP TAB                1*10</t>
  </si>
  <si>
    <t>KETOROL-DT TAB                1*10</t>
  </si>
  <si>
    <t>MEGA-3 CAP                    1*30</t>
  </si>
  <si>
    <t>METROHEX GEL                  1*10GM</t>
  </si>
  <si>
    <t>METSMALL VX**500 TAB          1*10</t>
  </si>
  <si>
    <t>METSMALL*VX*1000 TAB          1*10</t>
  </si>
  <si>
    <t>METSMALL-1000 TAB             1*10</t>
  </si>
  <si>
    <t>METSMALL-500 TAB              1*10</t>
  </si>
  <si>
    <t>MINTOP 2% LOTION              1*60ML</t>
  </si>
  <si>
    <t>MINTOP 5% FORTE LOTION        1*60ML</t>
  </si>
  <si>
    <t>MINTOP-10% LOTION             1*60ML</t>
  </si>
  <si>
    <t>MUCOLITE DROP                 1*15ML</t>
  </si>
  <si>
    <t>MUCOLITE SYP.                 1*100ML</t>
  </si>
  <si>
    <t>MUCOLITE TAB                  1*10</t>
  </si>
  <si>
    <t>MUOUT+ POWDER                 1*119GM</t>
  </si>
  <si>
    <t>NISE TAB                      1*15</t>
  </si>
  <si>
    <t>OLSERTAIN 20 MG TAB           1*10TAB</t>
  </si>
  <si>
    <t>OLSERTAIN 40 MG TAB           1*15TAB</t>
  </si>
  <si>
    <t>OLSERTAIN AM-20 TAB           1*10TAB</t>
  </si>
  <si>
    <t>OLSERTAIN H 20 MG             1*10TAB</t>
  </si>
  <si>
    <t>OLSERTAIN H 40 MG             1*10TAB</t>
  </si>
  <si>
    <t>OMEZ-20 CAP                   1*15</t>
  </si>
  <si>
    <t>OMEZ-40 TAB                   1*10</t>
  </si>
  <si>
    <t>OMEZ-DSR TAB                  1*15</t>
  </si>
  <si>
    <t>OMEZ-INSTA SACHET             1*1</t>
  </si>
  <si>
    <t>OPTIDOZ TAB                   1*10</t>
  </si>
  <si>
    <t>ORDENT TAB                    1*10</t>
  </si>
  <si>
    <t>RAZO SACHET                   1*3GM</t>
  </si>
  <si>
    <t>RAZO-20 TAB                   1*15</t>
  </si>
  <si>
    <t>RAZO-D CAP                    1*15</t>
  </si>
  <si>
    <t>RAZO-L TAB                    1*10</t>
  </si>
  <si>
    <t>RECLIDE XR 60                 1*10TAB</t>
  </si>
  <si>
    <t>RECLIDE-40MG TAB              1*10</t>
  </si>
  <si>
    <t>RECLIMET TAB                  1*15</t>
  </si>
  <si>
    <t>RECLIMET XR TAB               1*14</t>
  </si>
  <si>
    <t>REDOTIL CAP                   1*10</t>
  </si>
  <si>
    <t>RELENT SYP.                   1*60ML</t>
  </si>
  <si>
    <t>RELENT*PLUS SYP               50ML</t>
  </si>
  <si>
    <t>RESWAS SYP                    1*120ML</t>
  </si>
  <si>
    <t>RETOZ-120 TAB                 1*10</t>
  </si>
  <si>
    <t>RETOZ-90 TAB                  1*10</t>
  </si>
  <si>
    <t>RETOZ-MR-4 TAB                1*10</t>
  </si>
  <si>
    <t>ROZAT-10MG TAB                1*10</t>
  </si>
  <si>
    <t>ROZAT-20 TAB                  1*10</t>
  </si>
  <si>
    <t>ROZAT-5MG TAB                 1*10</t>
  </si>
  <si>
    <t>ROZAT-F TAB                   1*10</t>
  </si>
  <si>
    <t>SEMI-RECLIMET TAB             1*10</t>
  </si>
  <si>
    <t>SENQUEL GEL                   1*100GM</t>
  </si>
  <si>
    <t>SENQUEL-AD M.W.               1*100ML</t>
  </si>
  <si>
    <t>SENQUEL-AD M/W                1*200ML</t>
  </si>
  <si>
    <t>SENQUEL-F GEL                 1*50GM</t>
  </si>
  <si>
    <t>SENQUEL-F GEL                 1*100GM</t>
  </si>
  <si>
    <t>SIBOFIX-550 TAB               1*10</t>
  </si>
  <si>
    <t>SILDOO**D8 CAP                1*10</t>
  </si>
  <si>
    <t>SILDOO-8 CAP                  1*10</t>
  </si>
  <si>
    <t>STAMLO 2.5MG TAB              1*10</t>
  </si>
  <si>
    <t>STAMLO 5MG TAB                1*30</t>
  </si>
  <si>
    <t>STAMLO T                      1*10TAB</t>
  </si>
  <si>
    <t>STAMLO-D TAB                  1*10</t>
  </si>
  <si>
    <t>STAMLOBETA TAB                1*15</t>
  </si>
  <si>
    <t>STOLIN GEL                    1*100GM</t>
  </si>
  <si>
    <t>STOLIN GUM PAINT.             1*15ML</t>
  </si>
  <si>
    <t>STOLIN-R GEL                  1*100GM</t>
  </si>
  <si>
    <t>STOLIN-R GEL                  1*50GM</t>
  </si>
  <si>
    <t>TAZZEL*5 TAB                  1*10</t>
  </si>
  <si>
    <t>TAZZEL-10 TAB                 1*30</t>
  </si>
  <si>
    <t>TELSARTAN-20 TAB              1*15</t>
  </si>
  <si>
    <t>TELSARTAN-40 TAB              1*15</t>
  </si>
  <si>
    <t>TELSARTAN-TRIO TAB            1*30</t>
  </si>
  <si>
    <t>TICAFLO-90 TAB                1*10</t>
  </si>
  <si>
    <t>TRISERTAIN*20 TAB             1*10</t>
  </si>
  <si>
    <t>ULTRA**NISE NRX TAB           1*10</t>
  </si>
  <si>
    <t>VANTEJ PASTE                  1*100GM</t>
  </si>
  <si>
    <t>VANTEJ PASTE                  1*50GM</t>
  </si>
  <si>
    <t>VEGAZ OD                      1*10</t>
  </si>
  <si>
    <t>VENUSIA CREAM                 1*1</t>
  </si>
  <si>
    <t>VENUSIA DERM CREAM            1*75GM</t>
  </si>
  <si>
    <t>VENUSIA LOTION                1*100ML</t>
  </si>
  <si>
    <t>VENUSIA LOTION BIG            1*200ML</t>
  </si>
  <si>
    <t>VENUSIA MAX BIG LOTION        1*300ML</t>
  </si>
  <si>
    <t>VENUSIA-MAX CREAM             1*150GM</t>
  </si>
  <si>
    <t>Z&amp;D DROP                      1*15ML</t>
  </si>
  <si>
    <t>REFLORA-R SACHET              1*10</t>
  </si>
  <si>
    <t>CARBOPHAGE*XR*1000 TAB        1*10</t>
  </si>
  <si>
    <t>CARBOPHAGE*XR*500 TAB         1*10</t>
  </si>
  <si>
    <t>CONCOR 2.5 TAB.               1*10TAB</t>
  </si>
  <si>
    <t>CONCOR 5 TAB.                 1*10</t>
  </si>
  <si>
    <t>CONCOR PLUS TAB               1*10</t>
  </si>
  <si>
    <t>CONCOR*1.25MG TAB             1*10</t>
  </si>
  <si>
    <t>CONCOR*10 TAB                 1*10</t>
  </si>
  <si>
    <t>CONCOR-AM-2.5 TAB             1*10</t>
  </si>
  <si>
    <t>CONCOR-AM-5 TAB               1*10</t>
  </si>
  <si>
    <t>COSOME-A SYP.                 1*100ML</t>
  </si>
  <si>
    <t>EUTHYROX 100                  1*100</t>
  </si>
  <si>
    <t>EUTHYROX 25                   1*100</t>
  </si>
  <si>
    <t>EUTHYROX 50                   1*100</t>
  </si>
  <si>
    <t>EUTHYROX 75                   1*100</t>
  </si>
  <si>
    <t>EVION 200 CAP                 1*10</t>
  </si>
  <si>
    <t>EVION 400 CAP                 1*10CAP</t>
  </si>
  <si>
    <t>EVION 600                     1*10CAP</t>
  </si>
  <si>
    <t>EVION CREAM 60g               1*60g</t>
  </si>
  <si>
    <t>EVION FORTE TAB               1*15</t>
  </si>
  <si>
    <t>EVION-LC TAB                  1*10</t>
  </si>
  <si>
    <t>LIVOGEN SYP.                  1*120ML</t>
  </si>
  <si>
    <t>LIVOGEN TAB                   1*10</t>
  </si>
  <si>
    <t>LIVOGEN XT TAB                1*10</t>
  </si>
  <si>
    <t>LIVOGEN-Z CAP                 1*15</t>
  </si>
  <si>
    <t>LODOZ*2.5 TAB                 1*10</t>
  </si>
  <si>
    <t>LODOZ*5 MG TAB                1*10</t>
  </si>
  <si>
    <t>MAXEPA CAP                    1*10</t>
  </si>
  <si>
    <t>NASIVION 0.05% ADL            1*10ML</t>
  </si>
  <si>
    <t>NASIVION 0.25%*CHILD DROP.    1*10ML.</t>
  </si>
  <si>
    <t>NASIVION BABY DROP            1*10ML</t>
  </si>
  <si>
    <t>NEUROBION ALFA D              1*10</t>
  </si>
  <si>
    <t>NEUROBION FORTE AMP.          1*3ml</t>
  </si>
  <si>
    <t>NEUROBION FORTE EMERK TAB.    1*30TAB</t>
  </si>
  <si>
    <t>NEUROBION PLUS TAB            1*10</t>
  </si>
  <si>
    <t>NEUROBION*ALFA TAB            1*10</t>
  </si>
  <si>
    <t>POLYBION AMP.                 1*2ml</t>
  </si>
  <si>
    <t>POLYBION*ACTIVE SYP           1*100ML</t>
  </si>
  <si>
    <t>POLYBION*ACTIVE SYP           1*250ML</t>
  </si>
  <si>
    <t>POLYBION*CZS TAB              1*15</t>
  </si>
  <si>
    <t>POLYBION*LC  SYP              1*250ML</t>
  </si>
  <si>
    <t>POLYBION*LC SYP SMALL         1*100ML</t>
  </si>
  <si>
    <t>POLYBION*SF SYP               1*100ML</t>
  </si>
  <si>
    <t>ASOMEX*5 TAB                  1*15</t>
  </si>
  <si>
    <t>BEVON CAP                     1*10</t>
  </si>
  <si>
    <t>BEVON SYP                     1*200ML</t>
  </si>
  <si>
    <t>DYDROFEM TAB EMCURE           1*10</t>
  </si>
  <si>
    <t>FERIUM*XT TAB                 1*10</t>
  </si>
  <si>
    <t>FERONIA XT SYP                1*150ML</t>
  </si>
  <si>
    <t>MAXTRA*DROP                   1*15ML</t>
  </si>
  <si>
    <t>MAXTRA*P DROP                 1*15ML</t>
  </si>
  <si>
    <t>MAXTRA*P SYP                  1*60ML</t>
  </si>
  <si>
    <t>MAXTRA*SYP                    1*60ML</t>
  </si>
  <si>
    <t>MYOTOP P TAB                  1*10</t>
  </si>
  <si>
    <t>MYOTOP*150 TAB                1*10</t>
  </si>
  <si>
    <t>NUROKIND*500 INJ              1*1ML</t>
  </si>
  <si>
    <t xml:space="preserve">        -9</t>
  </si>
  <si>
    <t>OROFER XT TOTAL TAB.          1*10</t>
  </si>
  <si>
    <t>OROFER*FCM*1K INJ             1*1</t>
  </si>
  <si>
    <t>OROFER*S*100*INJ              1*1</t>
  </si>
  <si>
    <t>OROFER*XT SYP                 200ML</t>
  </si>
  <si>
    <t>OROFER*XT TAB                 1*10</t>
  </si>
  <si>
    <t>SYLATE*500 TAB                1*10</t>
  </si>
  <si>
    <t>VYLDA*M*500 TAB               1*10</t>
  </si>
  <si>
    <t>ZOSTUM*1.5 VIAL               1*1</t>
  </si>
  <si>
    <t>D3 EVER SG CAP                1*4</t>
  </si>
  <si>
    <t>DOXIEM*LB TAB                 1*10</t>
  </si>
  <si>
    <t>EMMYCAL MAX CAP               1*10</t>
  </si>
  <si>
    <t>EMMYCAL TAB                   1*10</t>
  </si>
  <si>
    <t>EMMYFOL-D TAB                 1*10</t>
  </si>
  <si>
    <t>EMMYGESIC SP TAB              1*10</t>
  </si>
  <si>
    <t>EMMYGESIC*ASP TAB             1*10</t>
  </si>
  <si>
    <t>EMMYPRIM SOFT CAP             1*10</t>
  </si>
  <si>
    <t>FEMINOWELL SYP                1*300ML</t>
  </si>
  <si>
    <t>FLEXIWAY TAB                  1*10</t>
  </si>
  <si>
    <t>NUTRASHINE CAP                1*10</t>
  </si>
  <si>
    <t>NUTRASHINE SYP                1*200ML</t>
  </si>
  <si>
    <t>RABEWELL-DSR CAP              1*10</t>
  </si>
  <si>
    <t>4K-PEG POWDER                 1*138.15GM</t>
  </si>
  <si>
    <t>ADVOG M 0.2 TAB               1*10TAB</t>
  </si>
  <si>
    <t>ADVOG M0.3 TAB.               1.10TAB</t>
  </si>
  <si>
    <t>ADVOG-03 TAB                  1*10</t>
  </si>
  <si>
    <t>ALERFIX TOTAL TAB             1*10</t>
  </si>
  <si>
    <t>ARBAZEAL ES 40 TAB            1*10</t>
  </si>
  <si>
    <t>ATORSAVE 80 MG                1*10TAB</t>
  </si>
  <si>
    <t>ATORSAVE CV10 TAB             1*10</t>
  </si>
  <si>
    <t>ATORSAVE D10                  1*10TAB</t>
  </si>
  <si>
    <t>ATORSAVE GOLD*20 TAB          1*10</t>
  </si>
  <si>
    <t>ATORSAVE-10 TAB               1*10</t>
  </si>
  <si>
    <t>ATORSAVE-20 TAB               1*10</t>
  </si>
  <si>
    <t>ATORSAVE-D20 TAB              1*10</t>
  </si>
  <si>
    <t>AXUNIL-120 SPAY               1*1</t>
  </si>
  <si>
    <t>SPRY</t>
  </si>
  <si>
    <t>CALSHINE P DROP               1*15ML</t>
  </si>
  <si>
    <t>CREVAST 5 TAB                 1*10</t>
  </si>
  <si>
    <t>CREVAST GOLD 20 TAB           1*10CAP</t>
  </si>
  <si>
    <t>TB</t>
  </si>
  <si>
    <t>CREVAST GOLD-10 TAB           1*10</t>
  </si>
  <si>
    <t>CREVAST*A*10*75               1*10</t>
  </si>
  <si>
    <t>CREVAST-10                    1*10TAB</t>
  </si>
  <si>
    <t>CREVAST-20 TAB                1*10</t>
  </si>
  <si>
    <t>CREVAST-40 TAB                1*10</t>
  </si>
  <si>
    <t>CREVAST-CV-10 TAB             1*10</t>
  </si>
  <si>
    <t>CYBLEX M-40 TAB               1*10</t>
  </si>
  <si>
    <t>CYBLEX MV 40.2 TAB            1*15</t>
  </si>
  <si>
    <t>CYBLEX MV 40.3                1*10 TAB</t>
  </si>
  <si>
    <t>CYBLEX MV-80.2 TAB            1*15</t>
  </si>
  <si>
    <t>CYBLEX MV-80.3 TAB            1*10</t>
  </si>
  <si>
    <t>CYBLEX-40 TAB                 1*15</t>
  </si>
  <si>
    <t>CYBLEX-M-XR-30 TAB            1*15</t>
  </si>
  <si>
    <t>CYBLEX-M-XR-60 TAB            1*10</t>
  </si>
  <si>
    <t>CYBLEX-M80 TAB                1*10</t>
  </si>
  <si>
    <t>D-500 CAL TAB                 1*10</t>
  </si>
  <si>
    <t>D-CAL 1GM                     1*10</t>
  </si>
  <si>
    <t>DROLUTE TAB                   1*10</t>
  </si>
  <si>
    <t>ERITEL AM 80                  1*10TAB</t>
  </si>
  <si>
    <t>ERITEL CH 40                  1*15TAB</t>
  </si>
  <si>
    <t>ERITEL CH 80                  1*10TAB</t>
  </si>
  <si>
    <t>ERITEL LN 40                  1*15TAB</t>
  </si>
  <si>
    <t>ERITEL LN 80                  1*10TAB</t>
  </si>
  <si>
    <t>ERITEL TRIO TAB               1*10</t>
  </si>
  <si>
    <t>ERITEL*BETA*50 TAB            1*15</t>
  </si>
  <si>
    <t>ERITEL*CH*6.25 TAB            1*10</t>
  </si>
  <si>
    <t>ERITEL-20 TAB                 1*10</t>
  </si>
  <si>
    <t>ERITEL-40 TAB                 1*15</t>
  </si>
  <si>
    <t>7Pcs</t>
  </si>
  <si>
    <t>ERITEL-80 TAB                 1*10</t>
  </si>
  <si>
    <t>ERITEL-AM TAB                 1*30</t>
  </si>
  <si>
    <t>ERITEL-CH TRIO 40 TAB         1*15</t>
  </si>
  <si>
    <t>ERITEL-H TAB                  1*10</t>
  </si>
  <si>
    <t>ERITEL-H80 TAB                1*10</t>
  </si>
  <si>
    <t>ETORVEL*60 TAB                1*10</t>
  </si>
  <si>
    <t>ETORVEL*90 TAB                1*10</t>
  </si>
  <si>
    <t>FOCII*GR SACHET               1*10</t>
  </si>
  <si>
    <t>GLIMISAVE 4                   1*10TAB</t>
  </si>
  <si>
    <t>GLIMISAVE M 0.5               1*15TAB</t>
  </si>
  <si>
    <t>GLIMISAVE M1 FORTE            1*10</t>
  </si>
  <si>
    <t>GLIMISAVE M1 TAB              1*15</t>
  </si>
  <si>
    <t xml:space="preserve">       -12</t>
  </si>
  <si>
    <t>GLIMISAVE M2 FORTE            1*10</t>
  </si>
  <si>
    <t>GLIMISAVE M2 TAB              1*15</t>
  </si>
  <si>
    <t>GLIMISAVE M3 FORTE            10</t>
  </si>
  <si>
    <t>GLIMISAVE M3 TAB              1*10</t>
  </si>
  <si>
    <t>GLIMISAVE M4 FORTE            1*10</t>
  </si>
  <si>
    <t>GLIMISAVE MAX1 TAB            1*15</t>
  </si>
  <si>
    <t>GLIMISAVE MAX2 FORTE          1*15</t>
  </si>
  <si>
    <t>GLIMISAVE MAX2 TAB            1*15</t>
  </si>
  <si>
    <t>GLIMISAVE MV 1                1*10TAB</t>
  </si>
  <si>
    <t>GLIMISAVE MV 1.3              1*10</t>
  </si>
  <si>
    <t>GLIMISAVE MV 2                1*15TAB</t>
  </si>
  <si>
    <t>GLIMISAVE MV 2 FORTE          1*10TAB</t>
  </si>
  <si>
    <t>GLIMISAVE MV 2.3              1*10TAB</t>
  </si>
  <si>
    <t>GLIMISAVE MV 3.3 TAB          1*10</t>
  </si>
  <si>
    <t>GLIMISAVE MV 3.3(F)           1*15</t>
  </si>
  <si>
    <t>GLIMISAVE-1MG TAB             1*10</t>
  </si>
  <si>
    <t>GLIMISAVE-2 TAB               1*10</t>
  </si>
  <si>
    <t>GLIMSAVE 4MG TAB              1*10</t>
  </si>
  <si>
    <t>GLITARIS 15                   1*10</t>
  </si>
  <si>
    <t>GLURA*M*XR*500 TAB            1*10</t>
  </si>
  <si>
    <t>GLUXIT S 10/100 TAB           1*10</t>
  </si>
  <si>
    <t>GLUXIT*10 TAB                 1*1</t>
  </si>
  <si>
    <t>GLUXIT*5MG TAB                1*10</t>
  </si>
  <si>
    <t>GLUXIT*M*10/500               1*10</t>
  </si>
  <si>
    <t>GLUXIT*M*5 TAB                1*10</t>
  </si>
  <si>
    <t>INZIT 4 TAB                   1*10</t>
  </si>
  <si>
    <t>LINARES*M TAB                 1*10</t>
  </si>
  <si>
    <t>LN TRIO 10                    1*10TAB</t>
  </si>
  <si>
    <t>LN-BETA-2.5 TAB               1*10</t>
  </si>
  <si>
    <t>LN-BETA-5 TAB                 1*10</t>
  </si>
  <si>
    <t>LNBLOC 10 MG                  1*10TAB</t>
  </si>
  <si>
    <t>LNBLOC 20 TAB                 1*10</t>
  </si>
  <si>
    <t>LNBLOC 5 MG                   1*10TAB</t>
  </si>
  <si>
    <t>LNMET-50 TAB                  1*10</t>
  </si>
  <si>
    <t>MAC-RABONIK DSR CAP           1*10</t>
  </si>
  <si>
    <t>MAC-RABONIK PLUS TAB          1*10</t>
  </si>
  <si>
    <t>MAGE*1 TAB                    1*10</t>
  </si>
  <si>
    <t>MAGE*2 TAB                    1*10</t>
  </si>
  <si>
    <t>MAGE*V*0.3 TAB                1*10</t>
  </si>
  <si>
    <t>MAXAFORMIN  750 TAB</t>
  </si>
  <si>
    <t>MAXUM MEN TAB                 1*10</t>
  </si>
  <si>
    <t>MAXUM TAB                     1*10</t>
  </si>
  <si>
    <t>METAFORT-500 TAB              1*10</t>
  </si>
  <si>
    <t>METITOL TAB                   1*10</t>
  </si>
  <si>
    <t>NEW*GTN*2.6 TAB               1*10</t>
  </si>
  <si>
    <t>OLMIN A 20                    1*10TAB</t>
  </si>
  <si>
    <t>OLMIN CH 20                   1*10TAB</t>
  </si>
  <si>
    <t>OLMIN CH 40                   1*10TAB</t>
  </si>
  <si>
    <t>OLMIN LN 20                   1*10TAB</t>
  </si>
  <si>
    <t>OLMIN LN 40                   1*10TAB</t>
  </si>
  <si>
    <t>OLMIN TRIO 40                 1*10TAB</t>
  </si>
  <si>
    <t>OLMIN-20MG                    1*10</t>
  </si>
  <si>
    <t>OLMIN-40 TAB                  1*10</t>
  </si>
  <si>
    <t>OLMIN-AH TAB                  1*10</t>
  </si>
  <si>
    <t>OLMIN-H-20 TAB                1*10</t>
  </si>
  <si>
    <t>OLMIN-H-40 TAB                1*10</t>
  </si>
  <si>
    <t>OLMIN-TRIO TAB                1*10</t>
  </si>
  <si>
    <t>ORLEAN 120 MG                 1*10TAB</t>
  </si>
  <si>
    <t xml:space="preserve">Pcs_x000c_</t>
  </si>
  <si>
    <t>ORLEAN-60 CAP                 1*10</t>
  </si>
  <si>
    <t>ORTHOSENZ OINT                1*30GM</t>
  </si>
  <si>
    <t>PROTOL AM                     1*10</t>
  </si>
  <si>
    <t>PROTOL-XL 50 TAB              1*10</t>
  </si>
  <si>
    <t>PROTOL-XL-25 TAB              1*10</t>
  </si>
  <si>
    <t>RABONIK 40 DSR                1*10TAB</t>
  </si>
  <si>
    <t>RABONIK PLUS 40               1*10TAB</t>
  </si>
  <si>
    <t>RABONIK PLUS TAB              1X10</t>
  </si>
  <si>
    <t>RABONIK-DSR TAB               1*15</t>
  </si>
  <si>
    <t>RARICAP DROP                  1*30ML</t>
  </si>
  <si>
    <t>RARICAP-100 TAB               1*10</t>
  </si>
  <si>
    <t>RARICAP-L SYP                 1*150ML</t>
  </si>
  <si>
    <t>RARISET TAB                   1*10</t>
  </si>
  <si>
    <t>REDRIM TAB                    1*10</t>
  </si>
  <si>
    <t>REMYLIN D TAB                 1*10TAB</t>
  </si>
  <si>
    <t>RENERVE CAP                   1*15</t>
  </si>
  <si>
    <t>RENERVE PLUS CAP              1*15</t>
  </si>
  <si>
    <t>RENERVE PLUS INJ              1*2ML</t>
  </si>
  <si>
    <t>RENERVE**PSR TAB              1*10</t>
  </si>
  <si>
    <t>RENERVE-P TAB                 1*10</t>
  </si>
  <si>
    <t>REUNION SOFTGEL               1*10</t>
  </si>
  <si>
    <t>REVLIN-M TAB                  1*10</t>
  </si>
  <si>
    <t>REVLIN-M-SR-150 TAB           1*10</t>
  </si>
  <si>
    <t>RIVALTO*10 TAB                1*10</t>
  </si>
  <si>
    <t>ROSIFLEX TAB                  1*60</t>
  </si>
  <si>
    <t>ROSIFLEX-C TAB                1*20</t>
  </si>
  <si>
    <t>TAYO K 60 MG                  1*4TAB</t>
  </si>
  <si>
    <t>TAYO M TAB                    1*10TAB</t>
  </si>
  <si>
    <t>TAYO TAB                      1*15</t>
  </si>
  <si>
    <t>TAYO*RAGA TAB                 1*10</t>
  </si>
  <si>
    <t>TENDIA TAB                    1*10</t>
  </si>
  <si>
    <t>TENDIA-M TAB                  1*15</t>
  </si>
  <si>
    <t>TENDIA-M-FORTE TAB            1*10</t>
  </si>
  <si>
    <t>THYROFIT 150 TAB              1*10</t>
  </si>
  <si>
    <t>THYROFIT 25BOTTLE             1*30</t>
  </si>
  <si>
    <t>TRIGLIMISAVE-1 TAB            1*15</t>
  </si>
  <si>
    <t>TRIGLIMISAVE-2 HS             1*10</t>
  </si>
  <si>
    <t>TRIGLIMISAVE-2 TAB            1*10</t>
  </si>
  <si>
    <t>XSULIN*30/70 CARTAGE          1*1</t>
  </si>
  <si>
    <t>XSULIN*R CARTAGE              1*1</t>
  </si>
  <si>
    <t>ZAC**D TAB                    1*15</t>
  </si>
  <si>
    <t>ZAC**NEURO TAB                1*15</t>
  </si>
  <si>
    <t>ZAC*DAY TAB                   1*15</t>
  </si>
  <si>
    <t>ZOMELIS SR 100 TAB            1*10</t>
  </si>
  <si>
    <t>ZOMELIS*D TAB                 1*10</t>
  </si>
  <si>
    <t>ZOMELIS*SG TAB                1*10</t>
  </si>
  <si>
    <t>AMODEP*AT TAB                 1*10</t>
  </si>
  <si>
    <t>AMODEP*TM*40 TAB              1*10</t>
  </si>
  <si>
    <t>COTARYL CREAM                 1*75GM</t>
  </si>
  <si>
    <t>ELECTRAL ORANGE SMALL         1*5</t>
  </si>
  <si>
    <t>ELECTRAL POWDER               1*21.8G</t>
  </si>
  <si>
    <t>ELECTRAL POWDER. ORANGE 21.8G 1*1</t>
  </si>
  <si>
    <t>ELECTRAL-LIQUID               1*200ML</t>
  </si>
  <si>
    <t>ELECTROL LIQUID ORNG          200ML</t>
  </si>
  <si>
    <t>ENERZAL LIQUID                1*100ML</t>
  </si>
  <si>
    <t>ENERZAL POWDER BIG            1*100GM</t>
  </si>
  <si>
    <t>ENERZAL POWDER SMALL.         1*50GR.</t>
  </si>
  <si>
    <t>MUMMUM*1 POWDER               1*500GM</t>
  </si>
  <si>
    <t>OCUVIR*400 TAB                1*5</t>
  </si>
  <si>
    <t>OTEK*AC DROP                  1*5ML</t>
  </si>
  <si>
    <t>SIMYL*MCT OIL                 1*100ML</t>
  </si>
  <si>
    <t>SIMYL*MCT POW                 200GM</t>
  </si>
  <si>
    <t>SIMYL*MCT POW                 400GM</t>
  </si>
  <si>
    <t>VIROVIR*500 TAB               1*3</t>
  </si>
  <si>
    <t>VITCOFOL CAP                  30'CAP</t>
  </si>
  <si>
    <t>VITCOFOL*SYP                  1*200ML</t>
  </si>
  <si>
    <t>ZEFU 250 G. TAB               10'TAB</t>
  </si>
  <si>
    <t>ZEFU 500 MG.TAB               10/TAB</t>
  </si>
  <si>
    <t>ZIFI 100 DT TAB               1*10</t>
  </si>
  <si>
    <t>ZIFI 100 SYP                  1*100ML</t>
  </si>
  <si>
    <t>ZIFI 200 TAB                  1*10</t>
  </si>
  <si>
    <t>ZIFI CV 100DT                 1*10</t>
  </si>
  <si>
    <t>ZIFI CV 200DT                 1*10</t>
  </si>
  <si>
    <t>ZIFI O 100TAB                 1*10</t>
  </si>
  <si>
    <t>ZIFI O TAB                    1*10</t>
  </si>
  <si>
    <t>ZIFI*50 SYP                   1*30ML</t>
  </si>
  <si>
    <t>ZIFI*50DT TAB                 1*10</t>
  </si>
  <si>
    <t>ZIFI*CV*100 SYP               1*30ML</t>
  </si>
  <si>
    <t>ZIFI*CV*50 TAB                1*10</t>
  </si>
  <si>
    <t>ZIFI*LBX*TAB                  1*10</t>
  </si>
  <si>
    <t>ZIFI*TURBO*600 TAB            1*10</t>
  </si>
  <si>
    <t>ZO-200 TAB                    10'TAB</t>
  </si>
  <si>
    <t>ADDEX OINTMENT                1*10GM</t>
  </si>
  <si>
    <t>AMICLIN PLUS                  1*10</t>
  </si>
  <si>
    <t>AMICLIN TAB                   1*1</t>
  </si>
  <si>
    <t>BENALGIS-100 TAB              1*10</t>
  </si>
  <si>
    <t>BENALGIS-FORTE CAP            1*15</t>
  </si>
  <si>
    <t>BRAKKE-TAB.                   1*10</t>
  </si>
  <si>
    <t>DEXORANGE CAP                 1*30</t>
  </si>
  <si>
    <t>DEXORANGE PAEDI.[SYP]         1*60ML</t>
  </si>
  <si>
    <t>DEXORANGE SYP                 1*200ML</t>
  </si>
  <si>
    <t>DIAVIT + CAP                  1*30</t>
  </si>
  <si>
    <t>ETICORT TAB                   1*6</t>
  </si>
  <si>
    <t>GLIDE TAB                     1*10</t>
  </si>
  <si>
    <t>GLIMET DS TAB                 1*10</t>
  </si>
  <si>
    <t>GLYCIPHAGE 850                1x10</t>
  </si>
  <si>
    <t>GLYCIPHAGE 850**SR TAB        1*10</t>
  </si>
  <si>
    <t>GLYCIPHAGE TAB                1*20</t>
  </si>
  <si>
    <t>GLYCIPHAGE-250 TAB            1*10</t>
  </si>
  <si>
    <t>GLYCIPHAGE-G1 TAB             1*10</t>
  </si>
  <si>
    <t>GLYCIPHAGE-G2 TAB             1*10</t>
  </si>
  <si>
    <t>GLYCIPHAGE-P15                1*10</t>
  </si>
  <si>
    <t>GLYCIPHAGE-SR-1GM             1*10</t>
  </si>
  <si>
    <t>GLYCIPHAGE-SR-500             1*10</t>
  </si>
  <si>
    <t>GLYPTEN TAB                   1*10</t>
  </si>
  <si>
    <t>GRILINCTUS BM SYP             1*100ML</t>
  </si>
  <si>
    <t>GRILINCTUS SYP                1*100ML</t>
  </si>
  <si>
    <t>GRILINCTUS-BM PEAD            1*30ML</t>
  </si>
  <si>
    <t>GRILINCTUS-BM TAB             1*10</t>
  </si>
  <si>
    <t>GRILINCTUS-L SYP              1*100ML</t>
  </si>
  <si>
    <t>GRILINCTUS-LS SYP             1*100ML</t>
  </si>
  <si>
    <t>LACTISYN SCAHET               1*10</t>
  </si>
  <si>
    <t>MELANOCYL LOTION              1*25ML</t>
  </si>
  <si>
    <t>MELANOCYL OINT                1*25GM</t>
  </si>
  <si>
    <t>MELANOCYL TAB                 1*40</t>
  </si>
  <si>
    <t>MONADINE TAB                  1*10</t>
  </si>
  <si>
    <t>MONLEVO TAB                   1*10</t>
  </si>
  <si>
    <t>NATVIE 400MG. TAB             1*10</t>
  </si>
  <si>
    <t>NATVIE GOLD TAB               1*15</t>
  </si>
  <si>
    <t>NATVIE-200MG. TAB.            1*10</t>
  </si>
  <si>
    <t>OMILCAL FORTE TAB             1*15</t>
  </si>
  <si>
    <t>OMILCAL SYP.                  1*200ML</t>
  </si>
  <si>
    <t>RELAXYL-DA GEL                1*30GM</t>
  </si>
  <si>
    <t>RELAXYL-GEL                   1*20GM</t>
  </si>
  <si>
    <t>RELAXYL-OINT.                 1*30GR.</t>
  </si>
  <si>
    <t>SORBIDIOL-150 TAB             1*10</t>
  </si>
  <si>
    <t>SORBIDIOL-300 TAB             1*10</t>
  </si>
  <si>
    <t>SORBILINE SYP                 1*100ML</t>
  </si>
  <si>
    <t>SORBILINE SYP                 1*200ML</t>
  </si>
  <si>
    <t>STIMULIV-100ML SYP.           1*100ML</t>
  </si>
  <si>
    <t>STIMULIV-SYP                  1*200ML</t>
  </si>
  <si>
    <t>STIMULIVE TAB                 1*60</t>
  </si>
  <si>
    <t>SURFAZ LOTION                 1*15ML</t>
  </si>
  <si>
    <t>SURFAZ OINT                   1*15GM</t>
  </si>
  <si>
    <t>SURFAZ POWDER.                1*30GM</t>
  </si>
  <si>
    <t>SURFAZ-SN OINT                1*6GM</t>
  </si>
  <si>
    <t>TOPIFORT-MX LOTION            1*15ML</t>
  </si>
  <si>
    <t>ZASCOR TAB                    1*10</t>
  </si>
  <si>
    <t>ZINDEE SACHET                 1*8</t>
  </si>
  <si>
    <t>ALASPAN AM TAB                1*10</t>
  </si>
  <si>
    <t>ALASPAN SYP                   1*60ML</t>
  </si>
  <si>
    <t>DIPSALIC CRE.                 1*20GM</t>
  </si>
  <si>
    <t>ELOCON CREAM 10GM             1*10GM</t>
  </si>
  <si>
    <t>ELOCON OINT 10GM              1*10GM</t>
  </si>
  <si>
    <t>POLARMINE TAB                 1*10</t>
  </si>
  <si>
    <t>QUADRIDERM 5GR.CREAM SMALL    1*5GM</t>
  </si>
  <si>
    <t>QUARDIDERM 10GM.CREAM BIG     10 GM</t>
  </si>
  <si>
    <t>GENERAL</t>
  </si>
  <si>
    <t xml:space="preserve"> ITEM FOR 18%  2106</t>
  </si>
  <si>
    <t xml:space="preserve">    -15.37</t>
  </si>
  <si>
    <t>ITEM FOR 12% 3004</t>
  </si>
  <si>
    <t xml:space="preserve">   -128.74</t>
  </si>
  <si>
    <t>ITEM FOR 5% 3004</t>
  </si>
  <si>
    <t>AAYOG PROTECT SYP             1*200</t>
  </si>
  <si>
    <t>ABHAYRAB VACCINE              1*1</t>
  </si>
  <si>
    <t>ALKACITRON SYP                1*100ML</t>
  </si>
  <si>
    <t>APTAMIL*1 NO. POWDER          1*400GM</t>
  </si>
  <si>
    <t>APTAMIL*2 NO. POWDER          1*400GM</t>
  </si>
  <si>
    <t>APTAMIL*PRETERM POWDER        1*400GM</t>
  </si>
  <si>
    <t>BETNOVATE-N CREAM             1*20GM</t>
  </si>
  <si>
    <t>BETT INJECTION TETANUS        1*1</t>
  </si>
  <si>
    <t>CHIRORAB VACCINE              1*1</t>
  </si>
  <si>
    <t>CROCIN ADVANCE 500 TAB        1*15</t>
  </si>
  <si>
    <t>CROCIN DROP                   1*15ML</t>
  </si>
  <si>
    <t>CROCIN PAIN RELIEF TAB        1*15</t>
  </si>
  <si>
    <t>CROCIN*COLD*FLU TAB           1*15</t>
  </si>
  <si>
    <t>CROCIN-DS SYP.                1*60ML</t>
  </si>
  <si>
    <t>CROCIN-SYP                    1*60ML</t>
  </si>
  <si>
    <t>DARNESP 40 MCG 1*1PFS         1*1</t>
  </si>
  <si>
    <t>DEXOLAC*NO.1*REFIEL POWDER    1*400GM</t>
  </si>
  <si>
    <t>DEXOLAC*NUSOBEE*CASIEN*POWDER 1*400GM</t>
  </si>
  <si>
    <t>DEXOLAC-NO.2                  1*500GM</t>
  </si>
  <si>
    <t>DEXOLAC-NO.3                  1*400GM</t>
  </si>
  <si>
    <t>DISPRIN TAB                   12*10</t>
  </si>
  <si>
    <t>ELECTRAL POW SMALL            4.4GM</t>
  </si>
  <si>
    <t xml:space="preserve">       -11</t>
  </si>
  <si>
    <t>ENSURE CHOCO 200GM            1*200GM</t>
  </si>
  <si>
    <t>ENSURE CHOCO*400              1*400GM</t>
  </si>
  <si>
    <t>ENSURE DIBET*CARE 18% POWDER  1*400GM</t>
  </si>
  <si>
    <t>ENSURE PLUS POWDER            1*400GM</t>
  </si>
  <si>
    <t>ENSURE POWDER*1KG*VANILLA     1*1KG</t>
  </si>
  <si>
    <t>ENSURE VANILA*200             1*200GM</t>
  </si>
  <si>
    <t>ENSURE VANILLA*400            1*400GM</t>
  </si>
  <si>
    <t>ENSURE*DIABETIC*1KG POW       1*1KG</t>
  </si>
  <si>
    <t>FREE GIFT                     1*1</t>
  </si>
  <si>
    <t>I TONE*EYE DROP               1*10ML</t>
  </si>
  <si>
    <t>IROSOME CAP 1*10TAB           1*10</t>
  </si>
  <si>
    <t>LACTOCALAMIN ELOVERA 120      1*120</t>
  </si>
  <si>
    <t>LACTOCALAMIN ELOVERA 30       1*30ML</t>
  </si>
  <si>
    <t>LACTOCALAMIN ELOVERA 60       1*60ML</t>
  </si>
  <si>
    <t>LACTOCALAMINE LOTION          1*120ML</t>
  </si>
  <si>
    <t>LACTOCALAMINE LOTION          1*30ML</t>
  </si>
  <si>
    <t>LACTOCALAMINE LOTION          1*60ML</t>
  </si>
  <si>
    <t>LACTOSYM CAP                  1*10</t>
  </si>
  <si>
    <t>LOBET TAB                     1*10</t>
  </si>
  <si>
    <t>MINIDOXIME -100 DT            1*10</t>
  </si>
  <si>
    <t>MULMINA LIQUID                1*200ML</t>
  </si>
  <si>
    <t>MULMINA*D LIQUID              1*200ML</t>
  </si>
  <si>
    <t>PEDIASURE CHOCO POUCH         1*1</t>
  </si>
  <si>
    <t>PEDIASURE CHOCO*200GM         19*200GM</t>
  </si>
  <si>
    <t>PEDIASURE CHOCO*400           1*400GM</t>
  </si>
  <si>
    <t>PEDIASURE POWDER 1KG CHOCO    1*1KG</t>
  </si>
  <si>
    <t>PEDIASURE POWDER 1KG VANILLA  1*1KG</t>
  </si>
  <si>
    <t>PEDIASURE VANILA*200GM        1*200GM</t>
  </si>
  <si>
    <t>PEDIASURE VANILA*400          1*400GM</t>
  </si>
  <si>
    <t>PROTINEX MAMA BIG             1*400GM</t>
  </si>
  <si>
    <t>PROTINEX MAMA CHOCO           1*200GM</t>
  </si>
  <si>
    <t>PROTINEX MAMA VANILA          1*200GR.</t>
  </si>
  <si>
    <t>PROTINEX ORIGINAL 200GR.POW.S 1*200GM</t>
  </si>
  <si>
    <t>PROTINEX ORIGINAL.400GR.POW B 1*400GM</t>
  </si>
  <si>
    <t>PROTINEX POWDER-VENILA 200GR  1*200GM</t>
  </si>
  <si>
    <t>PROTINEX TASTY CHOCLATE BIG   1*400GM</t>
  </si>
  <si>
    <t>PROTINEX TASTY CHOCLETE SMALL 1*200GM</t>
  </si>
  <si>
    <t>PROTINEX VANILA B POW.        1*400GR.</t>
  </si>
  <si>
    <t>PROTINEX*DIABETES CARE        1*200GM</t>
  </si>
  <si>
    <t>PROTINEX*DIABETES CARE*400    1*400GM</t>
  </si>
  <si>
    <t>RECTOCEF-SB 1.5 INJ           1*VIAL</t>
  </si>
  <si>
    <t>SAFI                          1*100ML</t>
  </si>
  <si>
    <t>SAFI                          1*200ML</t>
  </si>
  <si>
    <t>SAFI                          1*450ML</t>
  </si>
  <si>
    <t>SEPTRAN SYP                   1*60ML</t>
  </si>
  <si>
    <t>SHELCAL-XT TAB                1*15</t>
  </si>
  <si>
    <t>SIMILAC ADVANCE*1 POWDER      1*400GM</t>
  </si>
  <si>
    <t>SIMILAC ADVANCE*2 POWDER      1*400GM</t>
  </si>
  <si>
    <t>SIMILAC ADVANCE*3 POWDER      1*400GM</t>
  </si>
  <si>
    <t>SIMILAC ISOMIL POWDER         1*400GM</t>
  </si>
  <si>
    <t>SIMILAC NO*1 POWDER           1*400GM</t>
  </si>
  <si>
    <t>SIMILAC NO*2 POWDER           1*400GM</t>
  </si>
  <si>
    <t>SIMILAC NO*3 POWDER           1*400GM</t>
  </si>
  <si>
    <t>SUGARFREE TAB                 1*100</t>
  </si>
  <si>
    <t>SUGARFREE TAB                 1*300</t>
  </si>
  <si>
    <t>SUGARFREE TAB                 1*500</t>
  </si>
  <si>
    <t>TELMIKIND*H TAB               1*10</t>
  </si>
  <si>
    <t>TELMIKIND-AM TAB              1*10</t>
  </si>
  <si>
    <t>TRICHOZ SERUM                 1*100</t>
  </si>
  <si>
    <t>VOLINI 15GM SPAY              1*15GM</t>
  </si>
  <si>
    <t>VYSOV-50 TAB                  1*15</t>
  </si>
  <si>
    <t>ZENTEL SYP                    1*10ML</t>
  </si>
  <si>
    <t>ZENTEL TAB                    1*1</t>
  </si>
  <si>
    <t>ZOFER*2ML INJ.                1*2ML</t>
  </si>
  <si>
    <t>ZPROTINEX LITE*BIG*400GM      1*400GM</t>
  </si>
  <si>
    <t>ZYLORIC TAB                   1*10</t>
  </si>
  <si>
    <t>CYPON CAP                     1*10</t>
  </si>
  <si>
    <t>CYPON DROP                    1*15ML</t>
  </si>
  <si>
    <t>CYPON SYP                     1*200ML</t>
  </si>
  <si>
    <t>MYOLAXIN CREAM                1*30GM</t>
  </si>
  <si>
    <t>MYOLAXIN-D CREAM              1*15GM</t>
  </si>
  <si>
    <t>RESPIRA SYP                   1*100ML</t>
  </si>
  <si>
    <t>RESPIRA-D SYP                 1*100ML</t>
  </si>
  <si>
    <t>VERTIGON TAB                  1*10</t>
  </si>
  <si>
    <t>AERODIL DX SYP                100ML</t>
  </si>
  <si>
    <t>AERODIL SYP                   1*100ML</t>
  </si>
  <si>
    <t>AERODIL-LS SYP                1*100ML</t>
  </si>
  <si>
    <t>ALLRITE TAB                   1*10</t>
  </si>
  <si>
    <t>ALLRITE-DC TAB                1*10</t>
  </si>
  <si>
    <t>ALUPENT(ORCIBEST)10 TAB       1*10</t>
  </si>
  <si>
    <t>ARZEP NASAL SPRAY             1*1</t>
  </si>
  <si>
    <t>BAYERS TONIC                  250 ML</t>
  </si>
  <si>
    <t>BILOVAS TAB                   1*10</t>
  </si>
  <si>
    <t>BTN FORTE TAB                 1*10TB</t>
  </si>
  <si>
    <t>BTN TAB                       1*10 TB</t>
  </si>
  <si>
    <t>CLOP CREM                     30 GM</t>
  </si>
  <si>
    <t>CLOP G CREAM                  25GM</t>
  </si>
  <si>
    <t>CLOP GM NEO CR                10 GM</t>
  </si>
  <si>
    <t>CLOP S NANO LOTION            20ML</t>
  </si>
  <si>
    <t>CLOP S OINT                   20GM</t>
  </si>
  <si>
    <t>COMBIMIST-L ROTA              30CAP</t>
  </si>
  <si>
    <t>COMBINASE AQ SPRAY            1*7ML</t>
  </si>
  <si>
    <t>COMBINASE FT NASAL            9.8GM</t>
  </si>
  <si>
    <t>COMPLAMINA RET-500            1*10</t>
  </si>
  <si>
    <t>COMPLAMINA TAB                1*10</t>
  </si>
  <si>
    <t>DANCLEAR SHAMPOO              50ML</t>
  </si>
  <si>
    <t>DERIPHYLIN M TAB              1*10</t>
  </si>
  <si>
    <t>DERIPHYLIN**OD*300 TAB        1*10</t>
  </si>
  <si>
    <t>DERIPHYLIN**OD*450 TAB        1*10</t>
  </si>
  <si>
    <t>DERIPHYLLIN BM SYP            120 ML</t>
  </si>
  <si>
    <t>DERIPHYLLIN INJ               1*7AMP</t>
  </si>
  <si>
    <t>DERIPHYLLIN SYP.              1*100ML</t>
  </si>
  <si>
    <t>DERIPHYLLIN-RET-150           1*30</t>
  </si>
  <si>
    <t>DERIPHYLLIN-RET-300           1*10</t>
  </si>
  <si>
    <t>DERISONE ROTA                 1*30</t>
  </si>
  <si>
    <t>DIANE-35 TAB                  1*21</t>
  </si>
  <si>
    <t>DOXOLIN -M TAB                1*10</t>
  </si>
  <si>
    <t>DOXOLIN-200 TAB               1*30</t>
  </si>
  <si>
    <t>DOXOLIN-400 TAB               1*30</t>
  </si>
  <si>
    <t>DUOLUTON-L TAB                1*21</t>
  </si>
  <si>
    <t>DYDROGEST*10 TAB              1*10</t>
  </si>
  <si>
    <t>EPISOFT AC                    75 GM</t>
  </si>
  <si>
    <t>FLUTICON N/SPRAY              1*12ML</t>
  </si>
  <si>
    <t>FLUTICON*OX NASAL SPARY       1*1</t>
  </si>
  <si>
    <t>FLUTICONE-FT SPARY            1*6GM</t>
  </si>
  <si>
    <t>FOLSAFE*D CAP                 1*10</t>
  </si>
  <si>
    <t>FOLSAFE-L TAB                 1*15</t>
  </si>
  <si>
    <t>FORGLYN ROTA                  1*30</t>
  </si>
  <si>
    <t>FORMONIDE 0.5 RESPULES        1*7</t>
  </si>
  <si>
    <t>FORMONIDE FORTE ROTA          1*30</t>
  </si>
  <si>
    <t>FORMONIDE*1MG RESPULES        1*7</t>
  </si>
  <si>
    <t>FORMONIDE-200 INH.            1*1</t>
  </si>
  <si>
    <t>FORMONIDE-200 R/C             1*30</t>
  </si>
  <si>
    <t>FORMONIDE-400 INH             1*1</t>
  </si>
  <si>
    <t>FORMONIDE-400 R/C             1*30</t>
  </si>
  <si>
    <t>FORMOST*200 R/C               1*30CAP</t>
  </si>
  <si>
    <t>FORMOST*400 ROTA              1*30</t>
  </si>
  <si>
    <t>GERBISA L SYP                 100ML</t>
  </si>
  <si>
    <t>GLOBAC-XT TAB                 1*15</t>
  </si>
  <si>
    <t>HAPPI-20 TAB                  1*10</t>
  </si>
  <si>
    <t>HAPPI-L                       1*10TAB</t>
  </si>
  <si>
    <t>HAPPICID GEL                  120 ML</t>
  </si>
  <si>
    <t>JONAC SUPP.                   1*5</t>
  </si>
  <si>
    <t>JULIANA TAB                   1*21</t>
  </si>
  <si>
    <t>LIVAFIN CREAM  BIG            30 GM</t>
  </si>
  <si>
    <t>LIVAFIN CREAM                 10GM</t>
  </si>
  <si>
    <t>METATOP N\S                   DROP</t>
  </si>
  <si>
    <t>MILIANA TAB                   1*21</t>
  </si>
  <si>
    <t>MUCOTAB TAB                   1*10TAB</t>
  </si>
  <si>
    <t>NASOCLEAR DROP                20ML</t>
  </si>
  <si>
    <t>NATUROGEST GEL8%              1*1</t>
  </si>
  <si>
    <t>NATUROGEST SR 200             1*10TAB</t>
  </si>
  <si>
    <t>ODASTIN *M TAB                1*10</t>
  </si>
  <si>
    <t>ODIMONT-FX TAB                1*10</t>
  </si>
  <si>
    <t>ODIMONT-LC SYP                1*60ML</t>
  </si>
  <si>
    <t>ODIMONT-LC TAB  GERMEN        1*10</t>
  </si>
  <si>
    <t>OXYSPRAY                      100 DOS</t>
  </si>
  <si>
    <t>PRIMOLUT-N TAB                1*10</t>
  </si>
  <si>
    <t>PROGYNOVA-2 TAB               1*28</t>
  </si>
  <si>
    <t>PROLUTON DEPOT-250 INJ.       1*1</t>
  </si>
  <si>
    <t>PROLUTON DEPOT-500 INJ.       1*1</t>
  </si>
  <si>
    <t>SKINLITE CREAM                20GM</t>
  </si>
  <si>
    <t>SKINLITE CREAM SMALL          1*15GM</t>
  </si>
  <si>
    <t>SMARTI-M                      1*10TAB</t>
  </si>
  <si>
    <t>SPYE TAB                      1*10</t>
  </si>
  <si>
    <t>TESTO-DEPOT-250               AMP</t>
  </si>
  <si>
    <t>THROMBOPHOB OINT.(RED)        1*20GM</t>
  </si>
  <si>
    <t>TIOMIST RESPI                 1*15</t>
  </si>
  <si>
    <t>TRIQULAR TAB                  1*21</t>
  </si>
  <si>
    <t>XARELTO 15 MG                 1*28</t>
  </si>
  <si>
    <t>XARELTO-10 TAB                1*7</t>
  </si>
  <si>
    <t>XARELTO-20 TAB                1*28</t>
  </si>
  <si>
    <t>XYLOMIST NASAL                1*10ML</t>
  </si>
  <si>
    <t>XYLOMIST-P DROP               1*10ML</t>
  </si>
  <si>
    <t>YASMIN TAB.                   1*21TAB</t>
  </si>
  <si>
    <t>AUGMENTIN 375MG TAB           1*10</t>
  </si>
  <si>
    <t>AUGMENTIN DUO 625 TAB         1*10</t>
  </si>
  <si>
    <t>AUGMENTIN DUO SYP             1*30ML</t>
  </si>
  <si>
    <t>AUGMENTIN*DDS SYP             1*30ML</t>
  </si>
  <si>
    <t>AUGMENTIN*ES SYP              1*50ML</t>
  </si>
  <si>
    <t>AUGMNTIN-1.2 INJ              1*1</t>
  </si>
  <si>
    <t>BECADEXAMIN CAP               1*30</t>
  </si>
  <si>
    <t>CALPOL*120 SYP                1*60ML</t>
  </si>
  <si>
    <t>CALPOL*250SYP                 60ML</t>
  </si>
  <si>
    <t>CALPOL*500 TAB                1*15</t>
  </si>
  <si>
    <t>CALPOL*650 TAB                1*10</t>
  </si>
  <si>
    <t>CALPOL*DROP                   10ML</t>
  </si>
  <si>
    <t>CCM TAB                       1*30</t>
  </si>
  <si>
    <t>CEFTUM*250 GLAXO TAB          1*4</t>
  </si>
  <si>
    <t>CEFTUM*500 (GLAXO) TAB        1*4</t>
  </si>
  <si>
    <t>COBADEX*CZS TAB               1*15</t>
  </si>
  <si>
    <t>CROCIN ADVNACE 650 TAB        1*15</t>
  </si>
  <si>
    <t>ELTROXIN*100 TAB              1*120</t>
  </si>
  <si>
    <t>ELTROXIN*25 TAB               1*60</t>
  </si>
  <si>
    <t>ELTROXIN*50 TAB               1*100</t>
  </si>
  <si>
    <t>ELTROXIN*75 TAB               1*60</t>
  </si>
  <si>
    <t>FLUTIVATE CREAM               1*20GM</t>
  </si>
  <si>
    <t>LANOXIN 0.25 TAB              1*10TAB</t>
  </si>
  <si>
    <t>OSTOCALCIUM PLUS TAB          1*30</t>
  </si>
  <si>
    <t>OSTOCALCIUM SYP               1*200ML</t>
  </si>
  <si>
    <t>T-BACT OINTMENT               5GM</t>
  </si>
  <si>
    <t>T-BACT ONITMENT               1*15GM</t>
  </si>
  <si>
    <t>ZIMIVIR*1000 TAB              1*3</t>
  </si>
  <si>
    <t>AHAGLOW FACE WASH 100GM       1*100GM</t>
  </si>
  <si>
    <t>AHAGLOW FACE WASH 50GM        1*50GM</t>
  </si>
  <si>
    <t>ALEX DROP                     1*15ML</t>
  </si>
  <si>
    <t>ALEX JR SYP                   1*60ML</t>
  </si>
  <si>
    <t>ALEX P DROP                   1*15ML</t>
  </si>
  <si>
    <t>ALEX P SYP                    1*60ML</t>
  </si>
  <si>
    <t>ALEX SF SYP                   100ML</t>
  </si>
  <si>
    <t>ALEX SYP                      100ML</t>
  </si>
  <si>
    <t>ALEX-L SYP                    1*100ML</t>
  </si>
  <si>
    <t>ALEX-LONZGES                  1*10</t>
  </si>
  <si>
    <t>ANABOOM AD SHAMPOO            1*100ML</t>
  </si>
  <si>
    <t>ANABOOM ANTI HAIRFALL SHAMPOO 1*1</t>
  </si>
  <si>
    <t>LOTN</t>
  </si>
  <si>
    <t>APREZO*30 TAB                 1*10</t>
  </si>
  <si>
    <t>ARACHITOL*NANO*2K SYP         1*150ML</t>
  </si>
  <si>
    <t>ASCORIL EXP SYP               100ML</t>
  </si>
  <si>
    <t>ASCORIL FLU KIDZ SYP          60ML</t>
  </si>
  <si>
    <t>ASCORIL LS SYP                100ML</t>
  </si>
  <si>
    <t>ASCORIL-D PLUS. SYP           1*100ML</t>
  </si>
  <si>
    <t>BETNOVATE C CREAM             30GM</t>
  </si>
  <si>
    <t>BONTRESS-PRO SERUM            1*1</t>
  </si>
  <si>
    <t>CANDIBIOTIC E DROP            1*5ML</t>
  </si>
  <si>
    <t>CANDID B CREAM.BIG            1*20GM</t>
  </si>
  <si>
    <t>CANDID B CREAM.SMALL          1*10GM.</t>
  </si>
  <si>
    <t>CANDID B LOTION               1*20ML</t>
  </si>
  <si>
    <t>CANDID CL CAP                 1*3</t>
  </si>
  <si>
    <t>CANDID CREAM                  1*20GM</t>
  </si>
  <si>
    <t>CANDID LOTION                 1*20ML</t>
  </si>
  <si>
    <t>CANDID MOUTH PAINT            1*20ML</t>
  </si>
  <si>
    <t>CANDID POWDER BIG             100 GM</t>
  </si>
  <si>
    <t>CANDID POWDER S               50 GM</t>
  </si>
  <si>
    <t>CANDID TOTAL CREAM            20GM</t>
  </si>
  <si>
    <t>CANDID TV SH                  1*75ML</t>
  </si>
  <si>
    <t>CANDID V GEL                  1*30GM</t>
  </si>
  <si>
    <t>CANDID V3 TAB                 1*3</t>
  </si>
  <si>
    <t>CANDID V6 TAB                 1*10TAB</t>
  </si>
  <si>
    <t>CANDIDERMA CR                 15GM</t>
  </si>
  <si>
    <t>CANDIDOX CREAM                1*30GM</t>
  </si>
  <si>
    <t>CANDIDOX LOTION               1*30ML</t>
  </si>
  <si>
    <t>CANDIDOX SHAMPOO              1*100ML</t>
  </si>
  <si>
    <t>CANDITRAL*SB*130 TAB          1*10</t>
  </si>
  <si>
    <t>CANDITRAL*SB*65 TAB           1*10</t>
  </si>
  <si>
    <t>CANDITRAL-200 CAP             1*4</t>
  </si>
  <si>
    <t>DEMELAN CREAM                 1*15GM</t>
  </si>
  <si>
    <t>DERIVA**MS GEL                1*15GM</t>
  </si>
  <si>
    <t>DERIVA-BPO GEL                1*15GM</t>
  </si>
  <si>
    <t>DOSETIL CREAM                 1*15GM</t>
  </si>
  <si>
    <t>DYCERIN GM TAB                1*10</t>
  </si>
  <si>
    <t>EFONTA 40 TAB                 1*10</t>
  </si>
  <si>
    <t>ELOVERA BODY WASH             150ML</t>
  </si>
  <si>
    <t>ELOVERA CREAM 75GM            1*75GM</t>
  </si>
  <si>
    <t>ELOVERA IMF CREAM             1*50ML</t>
  </si>
  <si>
    <t>EPISOFT CLEANSING LOTION      1*125ML</t>
  </si>
  <si>
    <t>EPTUS-25 TAB                  1*10</t>
  </si>
  <si>
    <t>FINTOP-AF BIG                 1*30GM</t>
  </si>
  <si>
    <t xml:space="preserve">     -0.10</t>
  </si>
  <si>
    <t>FLUCORT C CREAM               20GM</t>
  </si>
  <si>
    <t>FLUCORT CREAM                 20GM</t>
  </si>
  <si>
    <t>FLUCORT FORTE LOTION          30ML</t>
  </si>
  <si>
    <t>FLUCORT H CREAM               30GM</t>
  </si>
  <si>
    <t>FLUCORT N CREAM               20GM</t>
  </si>
  <si>
    <t>HALOVATE CREAM BIG            30GM</t>
  </si>
  <si>
    <t>HALOVATE F CR                 1*10GM</t>
  </si>
  <si>
    <t>HALOVATE S OINT               1*10GM</t>
  </si>
  <si>
    <t>INBIT*5 SOLUTION              1*50ML</t>
  </si>
  <si>
    <t>IRBAN 5 TAB                   1*10</t>
  </si>
  <si>
    <t>LA SHIELD LITE*GEL            30GM</t>
  </si>
  <si>
    <t>LA*SHEILD GEL                 1*60GM</t>
  </si>
  <si>
    <t>LA*SHIELD FISICO GEL          1*50GM</t>
  </si>
  <si>
    <t>LA*SHIELD IR GEL              1*60ML</t>
  </si>
  <si>
    <t>LULICAN CREAM 30GM            1*30</t>
  </si>
  <si>
    <t>LULICAN*XL CREAM              1*50GM</t>
  </si>
  <si>
    <t>LULIGEE CREAM.                1*20GR.</t>
  </si>
  <si>
    <t>LULIGEE LOTION                1*30ML</t>
  </si>
  <si>
    <t>MELACARE CREAM                1*20GM</t>
  </si>
  <si>
    <t>MELACARE FORTE CREAM          1*20GM</t>
  </si>
  <si>
    <t>MOMAT CREAM SMALL             1*10GM</t>
  </si>
  <si>
    <t>MOMATE XL CREAM               40GM</t>
  </si>
  <si>
    <t>MOMATE-F (GLEN) CREAM         1*10</t>
  </si>
  <si>
    <t>NINDANIB*150 TAB              1*10</t>
  </si>
  <si>
    <t>ONABET B CREAM                10GM</t>
  </si>
  <si>
    <t>ONABET CREAM                  15 GM</t>
  </si>
  <si>
    <t>ONABET CREAM BIG              1*30GM</t>
  </si>
  <si>
    <t>ONABET LOTION                 1*30ML</t>
  </si>
  <si>
    <t>RAZEL-GOLD TAB                1*10</t>
  </si>
  <si>
    <t>REMO*M*100/1000 TAB           1*10</t>
  </si>
  <si>
    <t>REMO*MV*1000 TAB              1*10</t>
  </si>
  <si>
    <t>REMO*MV*500TAB                1*10</t>
  </si>
  <si>
    <t>REMO*V*100/50 TAB             1*10</t>
  </si>
  <si>
    <t>REMO-M 100/500 TAB            1*10</t>
  </si>
  <si>
    <t>REMO-ZEN 100 TAB              1*10</t>
  </si>
  <si>
    <t>REMO-ZEN*V 100/50 TAB         1*10</t>
  </si>
  <si>
    <t>REVIZE MICRO.025              1*20GM</t>
  </si>
  <si>
    <t>OINT</t>
  </si>
  <si>
    <t>REVIZE-MICRO.04               1*20GM</t>
  </si>
  <si>
    <t>SCALPE SHAMPOO                1*60ML</t>
  </si>
  <si>
    <t>SENSUR OIL ROLL               10G</t>
  </si>
  <si>
    <t>SORVATE OINT                  1*20GM</t>
  </si>
  <si>
    <t>SORVATE-C OINT                1*15GM</t>
  </si>
  <si>
    <t>STILOZ-100 TAB                1*10</t>
  </si>
  <si>
    <t>STILOZ-50 TAB                 1*10</t>
  </si>
  <si>
    <t>SUPIROCIN OINT                1*5GM</t>
  </si>
  <si>
    <t>SYNTRAN 100                   1*4TAB</t>
  </si>
  <si>
    <t>SYNTRAN*SB*130 CAP            1*10</t>
  </si>
  <si>
    <t>TELMA 20 MG                   1*30TAB</t>
  </si>
  <si>
    <t>TELMA 40 MG                   1*30TAB</t>
  </si>
  <si>
    <t>TELMA 80 TAB                  1*15</t>
  </si>
  <si>
    <t>TELMA AM 80                   1*15TAB</t>
  </si>
  <si>
    <t>TELMA AM TAB                  1*15</t>
  </si>
  <si>
    <t>TELMA AM*H 40                 1*15TAB</t>
  </si>
  <si>
    <t>TELMA BETA 25 TAB             1*10</t>
  </si>
  <si>
    <t>TELMA BETA-50 TAB             1*10</t>
  </si>
  <si>
    <t>TELMA CT 40/12.5 TAB          1*15</t>
  </si>
  <si>
    <t>TELMA CT 40/6.25              1*15TAB</t>
  </si>
  <si>
    <t>TELMA CT 80/12.5 TAB          1*15</t>
  </si>
  <si>
    <t>TELMA CT 80/6.25              1*15TAB</t>
  </si>
  <si>
    <t>TELMA H 80                    1*15TAB</t>
  </si>
  <si>
    <t>TELMA H-40 TAB                1*15</t>
  </si>
  <si>
    <t>TELMA*A*CT*40/5/12.5 TAB      1*15</t>
  </si>
  <si>
    <t>TELMA*A*CT*40/5/6.25 TAB      1*15</t>
  </si>
  <si>
    <t>TELMA*LNB*25 TAB              1*10</t>
  </si>
  <si>
    <t>TELMA-D TAB                   1*10</t>
  </si>
  <si>
    <t>V WASH PLUS B.                100ML</t>
  </si>
  <si>
    <t>V WASH PLUS S.                50ML</t>
  </si>
  <si>
    <t>XERINA CREAM                  1*50GM</t>
  </si>
  <si>
    <t>ZITA PLUS TAB                 1*10TAB</t>
  </si>
  <si>
    <t>ZITA-MET-PLUS20/500 TAB       1*10</t>
  </si>
  <si>
    <t>ZITEN TAB                     1*10</t>
  </si>
  <si>
    <t>ZITEN-M-20/500 TAB            1*10</t>
  </si>
  <si>
    <t>1*NVP TAB                     1*10</t>
  </si>
  <si>
    <t>CARNIFEM*3D TAB               1*10</t>
  </si>
  <si>
    <t>PMS*TOTAL TAB                 1*10</t>
  </si>
  <si>
    <t>CALFETUS TAB                  1*10</t>
  </si>
  <si>
    <t>CONTRAFLORA CAP               1*10</t>
  </si>
  <si>
    <t>FETISTA SYP                   1*100</t>
  </si>
  <si>
    <t>FETISTA TAB                   1*10</t>
  </si>
  <si>
    <t xml:space="preserve">       -37</t>
  </si>
  <si>
    <t>FINEPREG TAB                  1*10</t>
  </si>
  <si>
    <t>FOLEONE TAB                   1*10</t>
  </si>
  <si>
    <t>GLUCOBLESS POWDER             1*1</t>
  </si>
  <si>
    <t>GLUCOBLESS*ORS LIQUID         1*200ML</t>
  </si>
  <si>
    <t>LAXNOVA 200 SYP               1*200ML</t>
  </si>
  <si>
    <t>LAXOTEC SOLUTIONS             1*150ML</t>
  </si>
  <si>
    <t>MENORAMA SYP                  1*200ML</t>
  </si>
  <si>
    <t>MOM MASSAGE OIL               1*100ML</t>
  </si>
  <si>
    <t>PCONORMA TAB                  1*10</t>
  </si>
  <si>
    <t>POLYTORCH TAB                 1*10</t>
  </si>
  <si>
    <t>XPRONEX GRANULES              200GM</t>
  </si>
  <si>
    <t>C-FURO 250MG.TAB              1*10TAB</t>
  </si>
  <si>
    <t>C-FURO 500MG.TAB              1*10TAB</t>
  </si>
  <si>
    <t>DASUTRA 30 X                  1*4TAB</t>
  </si>
  <si>
    <t>ENUFF 10 SACH                 1*1GM</t>
  </si>
  <si>
    <t>ENUFF 30 SACH                 1*3GM</t>
  </si>
  <si>
    <t>ENUFF CAP.                    1*10CAP</t>
  </si>
  <si>
    <t>ETORO*90 TAB                  1*10</t>
  </si>
  <si>
    <t>ETORO*TH*4 TAB                1*10</t>
  </si>
  <si>
    <t>FAS-3 KIT                     1*4TAB</t>
  </si>
  <si>
    <t>FIXAR TAB                     1*10</t>
  </si>
  <si>
    <t>GENXVAST-10                   1*10TAB</t>
  </si>
  <si>
    <t>GENXVAST-20                   1*10TAB</t>
  </si>
  <si>
    <t>GENXVAST-F TAB                1*10TAB</t>
  </si>
  <si>
    <t>H-PEG POWDER                  119GM.</t>
  </si>
  <si>
    <t>HIFEN 200 MG                  1*10TAB</t>
  </si>
  <si>
    <t>IMIDIL C VAG.                 1*3SUPP</t>
  </si>
  <si>
    <t>KUTAB 30 X                    1*4 TAB</t>
  </si>
  <si>
    <t>LANOL-ER TAB.                 1*10 CP</t>
  </si>
  <si>
    <t>LAZ-500 TAB                   1*3TAB</t>
  </si>
  <si>
    <t>LEVOCET M SYP                 30ML</t>
  </si>
  <si>
    <t>LEVOCET M TAB                 1*10TAB</t>
  </si>
  <si>
    <t>LEVOCET SYP                   1*60ML</t>
  </si>
  <si>
    <t>LEVOCET TAB                   1*10</t>
  </si>
  <si>
    <t>LEVOCET-M KID                 1*10TAB</t>
  </si>
  <si>
    <t>MOVFOR*200 CAP                1*40</t>
  </si>
  <si>
    <t>OPOX DROP                     1*10ML</t>
  </si>
  <si>
    <t>OPOX-100DT                    1*10TAB</t>
  </si>
  <si>
    <t>OPOX-100MG-SYP                1*30ML</t>
  </si>
  <si>
    <t>OPOX-200 DT                   1*10TAB</t>
  </si>
  <si>
    <t>OPOX-50 DRY SYP               1*30ML</t>
  </si>
  <si>
    <t>OPOX-CV 200DT.                1*6TAB</t>
  </si>
  <si>
    <t>PANTIN D TAB                  1*10</t>
  </si>
  <si>
    <t>PANTIN IV                     1*10ML</t>
  </si>
  <si>
    <t>PANTIN L                      1*10TAB</t>
  </si>
  <si>
    <t>PANTIN TAB                    1*10</t>
  </si>
  <si>
    <t>PELITRA GEL VAGINAL           *7</t>
  </si>
  <si>
    <t>RABETERO L CAP.               1*10TAB</t>
  </si>
  <si>
    <t>RABEZ-D CAP                   1*10CAP</t>
  </si>
  <si>
    <t>VECTORY SP TAB                1*10TAB</t>
  </si>
  <si>
    <t>VIKLOT 10 TAB                 1*8'TAB</t>
  </si>
  <si>
    <t>CLINSODENT POWDER             1*60GM</t>
  </si>
  <si>
    <t>DEXOTOL-SR POWDER             1*50GM</t>
  </si>
  <si>
    <t>FIXON CREAM                   1*15GM</t>
  </si>
  <si>
    <t>FIXON CREAM B                 50GM.</t>
  </si>
  <si>
    <t>FIXON POWDER                  1*15GM</t>
  </si>
  <si>
    <t>FIXON SUPER GRIP POWDER       1*40ML</t>
  </si>
  <si>
    <t>HEXIDIN-M\W                   1*160ML</t>
  </si>
  <si>
    <t>HEXIDIN-M\W                   1*80ML</t>
  </si>
  <si>
    <t>HEXIDINE M/W BIG              1*500ML</t>
  </si>
  <si>
    <t>HEXIGEL                       1*15GM</t>
  </si>
  <si>
    <t>MUCOPAIN OINT.                1*7.5GM</t>
  </si>
  <si>
    <t>PILON OINT                    1*25GM</t>
  </si>
  <si>
    <t>PILON TAB                     1*10</t>
  </si>
  <si>
    <t>THERMOSEAL PASTE              1*100GM</t>
  </si>
  <si>
    <t>THERMOSEAL PASTE              1*50GM</t>
  </si>
  <si>
    <t>THERMOSEAL PROXA NS           10GM</t>
  </si>
  <si>
    <t>THERMOSEAL PROXA WS           1</t>
  </si>
  <si>
    <t>THERMOSEAL ULTRA SOFT         10GM</t>
  </si>
  <si>
    <t>THERMOSEAL-RA PASTE           1*100GM</t>
  </si>
  <si>
    <t>THERMOSEAL-RA- PASTE          1*50GM</t>
  </si>
  <si>
    <t>YOUNIFLOSS                    1*50</t>
  </si>
  <si>
    <t>CITAL SYP                     1*100ML</t>
  </si>
  <si>
    <t>CITAL-UTI SYP                 1*100ML</t>
  </si>
  <si>
    <t>CLOBEN-G CREAM                1*5GM</t>
  </si>
  <si>
    <t xml:space="preserve">        -8</t>
  </si>
  <si>
    <t>CYCLOPAM DROP                 1*10ML</t>
  </si>
  <si>
    <t>CYCLOPAM SYP 30ML.            1*30ML</t>
  </si>
  <si>
    <t>CYCLOPAM SYP-60ML             1*60ML</t>
  </si>
  <si>
    <t>CYCLOPAM TAB                  1*10</t>
  </si>
  <si>
    <t>FEBREX PLUS DS SYP            60ML</t>
  </si>
  <si>
    <t>FEBREX PLUS SYP               60ML</t>
  </si>
  <si>
    <t>FEBREX PLUS TAB               1*10</t>
  </si>
  <si>
    <t>SM-FIBRO CAP                  1*15</t>
  </si>
  <si>
    <t>CLAVIX*75 TAB                 1*15</t>
  </si>
  <si>
    <t>ETOS-60 TAB                   1*10TAB</t>
  </si>
  <si>
    <t>GABAPIN 100 1*15TAB           1*10TAB.</t>
  </si>
  <si>
    <t>GABAPIN 300 1*15CAP           1*15TAB.</t>
  </si>
  <si>
    <t>GABAPIN ME 100 1*10TAB        1*10</t>
  </si>
  <si>
    <t>GABAPIN ME*300 1*15TAB        1*15</t>
  </si>
  <si>
    <t>GABAPIN NT 100 1*15TAB        1*15</t>
  </si>
  <si>
    <t>GABAPIN NT 200 1*15TAB        1*15</t>
  </si>
  <si>
    <t>GABAPIN NT*300 1*15TAB        1*15</t>
  </si>
  <si>
    <t>LEVERA 500MG TAB.             1*15</t>
  </si>
  <si>
    <t>MORR*10 LOTION                1*60ML</t>
  </si>
  <si>
    <t>MORR*F*10% LOTION             1*60ML</t>
  </si>
  <si>
    <t>NAPRA-D 250MG                 10'TAB</t>
  </si>
  <si>
    <t>NAPRA-D 500 TAB               10'TAB</t>
  </si>
  <si>
    <t>PREVA*GOLD*10 CAP             1*10</t>
  </si>
  <si>
    <t>ZORYL M 1 FORTE TAB           1*15</t>
  </si>
  <si>
    <t>ZORYL M 1 TAB                 1*20</t>
  </si>
  <si>
    <t>ZORYL M 2 FORTE TAB           1*15</t>
  </si>
  <si>
    <t>ZORYL M 2 TAB                 1*20</t>
  </si>
  <si>
    <t>ZORYL M4 FORTE TAB.           1*15</t>
  </si>
  <si>
    <t>ZORYL*M3 FORTE TAB            1*15</t>
  </si>
  <si>
    <t>ZORYL-1MG TAB.                1*15</t>
  </si>
  <si>
    <t>ZORYL-2MG TAB.                1*15</t>
  </si>
  <si>
    <t>ACE-REVELOL-25/2.5 TAB.       1*7</t>
  </si>
  <si>
    <t>ACE-REVELOL-50/5 TAB.         1*7</t>
  </si>
  <si>
    <t>AZR 50 TAB                    1*10TAB</t>
  </si>
  <si>
    <t>BROMHEXIN SYP                 1*100ML</t>
  </si>
  <si>
    <t>CALCHEK-5 TAB                 1*10</t>
  </si>
  <si>
    <t>CALCHEK-L-5 TAB               1*10</t>
  </si>
  <si>
    <t>CALTEN-D TBA                  1*10</t>
  </si>
  <si>
    <t>CRANPAC D CAP                 1*10</t>
  </si>
  <si>
    <t>CTD M 12.5/50 TAB             1*10</t>
  </si>
  <si>
    <t>CTD*T*AM*12.5/80/5 TAB        1*10</t>
  </si>
  <si>
    <t>CTD-12.5 TAB                  1*10</t>
  </si>
  <si>
    <t>CTD-6.25 TAB                  1*15</t>
  </si>
  <si>
    <t>CTD-AZ 40/12.5 TAB            1*10</t>
  </si>
  <si>
    <t>CTD-M 6.25/50                 1*10TAB</t>
  </si>
  <si>
    <t>CTD-M-6.25/25 TAB             1*10</t>
  </si>
  <si>
    <t>CTD-O 6.25/20                 1*10TAB</t>
  </si>
  <si>
    <t>CTD-O 6.25/40                 1*10TAB</t>
  </si>
  <si>
    <t>CTD-T 12.5/20                 1*10TAB</t>
  </si>
  <si>
    <t>CTD-T 12.5/40                 1*15TAB</t>
  </si>
  <si>
    <t>CTD-T 6.25/20                 1*10TAB</t>
  </si>
  <si>
    <t>CTD-T 6.25/40                 1*10TAB</t>
  </si>
  <si>
    <t>CTD-T-12.5/80 TAB             1*10</t>
  </si>
  <si>
    <t>CTD-T-6.25/80                 1*10</t>
  </si>
  <si>
    <t>CTD-T-AM-6.25/40/5 TAB        1*10</t>
  </si>
  <si>
    <t>DROLGAN TAB                   1*10</t>
  </si>
  <si>
    <t>ELTOCIN SYP                   1*60ML</t>
  </si>
  <si>
    <t>ELTOCIN-DS TAB                1*10</t>
  </si>
  <si>
    <t>ETOVA-400 TAB                 1*10</t>
  </si>
  <si>
    <t>ETOVA-ER-600 TAB              1*10</t>
  </si>
  <si>
    <t>ETOVA-MR 400                  1*10TAN</t>
  </si>
  <si>
    <t>FASTCLAV**500 TAB             1*10</t>
  </si>
  <si>
    <t>FLOVAS*20 TAB                 1*14</t>
  </si>
  <si>
    <t>FOLITRAX-10 TAB               1*10</t>
  </si>
  <si>
    <t>FOLITRAX-15 TAB               1*15</t>
  </si>
  <si>
    <t>FOLITRAX-2.5 TAB              1*10</t>
  </si>
  <si>
    <t>FOLITRAX-20 TAB               1*4</t>
  </si>
  <si>
    <t>FOLITRAX-25                   TAB</t>
  </si>
  <si>
    <t>FOLITRAX-5 TAB                1*10</t>
  </si>
  <si>
    <t>FOLITRAX-7.5 TAB              1*10</t>
  </si>
  <si>
    <t>FOLITRX-15 INJ                1*1</t>
  </si>
  <si>
    <t>GLYCINORM-40 TAB              1*10</t>
  </si>
  <si>
    <t>GLYCINORM-80 TAB              1*10</t>
  </si>
  <si>
    <t>GLYCINORM-M-30-OD TAB         1*10</t>
  </si>
  <si>
    <t>GLYCINORM-M-40 TAB            1*10</t>
  </si>
  <si>
    <t>GLYCINORM-M-60-OD TAB         1*10</t>
  </si>
  <si>
    <t>GLYCINORM-M-80 TAB            1*10</t>
  </si>
  <si>
    <t>GLYCINORM-TOTAL30             1*15</t>
  </si>
  <si>
    <t>GLYCINORM-TOTAL60 TAB         1*10</t>
  </si>
  <si>
    <t>GLYREE MV1                    1*10</t>
  </si>
  <si>
    <t>GLYREE-M1 TAB                 1*10</t>
  </si>
  <si>
    <t>GLYREE-M2 TAB                 1*10</t>
  </si>
  <si>
    <t>GLYREE-MV2 TAB                1*10</t>
  </si>
  <si>
    <t>HCQS 200MG.TAB                1*15</t>
  </si>
  <si>
    <t>HCQS 300MG.TAB                1*10TAB</t>
  </si>
  <si>
    <t>HCQS 400MG.TAB                1*10</t>
  </si>
  <si>
    <t>IGURATI*25 TAB                1*10</t>
  </si>
  <si>
    <t>IPCA*MMF*500 TAB              1*10</t>
  </si>
  <si>
    <t>ISODRIL-5MG.TAB               1*10</t>
  </si>
  <si>
    <t>KERAGLO ANTI DANDRUF          1*60ML</t>
  </si>
  <si>
    <t>KERAGLO MEN TAB               1*10</t>
  </si>
  <si>
    <t>KERAGLOW-AD LOTION            1*50ML</t>
  </si>
  <si>
    <t>LARIAGO INJ                   1*5ML</t>
  </si>
  <si>
    <t>LARIAGO SYP                   1*60ML</t>
  </si>
  <si>
    <t>LARIAGO TAB                   1*10</t>
  </si>
  <si>
    <t>LARIAGO VIAL                  1*30ML</t>
  </si>
  <si>
    <t>LARIAGO-DS TAB                1*5</t>
  </si>
  <si>
    <t>LEFNO 20                      1*10</t>
  </si>
  <si>
    <t>LEFNO-10 TAB                  1*10</t>
  </si>
  <si>
    <t>LOSANORM-25 TAB               1*10</t>
  </si>
  <si>
    <t>LOSANORM-H-25 TAB             1*10</t>
  </si>
  <si>
    <t>LOSANORM-H-50 TAB             1*10</t>
  </si>
  <si>
    <t>LUMERAX SYP SMALL             1*30ML</t>
  </si>
  <si>
    <t>LUMERAX TAB 20                1*6</t>
  </si>
  <si>
    <t>LUMERAX-40 TAB                1*6 TAB.</t>
  </si>
  <si>
    <t>LUMERAX-80 TAB                1*6</t>
  </si>
  <si>
    <t>LUMEREX-60TAB                 1*6</t>
  </si>
  <si>
    <t>METAGARD-CR-35 TAB            1*10</t>
  </si>
  <si>
    <t>METAGARD-CR-60 TAB            1*10</t>
  </si>
  <si>
    <t>MIRBEG**25 TAB                1*10</t>
  </si>
  <si>
    <t>PACIMOL TAB                   1*10</t>
  </si>
  <si>
    <t>PACIMOL-650 TAB               1*10</t>
  </si>
  <si>
    <t>PACIMOL-DS SYP                1*60ML</t>
  </si>
  <si>
    <t>PACIMOL-MF 250 SYP            1*60ML</t>
  </si>
  <si>
    <t>PARI*CR*PLUS TAB              1*15</t>
  </si>
  <si>
    <t>PARI-10 TAB                   1*10</t>
  </si>
  <si>
    <t>PARI-CR-12.5 TAB              1*15</t>
  </si>
  <si>
    <t>PARI-CR-25 TAB                1*10</t>
  </si>
  <si>
    <t>PERINORM INJ                  1*2ML</t>
  </si>
  <si>
    <t>PERINORM SYP                  1*30ML</t>
  </si>
  <si>
    <t>PERINORM TAB                  1*10</t>
  </si>
  <si>
    <t>PERINORM-CD CAP               1*10</t>
  </si>
  <si>
    <t>PIOMED-15 TAB                 1*10</t>
  </si>
  <si>
    <t>PIOMED-M-15 TAB               1*10</t>
  </si>
  <si>
    <t>RAMCOR-2.5 TAB                1*10</t>
  </si>
  <si>
    <t>RAMCOR-5 TAB                  1*10</t>
  </si>
  <si>
    <t>RAPICLAVE*625 TAB             1*10</t>
  </si>
  <si>
    <t>RAPILIF D*8 TAB               1*10</t>
  </si>
  <si>
    <t>RAPILIF**8 TAB                1*15</t>
  </si>
  <si>
    <t>REVELOL CH 25/6.25            1*10</t>
  </si>
  <si>
    <t>REVELOL CH 50/12.5            1*10</t>
  </si>
  <si>
    <t>REVELOL CH 50/6.25            1*10</t>
  </si>
  <si>
    <t>REVELOL XL-12.5               1*10</t>
  </si>
  <si>
    <t>REVELOL-AM-25/5               1*7</t>
  </si>
  <si>
    <t>REVELOL-AM-25\2.5 TAB         1*10</t>
  </si>
  <si>
    <t>REVELOL-AM-50\5 TAB           1*10</t>
  </si>
  <si>
    <t>REVELOL-H-50                  1*7</t>
  </si>
  <si>
    <t>REVELOL-XL-100 TAB            1*10</t>
  </si>
  <si>
    <t>REVELOL-XL-25 TAB             1*15</t>
  </si>
  <si>
    <t>REVELOL-XL-50 TAB             1*10</t>
  </si>
  <si>
    <t>RXTOR 10MG.TAB                1*10TAB</t>
  </si>
  <si>
    <t>RXTOR 20MG.TAB.               1*10TAB</t>
  </si>
  <si>
    <t>RXTOR 5MG.TAB                 1*10TAB</t>
  </si>
  <si>
    <t>RXTOR F-5 TAB                 1*10</t>
  </si>
  <si>
    <t>RXTOR F10 TAB                 1*10TAB</t>
  </si>
  <si>
    <t>RXTOR GOLD-10 TAB             1*10</t>
  </si>
  <si>
    <t>RXTOR GOLD-20 TAB             1*10</t>
  </si>
  <si>
    <t>SAAZ TAB                      1*10</t>
  </si>
  <si>
    <t>SAAZ-DS TAB                   1*10</t>
  </si>
  <si>
    <t xml:space="preserve">       -30</t>
  </si>
  <si>
    <t>SOLVIN DX SYP                 1*100ML</t>
  </si>
  <si>
    <t>SOLVIN LS SYP                 60ML</t>
  </si>
  <si>
    <t>SOLVIN NASAL SPRAY            1*20ML</t>
  </si>
  <si>
    <t>SOLVIN-COLD DROP              1*15ML</t>
  </si>
  <si>
    <t>SOLVIN-COLD DS SYP            60 ML</t>
  </si>
  <si>
    <t>SOLVIN-COLD SYP               1*60ML</t>
  </si>
  <si>
    <t>SOLVIN-COLD TAB               1*10</t>
  </si>
  <si>
    <t>SYMPTA 20                     1*10</t>
  </si>
  <si>
    <t>TEL REVOLOL 40/25             1*10TAB</t>
  </si>
  <si>
    <t>TEL REVOLOL 40/50             1*10TAB</t>
  </si>
  <si>
    <t>TELMINORM AM 40               1*10TAB</t>
  </si>
  <si>
    <t>TELMINORM-20 TAB              1*10</t>
  </si>
  <si>
    <t>TELMINORM-40 TAB              1*10</t>
  </si>
  <si>
    <t>TENOCHEK-25 TAB               1*10</t>
  </si>
  <si>
    <t>TENOLOL-50 TAB                1*14</t>
  </si>
  <si>
    <t>TENORIC-50 TAB                1*10</t>
  </si>
  <si>
    <t>TFCT-NIB 5MG TAB              1*10</t>
  </si>
  <si>
    <t>TIKLEEN-90 TAB                1*10</t>
  </si>
  <si>
    <t>VALDIFF*50                    1*15</t>
  </si>
  <si>
    <t>VALDIFF*M*1000                1*15</t>
  </si>
  <si>
    <t>VALRATE-CR-500 TAB            1*10</t>
  </si>
  <si>
    <t>XTOR-10 TAB                   1*10</t>
  </si>
  <si>
    <t>XTOR-20 TAB                   1*10</t>
  </si>
  <si>
    <t>XTOR-40 TAB                   1*10</t>
  </si>
  <si>
    <t>XTOR-5 TAB                    1*10</t>
  </si>
  <si>
    <t>XTOR-F TAB                    1*10</t>
  </si>
  <si>
    <t>ZEBLONG*16 TAB                1*10</t>
  </si>
  <si>
    <t>ZEBLONG*8 TAB                 1*10</t>
  </si>
  <si>
    <t>ZERODOL TAB                   1*10</t>
  </si>
  <si>
    <t>ZERODOL TH MAX-4              1*10</t>
  </si>
  <si>
    <t>ZERODOL TH4 TAB               1*10</t>
  </si>
  <si>
    <t>ZERODOL TH8 TAB               1*10TAB</t>
  </si>
  <si>
    <t>ZERODOL-CR TAB                1*10</t>
  </si>
  <si>
    <t>ZERODOL-MR TAB                1*10</t>
  </si>
  <si>
    <t>ZERODOL-P TAB                 1*10</t>
  </si>
  <si>
    <t>ZERODOL-PT TAB                1*10</t>
  </si>
  <si>
    <t>ZERODOL-SP TAB                1*10</t>
  </si>
  <si>
    <t>ZERODOL-SPAS                  1*10TAB</t>
  </si>
  <si>
    <t>ZILAST-50 TAB                 1*10</t>
  </si>
  <si>
    <t>IMODIUM CAP                   1*4CAP</t>
  </si>
  <si>
    <t>MOTIVYST TAB                  1*10</t>
  </si>
  <si>
    <t>NIZRAL CREAM                  15 GM</t>
  </si>
  <si>
    <t>OTOGESIC DROP                 5 ML</t>
  </si>
  <si>
    <t>RETINO A 25% CR (blue)        20 GM</t>
  </si>
  <si>
    <t>RETINO A 5%CR (red)           20 GM</t>
  </si>
  <si>
    <t>RETINO AC GEL                 15 GM</t>
  </si>
  <si>
    <t>SEMI-ULTRACET NRX TAB         1*10</t>
  </si>
  <si>
    <t>SIBELIUM 10MG TAB  NRX        1*30</t>
  </si>
  <si>
    <t>SIBELIUM 5 MG (NRX)           1*30</t>
  </si>
  <si>
    <t>SPORANOX CAP                  1*4</t>
  </si>
  <si>
    <t>STUGERON FORTE TAB            1*20</t>
  </si>
  <si>
    <t>STUGERON PLUS TAB             1*10</t>
  </si>
  <si>
    <t>STUGERON TAB                  1*25</t>
  </si>
  <si>
    <t>STUGIL TAB                    1*10</t>
  </si>
  <si>
    <t>TOPAMAC 25 MG                 1*10TAB</t>
  </si>
  <si>
    <t>TOPAMAC-100 TAB               1*10</t>
  </si>
  <si>
    <t>TOPAMAC-50 TAB                1*10</t>
  </si>
  <si>
    <t>ULTRACET TAB NRX              1*15</t>
  </si>
  <si>
    <t>ECOPROT CHOC. 200GM           1*200GM</t>
  </si>
  <si>
    <t>ECOPROT KESAR ELAICHI 200GM   1*200GM</t>
  </si>
  <si>
    <t>NERVIJEN P CAP                1*10</t>
  </si>
  <si>
    <t>NERVIJEN PLUS CAPS            1*10</t>
  </si>
  <si>
    <t>NERVIJEN PLUS INJ.            1*2ML</t>
  </si>
  <si>
    <t>POWERGESIC TAB                1*10</t>
  </si>
  <si>
    <t>POWERGESIC*PLUS*GEL           1*30GM</t>
  </si>
  <si>
    <t>DESOSOFT CREAM                1*10GM</t>
  </si>
  <si>
    <t>KLM KLIN FACE WASH            1*100ML</t>
  </si>
  <si>
    <t>KLM KLIN*AHA FACEWASH         1*100GM</t>
  </si>
  <si>
    <t>LULIZOL CREAM                 1*10GM</t>
  </si>
  <si>
    <t>LULIZOL CREAM                 1*30GM</t>
  </si>
  <si>
    <t>MELAPIK*HQ CEAM               1*20GM</t>
  </si>
  <si>
    <t>CREMADIET DUO                 1*90GM</t>
  </si>
  <si>
    <t>EPILEX CHRONO 500             1*10TAB</t>
  </si>
  <si>
    <t>EPILEX SYP                    1*100ML</t>
  </si>
  <si>
    <t>EPTOIN SYP.                   1*200ML</t>
  </si>
  <si>
    <t>GANATON-OD TAB                1*10</t>
  </si>
  <si>
    <t>HUMAN INSULATARD VIAL         1*10ML</t>
  </si>
  <si>
    <t>HUMAN MIXTARD 50/50 VIAL      1*10ML</t>
  </si>
  <si>
    <t>LEVEMIR FLEXPEN               1*1</t>
  </si>
  <si>
    <t>MIXTARD-30 FLEXPEN            1*1</t>
  </si>
  <si>
    <t>NEDDLLE PF.                   1*1</t>
  </si>
  <si>
    <t>NOVOMIX 50 FLEXPEN            3ML</t>
  </si>
  <si>
    <t>NOVOMIX-30 FLEXPEN            1*1</t>
  </si>
  <si>
    <t>NOVONORM-0.5 TAB              1*15</t>
  </si>
  <si>
    <t>NOVONORM-1MG TAB              1*15</t>
  </si>
  <si>
    <t>NOVONORM-2MG TAB              1*30</t>
  </si>
  <si>
    <t>NOVORAPID FLEXPEN             1*1</t>
  </si>
  <si>
    <t>PROTHIADEN 50 MG              1*10TAB</t>
  </si>
  <si>
    <t>PROTHODIN 25MG TAB.           1*10</t>
  </si>
  <si>
    <t>ZOLFRESH 5MG TAB(NRX)         1*15TAB</t>
  </si>
  <si>
    <t>ZOLFRESH-10 TAB(NRX)          1*15</t>
  </si>
  <si>
    <t>CELIN 500 TAB                 1*20</t>
  </si>
  <si>
    <t>CELIN CHEWABLE TAB            1*20</t>
  </si>
  <si>
    <t>DINOGEST*2 TAB KOYE           1*10</t>
  </si>
  <si>
    <t>SEPTRAN*DS TAB                1*10</t>
  </si>
  <si>
    <t>ALFUGRESS*10 TAB              1*10</t>
  </si>
  <si>
    <t>ALFUGRESS*D TAB               1*10</t>
  </si>
  <si>
    <t>CELIZAREN TAB                 1*10</t>
  </si>
  <si>
    <t>ESOGRESS*40 TAB               1*10</t>
  </si>
  <si>
    <t>ESOGRESS*D TAB                1*10</t>
  </si>
  <si>
    <t>ESOGRESS*L TAB                1*10</t>
  </si>
  <si>
    <t>FERRONOMIC PLUS TAB           1*10</t>
  </si>
  <si>
    <t>GLIAREN*D  TAB                1*10</t>
  </si>
  <si>
    <t>IMMUTI*S*360 TAB              1*10</t>
  </si>
  <si>
    <t>LAFORMIN GV-1 TAB             1*10</t>
  </si>
  <si>
    <t>LAFORMIN*G1 FORTE TAB         1*10</t>
  </si>
  <si>
    <t>LAFORMIN*G1 TAB               1*10</t>
  </si>
  <si>
    <t>LAFORMIN*G2 FORTE TAB         1*10</t>
  </si>
  <si>
    <t>LAFORMIN*G2 TAB               1*10</t>
  </si>
  <si>
    <t>LANUM TAB                     1*10</t>
  </si>
  <si>
    <t>LEVIGRESS 250MG               1*10TAB</t>
  </si>
  <si>
    <t>LEVIGRESS-1000 TAB            1*10</t>
  </si>
  <si>
    <t>LEVIGRESS-500 TAB             1*10</t>
  </si>
  <si>
    <t>NUHENZ CAP                    1*10</t>
  </si>
  <si>
    <t>PALMIGES TAB                  1*10</t>
  </si>
  <si>
    <t>PBREN-NT TAB                  1*10</t>
  </si>
  <si>
    <t>RENOLOG TAB LARENON           1*10</t>
  </si>
  <si>
    <t>RENOQUE CAP                   1*10</t>
  </si>
  <si>
    <t>ROSLAREN 10 TAB               1*10</t>
  </si>
  <si>
    <t>ROSLAREN*20 TAB               1*10</t>
  </si>
  <si>
    <t>SITAHANZ*100 TAB              1*10</t>
  </si>
  <si>
    <t>SOBISIS FORTE TAB             1*10</t>
  </si>
  <si>
    <t>SOBISIS TAB                   1*10</t>
  </si>
  <si>
    <t>SOIHENZ TAB                   1*10</t>
  </si>
  <si>
    <t>THICOREN*AC*4 TAB             1*10</t>
  </si>
  <si>
    <t>TOLMOVE*150 TAB               1*10</t>
  </si>
  <si>
    <t>VOGLIGRESS-0.3 TAB            1*10</t>
  </si>
  <si>
    <t>AB*FLO SR TAB                 1*10</t>
  </si>
  <si>
    <t>AJADUO*10/5 TAB               1*10</t>
  </si>
  <si>
    <t>AJADUO*5/25 TAB               1*10</t>
  </si>
  <si>
    <t>APTIVATE SYP                  1*200ML</t>
  </si>
  <si>
    <t>CIDMUS*100 TAB                1*14</t>
  </si>
  <si>
    <t>CIDMUS*50 TAB                 1*14</t>
  </si>
  <si>
    <t>GIBTULIO*25 TAB               1*10</t>
  </si>
  <si>
    <t>GLADOR* M2 TAB                1*15</t>
  </si>
  <si>
    <t>GLUCONORM*SR*500 TAB          1*15</t>
  </si>
  <si>
    <t>LIPRIL*5 TAB                  1*15</t>
  </si>
  <si>
    <t>NOVASTAT*GOLD*20 TAB          1*10</t>
  </si>
  <si>
    <t>ONDERO*5 TAB                  1*10</t>
  </si>
  <si>
    <t>ONDERO*MET*2.5/500 TAB        1*10</t>
  </si>
  <si>
    <t>PICLIN SYP                    150ML</t>
  </si>
  <si>
    <t>PINOM*CT*20 TAB               1*10</t>
  </si>
  <si>
    <t>RABLET*D CAP                  1*10</t>
  </si>
  <si>
    <t>RABLET*IT CAP                 1*10</t>
  </si>
  <si>
    <t>SIGNOFLAM TAB LUPIN           1*10</t>
  </si>
  <si>
    <t>STARPRESS*XL*25  TAB          1*15</t>
  </si>
  <si>
    <t>STARPRESS*XL*50 TAB           1*15</t>
  </si>
  <si>
    <t>ACCUZON 500 INJ               1*VIAL</t>
  </si>
  <si>
    <t xml:space="preserve">     -0.06</t>
  </si>
  <si>
    <t>ALKARET SYP                   100ML</t>
  </si>
  <si>
    <t>ALRISTA PLUS TAB              1*10</t>
  </si>
  <si>
    <t>AMLOVAS XM 5/50               1*10TAB</t>
  </si>
  <si>
    <t>AMLOVAS-10 TAB                1*15</t>
  </si>
  <si>
    <t>AMLOVAS-2.5 TAB               1*10</t>
  </si>
  <si>
    <t>AMLOVAS-5 TAB.                1*15</t>
  </si>
  <si>
    <t>AMLOVAS-AT TAB                1*15</t>
  </si>
  <si>
    <t>AMLOVAS-AT-25 TAB             1*10</t>
  </si>
  <si>
    <t>AMLOVAS-H TAB.                1*10</t>
  </si>
  <si>
    <t>AMLOVAS-L TAB                 1*10</t>
  </si>
  <si>
    <t>AMLOVAS-M 2.5/25              1*10</t>
  </si>
  <si>
    <t>AMLOVAS-M 5/25                1*10</t>
  </si>
  <si>
    <t>AMLOVAS-M 5/50                1*10</t>
  </si>
  <si>
    <t>AMROLMAC CREAM BIG            1*30GM</t>
  </si>
  <si>
    <t>ANTI-THYROX-20                1*100</t>
  </si>
  <si>
    <t>ANTI-THYROX-5 TAB             1*100ML</t>
  </si>
  <si>
    <t>ATORMAC-10 TAB                1*10</t>
  </si>
  <si>
    <t>ATORMAC-20 TAB                1*10</t>
  </si>
  <si>
    <t>ATORMAC-40 TAB                1*10</t>
  </si>
  <si>
    <t>BENIDUCE-4 TAB                1*10</t>
  </si>
  <si>
    <t>BIO D3 FEM                    1*10</t>
  </si>
  <si>
    <t>BIO D3 STRONG TAB             1*10</t>
  </si>
  <si>
    <t>BIO-D3 MAX                    1*10</t>
  </si>
  <si>
    <t>BIO-D3 PLUS CAP               1*15</t>
  </si>
  <si>
    <t>BIO-D3 PLUS SYP               1*120ML</t>
  </si>
  <si>
    <t>BIO-D3 TAB                    1*10</t>
  </si>
  <si>
    <t>BUDETROL-200 ROTA             1*30</t>
  </si>
  <si>
    <t>BUDETROL-400 ROTA             1*30</t>
  </si>
  <si>
    <t>CEFOLAC 200 TAB.              1*10</t>
  </si>
  <si>
    <t>CEFOLAC DROP                  1*10ML</t>
  </si>
  <si>
    <t>CEFOLAC DT-100                1*10</t>
  </si>
  <si>
    <t>CEFOLAC SYP                   1*30ML</t>
  </si>
  <si>
    <t>CEFOLAC-100 SYP               1*30ML</t>
  </si>
  <si>
    <t>CEFOLAC-50 TAB                1*10</t>
  </si>
  <si>
    <t>CEFOLAC-O-200                 1*10</t>
  </si>
  <si>
    <t>CLARIGARD*125 SYP             1*30ML</t>
  </si>
  <si>
    <t>CLARIGARD*250 SYP             1*30ML</t>
  </si>
  <si>
    <t>DAPAMAC*10 TAB                1*10</t>
  </si>
  <si>
    <t>DAPAMAC*5 TAB                 1*10</t>
  </si>
  <si>
    <t>DEBILYSE PLUS TAB             1*10</t>
  </si>
  <si>
    <t>DEFCORT-12 TAB                1*6</t>
  </si>
  <si>
    <t>DEFCORT-TM TAB                1*10</t>
  </si>
  <si>
    <t>ENSULES PLUS-400 CAP          1*10</t>
  </si>
  <si>
    <t>ENTROFLORA SACHET             1*3 GM</t>
  </si>
  <si>
    <t>ENTROFLORA SYP                1*1</t>
  </si>
  <si>
    <t>ENZOMAC PLUS                  1*10</t>
  </si>
  <si>
    <t>ENZOMAC TAB                   1*10</t>
  </si>
  <si>
    <t>ETIZOLA PLUS 10               1*10</t>
  </si>
  <si>
    <t>ETIZOLA-.25 MG NRX            1*10</t>
  </si>
  <si>
    <t>ETIZOLA-0.5 TAB NRX           1*10</t>
  </si>
  <si>
    <t>ETIZOLA-PLUS 5                1*10</t>
  </si>
  <si>
    <t>ETOSAID-120 TAB               1*10</t>
  </si>
  <si>
    <t>FLEXABENZ GEL                 1*30GM</t>
  </si>
  <si>
    <t>FLEXABENZ-PLUS TAB            1*10</t>
  </si>
  <si>
    <t>FT-MAC CREAM                  1*10GM</t>
  </si>
  <si>
    <t xml:space="preserve">     -0.02</t>
  </si>
  <si>
    <t>GEMINOR M1 FORTE              1*10</t>
  </si>
  <si>
    <t>GEMINOR M1 TAB.               1*15TAB</t>
  </si>
  <si>
    <t>GEMINOR M2 FORTE              1*10TAB</t>
  </si>
  <si>
    <t>GEMINOR M2 TAB.               1*10</t>
  </si>
  <si>
    <t>GEMINOR-1MG TAB.              1*10TAB</t>
  </si>
  <si>
    <t>GEMINOR-2MG TAB.              1*10</t>
  </si>
  <si>
    <t>GEMINOR-MP2                   1*10TAB</t>
  </si>
  <si>
    <t>INVOKANA-100 TAB              1*10</t>
  </si>
  <si>
    <t>IROZORB TAB                   1*10</t>
  </si>
  <si>
    <t>IT MAC SB*100 CAP             1*10</t>
  </si>
  <si>
    <t>IT-MAC 100 CAP                1*4</t>
  </si>
  <si>
    <t>IT-MAC 200 TAB                1*10</t>
  </si>
  <si>
    <t>IT-MAC*SB*130 TAB             1*10</t>
  </si>
  <si>
    <t>IT-MAC*SB*65 TAB              1*10</t>
  </si>
  <si>
    <t>ITMAC*SB*50 CAP               1*10</t>
  </si>
  <si>
    <t>IVAMAC-5 TAB                  1*10</t>
  </si>
  <si>
    <t>K-COR-10 TAB                  1*20</t>
  </si>
  <si>
    <t>LAXITOL SYP.200 ML            1*200ML</t>
  </si>
  <si>
    <t>LAXITOL-HUSK POW              1*1</t>
  </si>
  <si>
    <t>LEVOMAC 500MG TAB.            1*5TAB</t>
  </si>
  <si>
    <t>LEVOMAC-250 TAB               1*5</t>
  </si>
  <si>
    <t>LEXANOX OINT                  1*5GM</t>
  </si>
  <si>
    <t>LIZOMAC DS SYP                30ML</t>
  </si>
  <si>
    <t>LIZOMAC IV                    1*300ML</t>
  </si>
  <si>
    <t>LIZOMAC-600 TAB               1*4</t>
  </si>
  <si>
    <t>LT MAC CREAM                  1*10GM</t>
  </si>
  <si>
    <t>LT-MAC LOTION                 1*15GM</t>
  </si>
  <si>
    <t>LLOT</t>
  </si>
  <si>
    <t>LULIMAC LOTION                1*15ML</t>
  </si>
  <si>
    <t>LULIMAC OINT                  10GM</t>
  </si>
  <si>
    <t>LULIMAC OINT                  20GM</t>
  </si>
  <si>
    <t>MAC-TOTAL SYP                 100ML</t>
  </si>
  <si>
    <t>SHAP</t>
  </si>
  <si>
    <t>MAC-TOTAL TAB                 1*10TAB</t>
  </si>
  <si>
    <t>MACBERY DX SYP                1*100ML</t>
  </si>
  <si>
    <t>MACBERY JUNIOR SYP            100ML</t>
  </si>
  <si>
    <t>MACBERY LEVO SYP              1*60ML</t>
  </si>
  <si>
    <t>MACBERY LS SYP                100ML</t>
  </si>
  <si>
    <t>MACBERY SYP                   1*100ML</t>
  </si>
  <si>
    <t>MACBERY-PD SYP                1*60ML</t>
  </si>
  <si>
    <t>MACBERY-XT SYP                1*100ML</t>
  </si>
  <si>
    <t>MACBRITE D3 800 ED            15ML</t>
  </si>
  <si>
    <t>MACFOLATE ACTIVE CAP          1*10</t>
  </si>
  <si>
    <t>MACFOLATE PLUS TAB            1*10TAB</t>
  </si>
  <si>
    <t>MACFOLATE TAB                 1*10</t>
  </si>
  <si>
    <t>MACGEST SR200 CAP             1*10</t>
  </si>
  <si>
    <t>MACPOD CV 200                 1*6</t>
  </si>
  <si>
    <t>MACPOD DROP                   1*10 ML</t>
  </si>
  <si>
    <t>MACPOD-100 SYP                1*30ML</t>
  </si>
  <si>
    <t>MACPOD-100 TAB                1*10</t>
  </si>
  <si>
    <t>MACPOD-200 TAB                1*10</t>
  </si>
  <si>
    <t>MACPOD-50 SYP                 1*30ML</t>
  </si>
  <si>
    <t>MACPOD-50 TAB                 1*10</t>
  </si>
  <si>
    <t>MACPOD-O-200 TAB              1*10 T</t>
  </si>
  <si>
    <t>MACPROT POWDER                1*200GM</t>
  </si>
  <si>
    <t>MACRALFATE-O SYP              1*200ML</t>
  </si>
  <si>
    <t>MACROMYCIN TAB.               1*10TAB</t>
  </si>
  <si>
    <t>MACSART 40                    1*10TAB</t>
  </si>
  <si>
    <t>MACSART AM                    1*10</t>
  </si>
  <si>
    <t>MACSART BETA 25 TAB           1*10</t>
  </si>
  <si>
    <t>MACSART BETA 50               1*10TAB</t>
  </si>
  <si>
    <t>MACSART-20 TAB                1*10</t>
  </si>
  <si>
    <t>MACSART-CH-40 TAB             1*10</t>
  </si>
  <si>
    <t>MACSART-H TAB                 1*10</t>
  </si>
  <si>
    <t>MACTOR-10 TAB                 1*10</t>
  </si>
  <si>
    <t>MACTOR-20 TAB                 1*10</t>
  </si>
  <si>
    <t>MACTOR-ASP-75                 1*10</t>
  </si>
  <si>
    <t>MACTOR-F TAB                  1*10</t>
  </si>
  <si>
    <t>MACVESTIN 500                 1*10TAB</t>
  </si>
  <si>
    <t>MEFOMIN 500 SR TAB            1*10</t>
  </si>
  <si>
    <t>MEGALIS-10 TAB                1*4</t>
  </si>
  <si>
    <t>MEGALIS-20 TAB                1*4</t>
  </si>
  <si>
    <t>MENOJOY CAP                   1*10</t>
  </si>
  <si>
    <t>MEROMAC-1GM                   1*1GM</t>
  </si>
  <si>
    <t>METACORTIL-LITE CREAM         15GM</t>
  </si>
  <si>
    <t>METOMAC-25 TAB                1*10</t>
  </si>
  <si>
    <t>METOMAC-50 TAB                1*10</t>
  </si>
  <si>
    <t>MONTEMAC BL TAB.              1*10</t>
  </si>
  <si>
    <t>MONTEMAC-FX TAB               1*10</t>
  </si>
  <si>
    <t>MONTEMAC-L TAB                1*10</t>
  </si>
  <si>
    <t>MOXIMAC TAB                   1*5</t>
  </si>
  <si>
    <t>MOXOVAS 0.3 TAB               1*10</t>
  </si>
  <si>
    <t>MOXOVAS-0.2 TAB               1*10</t>
  </si>
  <si>
    <t>MYLAMIN TAB                   1*10</t>
  </si>
  <si>
    <t>NAZOMAC-AF N/S                1*1PC</t>
  </si>
  <si>
    <t>NEXOVAS 20                    1*10TAB</t>
  </si>
  <si>
    <t>NEXOVAS*O*20 TAB              1*10</t>
  </si>
  <si>
    <t>NEXOVAS*O*40                  1*10</t>
  </si>
  <si>
    <t>NEXOVAS-CH-10 TAB             1*10</t>
  </si>
  <si>
    <t>NEXOVAS-M-50 TAB              1*10</t>
  </si>
  <si>
    <t>NEXOVAS-T TAB                 1*10</t>
  </si>
  <si>
    <t>NEXSART-40 TAB                1*10</t>
  </si>
  <si>
    <t>NUPENTA-40 TAB                1*10</t>
  </si>
  <si>
    <t>NUPENTA-DSR CAP               1*10</t>
  </si>
  <si>
    <t>OFLOMAC 100 TAB               1*10</t>
  </si>
  <si>
    <t>OFLOMAC 200 TAB.              1*10TAB</t>
  </si>
  <si>
    <t>OFLOMAC FORTE SYP             1*30ML</t>
  </si>
  <si>
    <t>OFLOMAC SYP                   1*30ML</t>
  </si>
  <si>
    <t>OFLOMAC-400 TAB               1*10</t>
  </si>
  <si>
    <t>OFLOMAC-M SYP                 1*30ML</t>
  </si>
  <si>
    <t>OLMESAR CH 20                 1*10TAB</t>
  </si>
  <si>
    <t>OLMESAR CH 40MG TAB           10TAB</t>
  </si>
  <si>
    <t>OLMESAR PLUS*20 TAB           1*10</t>
  </si>
  <si>
    <t>OLMESAR-10 TAB                1*10</t>
  </si>
  <si>
    <t>OLMESAR-20 TAB.               1*15</t>
  </si>
  <si>
    <t>OLMESAR-40 TAB                1*15</t>
  </si>
  <si>
    <t>OLMESAR-A TAB                 1*15</t>
  </si>
  <si>
    <t>OLMESAR-A-40 TAB              1*10</t>
  </si>
  <si>
    <t>OLMESAR-H TAB                 1*7</t>
  </si>
  <si>
    <t>OLMESAR-H-40 TAB              1*7</t>
  </si>
  <si>
    <t>OLMESAR-M-25 TAB              1*10</t>
  </si>
  <si>
    <t>OMNACORTIL SYP                1*60ML</t>
  </si>
  <si>
    <t>OMNACORTIL-10 TAB             1*10</t>
  </si>
  <si>
    <t>OMNACORTIL-20 TAB             1*10</t>
  </si>
  <si>
    <t>OMNACORTIL-30 TAB             1*10</t>
  </si>
  <si>
    <t>OMNACORTIL-40 TAB             1*10</t>
  </si>
  <si>
    <t>OMNACORTIL-5 TAB              1*10</t>
  </si>
  <si>
    <t>OMNITAN-50 TAB                1*10</t>
  </si>
  <si>
    <t>OMNITAN-H TAB                 1*15</t>
  </si>
  <si>
    <t>ORATIL-250 TAB                1*10</t>
  </si>
  <si>
    <t>ORATIL-500 CAP                1*6</t>
  </si>
  <si>
    <t>ORATIL-CV-250 TAB             1*10</t>
  </si>
  <si>
    <t>ORATIL-CV-500 TAB             1*10</t>
  </si>
  <si>
    <t>ORCERIN CAP                   1*10</t>
  </si>
  <si>
    <t>ORNAMAC TAB                   1*10</t>
  </si>
  <si>
    <t>ORPENEM*ER TAB                1*6</t>
  </si>
  <si>
    <t>PANDERM ++ CREAM              1*15GM</t>
  </si>
  <si>
    <t>PANDERM SUPER CREAM           1*15GM</t>
  </si>
  <si>
    <t>PLATIMAX TAB                  1*10</t>
  </si>
  <si>
    <t>POLYCLAV-625 TAB              1*6</t>
  </si>
  <si>
    <t>PRINCICAL TAB                 1*10TAB</t>
  </si>
  <si>
    <t>PRINICLAV TAB                 1*6</t>
  </si>
  <si>
    <t>RABEMAC**MPS SYP              1*200ML</t>
  </si>
  <si>
    <t>RABEMAC-20 TAB                1*10</t>
  </si>
  <si>
    <t>RABEMAC-DSR CAP               1*10</t>
  </si>
  <si>
    <t>RABEMAC-LS CAP                1*10</t>
  </si>
  <si>
    <t>RAPITUS PLUS SYP              100 ML</t>
  </si>
  <si>
    <t>RAPITUS SYP                   1*100ML</t>
  </si>
  <si>
    <t>ROLAZIN TAB                   1*10</t>
  </si>
  <si>
    <t>ROSUMAC 10 MG                 1*10TAB</t>
  </si>
  <si>
    <t>ROSUMAC GOLD CAP              1*10</t>
  </si>
  <si>
    <t>ROSUMAC-ASP TAB               1*10</t>
  </si>
  <si>
    <t>ROSUMAC-CV-10 TAB             1*10</t>
  </si>
  <si>
    <t>ROSUMAC-F                     1*10TAB</t>
  </si>
  <si>
    <t>ROSUMAC-GOLD-20 TAB           1*10</t>
  </si>
  <si>
    <t>ROZUSTAT 20MG TAB             1*10TAB</t>
  </si>
  <si>
    <t>ROZUSTAT-10MG TAB             1*10TAB</t>
  </si>
  <si>
    <t>ROZUSTAT-ASP TAB              1*10</t>
  </si>
  <si>
    <t>ROZUSTAT-F TAB                1*10</t>
  </si>
  <si>
    <t>RUBIRED SYP                   1*150ML</t>
  </si>
  <si>
    <t>RUBIRED TAB                   1*10</t>
  </si>
  <si>
    <t>RUBIRED*Z CAP                 1*10</t>
  </si>
  <si>
    <t>SENSICLAV 375 MG              1*6 TAB</t>
  </si>
  <si>
    <t>SENSICLAV 625                 1*6 TAB</t>
  </si>
  <si>
    <t>SENSICLAV BD DRY SYP          1*30 ML</t>
  </si>
  <si>
    <t>SENSICLAV KID DT              1*10</t>
  </si>
  <si>
    <t>SENSICLAV-DS SYP              1*30ML</t>
  </si>
  <si>
    <t>SENSIFOL CAP                  1*10</t>
  </si>
  <si>
    <t>TAZOMAC-4.5 INJ               1*VIAL</t>
  </si>
  <si>
    <t>TELMIDUCE-20 TAB              1*10</t>
  </si>
  <si>
    <t>TELMIDUCE-40 TAB              1*10TAB</t>
  </si>
  <si>
    <t>TELMIDUCE-AM TAB              1*10</t>
  </si>
  <si>
    <t>TELMIDUCE-H TAB               1*10TAB</t>
  </si>
  <si>
    <t>TENGINOW M TAB                1*10</t>
  </si>
  <si>
    <t>TENGINOW TAB                  1*10</t>
  </si>
  <si>
    <t>TENLIMAC M 1000               1*10</t>
  </si>
  <si>
    <t>TENLIMAC M 500                1*10</t>
  </si>
  <si>
    <t>TENLIMAC TAB                  1*10</t>
  </si>
  <si>
    <t>TERBITOTAL-500 TAB            1*10</t>
  </si>
  <si>
    <t>THYROX 37.5 TAB               1*100</t>
  </si>
  <si>
    <t>THYROX 62.50                  1*100</t>
  </si>
  <si>
    <t>THYROX-100 TAB                1*100</t>
  </si>
  <si>
    <t>THYROX-12.5                   1*100TA</t>
  </si>
  <si>
    <t>THYROX-125 TAB                1*30</t>
  </si>
  <si>
    <t>THYROX-150 TAB                1*100</t>
  </si>
  <si>
    <t>THYROX-200 TAB                1*30</t>
  </si>
  <si>
    <t>THYROX-25 TAB                 1*100</t>
  </si>
  <si>
    <t>THYROX-50 TAB                 1*100</t>
  </si>
  <si>
    <t>THYROX-75                     1X20TAB</t>
  </si>
  <si>
    <t>THYROX-88 TAB                 1*100</t>
  </si>
  <si>
    <t>TRENAXA INJ                   1*5AMP</t>
  </si>
  <si>
    <t>TRENAXA-500 TAB               1*6</t>
  </si>
  <si>
    <t>TRENAXA-MF TAB                1*6</t>
  </si>
  <si>
    <t>TRIMACSART TAB                1*10</t>
  </si>
  <si>
    <t>TRINEXOVAS 20MG TAB           1*10TAB</t>
  </si>
  <si>
    <t>TRINEXOVAS 40MG TAB           1*10 TA</t>
  </si>
  <si>
    <t>TRIOLMESAR CH 20              1*15TAB</t>
  </si>
  <si>
    <t>TRIOLMESAR CH 40              1*10TAB</t>
  </si>
  <si>
    <t>TRIOLMESAR-20                 1*10TAB</t>
  </si>
  <si>
    <t>TRIOLMESAR-40                 1*10TAB</t>
  </si>
  <si>
    <t>VILDAMAC 50 TAB               1*15</t>
  </si>
  <si>
    <t>VILDAMAC M 50/1000 TAB.       1*15</t>
  </si>
  <si>
    <t>VILDAMAC M 50/500 TAB         1*15</t>
  </si>
  <si>
    <t>VILDAMAC M 50/850 TAB.        1*15</t>
  </si>
  <si>
    <t>VILDAMAC*OD*100 TAB           1*10</t>
  </si>
  <si>
    <t>VOGLIMAC GM-2                 1*10</t>
  </si>
  <si>
    <t>VOGLIMAC GM1                  1*10</t>
  </si>
  <si>
    <t>VOGLIMAC MF .02               1*10TAB</t>
  </si>
  <si>
    <t>VOGLIMAC-0.2 TAB              1*10</t>
  </si>
  <si>
    <t>VOGLIMAC-0.3 TAB              1*10</t>
  </si>
  <si>
    <t>VOGLIMAC-MF-0.3 TAB           1*10</t>
  </si>
  <si>
    <t>ZEDOCEF-CV-200 TAB            1*10</t>
  </si>
  <si>
    <t>ZITHROX-200 SYP               1*15ML</t>
  </si>
  <si>
    <t>ZITHROX-250 TAB               1*6</t>
  </si>
  <si>
    <t>ZITHROX-500 TAB               1*3</t>
  </si>
  <si>
    <t>CARBATEC 1 GM                 1*1VIAL</t>
  </si>
  <si>
    <t>CYPROMAC SYRUP                1*200ML</t>
  </si>
  <si>
    <t>ENZOTECH D TAB                1*10</t>
  </si>
  <si>
    <t>ENZOTECH FORTE TAB            1*10</t>
  </si>
  <si>
    <t>ENZOTECH P TAB                1*10 TAB</t>
  </si>
  <si>
    <t>ENZOTECH SP TAB               1*10</t>
  </si>
  <si>
    <t>ENZOTECH TAB                  1*10</t>
  </si>
  <si>
    <t>ENZOTECH*MR TAB               1*10</t>
  </si>
  <si>
    <t>FEROTEC SYP                   200ML</t>
  </si>
  <si>
    <t>FEROTEC TAB                   1*10</t>
  </si>
  <si>
    <t>GLUCOMAC POWDER               1*100GM</t>
  </si>
  <si>
    <t>KIT-19 TAB.                   1*15</t>
  </si>
  <si>
    <t>MACOSTEO SYP                  1*200ML</t>
  </si>
  <si>
    <t>MACOSTEO TABLET*12%           1*15</t>
  </si>
  <si>
    <t>MACTECEF-250TAB               1*10</t>
  </si>
  <si>
    <t>MACTECEF-500 TAB              1*10</t>
  </si>
  <si>
    <t>MACTECEF-S INJ                1*1</t>
  </si>
  <si>
    <t xml:space="preserve">       -25</t>
  </si>
  <si>
    <t>INJJ</t>
  </si>
  <si>
    <t>MACTECOF SYP                  1*100ML</t>
  </si>
  <si>
    <t>MACTECOF-XT SYP               1*100ML</t>
  </si>
  <si>
    <t>MACTEDEF TAB                  1*10</t>
  </si>
  <si>
    <t>MACTEDEF-12 TAB               1*10</t>
  </si>
  <si>
    <t>MACTEMAC TAB                  1*10TAB</t>
  </si>
  <si>
    <t>MACTEPAN CAP                  1*10</t>
  </si>
  <si>
    <t>MACTEPAN-DSR TAB              1*15</t>
  </si>
  <si>
    <t>MACTEVIT SOFTGEL CAP          1*10</t>
  </si>
  <si>
    <t>MACTEVIT SYP MACTEC           1*200ML</t>
  </si>
  <si>
    <t>MECTECEF-XP INJ               1*1</t>
  </si>
  <si>
    <t>MOXTEC 375 MG                 1*10</t>
  </si>
  <si>
    <t>MOXTEC 625 TAB                1*6TAB</t>
  </si>
  <si>
    <t>NTP GOLD TAB                  1*10TAB</t>
  </si>
  <si>
    <t>SACH</t>
  </si>
  <si>
    <t>ORNITEC TAB                   1*10</t>
  </si>
  <si>
    <t>TECFIN SYP                    1*170ML</t>
  </si>
  <si>
    <t>ARGIPREG SACHET               1*6.5GM</t>
  </si>
  <si>
    <t>CANDIFORCE-200 CAP            1*7</t>
  </si>
  <si>
    <t>D3*MUST FORTE DROP            1*15ML</t>
  </si>
  <si>
    <t>DROGYNA TAB                   1*10</t>
  </si>
  <si>
    <t>DYDROBOON TAB                 1*10</t>
  </si>
  <si>
    <t>ENTROMAX SUSPENSION           1*1</t>
  </si>
  <si>
    <t>GUDPRES*XL*50 TAB             1*10</t>
  </si>
  <si>
    <t>HISTAFREE*M TAB               1*10</t>
  </si>
  <si>
    <t>INTIWASH SOAP                 1*100ML</t>
  </si>
  <si>
    <t>LETROHOPE 2.5 TAB             1*5</t>
  </si>
  <si>
    <t>LOSAKIND*25 TAB               1*10</t>
  </si>
  <si>
    <t>MAHACEF CV 200 TAB.           1*6</t>
  </si>
  <si>
    <t>MOXIKIND CV*625 TAB           1*6</t>
  </si>
  <si>
    <t>MOXIKIND*CV*375 TAB           1*6</t>
  </si>
  <si>
    <t>NUROKIND GOLD CAP.            1*10CAP.</t>
  </si>
  <si>
    <t>NUROKIND*MORE TAB             1*10</t>
  </si>
  <si>
    <t>NUROKIND*OD TAB               1*20</t>
  </si>
  <si>
    <t>TELMIKIND*20 TAB              1*10</t>
  </si>
  <si>
    <t>TELMIKIND*40 TAB              1*10</t>
  </si>
  <si>
    <t>TELMIKIND*AMH*TAB             1*10</t>
  </si>
  <si>
    <t>URIKIND-KM SACHET             1*1</t>
  </si>
  <si>
    <t>AXOL-BR SYP                   1*100ML</t>
  </si>
  <si>
    <t>AXTOL*LS SYP                  1*100ML</t>
  </si>
  <si>
    <t>BETAWISH TAB                  1*10</t>
  </si>
  <si>
    <t>CALORIT 60K TAB.              1*4</t>
  </si>
  <si>
    <t>CALORIT K2 TAB                1*10</t>
  </si>
  <si>
    <t>CALORIT*60K*NANO              1*4BOTTLE</t>
  </si>
  <si>
    <t>CALORIT-C TAB                 1*15</t>
  </si>
  <si>
    <t>CLOTIZEN-CT CAP               1*7</t>
  </si>
  <si>
    <t>CYPOZEN SYP                   1*200ML</t>
  </si>
  <si>
    <t>DEFALAZ-6                     *10</t>
  </si>
  <si>
    <t>DEXTO-DS SYP 100ML            1*100ML</t>
  </si>
  <si>
    <t>ENZOPAN TAB                   1*10</t>
  </si>
  <si>
    <t>ENZOPAN-D TAB                 1*10</t>
  </si>
  <si>
    <t>FAST-COUNT CAP                1*10</t>
  </si>
  <si>
    <t>FAST-COUNT SYRUP              1*200ML</t>
  </si>
  <si>
    <t>HEXCIP M/W                    1*100ML</t>
  </si>
  <si>
    <t>IMOCLAV-375 TAB               1*10</t>
  </si>
  <si>
    <t>IMOCLAV-625 TAB               1*10</t>
  </si>
  <si>
    <t>MEFZEN FORTE SYP              1*60ML</t>
  </si>
  <si>
    <t>PRMIS-E CAP                   1*10</t>
  </si>
  <si>
    <t>Q10-FORT SOFT CAP             1*10</t>
  </si>
  <si>
    <t>SIZCEF-250 TAB                1*10</t>
  </si>
  <si>
    <t>SIZCEF-500 TAB                1*10</t>
  </si>
  <si>
    <t>TARDOL-P TAB                  1*10</t>
  </si>
  <si>
    <t>TENDOR FORT TAB               1*10</t>
  </si>
  <si>
    <t>TENDOZEN TAB                  1*10</t>
  </si>
  <si>
    <t>TOCOBETA CAP.                 1*10</t>
  </si>
  <si>
    <t>VICOZEN-L SYRUP 200ML         1*200ML</t>
  </si>
  <si>
    <t>CALCIMAX FORTE PLUS TAB       1*30</t>
  </si>
  <si>
    <t>CALCIMAX SYP                  1*200ML</t>
  </si>
  <si>
    <t>CALCIMAX*500 TAB              1*30 TAB</t>
  </si>
  <si>
    <t>PC</t>
  </si>
  <si>
    <t>CALCIMAX*D*1000MG TAB         1*30</t>
  </si>
  <si>
    <t>CALCIMAX*ISO CAP              1*15</t>
  </si>
  <si>
    <t>CALCIMAX*P SYP                1*200ML</t>
  </si>
  <si>
    <t>CALCIMAX*TOTAL TAB            1*15</t>
  </si>
  <si>
    <t>CALCIMAX-P TAB                1*15</t>
  </si>
  <si>
    <t>CARIPAYA TAB                  1*15</t>
  </si>
  <si>
    <t>COLICAID DROPS                1*15ML</t>
  </si>
  <si>
    <t>COLICAID SYP                  1*100ML</t>
  </si>
  <si>
    <t>JOINTACE*C2 TAB               1*10</t>
  </si>
  <si>
    <t>MENOPACE CAP                  1*15</t>
  </si>
  <si>
    <t>PREGNACARE TAB                1*10</t>
  </si>
  <si>
    <t>UGESIC*TAB                    1*10</t>
  </si>
  <si>
    <t>ULTRA*D3 DROP                 1*15ML</t>
  </si>
  <si>
    <t>WELL WOMAN CAP 15CAP          1*15</t>
  </si>
  <si>
    <t>MOTINORM DROP                 1*5ML</t>
  </si>
  <si>
    <t>O2 SYP                        1*30ML</t>
  </si>
  <si>
    <t>O2 TAB                        1*10</t>
  </si>
  <si>
    <t>PRIMODIL*2.5 TAB              1*10</t>
  </si>
  <si>
    <t>PRIMODIL*5 TAB                1*10</t>
  </si>
  <si>
    <t>R.B.TONE CAP                  1*15</t>
  </si>
  <si>
    <t>R.B.TONE SYP                  1*200ML</t>
  </si>
  <si>
    <t>TELMED*AH*40 TAB              1*10</t>
  </si>
  <si>
    <t>TELMED*AM TAB                 1*10</t>
  </si>
  <si>
    <t>TELMED*BETA*50 TAB            1*10</t>
  </si>
  <si>
    <t>TELMED*H TAB                  1*10</t>
  </si>
  <si>
    <t>VOGLI*0.2 TAB                 1*10</t>
  </si>
  <si>
    <t>VOGLI*0.3 TAB                 1*10</t>
  </si>
  <si>
    <t>VOGLI*GM*1 TAB                1*10</t>
  </si>
  <si>
    <t>VOGLI*GM*2*FORTE TAB          1*10</t>
  </si>
  <si>
    <t>VOGLI*M*0.2 TAB               1*10</t>
  </si>
  <si>
    <t>VOGLI*M*0.3 TAB               1*10</t>
  </si>
  <si>
    <t>VOGLI*RAPID*0.2/0.5 TAB       1*10</t>
  </si>
  <si>
    <t>VOGLI*RAPID*0.2/1.0 TAB       1*10</t>
  </si>
  <si>
    <t>VOGLI*RAPID*0.3/1 TAB         1*10</t>
  </si>
  <si>
    <t>VOGLI*RAPID*0.3/2.0 TAB       1*10</t>
  </si>
  <si>
    <t>VOGLI*TRIO*0.2 MG TABS        1*10</t>
  </si>
  <si>
    <t>VOGLI*TRIO*0.3 TAB            1*10</t>
  </si>
  <si>
    <t>DECDAN TAB                    1*10</t>
  </si>
  <si>
    <t>LIBOTRYP NRX TAB              1*30</t>
  </si>
  <si>
    <t>LIBOTRYP-DS NRX TAB           1*10</t>
  </si>
  <si>
    <t>METHYCOBAL INJ.               1*1</t>
  </si>
  <si>
    <t>METHYCOBAL TAB                1*10</t>
  </si>
  <si>
    <t>PRACTIN SYP.                  1*200ML</t>
  </si>
  <si>
    <t>PRACTIN-EN SYP.               1*200ML</t>
  </si>
  <si>
    <t>TRYPTOMER 10MG TAB            1*30</t>
  </si>
  <si>
    <t>ACE-PROXY-CR TAB              1*10</t>
  </si>
  <si>
    <t>ACE-PROXYVON TAB              1*10</t>
  </si>
  <si>
    <t>PRACTIN TAB                   1*10</t>
  </si>
  <si>
    <t>TRYPTOMER 25MG TAB            1*30</t>
  </si>
  <si>
    <t>AZIDERM*15% GEL               15GM</t>
  </si>
  <si>
    <t>AZIDERM*20% CREAM             1*15GM</t>
  </si>
  <si>
    <t>DIBIZIDE**M TAB               1*10</t>
  </si>
  <si>
    <t>DOLO*500 TAB                  1*10</t>
  </si>
  <si>
    <t>DOLO-650 TAB                  1*15</t>
  </si>
  <si>
    <t>LUTIVIT NF 1*10               1*10</t>
  </si>
  <si>
    <t xml:space="preserve">        95_x000c_</t>
  </si>
  <si>
    <t>MONUROL GRANULES              1*1</t>
  </si>
  <si>
    <t>NITROCONTIN-2.6 TAB           1*25</t>
  </si>
  <si>
    <t>PYRICONTIN TAB                1*10</t>
  </si>
  <si>
    <t>UNICONTIN-400 TAB             1*10</t>
  </si>
  <si>
    <t>CANESTEN-V6 CAP               1*6</t>
  </si>
  <si>
    <t>EMOLENE CREAM BIG             1*100GM</t>
  </si>
  <si>
    <t>FEMOVAN TAB                   1*21</t>
  </si>
  <si>
    <t>GLUCOBAY 50MG.TAB             1*10TAB</t>
  </si>
  <si>
    <t>GLUCOBAY M-25MG.TAB           1*10</t>
  </si>
  <si>
    <t>GLUCOBAY M-50MG.TAB.          1*10TAB</t>
  </si>
  <si>
    <t>GLYXAMBI 5/25 TAB             1*10</t>
  </si>
  <si>
    <t>GLYXAMBI-10/5                 1*10</t>
  </si>
  <si>
    <t>INCID*ULTRA TAB               1*10</t>
  </si>
  <si>
    <t>JANUMET 50/500                1*15TAB</t>
  </si>
  <si>
    <t>JANUMET XR CAP                1*7TAB</t>
  </si>
  <si>
    <t>JANUMET-50/1000 MG TAB        1*14</t>
  </si>
  <si>
    <t>JANUVIA 100                   1*7TAB</t>
  </si>
  <si>
    <t>JANUVIA 50                    1*7TAB</t>
  </si>
  <si>
    <t>JARDIANCE 10 MG               1*10TAB</t>
  </si>
  <si>
    <t>JARDIANCE 25 MG               1*10TAB</t>
  </si>
  <si>
    <t>JARDIANCE MET 12.5/1000       1*10</t>
  </si>
  <si>
    <t>JARDIANE MET 12.5/500         1*10</t>
  </si>
  <si>
    <t>LUCIARA CREAM                 1*50GM</t>
  </si>
  <si>
    <t>SUSTANON 250 INJ              1*AMP</t>
  </si>
  <si>
    <t>AMP</t>
  </si>
  <si>
    <t>ABVIDA*50 TAB                 1*15</t>
  </si>
  <si>
    <t>ACITROM 0.5 MG                1*10TAB</t>
  </si>
  <si>
    <t>AQUAVIRON INJ                 1*12</t>
  </si>
  <si>
    <t>AROVIT TAB                    1*10</t>
  </si>
  <si>
    <t>ASCABION LOTION BIG.          1*100ML</t>
  </si>
  <si>
    <t>ASCABION LOTION SMALL.        1*50ML</t>
  </si>
  <si>
    <t>AVOMINE TAB.                  1*10TAB</t>
  </si>
  <si>
    <t>BACTRIM DS TAB                1*10</t>
  </si>
  <si>
    <t>BACTRIM SYP.                  1*60ML</t>
  </si>
  <si>
    <t>BECOZYME C FORTE TAB.         1*15TAB</t>
  </si>
  <si>
    <t>BENADONE TAB                  1*10</t>
  </si>
  <si>
    <t>BIZOBID-PLUS TAB              1*10</t>
  </si>
  <si>
    <t>CAAT-10 TAB                   1*15</t>
  </si>
  <si>
    <t>CAAT-20 TAB                   1*10</t>
  </si>
  <si>
    <t>CAAT-40 TAB                   1*10</t>
  </si>
  <si>
    <t>CALAPTIN SR 120 TAB           1*15</t>
  </si>
  <si>
    <t>CALAPTIN-40MG TAB             1*30</t>
  </si>
  <si>
    <t>CALAPTIN-80MG TAB             1*10</t>
  </si>
  <si>
    <t>CWIN CREAM 30GR.              1*30GR</t>
  </si>
  <si>
    <t>CYTOGARD-OD-60 CAP.           1*10</t>
  </si>
  <si>
    <t>DELOK-20 CAP                  1*10</t>
  </si>
  <si>
    <t>DIABETROL SR                  1*10</t>
  </si>
  <si>
    <t>DIABETROL TAB                 1*10</t>
  </si>
  <si>
    <t>DURAPAIN TAB NRX              1*10</t>
  </si>
  <si>
    <t>EBILITY TAB                   1*10</t>
  </si>
  <si>
    <t>ESGYPYRIN GEL                 1*30GM</t>
  </si>
  <si>
    <t>ESGYPYRIN-SP TAB              1*10</t>
  </si>
  <si>
    <t>ESOGA RD CAP                  1*10</t>
  </si>
  <si>
    <t>ESSENTIAL-L CAP.              1*10</t>
  </si>
  <si>
    <t>ETODY-120TAB                  1*10</t>
  </si>
  <si>
    <t>ETODY-60TAB                   1*10</t>
  </si>
  <si>
    <t>FACECLIN GEL                  1*20GM</t>
  </si>
  <si>
    <t>FACECLINE-A GEL               1*15GM</t>
  </si>
  <si>
    <t>FAMTAC-40MG TAB               1*14</t>
  </si>
  <si>
    <t>FEBUSTAT-40 MG                1*10TAB</t>
  </si>
  <si>
    <t>FEBUSTAT-80 TAB               1*10</t>
  </si>
  <si>
    <t>FLAGYL SYP.                   1*60ML.</t>
  </si>
  <si>
    <t>FLAGYL**ER TAB                1*10</t>
  </si>
  <si>
    <t>FLAGYL-200 TAB.               1*10</t>
  </si>
  <si>
    <t>FLAGYL-400 TAB.               1*10</t>
  </si>
  <si>
    <t>FOLLIHAIR SOFTGEL             1*10</t>
  </si>
  <si>
    <t>FORTIUS-10                    1*10</t>
  </si>
  <si>
    <t>GARDENAL 30MG NRX TAB         1*100</t>
  </si>
  <si>
    <t>GARDENAL 60 MG NRX TAB        1*100</t>
  </si>
  <si>
    <t>GARDINAL NRX SYP.             1*30ML</t>
  </si>
  <si>
    <t>GAROIN NRX TAB.               1*10</t>
  </si>
  <si>
    <t>GENTICYN 80 VIAL              1*2ML</t>
  </si>
  <si>
    <t>GLIMER 1MG TAB                1*10</t>
  </si>
  <si>
    <t>GLIMER 2MG TAB                1*10</t>
  </si>
  <si>
    <t>GLUFORMIN 500 TAB             1*10</t>
  </si>
  <si>
    <t>GLUFORMIN G1 TAB              1*15</t>
  </si>
  <si>
    <t>GLUFORMIN G2 TAB              1*10</t>
  </si>
  <si>
    <t>GLUFORMIN XL 500              1*15</t>
  </si>
  <si>
    <t>GLUFORMIN-G1 FORTE            1*10</t>
  </si>
  <si>
    <t>GLUFORMIN-G2 FORTE TAB        1*10</t>
  </si>
  <si>
    <t>GLUFORMIN-XL 1000 TAB         1*15</t>
  </si>
  <si>
    <t>GTN SORBI-2.6 TAB             1*25</t>
  </si>
  <si>
    <t>HEAMCEEL INJ.                 1*500ML</t>
  </si>
  <si>
    <t>HYDENT PRO TOOTHPAST          70GM</t>
  </si>
  <si>
    <t>CREA</t>
  </si>
  <si>
    <t>I-PILL TAB                    1*1</t>
  </si>
  <si>
    <t>I-TYZA-200 TAB                1*10</t>
  </si>
  <si>
    <t>INDERAL-10MG TAB              1*10</t>
  </si>
  <si>
    <t>INDERAL-40MG TAB              1*10</t>
  </si>
  <si>
    <t>ISMO RETARD TAB               1*7</t>
  </si>
  <si>
    <t>ISMO-20MG TAB                 1*30</t>
  </si>
  <si>
    <t>KENACORT 0.1% OINT.           1*5GR</t>
  </si>
  <si>
    <t>KENACORT 10MG.INJ.            1*VIAL</t>
  </si>
  <si>
    <t>KENACORT 40MG.INJ.            1*VIAL</t>
  </si>
  <si>
    <t>KENACORT 4MG. TAB.            1*10</t>
  </si>
  <si>
    <t>LEVESAM-1 GM                  1*10</t>
  </si>
  <si>
    <t>LIBREX TAB NRX                1*20</t>
  </si>
  <si>
    <t>LIBRIUM-10 NRX TAB            1*10</t>
  </si>
  <si>
    <t>LIBRIUM-25MG NRX TAB          1*10</t>
  </si>
  <si>
    <t>LIMCEE TAB                    1*10</t>
  </si>
  <si>
    <t>LOBAT GMN LOTION              1*50ML</t>
  </si>
  <si>
    <t>LOTI</t>
  </si>
  <si>
    <t>LOBAT-GN CREAM                1*15GM</t>
  </si>
  <si>
    <t>LOBAT-M CREAM                 1*15GM</t>
  </si>
  <si>
    <t>LOBATE SKIN CREAM.            1*15GR</t>
  </si>
  <si>
    <t>LOBATE-GMN                    1*15gm</t>
  </si>
  <si>
    <t>LORSAID-P8 TAB                1*10</t>
  </si>
  <si>
    <t>LORSAID-SD-4 TAB              1*10</t>
  </si>
  <si>
    <t>MDD XR 50 TAB                 1*10</t>
  </si>
  <si>
    <t>MELAGARD LOTION +50           1*50ML</t>
  </si>
  <si>
    <t>MELALITE CREAM                1*30</t>
  </si>
  <si>
    <t>MELALITE FORTE CREAM          1*30GM</t>
  </si>
  <si>
    <t>MELALITE XL CREAM             1*15G</t>
  </si>
  <si>
    <t>NEOMERCAZOLE-10 TAB           1*100</t>
  </si>
  <si>
    <t>NEOMERCAZOLE-20 TAB           1*100</t>
  </si>
  <si>
    <t>NEOMERCAZOLE-5 TAB            1*100</t>
  </si>
  <si>
    <t>NERVUP INJ.                   1*1ML</t>
  </si>
  <si>
    <t>NERVUP-OD CAP.                1*15</t>
  </si>
  <si>
    <t>NERVUP-PG TAB                 1*10</t>
  </si>
  <si>
    <t>NICODUCE OD 10                1*10TAB</t>
  </si>
  <si>
    <t>NICODUCE-5 MG                 1*20TAB</t>
  </si>
  <si>
    <t>PARAXIN SYP.                  1*60ML</t>
  </si>
  <si>
    <t>PARAXIN-250MG CAP             1*10</t>
  </si>
  <si>
    <t>PARAXIN-500MG CAP.            1*6</t>
  </si>
  <si>
    <t>PENTIDS-200 TAB               1*6</t>
  </si>
  <si>
    <t>PENTIDS-400 TAB               1*6</t>
  </si>
  <si>
    <t>PENTIDS-800 TAB               1*4</t>
  </si>
  <si>
    <t>PHENARGAN AMP.                1*2ML</t>
  </si>
  <si>
    <t>PHENARGAN SYP.                1*100ML</t>
  </si>
  <si>
    <t>PPG MET-0.3 TAB               1*10</t>
  </si>
  <si>
    <t>PPG-0.2 TAB                   1*30</t>
  </si>
  <si>
    <t>PPG-0.3 TAB                   1*30</t>
  </si>
  <si>
    <t>REJOINT CAP.                  1*15</t>
  </si>
  <si>
    <t>RIVOTRIL .5 MG TAB NRX        1*10</t>
  </si>
  <si>
    <t>RIVOTRIL-2MG TAB NRX          1*15</t>
  </si>
  <si>
    <t>ROCKBON-D-400 TAB             1*10</t>
  </si>
  <si>
    <t>ROVAMYCIN FORT                1*10</t>
  </si>
  <si>
    <t>SARIDON TAB                   1*10</t>
  </si>
  <si>
    <t>SECNIL FORTE TAB              1*2</t>
  </si>
  <si>
    <t>SORBITRATE-10MG TAB           1*50</t>
  </si>
  <si>
    <t>SORBITRATE-5MG TAB            1*50</t>
  </si>
  <si>
    <t>STATOR-10 TAB                 1*15</t>
  </si>
  <si>
    <t>STATOR-F                      1*10</t>
  </si>
  <si>
    <t>STEMETIL INJ.                 1*12</t>
  </si>
  <si>
    <t>STEMETIL-MD TAB               1*30</t>
  </si>
  <si>
    <t>SUPERMET-AM TAB               1*10</t>
  </si>
  <si>
    <t>SUPERMET-XL 50                1*10</t>
  </si>
  <si>
    <t>SUPERMET-XL-25 TAB            1*10</t>
  </si>
  <si>
    <t>SUPRACTIV CAP                 1*15</t>
  </si>
  <si>
    <t>SUPRADYN IMMNUO BOTTLE.       1*30</t>
  </si>
  <si>
    <t>SUPRADYN IMMNUO STRIP.        1*10</t>
  </si>
  <si>
    <t>SUPRADYN TAB.                 1*15</t>
  </si>
  <si>
    <t>SZITALO-10MG TAB              1*10</t>
  </si>
  <si>
    <t>SZITALO-5MG TAB               1*10</t>
  </si>
  <si>
    <t>TELPRES CT 40/12.5            1*10TAB</t>
  </si>
  <si>
    <t>TELPRES MT 50                 1*10TAB</t>
  </si>
  <si>
    <t>TELPRES-20 TAB                1*10</t>
  </si>
  <si>
    <t>TELPRES-40 TAB                1*10</t>
  </si>
  <si>
    <t>TELPRES-AM TAB                1*10</t>
  </si>
  <si>
    <t>TELPRES-CT-40/6.25            1*10</t>
  </si>
  <si>
    <t>TELPRES-H TAB                 1*10</t>
  </si>
  <si>
    <t>TELPRESS-CT 80 TAB            1*10</t>
  </si>
  <si>
    <t>TETMOSOL SAOP                 1*75GM.</t>
  </si>
  <si>
    <t>THIOSPAS-A4 TAB               1*10 TA</t>
  </si>
  <si>
    <t>TIXILIX LS SYP.               1*100ML</t>
  </si>
  <si>
    <t>TIXILIX SYP                   1*60</t>
  </si>
  <si>
    <t>TRIBET-1MG TAB                1*10</t>
  </si>
  <si>
    <t>TRIBET-2MG TAB                1*15</t>
  </si>
  <si>
    <t>TRIBETROL 1 MG                1*15AB</t>
  </si>
  <si>
    <t>TRIBETROL 2 FOTRE             1*10TAB</t>
  </si>
  <si>
    <t>TRIBETROL 2 MG                1*10TAB</t>
  </si>
  <si>
    <t>TYZA-M CREAM                  1*10GM</t>
  </si>
  <si>
    <t>VALANCE-OD-500 TAB            1*10</t>
  </si>
  <si>
    <t>XEVOR TAB                     1*10</t>
  </si>
  <si>
    <t>ZEFORMIN-XR-30 TAB            1*10</t>
  </si>
  <si>
    <t>ZEFORMIN-XR-60 TAB            1*10</t>
  </si>
  <si>
    <t>ZOMELIS MET 50/1000           1*15TAB</t>
  </si>
  <si>
    <t>ZOMELIS MET 500 MG            1*15TAB</t>
  </si>
  <si>
    <t>ARG*9 SCAHET                  1*5GM</t>
  </si>
  <si>
    <t>MEC*GLA CAP                   1*10</t>
  </si>
  <si>
    <t>TRIMEG SACHET                 1*1</t>
  </si>
  <si>
    <t>CALCIUM-SANDOZ INJ.           1*10ML</t>
  </si>
  <si>
    <t>GALVAS*OD*100 TAB             1*15</t>
  </si>
  <si>
    <t>GALVUS TAB                    1*14</t>
  </si>
  <si>
    <t>GALVUS-MET-50/1000            1*10</t>
  </si>
  <si>
    <t>GALVUS-MET-50/500             1*10</t>
  </si>
  <si>
    <t>GENTEAL DROP NOVARTIS         1*10ML</t>
  </si>
  <si>
    <t>GENTEAL GEL nov               1*10GM</t>
  </si>
  <si>
    <t>MACALVIT SYP.                 1*200ML</t>
  </si>
  <si>
    <t>METHERGIN AMP                 1*1</t>
  </si>
  <si>
    <t>METHERGIN TAB                 1*10</t>
  </si>
  <si>
    <t>OTRIVIN ADL. DROP             1*10ML</t>
  </si>
  <si>
    <t>OTRIVIN PED. DROP             1*10ML</t>
  </si>
  <si>
    <t>REGESTRON-CR TAB              1*10</t>
  </si>
  <si>
    <t>REGESTRONE TAB                1*10</t>
  </si>
  <si>
    <t>T-MINIC SYP.                  1*100ML</t>
  </si>
  <si>
    <t>TEGRITAL-100 TAB              1*10</t>
  </si>
  <si>
    <t>TEGRITAL-200 TAB              1*10</t>
  </si>
  <si>
    <t>TEGRITAL-400 TAB              1*10</t>
  </si>
  <si>
    <t>TEGRITAL-CR-200               1*10</t>
  </si>
  <si>
    <t>TEGRITAL-CR-300 TAB           1*10</t>
  </si>
  <si>
    <t>TEGRITAL-CR-400               1*10</t>
  </si>
  <si>
    <t>TRESIBA 100 ML                1*1</t>
  </si>
  <si>
    <t>VOVERAN AMP.                  1*1</t>
  </si>
  <si>
    <t>VOVERAN GEL                   1*21GM</t>
  </si>
  <si>
    <t>VOVERAN GEL                   1*30GM</t>
  </si>
  <si>
    <t>VOVERAN PLUS                  1*10</t>
  </si>
  <si>
    <t>VOVERAN-50 TAB                1*10</t>
  </si>
  <si>
    <t>VOVERAN-D TAB                 1*10</t>
  </si>
  <si>
    <t>VOVERAN-SR-100                1*10</t>
  </si>
  <si>
    <t>VOVERAN-SR-75                 1*10</t>
  </si>
  <si>
    <t>VYMADA 100 TAB                1*14</t>
  </si>
  <si>
    <t>VYMADA 50 TAB                 1*14</t>
  </si>
  <si>
    <t>DECADURABOLIN-100 INJ         1*1</t>
  </si>
  <si>
    <t>DECADURABOLIN-50 INJ          AMP</t>
  </si>
  <si>
    <t>EVALON CREAM                  1*15GM</t>
  </si>
  <si>
    <t>FEMILON TAB                   1*21</t>
  </si>
  <si>
    <t>NATUROLAX POWDER              1*100GM</t>
  </si>
  <si>
    <t>NATUROLAX POWDER              1*300GM</t>
  </si>
  <si>
    <t>NOVALON TAB                   1*21</t>
  </si>
  <si>
    <t>GLIZID-MR-30 TAB              1*10</t>
  </si>
  <si>
    <t>LIVOLUK SYP                   1*200ML</t>
  </si>
  <si>
    <t>METLONG-500 TAB               1*10</t>
  </si>
  <si>
    <t>METLONG-DS TAB                1*10</t>
  </si>
  <si>
    <t>NIMULID-MD TAB                1*10</t>
  </si>
  <si>
    <t>GLIZID MV TAB                 1*10</t>
  </si>
  <si>
    <t>GLIZID-40 TAB                 1*10</t>
  </si>
  <si>
    <t>GLIZID-M TAB                  1*15</t>
  </si>
  <si>
    <t>GLIZID-M-OD-60 TAB            1*10</t>
  </si>
  <si>
    <t>GLIZID-MR 60 TAB              1*10</t>
  </si>
  <si>
    <t>LIVOLUK FIBER                 1*90GM</t>
  </si>
  <si>
    <t>LIVOLUK SYP                   1*100ML</t>
  </si>
  <si>
    <t>MYELOGEN FORTE CAP.           1X10TAB</t>
  </si>
  <si>
    <t>NIMULID TAB                   1*10</t>
  </si>
  <si>
    <t>NIMULID-HF TAB                1*10</t>
  </si>
  <si>
    <t>SITCOM CREAM                  1*30 GM</t>
  </si>
  <si>
    <t>SITCOM FORTE TAB              1*7</t>
  </si>
  <si>
    <t>SITCOM LD CREAM               30 GM</t>
  </si>
  <si>
    <t>SITCOM-LD CREAM               1*30GM</t>
  </si>
  <si>
    <t>VILACT 50 TAB                 1*10</t>
  </si>
  <si>
    <t>VILACT*M*1000 TAB             1*10</t>
  </si>
  <si>
    <t>VILACT*M*500 TAB              1*10</t>
  </si>
  <si>
    <t>CALADRYL LOTION               1*100ML</t>
  </si>
  <si>
    <t>CALADRYL LOTION               1*50ML</t>
  </si>
  <si>
    <t>CITRALKA SYP.                 1*100ML</t>
  </si>
  <si>
    <t>GELUSIL MPS TAB               1*10</t>
  </si>
  <si>
    <t>GELUSIL-MPS SYP.BIG           1*450ML</t>
  </si>
  <si>
    <t>GELUSIL-MPS SYP.SMALL.        1*170ML</t>
  </si>
  <si>
    <t>NEKO BEAUTY SOAP              1*75GM</t>
  </si>
  <si>
    <t>PITOCIN INJ.                  1*1</t>
  </si>
  <si>
    <t>SLOANS BALM                   1*10GM</t>
  </si>
  <si>
    <t>SLOANS BALM                   1*20GM</t>
  </si>
  <si>
    <t>SLOANS LINIMENT               1*71ML</t>
  </si>
  <si>
    <t>AMLOGARD-2.5 TAB              1*30</t>
  </si>
  <si>
    <t>AMLOGARD-5 TAB                1*30</t>
  </si>
  <si>
    <t>BECOSULE PLUS CAP             1*30</t>
  </si>
  <si>
    <t>BECOSULE-Z CAP                1*15</t>
  </si>
  <si>
    <t>BECOSULES CAP                 1*15</t>
  </si>
  <si>
    <t>BECOSULES PERFOMACNCE CAP     15CAP</t>
  </si>
  <si>
    <t>BECOSULES SYP                 1*120ML</t>
  </si>
  <si>
    <t>BRON-COREX SYP.               1*100ML</t>
  </si>
  <si>
    <t>BRON-COREX SYP.               1*50ML</t>
  </si>
  <si>
    <t>CITRA-SODA POWDER             1*4GM</t>
  </si>
  <si>
    <t>CLARIBID-250 TAB              1*4</t>
  </si>
  <si>
    <t>CLARIBID-500 TABS             1*4</t>
  </si>
  <si>
    <t>COREX DX SYP                  1*100ML</t>
  </si>
  <si>
    <t>COREX DX SYP                  1*50ML</t>
  </si>
  <si>
    <t>DALACIN-300 INJ               1*2ML</t>
  </si>
  <si>
    <t>DALACIN-C-300 CAP             1*8</t>
  </si>
  <si>
    <t>DAXID 50                      1*10</t>
  </si>
  <si>
    <t>DEPO-PROVERA-150              1*1ML</t>
  </si>
  <si>
    <t>DOLONEX-DT TAB                1*10</t>
  </si>
  <si>
    <t>DOLONEX-IM                    1*2ML</t>
  </si>
  <si>
    <t>ELIQUIS 5 TAB                 2*10</t>
  </si>
  <si>
    <t>ELIQUIS**2.5 TAB              1*10</t>
  </si>
  <si>
    <t>INFINAIR-5MG TAB              1*10TAB</t>
  </si>
  <si>
    <t>MAGNEX-1GM INJ.               1*1</t>
  </si>
  <si>
    <t>MAGNEX-FORTE-1.5              1*VIAL</t>
  </si>
  <si>
    <t>MEDROL-16 TAB                 1*14</t>
  </si>
  <si>
    <t>MEDROL-4MG TAB                1*10</t>
  </si>
  <si>
    <t>MEDROL-8MG                    14 TAB</t>
  </si>
  <si>
    <t>MINIPRESS-XL-2.5MG.TAB        1*30</t>
  </si>
  <si>
    <t>MINIPRESS-XL-5 TAB            1*30</t>
  </si>
  <si>
    <t>NEBASULF POWDER               1*10GM</t>
  </si>
  <si>
    <t>PICLIN PLUS SYP               100ML</t>
  </si>
  <si>
    <t>PYRIDIUM-200 TAB              1*10</t>
  </si>
  <si>
    <t>RASHFREE OINT                 1*20GM</t>
  </si>
  <si>
    <t>SELSUN SHAMPOO                1*120ML</t>
  </si>
  <si>
    <t>SOLUMEDROL-500 INJ            1*1</t>
  </si>
  <si>
    <t>VIAL</t>
  </si>
  <si>
    <t>BASAGLAR INSULIN              1*5</t>
  </si>
  <si>
    <t>EGLUCENT LISPRO PEN           1*PEN</t>
  </si>
  <si>
    <t>PEN</t>
  </si>
  <si>
    <t>EGLUCENT*MIX*50 PEN           1*1</t>
  </si>
  <si>
    <t>EGLUCENT-LISRO                1*5</t>
  </si>
  <si>
    <t>CART</t>
  </si>
  <si>
    <t>EGLUCENT-MIX25 CART           1*5</t>
  </si>
  <si>
    <t>EGLUCENT-MIX50 CART</t>
  </si>
  <si>
    <t>HUMA PEN                      1*1</t>
  </si>
  <si>
    <t>HUMALOG MIX-25 P\F            1*5</t>
  </si>
  <si>
    <t>HUMALOG MIX-50 P\F            1*5</t>
  </si>
  <si>
    <t>HUMALOG PEN                   1*1</t>
  </si>
  <si>
    <t>HUMALOG P\F                   1*5</t>
  </si>
  <si>
    <t>HUMALOGMIX-50 PEN             1*1</t>
  </si>
  <si>
    <t>HUMINSULIN 30/70 PENFIL.      1*5</t>
  </si>
  <si>
    <t>HUMINSULIN N P/F              1*5</t>
  </si>
  <si>
    <t>HUMINSULIN-30/70 VIAL         1*VIAL</t>
  </si>
  <si>
    <t>HUMINSULIN-N VAIL.            1*VIAL</t>
  </si>
  <si>
    <t>HUMINSULIN-R PENFIL.          1*5</t>
  </si>
  <si>
    <t>HUMINSULIN-R VAIL.            1*VIAL</t>
  </si>
  <si>
    <t>TRAJENTA DUO 1000             1*10TAB</t>
  </si>
  <si>
    <t>TRAJENTA DUO 500              1*10TAB</t>
  </si>
  <si>
    <t>TRAJENTA TAB                  1*10</t>
  </si>
  <si>
    <t>ABSOLUT DM CAP 1*10           1*10</t>
  </si>
  <si>
    <t>ABSOLUT WOMAN TAB             1*10</t>
  </si>
  <si>
    <t>ABSOLUT*369 TAB               1*10</t>
  </si>
  <si>
    <t>ABSOLUTE*3G TAB               1*10</t>
  </si>
  <si>
    <t>ABSOLUTE*GOLD TAB             1*10</t>
  </si>
  <si>
    <t>CARTIGEN 1500 CAP             1*15</t>
  </si>
  <si>
    <t>CARTIGEN DUO                  1*10</t>
  </si>
  <si>
    <t>CARTIGEN FORTE CAP            1*10</t>
  </si>
  <si>
    <t>CARTIGEN PRO TAB              1*10</t>
  </si>
  <si>
    <t>CARTIGEN-DN CAP               1*10</t>
  </si>
  <si>
    <t>CITRAVITE*XT TAB              1*15</t>
  </si>
  <si>
    <t>CORECTIA TAB                  1*10</t>
  </si>
  <si>
    <t>CORECTIA-M TAB                1*10</t>
  </si>
  <si>
    <t>FOL*123 CAP                   1*15</t>
  </si>
  <si>
    <t>FOL*123*MF CAP                1*10</t>
  </si>
  <si>
    <t>MENOEASE CAP                  1*10CAP.</t>
  </si>
  <si>
    <t>MG*D3*60K TAB                 1*14</t>
  </si>
  <si>
    <t>MG*HT TAB                     1*10</t>
  </si>
  <si>
    <t>MGD3 TAB                      1*10</t>
  </si>
  <si>
    <t>OSTEOCYNC TAB                 1*10</t>
  </si>
  <si>
    <t>Q-GOLD CAP                    1*10</t>
  </si>
  <si>
    <t>Q-GOLD*F CAP                  1*10</t>
  </si>
  <si>
    <t>SUPRACAL 2000 TAB             1*15TAB</t>
  </si>
  <si>
    <t>SUPRACAL TAB                  1*15</t>
  </si>
  <si>
    <t>SUPRACAL XT TAB               1*14</t>
  </si>
  <si>
    <t>SUPRACAL*HD TAB               1*15</t>
  </si>
  <si>
    <t>SUPRACAL*ISO TAB              1*15</t>
  </si>
  <si>
    <t>SUPRACAL*K2 TAB               1*10</t>
  </si>
  <si>
    <t>SUPRACAL*PRO TAB              1*15</t>
  </si>
  <si>
    <t>TENDOCARE*FORTE TAB           1*15</t>
  </si>
  <si>
    <t>TENDOCARE*TAB                 1*15</t>
  </si>
  <si>
    <t>2B12 CAP                      1*10</t>
  </si>
  <si>
    <t>CORAL-CALCIUM TAB             1*15</t>
  </si>
  <si>
    <t>AFDURA TAB                    1*10</t>
  </si>
  <si>
    <t>BILASURE**M TAB               1*10</t>
  </si>
  <si>
    <t>BILASURE*20 TAB               1*10</t>
  </si>
  <si>
    <t>CANESTEN-S CREAM              1*10GM</t>
  </si>
  <si>
    <t>CARDIBETA XR 25MG             1*10TAB</t>
  </si>
  <si>
    <t>CARDIBETA XR 50MG             1*10TAB</t>
  </si>
  <si>
    <t>CEPODEM-200 TAB               1*10</t>
  </si>
  <si>
    <t>CEPODEM-50 SYP                1*30ML</t>
  </si>
  <si>
    <t>CEPODEM-O TAB                 1*10</t>
  </si>
  <si>
    <t>CEPODEM-XP-325 TAB            1*10</t>
  </si>
  <si>
    <t>CEROXIM 250                   1*10TAB</t>
  </si>
  <si>
    <t>CEROXIM-500 TAB               1*10</t>
  </si>
  <si>
    <t>CEROXIM-XP-625 TAB            1*6</t>
  </si>
  <si>
    <t>CHERICOFF (JUNIOR) SYP        1*60ML</t>
  </si>
  <si>
    <t>CHERICOFF LS SYP              100ML</t>
  </si>
  <si>
    <t>CONTIFLO-D                    1*10TAB</t>
  </si>
  <si>
    <t>CONTIFLO-ICON TAB             1*10</t>
  </si>
  <si>
    <t>COVANCE-50MG TAB              1*10</t>
  </si>
  <si>
    <t>COVANCE-D TAB                 1*10</t>
  </si>
  <si>
    <t>DESVAL-ER-1                   1*10</t>
  </si>
  <si>
    <t>ETROBAX-60 TAB                1*10</t>
  </si>
  <si>
    <t>ETROBAX-90 TAB                1*10</t>
  </si>
  <si>
    <t>FABIFLU 400 TAB               1*17TAB</t>
  </si>
  <si>
    <t>FARONEM-ER TAB                1*6</t>
  </si>
  <si>
    <t>FLOTRAL-10 TAB                1*30</t>
  </si>
  <si>
    <t>FLOTRAL-D KIT                 1*20</t>
  </si>
  <si>
    <t>FUNGICROS CREAM BIG           1*30GM</t>
  </si>
  <si>
    <t>IDROFOS-150 TAB               1*1</t>
  </si>
  <si>
    <t>KEFLOR DROP                   1*10ML</t>
  </si>
  <si>
    <t>LEVROXA-250 TAB               1*10</t>
  </si>
  <si>
    <t>LULIFEN BIG CREAM             20GM</t>
  </si>
  <si>
    <t>LULIFIN CREAM 50GM            1*50GM</t>
  </si>
  <si>
    <t>MIRAGO S-50 TAB               1*KIT</t>
  </si>
  <si>
    <t>MIRAGO-50 TAB                 1*10</t>
  </si>
  <si>
    <t>MOISTUREX SOFT CR             100 GM</t>
  </si>
  <si>
    <t>NIFTRAN CP TAB                1*30</t>
  </si>
  <si>
    <t>NIFTRAN-10 CAP                1*10CP</t>
  </si>
  <si>
    <t>OFRAMAX FORTE INJ             1*VIAL</t>
  </si>
  <si>
    <t>OFRAMAX-1GM INJ               1*VIAL</t>
  </si>
  <si>
    <t>OLVANCE AM 20                 1*10TA</t>
  </si>
  <si>
    <t>PRASITA-10                    1*10TAB</t>
  </si>
  <si>
    <t>PRASITA-A CAP                 1*10</t>
  </si>
  <si>
    <t>PROHANCE-D CHOCO POWDER       1*400GM</t>
  </si>
  <si>
    <t>PROHANCE-D VANILLA 12%        1*200GM</t>
  </si>
  <si>
    <t>RACIPER*PLUS TAB              1*10</t>
  </si>
  <si>
    <t>RACIPER-40 TAB                1*10</t>
  </si>
  <si>
    <t>RANCIL*5 TAB                  1*10</t>
  </si>
  <si>
    <t>RANCIL*T*10 TAB               1*10</t>
  </si>
  <si>
    <t>RANCIL-10 TAB                 1*10</t>
  </si>
  <si>
    <t>REVITAL CAP BIG 60CAP.        1*60CAP.</t>
  </si>
  <si>
    <t>REVITAL CAP SMALL 30CAP.      1*30CAP.</t>
  </si>
  <si>
    <t>REVITAL CAP STRIP.            1*10</t>
  </si>
  <si>
    <t>REVITAL WOMAN BOTTLE          1*30</t>
  </si>
  <si>
    <t>REVITAL WOMAN STRIP.          1*10</t>
  </si>
  <si>
    <t>RICONIA TAB LP                1*15</t>
  </si>
  <si>
    <t>RILIGOL INJ                   1*VIAL</t>
  </si>
  <si>
    <t>ROSUVAS CV 10                 1*10TAB</t>
  </si>
  <si>
    <t>ROSUVAS F 10MG                1*15</t>
  </si>
  <si>
    <t>ROSUVAS-40 TAB                1*10</t>
  </si>
  <si>
    <t>ROSUVAS-F-20 TAB              1*10</t>
  </si>
  <si>
    <t>ROSUVAS-GOLD TAB              1*10</t>
  </si>
  <si>
    <t>ROSUVAS-GOLD-20 TAB           1*10</t>
  </si>
  <si>
    <t>SELZIC-300 TAB                1*10</t>
  </si>
  <si>
    <t>SILDURA-8                     1*20TB</t>
  </si>
  <si>
    <t>SILODAL 4MG. CAP              1*10TAB</t>
  </si>
  <si>
    <t>SILODAL 8MG. CAP              1*10</t>
  </si>
  <si>
    <t>SILODAL D8 CAP.               1*10TAB</t>
  </si>
  <si>
    <t>SILODOL D4 TAB                1*10</t>
  </si>
  <si>
    <t>SOLITEN-10 TAB                1*10</t>
  </si>
  <si>
    <t>SOLITRAL CAP                  1*10CAP</t>
  </si>
  <si>
    <t>SOTRET*NF*8MG CAP             1*10</t>
  </si>
  <si>
    <t>SPORIDEX**CV750 TAB           1*10</t>
  </si>
  <si>
    <t>STANLIP-145 TAB               1*10</t>
  </si>
  <si>
    <t>STORVAS CV 10                 1*10TAB</t>
  </si>
  <si>
    <t>STORVAS GOLD 10 TAB           1*10</t>
  </si>
  <si>
    <t>STORVAS GOLD 20 TAB           1*10</t>
  </si>
  <si>
    <t>STORVAS-10MG TAB              1*10</t>
  </si>
  <si>
    <t>STORVAS-20MG TAB              1*15</t>
  </si>
  <si>
    <t>SYNRIAM TAB                   1*3</t>
  </si>
  <si>
    <t>TAMDURA CAP                   1*10</t>
  </si>
  <si>
    <t>TECZINE 10 TAB                1*10</t>
  </si>
  <si>
    <t>TECZINE-M TAB</t>
  </si>
  <si>
    <t>TELECT CT-40 TAB              1*10</t>
  </si>
  <si>
    <t>TUFPRO SUSP                   1*10</t>
  </si>
  <si>
    <t>VENLA-XR-75 TAB               1*10</t>
  </si>
  <si>
    <t>VOLINI GEL BIG                1*50GM</t>
  </si>
  <si>
    <t>VOLINI GEL BIG                75GM</t>
  </si>
  <si>
    <t>VOLIX TRIO 1                  1*10TAB</t>
  </si>
  <si>
    <t>VOLIX TRIO 2                  1*10TAB</t>
  </si>
  <si>
    <t>VOLIX TRIO-2 FORTE TAB        1*10</t>
  </si>
  <si>
    <t>VOLIX*R*0.2/.05 TAB</t>
  </si>
  <si>
    <t>VOLIX*R*0.2/1 MG              1*10</t>
  </si>
  <si>
    <t>VOLIX*R*0.3/1 MG              1*10</t>
  </si>
  <si>
    <t>VOLIX*R*3/0.5 TAB             1*10</t>
  </si>
  <si>
    <t>VOLIX-0.3 TAB                 1*15</t>
  </si>
  <si>
    <t>VOLIX-M 0.2                   1*10</t>
  </si>
  <si>
    <t>VOLIX-M 0.3                   1*10</t>
  </si>
  <si>
    <t>ZANOCIN-200                   1*8</t>
  </si>
  <si>
    <t>ZANOCIN-OD-400                1*5</t>
  </si>
  <si>
    <t>ZOFER-MD TAB                  1*10</t>
  </si>
  <si>
    <t>ANGISTAT 2.5 MG               1*25CAP</t>
  </si>
  <si>
    <t>CAVERTA-25 TAB                1*4</t>
  </si>
  <si>
    <t>CAVETRA-50 TAB                1*4</t>
  </si>
  <si>
    <t>CEPODEM-100 SYP               1*30ML</t>
  </si>
  <si>
    <t>CERUVIN A75                   1*15</t>
  </si>
  <si>
    <t>COVANCE-25MG TAB              1*10</t>
  </si>
  <si>
    <t>COVANCE-AT TAB                1*10</t>
  </si>
  <si>
    <t>DESVOL-ER-750 TAB             1*10</t>
  </si>
  <si>
    <t>FARONEM-200 TAB               1*10</t>
  </si>
  <si>
    <t>GINKOCER TAB                  1*10</t>
  </si>
  <si>
    <t>LEVROXA-1000 TAB              1*10</t>
  </si>
  <si>
    <t>LEVROXA-500 TAB               1*10</t>
  </si>
  <si>
    <t>OLANEX-10 TAB                 1*10</t>
  </si>
  <si>
    <t>OLVANCE-20 TAB                1*10</t>
  </si>
  <si>
    <t>OLVANCE-40 TAB                1*10</t>
  </si>
  <si>
    <t>OLVANCE-H20 TAB               1*10</t>
  </si>
  <si>
    <t>PIOGLAR-G TAB                 1*10.</t>
  </si>
  <si>
    <t>RIOMET-DUO-1 TAB              1*10</t>
  </si>
  <si>
    <t>RIOMET-OD-500MG TAB           1*10</t>
  </si>
  <si>
    <t>RIOMET-TRIO-2 TAB             1*10</t>
  </si>
  <si>
    <t>ROSUVAS-10MG TAB              1*15</t>
  </si>
  <si>
    <t>ROSUVAS-20 TAB                1*10</t>
  </si>
  <si>
    <t>ROSUVAS-5MG TAB               1*10</t>
  </si>
  <si>
    <t>SELZIC-OD-600 TAB             1*10</t>
  </si>
  <si>
    <t>SERLIFT-100 TAB               1*10</t>
  </si>
  <si>
    <t>SOLITEN-5 TAB                 1*10</t>
  </si>
  <si>
    <t>SPECTRA-10 CAP                1*10</t>
  </si>
  <si>
    <t>SPECTRA-25 TAB                1*10</t>
  </si>
  <si>
    <t>SPORIDEX-AF 375               1*10</t>
  </si>
  <si>
    <t>SPORIDEX-AF-750 TAB           1*10</t>
  </si>
  <si>
    <t>STORFIB TAB                   1*10</t>
  </si>
  <si>
    <t>STORVAS CV20 TAB              1*10</t>
  </si>
  <si>
    <t>STORVAS-40 TAB                1*10</t>
  </si>
  <si>
    <t>STORVAS-5MG TAB               1*15</t>
  </si>
  <si>
    <t>STORVAS-80 TAB                1*10</t>
  </si>
  <si>
    <t>STORVAS-EZ TAB                1*10</t>
  </si>
  <si>
    <t>TELEACT-40 TAB                1*10</t>
  </si>
  <si>
    <t>TELEACT-AM TAB                1*10</t>
  </si>
  <si>
    <t>VENLA-XR-150 CAP              1*10</t>
  </si>
  <si>
    <t>VOLIX-0.2 TAB                 1*10</t>
  </si>
  <si>
    <t>ZANOCIN-OZ TAB                1*10</t>
  </si>
  <si>
    <t>HEPTAGLOBIN SYP               1*300ML</t>
  </si>
  <si>
    <t>HEPTAGLOBIN SYP BIG           450ML</t>
  </si>
  <si>
    <t>HOVITE DROP                   1*15ML</t>
  </si>
  <si>
    <t>NEOGADINE ELIXIR SYP.         1*300ML</t>
  </si>
  <si>
    <t>NEOPEPTINE SYP                1*60ML</t>
  </si>
  <si>
    <t>THREPTIN BIS 275GR.           1*275GM</t>
  </si>
  <si>
    <t>THREPTIN LITE                 1*275GM</t>
  </si>
  <si>
    <t>THREPTIN-DIS-CHOCO            1*275GM</t>
  </si>
  <si>
    <t>ZEROLAC POWDER B.             1*400GM</t>
  </si>
  <si>
    <t>ZEROLAC POWDER S.             1*200GM</t>
  </si>
  <si>
    <t>ZYTEE LOTION                  1*15ML</t>
  </si>
  <si>
    <t>ZYTEE OINT                    1*10ML</t>
  </si>
  <si>
    <t>FRUCTODEX 10% I.V.            1*500ML</t>
  </si>
  <si>
    <t>HOVITE-L SYP                  1*120ML</t>
  </si>
  <si>
    <t>ISOFLAV-CR TAB                1*10</t>
  </si>
  <si>
    <t>LACTODEX (LBW)                1*400g</t>
  </si>
  <si>
    <t>LACTODEX HMF                  1*2g</t>
  </si>
  <si>
    <t>LACTODEX NO.1(STARTER)        1*500g</t>
  </si>
  <si>
    <t>LACTODEX NO.2(FOLLOW)         1*500g</t>
  </si>
  <si>
    <t>NEOGADINE-SG SYP.             1*300ML</t>
  </si>
  <si>
    <t>NEOPEPTINE DROPS              1*15ML</t>
  </si>
  <si>
    <t>NEOPEPTINE SYP                1*100ML</t>
  </si>
  <si>
    <t>SUBSYDE CR CAP                1*10</t>
  </si>
  <si>
    <t>THREPTIN MICROMIX.            1*200GR</t>
  </si>
  <si>
    <t>DESVAL-ER-250 TAB             1*10</t>
  </si>
  <si>
    <t>DESVAL-ER-500 TAB             1*10</t>
  </si>
  <si>
    <t>ETROBAX-120                   1*10</t>
  </si>
  <si>
    <t>LOXOF-250 TAB                 1*5</t>
  </si>
  <si>
    <t>LOXOF-500 TAB                 1*5</t>
  </si>
  <si>
    <t>LOXOF-750MG TAB               1*5</t>
  </si>
  <si>
    <t>LOXOF-OZ TAB                  1*10</t>
  </si>
  <si>
    <t>MOX CLAV 156.25 SYP           1*30ML</t>
  </si>
  <si>
    <t>MOX CLAV 375                  1*10</t>
  </si>
  <si>
    <t>MOX CLAV 625 TAB              1*10</t>
  </si>
  <si>
    <t>MOX CLAV BD 228.5 DISTAB      1*6</t>
  </si>
  <si>
    <t>MOX CLAV BD SYP.              1*30ML</t>
  </si>
  <si>
    <t>MOX CLAV-DS SYP               1*30ML</t>
  </si>
  <si>
    <t>MOX CLAV-DS TAB               1*6</t>
  </si>
  <si>
    <t>MOX DROPS R.M.                1*10ML</t>
  </si>
  <si>
    <t>MOX KID 125 TAB               1*15</t>
  </si>
  <si>
    <t>MOX-125 R.M.60ML              1*60ML</t>
  </si>
  <si>
    <t>MOX-250 R.M.30ML              1*30ML</t>
  </si>
  <si>
    <t>MOX-250 TAB                   1*15</t>
  </si>
  <si>
    <t>MOX-250MG CAP.                1*15</t>
  </si>
  <si>
    <t>MOX-500MG CAP.                1*15</t>
  </si>
  <si>
    <t>MOX-CV-228 SYP                1*30ML</t>
  </si>
  <si>
    <t>MOX-CV-375 TAB                1*10TAB</t>
  </si>
  <si>
    <t>MOX-CV-625 TAB                1*10</t>
  </si>
  <si>
    <t>ROLES-20MG TAB                1*10</t>
  </si>
  <si>
    <t>ROLES-D TAB                   1*10</t>
  </si>
  <si>
    <t>SELZIC OD 900                 1*10TAB</t>
  </si>
  <si>
    <t>SELZIC-600 TAB                1*10</t>
  </si>
  <si>
    <t>SERLIFT-25                    1*10</t>
  </si>
  <si>
    <t>SERLIFT-50 TAB                1*10</t>
  </si>
  <si>
    <t>SOLITEN-5 MG                  1*10</t>
  </si>
  <si>
    <t>ZOLE-F LOT                    1*15ML</t>
  </si>
  <si>
    <t>ZOLE-F OINT                   1*15GM</t>
  </si>
  <si>
    <t>ALDACTON 100 TAB              1*15</t>
  </si>
  <si>
    <t>ALDACTONE 25MG TAB.           1*15</t>
  </si>
  <si>
    <t>ALDACTONE 50MG TAB.           1*15</t>
  </si>
  <si>
    <t>AZORAN-50 TAB                 1*10</t>
  </si>
  <si>
    <t>DRAMINATE TAB                 1*10</t>
  </si>
  <si>
    <t>LOMOFEN PLUS TAB NRX          1*20</t>
  </si>
  <si>
    <t>LOMOTIL  20 TAB               3*20</t>
  </si>
  <si>
    <t>MINMIN PB TAB                 1*15</t>
  </si>
  <si>
    <t>MINMIN TONIC SY 200ML         1*200ML</t>
  </si>
  <si>
    <t>NAPROSYN 250 MG               1*15</t>
  </si>
  <si>
    <t>NAPROSYN 500 TAB              1*15</t>
  </si>
  <si>
    <t>NAPROSYN D*250 TAB            1*10</t>
  </si>
  <si>
    <t>NAPROSYN D*500                1*10</t>
  </si>
  <si>
    <t>NAPROSYN SR TAB               1*10</t>
  </si>
  <si>
    <t>SERENACE 0.25 MG              1*10</t>
  </si>
  <si>
    <t>SERENACE 0.5 MG               1*10</t>
  </si>
  <si>
    <t>SERENACE INJ                  1*5</t>
  </si>
  <si>
    <t>SERENCE*LIUID                 1*30ML</t>
  </si>
  <si>
    <t>TAMFLO*DFZ CAP                1*10</t>
  </si>
  <si>
    <t>TRICAN MPS SYP                1*200ML</t>
  </si>
  <si>
    <t>ACITROM-1MG TAB               1*30</t>
  </si>
  <si>
    <t>ACITROM-2MG TAB               1*30</t>
  </si>
  <si>
    <t>ACITROM-3MG TAB               1*30</t>
  </si>
  <si>
    <t>ACITROM-4MG TAB               1*30</t>
  </si>
  <si>
    <t>ACUVIN NRX TAB                1*10</t>
  </si>
  <si>
    <t>BIOSUGANRIL-10MG TAB          1*10</t>
  </si>
  <si>
    <t>BIOZOBID TAB                  1*10</t>
  </si>
  <si>
    <t>CONTRAMAL-100 NRX INJ.        1*2ML</t>
  </si>
  <si>
    <t>CONTRAMOL-DT NRX TAB          1*10</t>
  </si>
  <si>
    <t>CROTORAX CREAM                1*20GM</t>
  </si>
  <si>
    <t>CROTORAX LOTION               1*60ML</t>
  </si>
  <si>
    <t>DEPSONIL-25MG TAB             1*10</t>
  </si>
  <si>
    <t>ESGIPYRIN TAB                 1*10</t>
  </si>
  <si>
    <t>ETODY-90 TAB                  1*10</t>
  </si>
  <si>
    <t>HYDENT-K GEL                  1*100GM</t>
  </si>
  <si>
    <t>MAZETOL SR 200 TAB            1*10</t>
  </si>
  <si>
    <t>MAZETOL-200                   1*10</t>
  </si>
  <si>
    <t>SUGANRIL TAB.                 1*10</t>
  </si>
  <si>
    <t>CORALAN -5 TAB                1*10</t>
  </si>
  <si>
    <t>COVERSYL AM 8/10              1*10TAB</t>
  </si>
  <si>
    <t>COVERSYL PLUS                 1*10TAB</t>
  </si>
  <si>
    <t>COVERSYL PLUS HD              1*10TAB</t>
  </si>
  <si>
    <t>COVERSYL-2MG                  1*10TAB</t>
  </si>
  <si>
    <t>COVERSYL-4 MG                 1*10TAB</t>
  </si>
  <si>
    <t>COVERSYL-8 MG                 1*10TAB</t>
  </si>
  <si>
    <t>COVERSYL-AM-8/5 TAB           1*10</t>
  </si>
  <si>
    <t>COVERSYL-AM4/5                1*10TAB</t>
  </si>
  <si>
    <t>DAFLON 1000                   1*10TAB</t>
  </si>
  <si>
    <t>DAFLON-500 MG                 1*10TAB</t>
  </si>
  <si>
    <t>DIAMICRON XR 60               1*10TAB</t>
  </si>
  <si>
    <t>DIAMICRON XR MEX 500 TAB.     1*14T</t>
  </si>
  <si>
    <t>DIAMICRON*XR*MEX*1000 MG      1*10</t>
  </si>
  <si>
    <t>DIAMICRON-MR                  1*10TAB</t>
  </si>
  <si>
    <t>FLAVEDON*OD*80 TAB            1*10</t>
  </si>
  <si>
    <t>FLAVEDON-MR                   1*10TAB</t>
  </si>
  <si>
    <t>NATRILAM 10 MG                1*10TAB</t>
  </si>
  <si>
    <t>NATRILAM-2.5 TAB              1*10</t>
  </si>
  <si>
    <t>NATRILIX-SR                   1*10TAB</t>
  </si>
  <si>
    <t>STABLON TAB                   1*10</t>
  </si>
  <si>
    <t>TRIPLIXAM TAB                 1*10</t>
  </si>
  <si>
    <t>ARACHITOL 6L  INJ.            1*6</t>
  </si>
  <si>
    <t>ARACHITOL-NANO                4*5</t>
  </si>
  <si>
    <t>COLOSPA TAB                   1*10</t>
  </si>
  <si>
    <t>CREON 10000 CAP               1*10</t>
  </si>
  <si>
    <t>CREON-25000 TAB               1*10</t>
  </si>
  <si>
    <t>DUPHALAC SYP. M               1*250ML</t>
  </si>
  <si>
    <t>DUPHALAC SYP. S               1*150ML</t>
  </si>
  <si>
    <t>DUPHASTONE TAB.               1*10</t>
  </si>
  <si>
    <t>DUVADILAN  TAB                1*50</t>
  </si>
  <si>
    <t>DUVADILAN INJ.                1*6</t>
  </si>
  <si>
    <t>DUVADILAN RETARD TAB          1*10</t>
  </si>
  <si>
    <t>ELDICET TAB                   1*6</t>
  </si>
  <si>
    <t>KARVOL PLUS CAP.              1*10</t>
  </si>
  <si>
    <t>PANKREOFLAT TAB               1*10</t>
  </si>
  <si>
    <t>SOLSPRE SPRAY                 1*100ML</t>
  </si>
  <si>
    <t>UDILIV 150MG.TAB              1*10</t>
  </si>
  <si>
    <t>UDILIV 300MG TAB              1*10</t>
  </si>
  <si>
    <t>VERTIN-16MG TAB               1*10</t>
  </si>
  <si>
    <t>VERTIN-24MG TAB               1*10</t>
  </si>
  <si>
    <t>VERTIN-8MG TAB                1*10</t>
  </si>
  <si>
    <t>VERTIN-OD TAB                 1*7TAB</t>
  </si>
  <si>
    <t>CERUVIN-75MG TAB              1*10</t>
  </si>
  <si>
    <t>CERUVIN-AF TAB                1*15</t>
  </si>
  <si>
    <t>CHERICOF SYP.SMALL            1*60ML</t>
  </si>
  <si>
    <t>CHERICOFF BIG SYP.            1*100ML</t>
  </si>
  <si>
    <t>RIOMET-OD 1000MG. TAB         1*15</t>
  </si>
  <si>
    <t>RIOMET-OD-850 TAB             1*10</t>
  </si>
  <si>
    <t>PARASAFE TAB                  1*10</t>
  </si>
  <si>
    <t>PARASAFE-650 TAB              1*10</t>
  </si>
  <si>
    <t>SUCRAL CREAM                  1*20GM</t>
  </si>
  <si>
    <t>SUCRAL POVI CREAM             1*20GM</t>
  </si>
  <si>
    <t>SUCRAL SYP                    1*200ML</t>
  </si>
  <si>
    <t>SUCRAL-ANO CREAM              1*20GM</t>
  </si>
  <si>
    <t>SUCRAL-MU CREAM               1*5GM</t>
  </si>
  <si>
    <t>SUCRAL-O- SYP                 1*200ML</t>
  </si>
  <si>
    <t>AMIXIDE-H TAB                 1*10</t>
  </si>
  <si>
    <t>ANABOOM SERUM                 1*60ML</t>
  </si>
  <si>
    <t>AXCER 90 TAB                  1*14TAB</t>
  </si>
  <si>
    <t>DAZIT TAB                     1*10</t>
  </si>
  <si>
    <t>FLEXURA*D TAB                 1*10</t>
  </si>
  <si>
    <t>GEMER*1 TAB                   1*10</t>
  </si>
  <si>
    <t>GEMER*2 TAB                   1*10</t>
  </si>
  <si>
    <t>GEMER*3 TAB                   1*10</t>
  </si>
  <si>
    <t>GEMER*4 TAB                   1*10</t>
  </si>
  <si>
    <t>GEMER*P1 TAB                  1*10</t>
  </si>
  <si>
    <t>I-WIN-100 TAB                 1*10</t>
  </si>
  <si>
    <t>ISTAMET*50/500 TAB            1*15</t>
  </si>
  <si>
    <t>MIRAGO-25 TAB                 1*10</t>
  </si>
  <si>
    <t>MONTEK FX TAB                 10'TAB</t>
  </si>
  <si>
    <t>MONTEK*LC TAB                 1*10</t>
  </si>
  <si>
    <t>OXETOL-300 TAB                1*10</t>
  </si>
  <si>
    <t>OXRA*10 TAB                   1*14</t>
  </si>
  <si>
    <t>OXRA-5 TAB.                   1*10TAB</t>
  </si>
  <si>
    <t>OXRAMET-XR-10/500 TAB         1*7</t>
  </si>
  <si>
    <t>PANTOCID IT TAB               10'CAP</t>
  </si>
  <si>
    <t>PANTOCID-40 TAB               1*10</t>
  </si>
  <si>
    <t>PANTOCID-D TAB                1*10</t>
  </si>
  <si>
    <t>PANTOCID-DSR TAB              1*10</t>
  </si>
  <si>
    <t>PREDMET 4MG                   10'TAB</t>
  </si>
  <si>
    <t>PREDMET*8 TAB                 1*10</t>
  </si>
  <si>
    <t>PROLOMET AM 50MG. TAB         1*10</t>
  </si>
  <si>
    <t>PROLOMET R 50 TAB             1*10</t>
  </si>
  <si>
    <t>PROLOMET XL 25 TAB            1*10</t>
  </si>
  <si>
    <t>PROLOMET XL 50MG TAB          1*10</t>
  </si>
  <si>
    <t>ROPARK*0.25 TAB               1*10</t>
  </si>
  <si>
    <t>ROZA*GOLD*10 TAB              1*10</t>
  </si>
  <si>
    <t>ROZA*GOLD*20 TAB              1*10</t>
  </si>
  <si>
    <t>ROZAVEL*F TAB                 1*10</t>
  </si>
  <si>
    <t>SOMPRAZ*40 TAB                1*10</t>
  </si>
  <si>
    <t>SOMPRAZ*D*40 TAB              1*15</t>
  </si>
  <si>
    <t>SUSTEN-200 CAP                1*10</t>
  </si>
  <si>
    <t>SYNDOPA*PLUS TAB              1*15</t>
  </si>
  <si>
    <t>VOLIBO*0.3 TAB SUN            1*10</t>
  </si>
  <si>
    <t>DOXINATE PLUS TAB             1*30</t>
  </si>
  <si>
    <t>DOXINATE TAB                  1*30</t>
  </si>
  <si>
    <t>DOXINATE-OD TAB               1*15</t>
  </si>
  <si>
    <t>EBEXID TAB                    1*10</t>
  </si>
  <si>
    <t>ALFATEX TAB                   1*10</t>
  </si>
  <si>
    <t>ALKANIT SYP                   1*100ML</t>
  </si>
  <si>
    <t>AMINOSTAR TAB                 1*10</t>
  </si>
  <si>
    <t>AVASA-Q10 CAP                 1*10</t>
  </si>
  <si>
    <t>AZISTAR-500 TAB               1*3</t>
  </si>
  <si>
    <t>AZISYM-250 TAB                1*10</t>
  </si>
  <si>
    <t>BAM NP PLUS TAB               1*10</t>
  </si>
  <si>
    <t>BAM*D3 CAPSULES               1*10</t>
  </si>
  <si>
    <t>BAM-2500 INJ                  1*1</t>
  </si>
  <si>
    <t>CAP-Q10 CAP                   1*10</t>
  </si>
  <si>
    <t>CAPTIVA*CT TAB                1*10</t>
  </si>
  <si>
    <t>CEFUWIN-500 TAB.              1*6TAB</t>
  </si>
  <si>
    <t>CICAM  TAB                    1*10</t>
  </si>
  <si>
    <t>CLENO-M CAP                   1*7</t>
  </si>
  <si>
    <t>CLOBESYM-OZ CREAM             1*15GM</t>
  </si>
  <si>
    <t>CQ*MEG CAP                    1*10</t>
  </si>
  <si>
    <t>CURENEM INJ                   1*1</t>
  </si>
  <si>
    <t>CYCLOSYM-ET TAB               1*10</t>
  </si>
  <si>
    <t>D-FEROL CAP                   1*4</t>
  </si>
  <si>
    <t>DAMCLIN INJ                   1*1</t>
  </si>
  <si>
    <t>DDZONE-1.5 INJ                1*VIAL</t>
  </si>
  <si>
    <t>DECTOCEF*50 SYP               1*30ML</t>
  </si>
  <si>
    <t>DECTOCEF-200 TAB              1*10</t>
  </si>
  <si>
    <t>DEFINATE INJECTION            1*1</t>
  </si>
  <si>
    <t xml:space="preserve">       -28</t>
  </si>
  <si>
    <t>DEFINATE*LF SYP               1*30ML</t>
  </si>
  <si>
    <t>DICEF-O TAB                   1*10</t>
  </si>
  <si>
    <t>DIZITONE SYP                  1*200ML</t>
  </si>
  <si>
    <t>DLOT-N TAB                    1*10</t>
  </si>
  <si>
    <t>DOLVOX IV                     1*100ML</t>
  </si>
  <si>
    <t>DOXYMEG INJ                   1*1</t>
  </si>
  <si>
    <t xml:space="preserve">       -34</t>
  </si>
  <si>
    <t>DOXYMEG-LB CAP                1*10</t>
  </si>
  <si>
    <t>DURADOL*TD*50 TAB             1*10</t>
  </si>
  <si>
    <t>ENZOPLEX SYP                  1*200ML</t>
  </si>
  <si>
    <t>EXEMITE IV                    1*100ML</t>
  </si>
  <si>
    <t>EXEMITE*500 TAB               1*10</t>
  </si>
  <si>
    <t>EXEMITE-750 TAB               1*10</t>
  </si>
  <si>
    <t>FAVOR**250 INJ                1*1</t>
  </si>
  <si>
    <t>FEROPIC-XT SYP                1*200ML</t>
  </si>
  <si>
    <t>FERTORES TAB                  1*10</t>
  </si>
  <si>
    <t>FEXOMEG-180 TAB               1*10</t>
  </si>
  <si>
    <t>FEXOMEG-M TAB                 1*10</t>
  </si>
  <si>
    <t>FIBER PLUS POWDER             1*90GM</t>
  </si>
  <si>
    <t>FULLREST TAB                  1*10</t>
  </si>
  <si>
    <t>GLOWIN-MM TAB                 1*10</t>
  </si>
  <si>
    <t>GROWFOL-M TAB                 1*10</t>
  </si>
  <si>
    <t>GYNOBOOST SYP                 1*200ML</t>
  </si>
  <si>
    <t>HYCORT-12 TAB                 1*10</t>
  </si>
  <si>
    <t>HYCORT-6 TAB                  1*10</t>
  </si>
  <si>
    <t>IRCOMEG-200                   1*4</t>
  </si>
  <si>
    <t>IUPRINE RETARD CAP            1*10</t>
  </si>
  <si>
    <t>IVERMEG*12 TAB                1*10</t>
  </si>
  <si>
    <t>JOINTCHARGE TAB               1*10</t>
  </si>
  <si>
    <t>JUNTO*DS SYP                  1*60ML</t>
  </si>
  <si>
    <t>L-CETRA PLUS TAB              1*10</t>
  </si>
  <si>
    <t>LACTAHY CAPSULES              1*30</t>
  </si>
  <si>
    <t>LACTOGEE CAP                  1*10</t>
  </si>
  <si>
    <t>LARGECLAV-625 TAB             1*10</t>
  </si>
  <si>
    <t>LIPTY CAP                     1*15</t>
  </si>
  <si>
    <t>LIZOBACT*600 IV               1*300ML</t>
  </si>
  <si>
    <t xml:space="preserve">       -16</t>
  </si>
  <si>
    <t>LOFTY OIL                     1*60ML</t>
  </si>
  <si>
    <t>LOWTREEN TAB                  1*5</t>
  </si>
  <si>
    <t>LULI-BEE OINT                 1*30GM</t>
  </si>
  <si>
    <t>LYCOGRAPE CAP                 1*10</t>
  </si>
  <si>
    <t>LYCORET CAPSULES              1*10</t>
  </si>
  <si>
    <t>LYTER SYP                     1*200ML</t>
  </si>
  <si>
    <t>M-DOT TAB                     1*10</t>
  </si>
  <si>
    <t>MACDMR SYP                    1*100ML</t>
  </si>
  <si>
    <t>MAX-G9 SACHET                 1*1</t>
  </si>
  <si>
    <t>MEFCOR-TX                     1*10</t>
  </si>
  <si>
    <t>MEG-DEPOT 250 INJ             1*1</t>
  </si>
  <si>
    <t>MEG-SITOL TAB                 1*10</t>
  </si>
  <si>
    <t>MEGCLID CAP                   1*10</t>
  </si>
  <si>
    <t>MEGCLID***INJ                 1*1</t>
  </si>
  <si>
    <t>MEGMADOL-IV                   1*100ML</t>
  </si>
  <si>
    <t>MEGMAFER-Z CAP                1*15</t>
  </si>
  <si>
    <t>MEGMAFER-Z SYP                1*200ML</t>
  </si>
  <si>
    <t>MEGMAGEST-SR-300 TAB          1*10</t>
  </si>
  <si>
    <t>MEGMANOX*60 INJ               1*1</t>
  </si>
  <si>
    <t>MEGMAPRED*125 INJ             1*VIAL</t>
  </si>
  <si>
    <t>MEGMAPRED*16 TAB              1*10</t>
  </si>
  <si>
    <t>MEGMAPRED*8 TAB               1*10</t>
  </si>
  <si>
    <t>MEGMASTOP*3 TAB               1*10</t>
  </si>
  <si>
    <t>MEGMATOR*AP CAP               1*10</t>
  </si>
  <si>
    <t>MEGMAVIT*LC TAB               1*10</t>
  </si>
  <si>
    <t>MEGPLACE*H TAB                1*10</t>
  </si>
  <si>
    <t>MEGTHRO*500 TAB               1*10</t>
  </si>
  <si>
    <t>MEROSHINE INJ                 1*VIAL</t>
  </si>
  <si>
    <t>MEROWELL INJ                  VIAL</t>
  </si>
  <si>
    <t>MIXMERY POWDER                1*200GM</t>
  </si>
  <si>
    <t>MONTPHYLLIN-400 TAB           1*10</t>
  </si>
  <si>
    <t>MORMECT SYP                   1*30ML</t>
  </si>
  <si>
    <t>MORMECT-250 TAB               1*10</t>
  </si>
  <si>
    <t>MOXIDIP-0.3 TAB               1*10</t>
  </si>
  <si>
    <t>MULTICAL SYP                  1*200ML</t>
  </si>
  <si>
    <t>MULTIFER GOLD TAB             1*10</t>
  </si>
  <si>
    <t>NEBIMEG-2.5 TAB               1*10</t>
  </si>
  <si>
    <t>NEBIMEG-5 TAB                 1*10</t>
  </si>
  <si>
    <t>NEOCAL-K27 TAB                1*10</t>
  </si>
  <si>
    <t>NEOCAL-MD TAB.                1*10TAB</t>
  </si>
  <si>
    <t>NEORAB-DSR CAP                1*10</t>
  </si>
  <si>
    <t>NEOTOP*DSR CAPSULES           1*10</t>
  </si>
  <si>
    <t>NEOVIT CAP.                   1*10TAB</t>
  </si>
  <si>
    <t>NEOZONE-SB INJ                1*VIAL</t>
  </si>
  <si>
    <t>NEWDOX CV 325 TAB             1*10</t>
  </si>
  <si>
    <t>NITROTIME-100 CAP             1*10</t>
  </si>
  <si>
    <t>OMESYM CAP                    1*10</t>
  </si>
  <si>
    <t>ONDEX-4 TAB                   1*10</t>
  </si>
  <si>
    <t>PANTORES-40 TAB               1*10</t>
  </si>
  <si>
    <t>PAZOTAZ-4.5 INJ               1*VIAL</t>
  </si>
  <si>
    <t>PEPTOCOOL SYP                 1*170ML</t>
  </si>
  <si>
    <t>PLAT CHARGE PLUS              1*10</t>
  </si>
  <si>
    <t>PRAZOSHINE-XL-2.5 TAB         1**15</t>
  </si>
  <si>
    <t>PRAZOSHINE-XL-5 TAB           1*15</t>
  </si>
  <si>
    <t>RACSYM-J SACHET               1*1GM</t>
  </si>
  <si>
    <t>RANAMEG-500 TAB               1*10</t>
  </si>
  <si>
    <t>RAYBAN INJ                    VIAL</t>
  </si>
  <si>
    <t>REALGEST-200 CAP              1*10</t>
  </si>
  <si>
    <t>REALVIT SYP                   1*200ML</t>
  </si>
  <si>
    <t>RECTOCEF-INJ                  1*1</t>
  </si>
  <si>
    <t>RELID-SP TAB                  1*10</t>
  </si>
  <si>
    <t>RELITASE TAB                  1*10</t>
  </si>
  <si>
    <t>RELITASE-MR                   1*10</t>
  </si>
  <si>
    <t>RENESA FORTE VIAL             1*1</t>
  </si>
  <si>
    <t>RENESA INJ                    1*1</t>
  </si>
  <si>
    <t xml:space="preserve">       -62</t>
  </si>
  <si>
    <t>RESCAL*GOLD TAB               1*10</t>
  </si>
  <si>
    <t>RESLIV-FORTE TAB              1*10</t>
  </si>
  <si>
    <t>RESTORIB**MR                  1*10</t>
  </si>
  <si>
    <t>RESYTIL*N TAB                 1*10</t>
  </si>
  <si>
    <t>RETROZOLE-LD CAP              1*10</t>
  </si>
  <si>
    <t>RIFAXOR-400 TAB               1*10</t>
  </si>
  <si>
    <t>RUTOSHINE TAB                 1*10</t>
  </si>
  <si>
    <t>SECTOCEF -LB TAB              1*10</t>
  </si>
  <si>
    <t>SECTOVIT*Z TAB                1*10</t>
  </si>
  <si>
    <t>SILOMEG*8MG TAB               1*10</t>
  </si>
  <si>
    <t>SILOMEG*D*8 TAB               1*10</t>
  </si>
  <si>
    <t>SOLOCARE-DX SYP               1*100ML</t>
  </si>
  <si>
    <t>STYLETAURIN TAB               1*10</t>
  </si>
  <si>
    <t>SYM-4G CAP                    1*10</t>
  </si>
  <si>
    <t>SYM-KIT TAB                   1*KIT</t>
  </si>
  <si>
    <t>SYMBOCIN-200 TAB              1*10</t>
  </si>
  <si>
    <t>SYMLAX SYP                    1*170ML</t>
  </si>
  <si>
    <t>TERBIGO SYP                   1*100ML</t>
  </si>
  <si>
    <t>THETA-AC TAB                  1*10</t>
  </si>
  <si>
    <t>TICOLEX-SYP                   1*200ML</t>
  </si>
  <si>
    <t>TIDAMEG TAB                   1*15</t>
  </si>
  <si>
    <t>TRYFEN PLUS TAB               1*10</t>
  </si>
  <si>
    <t>TRYFEN-P TAB                  1*10T</t>
  </si>
  <si>
    <t>TRYFER GOLD TAB               1*10</t>
  </si>
  <si>
    <t>URSOMIN*300 TAB               1*10</t>
  </si>
  <si>
    <t>VEGIFAST SOLUTION             1*100ML</t>
  </si>
  <si>
    <t>VEGIRES CAP                   1*10</t>
  </si>
  <si>
    <t>VOTRI-A TAB                   1*10</t>
  </si>
  <si>
    <t>WELL-C2 INJ                   1*1</t>
  </si>
  <si>
    <t>WELLCET TAB                   1*15</t>
  </si>
  <si>
    <t>WINFATE-O SYP                 1*100ML</t>
  </si>
  <si>
    <t>WINOCEF-SB INJ                1*VIAL</t>
  </si>
  <si>
    <t>WINOFF-OZ TAB                 1*10</t>
  </si>
  <si>
    <t>WINOGLOBIN POWDER             1*200GM</t>
  </si>
  <si>
    <t>WINTAZ-4.50INJ                1*VIAL</t>
  </si>
  <si>
    <t>WINTOP-D TAB.                 1*10TAB</t>
  </si>
  <si>
    <t>YOCAL-CT TAB                  1*10</t>
  </si>
  <si>
    <t>ZNEOTOP-D TAB                 1*10</t>
  </si>
  <si>
    <t>ACENOVA P TAB                 1*10TAB</t>
  </si>
  <si>
    <t>ACENOVA-FH TAB                1*10T</t>
  </si>
  <si>
    <t>COLDSOL DM SYP.               60 ML</t>
  </si>
  <si>
    <t>COLDSOL DROP                  15 ML</t>
  </si>
  <si>
    <t>COLDSOL SYP                   60 ML</t>
  </si>
  <si>
    <t>COLDSOL TABLET                1*10 TA</t>
  </si>
  <si>
    <t>FRUTIVIT*LB CAP               1*10</t>
  </si>
  <si>
    <t>FRUTIVIT*Z CAP                1*10</t>
  </si>
  <si>
    <t>FRUTOLYTE MIX                 5*4</t>
  </si>
  <si>
    <t>MEDIMOL KID 125               1*10TAB</t>
  </si>
  <si>
    <t>MEDIMOL SYRUP                 60 ML</t>
  </si>
  <si>
    <t>MEDIMOL-KID 250               1*10TAB</t>
  </si>
  <si>
    <t>MEDIMOL-TAB                   1*10TBV</t>
  </si>
  <si>
    <t>NOVAFLAM PLUS TABLET          1*10T</t>
  </si>
  <si>
    <t>NOVAFLAM SYP                  60 ML</t>
  </si>
  <si>
    <t>TOCEF 100 MG TAB              1*6'S</t>
  </si>
  <si>
    <t>TOCEF 200 MG TAB              1*6TA</t>
  </si>
  <si>
    <t>TOCEF-50 DRY SYP              30 ML</t>
  </si>
  <si>
    <t>TOCEF-CV-200 TAB              1*6</t>
  </si>
  <si>
    <t>TUSSIN DMR PEAD.SY            50 ML</t>
  </si>
  <si>
    <t>TUSSIN DMR SYP BIG.           100 ML</t>
  </si>
  <si>
    <t>TUSSIN DMR SYP SMALL          50ML</t>
  </si>
  <si>
    <t>TUSSIN DMR TAB                1*10</t>
  </si>
  <si>
    <t>TUSSIN TABLET                 1*10TA</t>
  </si>
  <si>
    <t>UROSOL SYP                    1*100ML</t>
  </si>
  <si>
    <t>ACNESOL SOLUTION              1*30ML</t>
  </si>
  <si>
    <t>AMCARD 2.5MG TAB.             1*10</t>
  </si>
  <si>
    <t>AMCARD 5MG. TAB.              1*10</t>
  </si>
  <si>
    <t>AMCARD AT TAB.                1*10</t>
  </si>
  <si>
    <t>CYRA*20 TAB                   1*10</t>
  </si>
  <si>
    <t>CYRA-D                        1*10</t>
  </si>
  <si>
    <t>ETOSYS TAB.                   1*10</t>
  </si>
  <si>
    <t>ISRYL-1 TAB                   1*10</t>
  </si>
  <si>
    <t>ISRYL-2 TAB                   1*10</t>
  </si>
  <si>
    <t>LEVOSIZ-10 TAB                1*10</t>
  </si>
  <si>
    <t>NAC SR 100MG TAB.             1*10</t>
  </si>
  <si>
    <t>PIOSYS 15MG TAB.              1*10</t>
  </si>
  <si>
    <t>SYSTAFLAM GEL                 1*25GM</t>
  </si>
  <si>
    <t>TERBEST CREAM                 1*15GM</t>
  </si>
  <si>
    <t>TERBEST-250 TAB               1*7</t>
  </si>
  <si>
    <t>TOPINATE 30GM CREAM.          1*30GM</t>
  </si>
  <si>
    <t>TOPISAL-3% OINT               1*10GM</t>
  </si>
  <si>
    <t>ACNESOL NC GEL                1*20GM</t>
  </si>
  <si>
    <t>AF-150                        1*1</t>
  </si>
  <si>
    <t>AF-200 TAB                    1*5</t>
  </si>
  <si>
    <t>AF-400 TAB                    1*1</t>
  </si>
  <si>
    <t>AF-K LOTION                   1*100ML</t>
  </si>
  <si>
    <t>AIR 120 TAB                   1*10</t>
  </si>
  <si>
    <t>AIR 180 TAB                   1*10</t>
  </si>
  <si>
    <t>AIR-M TAB                     1*10</t>
  </si>
  <si>
    <t>CYMET PLUS                    1*10TAB</t>
  </si>
  <si>
    <t>CYRA LS TAB                   1*10</t>
  </si>
  <si>
    <t>CYRA*40 TAB                   1*10</t>
  </si>
  <si>
    <t>CYRA-IT TAB                   1*10</t>
  </si>
  <si>
    <t>DAILYCAL-500 TAB              1*15</t>
  </si>
  <si>
    <t>DAILYSHINE-60K TAB            1*4</t>
  </si>
  <si>
    <t>ETOS 90 TAB                   1*10</t>
  </si>
  <si>
    <t>ETOS-P TAB                    1*10</t>
  </si>
  <si>
    <t>ETOSYS-MF TAB                 1*6</t>
  </si>
  <si>
    <t>H-VIT FORTE                   1*10TAB</t>
  </si>
  <si>
    <t>H-VIT TAB                     1*10</t>
  </si>
  <si>
    <t>ISRYL M-3                     1*15 TAB</t>
  </si>
  <si>
    <t>ISRYL M1                      1*10TAB</t>
  </si>
  <si>
    <t>ISRYL M2                      1*10TAB</t>
  </si>
  <si>
    <t>ISRYL M2 FORTE                1*10TAB</t>
  </si>
  <si>
    <t>ITRASYS 200 CAP               1*2</t>
  </si>
  <si>
    <t>ITRASYS-100 CAP               1*10</t>
  </si>
  <si>
    <t>L-SYS (30GM) CREAM            1*30GM</t>
  </si>
  <si>
    <t>L-SYS CREAM 10GM              1*10GM</t>
  </si>
  <si>
    <t>L-SYS LOTION                  1*30ML</t>
  </si>
  <si>
    <t>LEVOSIZ-5 TAB                 1*10</t>
  </si>
  <si>
    <t>LEVOSIZ-M TAB                 1*10</t>
  </si>
  <si>
    <t>ME-12 OD TAB                  1*10</t>
  </si>
  <si>
    <t>ME-PXL TAB                    1*10</t>
  </si>
  <si>
    <t>NEWTEL AM                     1*10TAB</t>
  </si>
  <si>
    <t>NEWTEL H 40                   1*14</t>
  </si>
  <si>
    <t>NEWTEL-40 TAB                 1*14</t>
  </si>
  <si>
    <t>NEWTEL-AMH                    1*10</t>
  </si>
  <si>
    <t>NEWTEL-CH-40 TAB              1*14</t>
  </si>
  <si>
    <t>NORMAXIN TAB                  1*15</t>
  </si>
  <si>
    <t>NORMAXIN-RT TAB               1*10</t>
  </si>
  <si>
    <t>SYSFOL D                      1*30TAB</t>
  </si>
  <si>
    <t>SYSFOL TAB.                   1*30</t>
  </si>
  <si>
    <t>SYSRON ND                     1*10TAB</t>
  </si>
  <si>
    <t>SYSRON-N TAB                  1*10</t>
  </si>
  <si>
    <t>TOPISAL*MF*3 OINT             1*30GM</t>
  </si>
  <si>
    <t>TOPISAL*MF*6 OINT             1*30GM</t>
  </si>
  <si>
    <t>TOPISAL-3% LOTION             1*30ML</t>
  </si>
  <si>
    <t>TOPISAL-6% LOTION             1*30ML</t>
  </si>
  <si>
    <t>TOPISAL-6% OINT               1*30GM</t>
  </si>
  <si>
    <t>VOGS 0.2                      1*10TAB</t>
  </si>
  <si>
    <t>VOGS 0.3                      1*10TAB</t>
  </si>
  <si>
    <t>CYSTONE SYP                   1*200ML</t>
  </si>
  <si>
    <t>CYSTONE TAB                   1*60</t>
  </si>
  <si>
    <t>KOFLET*LONGES                 1*JAR</t>
  </si>
  <si>
    <t>DICLOPEP*P TAB                1*10</t>
  </si>
  <si>
    <t>FOLTOP TAB                    10'TAB</t>
  </si>
  <si>
    <t>FOLTOP*M TAB                  1*10</t>
  </si>
  <si>
    <t>PCL SYP.                      200ML.</t>
  </si>
  <si>
    <t>PROPUMP-D CAP.                1*10</t>
  </si>
  <si>
    <t>AMIFRU-40 TAB                 1*10</t>
  </si>
  <si>
    <t>ARIP*MT*15 TAB                1*15</t>
  </si>
  <si>
    <t>AZULIX-1 MF FORTE TAB         1*15</t>
  </si>
  <si>
    <t>CARNISURE 500 TAB TORENT      1*10</t>
  </si>
  <si>
    <t>CHYMORAL FORTE DS TAB         1*10</t>
  </si>
  <si>
    <t>CHYMORAL FORTE TAB            1*20</t>
  </si>
  <si>
    <t>CORBIS*AM*5 TAB               1*10</t>
  </si>
  <si>
    <t>DEPLATT A*150 TAB             1*10</t>
  </si>
  <si>
    <t>DEPLATT A*75 TAB              1*10</t>
  </si>
  <si>
    <t>DEPLATT*75MG TAB              1*15</t>
  </si>
  <si>
    <t>DEPLATT-CV-10 TAB             1*10</t>
  </si>
  <si>
    <t>DEPLATT-CV-20 TAB             1*10</t>
  </si>
  <si>
    <t>DILZEM CD 120 TAB             1*10</t>
  </si>
  <si>
    <t>DILZEM CD 90 CAP              1*10</t>
  </si>
  <si>
    <t>DILZEM*60 TAB                 1*10</t>
  </si>
  <si>
    <t>DOMSTAL DROP                  1*5ML</t>
  </si>
  <si>
    <t>DOMSTAL TAB                   1*10</t>
  </si>
  <si>
    <t>ENCELIN D 10MG TAB.           1*10</t>
  </si>
  <si>
    <t>ENCELIN*50 TAB                1*10</t>
  </si>
  <si>
    <t>ENCELIN*M*50/1000 TAB         1*10</t>
  </si>
  <si>
    <t>ENCELIN*M50/500 TAB           1*10</t>
  </si>
  <si>
    <t>ENCELIN*OD*100 TAB            1*10</t>
  </si>
  <si>
    <t>EUREPA*0.5 TAB                1*15</t>
  </si>
  <si>
    <t>EUREPA*1 TAB                  1*15</t>
  </si>
  <si>
    <t>EUREPA*2MG TAB                1*10</t>
  </si>
  <si>
    <t>EUREPA*MF 1 TAB               1*10</t>
  </si>
  <si>
    <t>FLAVOSPAS TAB                 1*10</t>
  </si>
  <si>
    <t>LACOSAM-100 TAB               1*10</t>
  </si>
  <si>
    <t>LACOSAM-200 TAB               1*15</t>
  </si>
  <si>
    <t>LAMITOR*DT*100 TAB            1*15</t>
  </si>
  <si>
    <t>MODLIP-ASG-75 CAP             1*10</t>
  </si>
  <si>
    <t>NEBICARD*SM TAB               1*10</t>
  </si>
  <si>
    <t>NEBICARD-2.5 TAB              1*15</t>
  </si>
  <si>
    <t>NEBICARD-5 TAB                1*10</t>
  </si>
  <si>
    <t>NEXPRO-RD 40 TAB              1*10</t>
  </si>
  <si>
    <t>NIKORAN*OD*10 TAB             1*10</t>
  </si>
  <si>
    <t>OLSAR*CH*40/12.5 TAB          1*10</t>
  </si>
  <si>
    <t>PRAX A*75/10 TAB              1*10</t>
  </si>
  <si>
    <t>PREGAB 75 CAP TORRENT         1*10</t>
  </si>
  <si>
    <t>PRUVICT*2MG TAB               1*10</t>
  </si>
  <si>
    <t>REDULID HB TAB                1*10</t>
  </si>
  <si>
    <t>REGESTRON*CR*15 TAB           1*10</t>
  </si>
  <si>
    <t>ROZUCOR*ASP*10/75 TAB         1*10</t>
  </si>
  <si>
    <t>ROZUCOR-20 TABLETS            1*10</t>
  </si>
  <si>
    <t>SHELCAL 250 TAB               1*30</t>
  </si>
  <si>
    <t>SHELCAL ISO TAB               1*15</t>
  </si>
  <si>
    <t>SHELCAL JOINTS CAP            1*15</t>
  </si>
  <si>
    <t>SHELCAL SYP                   1*20ML</t>
  </si>
  <si>
    <t>SHELCAL-500 TAB               1*15</t>
  </si>
  <si>
    <t>SHELCAL-CT TAB                1*15</t>
  </si>
  <si>
    <t>SYMBAL**30 TAB                1*10</t>
  </si>
  <si>
    <t>TELSAR-CH*40/12.5             1*10</t>
  </si>
  <si>
    <t>TORGLIP**50 TAB               1*10</t>
  </si>
  <si>
    <t>TORGLIP*M*500 TAB             1*10</t>
  </si>
  <si>
    <t>TORLEVA 500 TAB               1*10</t>
  </si>
  <si>
    <t>TORPLAT*90 TAB                1*14</t>
  </si>
  <si>
    <t>TORVATE*200TAB                1*10</t>
  </si>
  <si>
    <t>TORVATE*CHRONO*200TAB         1*10</t>
  </si>
  <si>
    <t>TORVATE*CHRONO*500TAB         1*10</t>
  </si>
  <si>
    <t>UNISTAR 20/75 TAB             1*10</t>
  </si>
  <si>
    <t>VALZAAR*40 TAB                1*10</t>
  </si>
  <si>
    <t>VELOZ*D*20 CAP                1*10</t>
  </si>
  <si>
    <t>VELOZ*L CAP                   1*10</t>
  </si>
  <si>
    <t>XYZAL*10 TAB                  1*10</t>
  </si>
  <si>
    <t>DYNAPAR GEL                   1*30GM</t>
  </si>
  <si>
    <t>DYNAPAR INJ                   1*5</t>
  </si>
  <si>
    <t>DYNAPAR QPS SPARY             1*1</t>
  </si>
  <si>
    <t>DYNAPAR QPS(PLUS) SPARY       1*1</t>
  </si>
  <si>
    <t>DYNAPAR TAB                   1*15 TAB.</t>
  </si>
  <si>
    <t>MYONIT SR 2.5                 1*30</t>
  </si>
  <si>
    <t>RECHARGE*PLUS TAB             1*10</t>
  </si>
  <si>
    <t>TESS OINT                     1*5GM</t>
  </si>
  <si>
    <t>TROYACE*SP TAB                1*10</t>
  </si>
  <si>
    <t>XYKAA*500 TAB                 1*15</t>
  </si>
  <si>
    <t>XYKAA*650 TAB                 1*10</t>
  </si>
  <si>
    <t>CALCIEDGE TAB TRUEBASIC       1*10</t>
  </si>
  <si>
    <t>JOINTEDGE*CL*TRUEBASIC TAB    1*10</t>
  </si>
  <si>
    <t>JOINTEDGE*TRUEBASIC TAB       1*10</t>
  </si>
  <si>
    <t>MULTIVIT*AL TAB               1*0</t>
  </si>
  <si>
    <t>OMEGA*EDGE CAP                1*10</t>
  </si>
  <si>
    <t>Q*10*EDGE TAB                 1*10</t>
  </si>
  <si>
    <t>CARNI-Q-TAB                   1*10</t>
  </si>
  <si>
    <t>CCQ-25-TAB                    1*10</t>
  </si>
  <si>
    <t>CCQ-50-TAB                    1*10</t>
  </si>
  <si>
    <t>CHROMINAC-A-TAB               1*10TAB</t>
  </si>
  <si>
    <t>EPIDOCIN-INJ                  1*1ML</t>
  </si>
  <si>
    <t>ERAFOS SACHET                 1*8GM</t>
  </si>
  <si>
    <t>LACTARE-CAP                   1*30</t>
  </si>
  <si>
    <t>LACTARE-POW                   1*200GM</t>
  </si>
  <si>
    <t>LRZIN-FORTE-SACHET            1*15GM</t>
  </si>
  <si>
    <t>LRZIN-SACHET                  1*10GM</t>
  </si>
  <si>
    <t>NUTRICELL-CAP                 1*10</t>
  </si>
  <si>
    <t>OSSOPAN D SYP                 200ML</t>
  </si>
  <si>
    <t>OSSOPAN-500 MG-TAB            1*15TAB</t>
  </si>
  <si>
    <t>OSSOPAN-MCM-TAB               1*30</t>
  </si>
  <si>
    <t>PCO*360 TAB                   1*10</t>
  </si>
  <si>
    <t>AFOGLIP-M-500 TAB             1*10</t>
  </si>
  <si>
    <t>AMPOXIN SYP.                  1*30ML</t>
  </si>
  <si>
    <t>AMPOXIN-1GM INJ.              1*1</t>
  </si>
  <si>
    <t>AMPOXIN-250 CAP               1*10</t>
  </si>
  <si>
    <t>AMPOXIN-500 CAP               1*10</t>
  </si>
  <si>
    <t>AMPOXIN-500 INJ.              1*1</t>
  </si>
  <si>
    <t>AMPOXIN-CV-625 CAP            1*6</t>
  </si>
  <si>
    <t>ARKAMIN TAB                   1*30</t>
  </si>
  <si>
    <t>ARKAMIN-H TAB                 1*10</t>
  </si>
  <si>
    <t>ATARAX DROPS                  1*15ML</t>
  </si>
  <si>
    <t>ATARAX LOTION                 1*100ML</t>
  </si>
  <si>
    <t>ATARAX SYP.                   1*100ML</t>
  </si>
  <si>
    <t>ATARAX-10 TAB                 1*15</t>
  </si>
  <si>
    <t>ATARAX-25 TAB                 1*15</t>
  </si>
  <si>
    <t>B-LONG TAB                    1*30</t>
  </si>
  <si>
    <t>B-LONG-F TAB                  1*30</t>
  </si>
  <si>
    <t>CARNISURE INJ 1GM             1*1</t>
  </si>
  <si>
    <t>CARNISURE PLUS TAB            1*10</t>
  </si>
  <si>
    <t>CETGEL CAP.                   1*10</t>
  </si>
  <si>
    <t>CHYMORAL PLUS TAB             1*15</t>
  </si>
  <si>
    <t>COQ TAB                       1*10</t>
  </si>
  <si>
    <t>CORBIS-2.5 TAB                1*10</t>
  </si>
  <si>
    <t>CORBIS-5 TAB                  1*10</t>
  </si>
  <si>
    <t>CORVADIL-A TAB                1*10</t>
  </si>
  <si>
    <t>DEPURA NANO SYP               4*5ML</t>
  </si>
  <si>
    <t>DILIGAN TAB                   1*10</t>
  </si>
  <si>
    <t>DILZEM*30  TAB                1*15</t>
  </si>
  <si>
    <t>DILZEM*SR TAB                 1*15</t>
  </si>
  <si>
    <t>DOMSTAL SYP                   1*30ML</t>
  </si>
  <si>
    <t>E-COD-PLUS CAP                1*15</t>
  </si>
  <si>
    <t>ITRACLAR-100 TAB              1*10</t>
  </si>
  <si>
    <t>KEPPRA 10% SYP                1*100ML</t>
  </si>
  <si>
    <t>KEPPRA-250 TAB                1*10</t>
  </si>
  <si>
    <t>KEPPRA-500 TAB                1*10</t>
  </si>
  <si>
    <t>LOSAR-25 TAB                  1*15</t>
  </si>
  <si>
    <t>LOSAR-50 TAB                  1*15</t>
  </si>
  <si>
    <t>LOSAR-A TAB                   1*10</t>
  </si>
  <si>
    <t>LOSAR-BETA TAB                1*10</t>
  </si>
  <si>
    <t>LOSAR-H TAB                   1*15</t>
  </si>
  <si>
    <t>MOMOZ-CREAM                   1*10GM</t>
  </si>
  <si>
    <t>MOMOZ-F CREAM                 1*10GM</t>
  </si>
  <si>
    <t>MOXCENT-0.2 TAB               1*10</t>
  </si>
  <si>
    <t>MOXCENT-0.3 TAB               1*10</t>
  </si>
  <si>
    <t>NANO-LEO CAP                  1*15</t>
  </si>
  <si>
    <t>NEXPRO-40 TAB                 1*15</t>
  </si>
  <si>
    <t>NOOTROPIL SYP.                1*100ML</t>
  </si>
  <si>
    <t>NOOTROPIL-800 TAB             1*30</t>
  </si>
  <si>
    <t>OLSAR H-40                    1*10TAB</t>
  </si>
  <si>
    <t>OLSAR-20 TAB                  1*10</t>
  </si>
  <si>
    <t>OLSAR-M 50                    1*10TAB</t>
  </si>
  <si>
    <t>PREGABA-M 75 TAB              1*10</t>
  </si>
  <si>
    <t>PREGABA-NT                    1*10TAB</t>
  </si>
  <si>
    <t>PREGEB-M OD-75 TORR           1*15</t>
  </si>
  <si>
    <t>PREGEB-M-OD-150 TORR          1*10</t>
  </si>
  <si>
    <t>PREGNIDOXIN TAB               1*30</t>
  </si>
  <si>
    <t>PUBERGEN-10000 INJ            VIAL</t>
  </si>
  <si>
    <t>PUBERGEN-5000 INJ.            1*1</t>
  </si>
  <si>
    <t>RANX TAB                      1*10</t>
  </si>
  <si>
    <t>SEACOD CAP B.                 1*100</t>
  </si>
  <si>
    <t>SERTA-100 TAB                 1*10</t>
  </si>
  <si>
    <t>SERTA-25 TAB                  1*15</t>
  </si>
  <si>
    <t>SERTA-50  TAB                 1*15</t>
  </si>
  <si>
    <t>SHELCAL-HD TAB                1*15</t>
  </si>
  <si>
    <t>SHELCAL-HD/12 TAB             1*15</t>
  </si>
  <si>
    <t>SHELCAL-M TAB                 1*15</t>
  </si>
  <si>
    <t>SPORLAC PLUS SACHETS          1*1</t>
  </si>
  <si>
    <t>SPORLAC POWDER                1*1</t>
  </si>
  <si>
    <t>SPORLAC-DS TAB                1*15</t>
  </si>
  <si>
    <t>TELSAR-20 TAB                 1*15</t>
  </si>
  <si>
    <t>TELSAR-40 TAB                 1*15</t>
  </si>
  <si>
    <t>TELSAR-80 TAB                 1*10</t>
  </si>
  <si>
    <t>TELSAR-A TAB                  1*10</t>
  </si>
  <si>
    <t>TELSAR-H                      1*15</t>
  </si>
  <si>
    <t>TELSARBETA 50                 1*10TAB</t>
  </si>
  <si>
    <t>TENEPURE M 500                1*10</t>
  </si>
  <si>
    <t>TENEZA-20 TAB                 1*10</t>
  </si>
  <si>
    <t>TENEZA-M-1000 TAB             1*10</t>
  </si>
  <si>
    <t>TENEZA-M-500 TAB              1*10</t>
  </si>
  <si>
    <t>TOLOL-XR-12.5 TAB             1*10</t>
  </si>
  <si>
    <t>TOLOL-XR-25 TAB               1*10</t>
  </si>
  <si>
    <t>TRI-TELSAR 40                 1*10TAB</t>
  </si>
  <si>
    <t>UNIENZYME TAB.                1*10</t>
  </si>
  <si>
    <t>UNISTAR 20/150                1*10TAB</t>
  </si>
  <si>
    <t>UNISTAR-75 CAP                1*10</t>
  </si>
  <si>
    <t>VIZYLAC CAP                   1*10</t>
  </si>
  <si>
    <t>VIZYLAC RICH CAP              1*10</t>
  </si>
  <si>
    <t>VIZYLAC SYP.                  1*60ML</t>
  </si>
  <si>
    <t>VIZYLAC-DT                    1*10TAB</t>
  </si>
  <si>
    <t>XYZAL TAB                     1*15</t>
  </si>
  <si>
    <t>XYZAL-M TAB                   1*10</t>
  </si>
  <si>
    <t>ZILSAR 40 TAB                 1*10</t>
  </si>
  <si>
    <t>ZYRCOLD SYP.                  1*100ML</t>
  </si>
  <si>
    <t>VITAL-EZ POWDER               1*5</t>
  </si>
  <si>
    <t>VITAL-Z POWDER 140GR.         1*140GM</t>
  </si>
  <si>
    <t>FLORINA TAB                   1*21</t>
  </si>
  <si>
    <t>FLORINA-L TAB                 1*21</t>
  </si>
  <si>
    <t>VITAL-Z POWDER 210GR.         1*210GM</t>
  </si>
  <si>
    <t>VITAL-Z POWDER JAR.           1*525GR</t>
  </si>
  <si>
    <t>E-COD CAP                     1*30</t>
  </si>
  <si>
    <t>MULTIVITE GOLD CAP            1*15</t>
  </si>
  <si>
    <t>MULTIVITE-FM CAP              1*30</t>
  </si>
  <si>
    <t>PRIMOSA 500 CAP               1*15</t>
  </si>
  <si>
    <t>PRIMOSA-1000 CAP              1*10</t>
  </si>
  <si>
    <t>ZCOQ-FORTE CAP                1*10</t>
  </si>
  <si>
    <t>BONGEM CAP                    1*10</t>
  </si>
  <si>
    <t>CONTRAGESIC TAB NRX           1*10</t>
  </si>
  <si>
    <t>CONTRAGESIC*SP TAB            1*10</t>
  </si>
  <si>
    <t>FOLIZONE D TAB. UNIVICTOR     1*10TAB</t>
  </si>
  <si>
    <t>FOLIZONE TAB UNIVICTOR        1*10</t>
  </si>
  <si>
    <t>FREEVESTIN TAB                1*10</t>
  </si>
  <si>
    <t>GOLDWIN TAB                   1*10</t>
  </si>
  <si>
    <t>OVAFLAIR TAB                  1*10</t>
  </si>
  <si>
    <t>PRUGUT CAP                    1*10</t>
  </si>
  <si>
    <t>ROSE-EVE CAP                  1*10</t>
  </si>
  <si>
    <t>UNIQU FORTE CAP               1*10TAB</t>
  </si>
  <si>
    <t>V-BLESS SCAHET                1*1</t>
  </si>
  <si>
    <t>VIT*ED TAB                    1*20</t>
  </si>
  <si>
    <t>VIT*ED*60K SHOTS              1*4</t>
  </si>
  <si>
    <t>AMLOPIN-2.5 TAB               1*10</t>
  </si>
  <si>
    <t>AMLOPIN-5 TAB                 1*10</t>
  </si>
  <si>
    <t>AMLOPIN-AT TAB                1*10</t>
  </si>
  <si>
    <t>AMLOPIN-M 25                  1*10TAB</t>
  </si>
  <si>
    <t>AMLOPIN-M TAB                 1*10</t>
  </si>
  <si>
    <t>ANGISPAN-TR 2.5 CAP           1*50</t>
  </si>
  <si>
    <t>ANGISPAN-TR 6.5 CAP           1*50</t>
  </si>
  <si>
    <t>ANOVATE OINT.                 1*20GM</t>
  </si>
  <si>
    <t>AQUASOL CAP                   1*30</t>
  </si>
  <si>
    <t>C.V.P. CAP                    1*10</t>
  </si>
  <si>
    <t>CATASPA TAB                   1*10</t>
  </si>
  <si>
    <t>D RISE 60 K CAP               1*4</t>
  </si>
  <si>
    <t>D-RISE SACHET                 1*8GM</t>
  </si>
  <si>
    <t>DEROBIN OINT                  1*30GM</t>
  </si>
  <si>
    <t>DIATAAL CAP                   1*15</t>
  </si>
  <si>
    <t>DOXY-1 L TAB                  1*8</t>
  </si>
  <si>
    <t>DREGO-D CAP                   1*10CAP</t>
  </si>
  <si>
    <t>ECOSPRIN 150MG TAB            1*14</t>
  </si>
  <si>
    <t>ECOSPRIN GOLD FORTE10         1*10CAP</t>
  </si>
  <si>
    <t>ECOSPRIN GOLD*40 TAB          1*15</t>
  </si>
  <si>
    <t>ECOSPRIN GOLD-10 CAP          1*15</t>
  </si>
  <si>
    <t>ECOSPRIN GOLD-20 TAB          1*15</t>
  </si>
  <si>
    <t>ECOSPRIN*AV*75/40 TAB         1*10</t>
  </si>
  <si>
    <t>ECOSPRIN-75MG TAB             1*14</t>
  </si>
  <si>
    <t>ECOSPRIN-AV 150/20            1*10</t>
  </si>
  <si>
    <t>ECOSPRIN-AV-150               1*15</t>
  </si>
  <si>
    <t>ECOSPRIN-AV-75 CAP            1*15</t>
  </si>
  <si>
    <t>ECOSPRIN-AV-75/20             1*10CAP</t>
  </si>
  <si>
    <t>ERYTOP CREAM                  1*20GM</t>
  </si>
  <si>
    <t>ERYTOP LOTION                 1*25ML</t>
  </si>
  <si>
    <t>EXELYTE LAXATIVE              1*2</t>
  </si>
  <si>
    <t>GLYCOMET  TRIO 1 FORT         1*10TAB</t>
  </si>
  <si>
    <t>GLYCOMET GP 0.5               1*10TAB</t>
  </si>
  <si>
    <t>GLYCOMET SR 850               1*10TAB</t>
  </si>
  <si>
    <t>GLYCOMET SR-1GM TAB           1*15</t>
  </si>
  <si>
    <t>GLYCOMET SR-500 TAB           1*20</t>
  </si>
  <si>
    <t>GLYCOMET TRIO-1               1*10TAB</t>
  </si>
  <si>
    <t>GLYCOMET TRIO-2               1*10TAB</t>
  </si>
  <si>
    <t>GLYCOMET-250 TAB              1*10</t>
  </si>
  <si>
    <t>GLYCOMET-500 TAB              1*10</t>
  </si>
  <si>
    <t>GLYCOMET-850 TAB              1*10</t>
  </si>
  <si>
    <t>GLYCOMET-GP-1 TAB             1*15</t>
  </si>
  <si>
    <t>GLYCOMET-GP-1/850             1*10</t>
  </si>
  <si>
    <t>GLYCOMET-GP-2 TAB             1*15</t>
  </si>
  <si>
    <t>GLYCOMET-GP-2/850             1*10</t>
  </si>
  <si>
    <t>GLYCOMET-GP-3/850             1*10TAB</t>
  </si>
  <si>
    <t>GLYCOMET-GP.5 FORTE           1*10</t>
  </si>
  <si>
    <t>GLYCOMET-GP1 FORTE TAB        1*10</t>
  </si>
  <si>
    <t>GLYCOMET-GP2 FORTE            1*10</t>
  </si>
  <si>
    <t>GLYCOMET-GP3 FORTE TAB        1*10</t>
  </si>
  <si>
    <t>GLYCOMET-GP4 FORTE            1*10TAB</t>
  </si>
  <si>
    <t>GLYCOMET-TRIO 2/0.3 TAB       1*10</t>
  </si>
  <si>
    <t>GLYCOMET-TRIO-1.3 TAB         1*10</t>
  </si>
  <si>
    <t>GLYCOMET-TRIO-2 FORTE         1*10TAB</t>
  </si>
  <si>
    <t>GLYNASE TAB                   1*10</t>
  </si>
  <si>
    <t>GLYNASE-MF TAB                1*10</t>
  </si>
  <si>
    <t>GP 0.5 TAB                    1*10</t>
  </si>
  <si>
    <t>GP-1 TAB                      1*10</t>
  </si>
  <si>
    <t>GP-2 TAB                      1*10</t>
  </si>
  <si>
    <t>GP-3 TAB                      1*10</t>
  </si>
  <si>
    <t>GP-4 TAB                      1*10</t>
  </si>
  <si>
    <t>GYNAE-C.V.P.                  1*10</t>
  </si>
  <si>
    <t>JALRA 50/1000 TAB             1*10</t>
  </si>
  <si>
    <t>JALRA OD 100 TAB              1*10</t>
  </si>
  <si>
    <t xml:space="preserve">PCS_x000c_</t>
  </si>
  <si>
    <t>JALRA*DP TAB                  1*10</t>
  </si>
  <si>
    <t>JALRA-50 TAB                  1*14</t>
  </si>
  <si>
    <t>JALRA-M50/500 TAB             1*10</t>
  </si>
  <si>
    <t>LIPICARD-160 TAB              1*7</t>
  </si>
  <si>
    <t>LIPICARD-AV TAB               1*10</t>
  </si>
  <si>
    <t>M.V.I. INJ                    1*10</t>
  </si>
  <si>
    <t>MASHYNE-60K CAP               1*4</t>
  </si>
  <si>
    <t>METZOK-12.5 TAB               1*10</t>
  </si>
  <si>
    <t>METZOK-25 TAB                 1*10</t>
  </si>
  <si>
    <t>METZOK-50 TAB                 1*10</t>
  </si>
  <si>
    <t>MYCHIRO TAB                   1*10</t>
  </si>
  <si>
    <t>NIMODIP TAB                   1*10</t>
  </si>
  <si>
    <t>NURIL-5 TAB                   1*10</t>
  </si>
  <si>
    <t>OLMETRACK-20 TAB              1*10</t>
  </si>
  <si>
    <t>OLMETRACK-40 TAB              1*10</t>
  </si>
  <si>
    <t>OLMETRACK-AM TAB              1*10</t>
  </si>
  <si>
    <t>PEVESCA PLUS                  1*10</t>
  </si>
  <si>
    <t>PIOZ-15 TAB                   1*10</t>
  </si>
  <si>
    <t>PIOZ-30 TAB                   1*10</t>
  </si>
  <si>
    <t>PIOZ-7.5 TAB                  1*10</t>
  </si>
  <si>
    <t>PIOZ-MF-15 TAB                1*10</t>
  </si>
  <si>
    <t>PIOZ-MF-G2 TAB                1*10</t>
  </si>
  <si>
    <t>RICOSPRIN*15 TAB              1*10</t>
  </si>
  <si>
    <t>ROSEDAY 40                    1*10TAB</t>
  </si>
  <si>
    <t>ROSEDAY F 20 TAB              1*10</t>
  </si>
  <si>
    <t>ROSEDAY F5 TAB                1*10 TB</t>
  </si>
  <si>
    <t>ROSEDAY GOLD CAP              1*10</t>
  </si>
  <si>
    <t>ROSEDAY-20 TAB                1*10</t>
  </si>
  <si>
    <t>ROSEDAY-5 TAB                 1*10</t>
  </si>
  <si>
    <t>ROSEDAY-A-10 CAP              1*10</t>
  </si>
  <si>
    <t>ROSEDAY-A-20 TAB              1*10</t>
  </si>
  <si>
    <t>ROSEDAY-EZ10 TAB              1*10</t>
  </si>
  <si>
    <t>ROSEDAY-F-10 TAB              1*10</t>
  </si>
  <si>
    <t>ROSEDAY-GOLD-20 TAB           1*10</t>
  </si>
  <si>
    <t>SR PEVESCA PLUS75             1*10TAB</t>
  </si>
  <si>
    <t>SULICENT-100 TAB              1*10</t>
  </si>
  <si>
    <t>TAZLOC CT 40                  1*10TAB</t>
  </si>
  <si>
    <t>TAZLOC CT-80 TAB              1*10</t>
  </si>
  <si>
    <t>TAZLOC TRIO 40                1*10TAB</t>
  </si>
  <si>
    <t>TAZLOC TRIO-80                1*10TBN</t>
  </si>
  <si>
    <t>TAZLOC-20 TAB                 1*10</t>
  </si>
  <si>
    <t>TAZLOC-40 TAB                 1*10</t>
  </si>
  <si>
    <t>TAZLOC-80 TAB                 1*10</t>
  </si>
  <si>
    <t>TAZLOC-AM 80 TAB              1*10</t>
  </si>
  <si>
    <t>TAZLOC-AM TAB                 1*10</t>
  </si>
  <si>
    <t>TAZLOC-BETA-25                1*10TAB</t>
  </si>
  <si>
    <t>TAZLOC-BETA-50 TAB            1*10</t>
  </si>
  <si>
    <t>TAZLOC-H TAB                  1*10</t>
  </si>
  <si>
    <t>TAZLOC-H-80 TAB               1*10</t>
  </si>
  <si>
    <t>TICASPAN*90 TAB               1*10</t>
  </si>
  <si>
    <t>TRIGLYCOMET TAB.              1*10TAB</t>
  </si>
  <si>
    <t>TRIGLYNASE-1 TAB              1*10</t>
  </si>
  <si>
    <t>TRIGLYNASE-2 TAB              1*15</t>
  </si>
  <si>
    <t>TRIPLE-A-CAL CAP              1*10</t>
  </si>
  <si>
    <t>TRIPLE-A-CAL-FD CAP           1*10</t>
  </si>
  <si>
    <t>UDAPA*10 TAB                  1*10</t>
  </si>
  <si>
    <t>UDAPA*5MG TAB                 1*10</t>
  </si>
  <si>
    <t>UDAPA*M*1000 TAB              1*10</t>
  </si>
  <si>
    <t>UDAPA*M*500 TAB               1*10</t>
  </si>
  <si>
    <t>UDAPA-S 10/100 TAB            1*10</t>
  </si>
  <si>
    <t>VIBACT CAP                    1*10</t>
  </si>
  <si>
    <t>VIBACT-DS CAP                 1*10</t>
  </si>
  <si>
    <t>COLIMEX DROP                  1*10ML</t>
  </si>
  <si>
    <t>COLIMEX SYP                   1*30ML</t>
  </si>
  <si>
    <t>COLIMEX TAB                   1*10</t>
  </si>
  <si>
    <t>FLUCOLD*DS SUSP               1*60ML</t>
  </si>
  <si>
    <t>FLUCOLD*SUSPENSION            1*60ML</t>
  </si>
  <si>
    <t>SAZO*1000                     1*15</t>
  </si>
  <si>
    <t>WALAMYCIN SYP                 1*30ML</t>
  </si>
  <si>
    <t>WALAMYCIN*DS SYP              1*30ML</t>
  </si>
  <si>
    <t>ZN*20 DROP                    1*15ML</t>
  </si>
  <si>
    <t>ZN*20 SYP                     1*100ML</t>
  </si>
  <si>
    <t>BILALIFE*M TAB                1*10</t>
  </si>
  <si>
    <t>DROTIN DS SYP                 1*100ML</t>
  </si>
  <si>
    <t>DROTIN SYP                    1*100ML</t>
  </si>
  <si>
    <t>DROTIN TAB                    1*10</t>
  </si>
  <si>
    <t>DROTIN-A TAB                  1*8</t>
  </si>
  <si>
    <t>DROTIN-DS TAB                 1*15</t>
  </si>
  <si>
    <t>DROTIN-INJ                    1*10</t>
  </si>
  <si>
    <t>DROTIN-M TAB                  1*10</t>
  </si>
  <si>
    <t>DROTIN-PLUS TAB               1*10</t>
  </si>
  <si>
    <t>GESTIN TAB                    1*10</t>
  </si>
  <si>
    <t>MARTIFUR WALTER TAB           1*15</t>
  </si>
  <si>
    <t>MARTIFUR*MR*100 MG TAB        1*10</t>
  </si>
  <si>
    <t>MARTIFUR*MR*50 MG TAB         1*10</t>
  </si>
  <si>
    <t>POTKLOR SYP                   1*200ML</t>
  </si>
  <si>
    <t>URILISER SYP                  1*200ML</t>
  </si>
  <si>
    <t>URILIZER SYP SMALL            1*100ML</t>
  </si>
  <si>
    <t>URISPAS TAB                   1*15</t>
  </si>
  <si>
    <t>VENUSMIN 450 TAB              1*10</t>
  </si>
  <si>
    <t>VENUSMIN-300 TAB              1*8</t>
  </si>
  <si>
    <t>VENUSMIN-900 TAB              1*10</t>
  </si>
  <si>
    <t>YAMOO TAB                     1*10</t>
  </si>
  <si>
    <t>ADTROL-PLUS CAP               1*15</t>
  </si>
  <si>
    <t>CHYMONAC MR                   1*10 TB</t>
  </si>
  <si>
    <t>CHYMONAC TAB                  1*10</t>
  </si>
  <si>
    <t>CLAMIST SYP.                  1*60ML</t>
  </si>
  <si>
    <t>CORIMINIC DROP                1*15</t>
  </si>
  <si>
    <t>CORIMINIC SYP                 1*60ML</t>
  </si>
  <si>
    <t>CPINK SYP                     1*150ML</t>
  </si>
  <si>
    <t>CPINK TAB                     1*15</t>
  </si>
  <si>
    <t>CUSENA TAB                    1*10</t>
  </si>
  <si>
    <t>FOLININE CAP WANBERY          1*10</t>
  </si>
  <si>
    <t>FOLININE-D CAP WANBERY        1*10 CP</t>
  </si>
  <si>
    <t>NIFTY-SR TAB                  1*10</t>
  </si>
  <si>
    <t>NITROFUR-SR TAB               1*14</t>
  </si>
  <si>
    <t>NOCK-2 TAB                    1*10</t>
  </si>
  <si>
    <t>PRODUCTIV-F TAB               1*10</t>
  </si>
  <si>
    <t>SENASOF TAB                   1*10</t>
  </si>
  <si>
    <t>VOLITRA APS SPRAY             1*1</t>
  </si>
  <si>
    <t>HOMIDE DROP                   1*5ML</t>
  </si>
  <si>
    <t>RENOLEN E\D                   1*10ML</t>
  </si>
  <si>
    <t>REXIDIM SRS M\W               1*100ML</t>
  </si>
  <si>
    <t>REXIDIN M FORTE GEL           15 GM</t>
  </si>
  <si>
    <t>REXIDIN MOUTHWASH             1*50ML</t>
  </si>
  <si>
    <t>SENSODENT-K PASTE             1*100GM</t>
  </si>
  <si>
    <t>SENSODENT-K PASTE             1*50GM</t>
  </si>
  <si>
    <t>SENSODENT-KF PASTE            1*100GM</t>
  </si>
  <si>
    <t>SENSODENT-KF PASTE            1*50GM</t>
  </si>
  <si>
    <t>SENSOFORM G\P                 1*15ML</t>
  </si>
  <si>
    <t>SENSOFORM PASTE               1*100GM</t>
  </si>
  <si>
    <t>SENSOFORM PASTE               1*50GM</t>
  </si>
  <si>
    <t>BONEMAC-D3 CAP                1*10</t>
  </si>
  <si>
    <t>BONEMAC-XT TAB                1*10</t>
  </si>
  <si>
    <t>CALDIUM-M TAB                 1*10</t>
  </si>
  <si>
    <t>CALDIUM-XT CAP                1*15</t>
  </si>
  <si>
    <t>CALDIUM-XT PLUS CAP           1*10</t>
  </si>
  <si>
    <t>CHYMERA GEL                   1*30GM</t>
  </si>
  <si>
    <t>CHYMERA TAB                   1*10</t>
  </si>
  <si>
    <t>CHYMERA*MR TAB                1*10</t>
  </si>
  <si>
    <t>PROMYLIN*D TAB WILLBERT       1*10</t>
  </si>
  <si>
    <t>RABIGO*20 TAB                 1*10</t>
  </si>
  <si>
    <t>RABIGO-D CAP                  1*10</t>
  </si>
  <si>
    <t>V*GEST*SR*200 TAB             1*10</t>
  </si>
  <si>
    <t>WILLFER-XT TAB                1*10</t>
  </si>
  <si>
    <t>BETADINE GARGLE 100ML.        1*100ML</t>
  </si>
  <si>
    <t>BETADINE GARGLE 50ML.         1*50ML</t>
  </si>
  <si>
    <t>BETADINE LOTION 100ML.        1*100ML</t>
  </si>
  <si>
    <t>BETADINE LOTION 500ML.        1*500ML</t>
  </si>
  <si>
    <t>BETADINE OINT 125GR.          1*125GM</t>
  </si>
  <si>
    <t>BETADINE OINT 15GR.           1*15GM</t>
  </si>
  <si>
    <t>BETADINE OINT 250GR.          1*250GM</t>
  </si>
  <si>
    <t>BETADINE OINT 5%              1*25GM</t>
  </si>
  <si>
    <t>BETADINE POWDER               1*10g</t>
  </si>
  <si>
    <t>BETADINE VAG. TAB             1*10</t>
  </si>
  <si>
    <t>BETADINE*L0TION*10%           1*500ML</t>
  </si>
  <si>
    <t>CARNITOR-500 TAB              1*10</t>
  </si>
  <si>
    <t>CONTRACTUBEX OINT             1*20GM</t>
  </si>
  <si>
    <t>DICLOMOL TAB                  1*10</t>
  </si>
  <si>
    <t>DICLOMOL-SP                   1*10TAB</t>
  </si>
  <si>
    <t>EVAFOS SACHET.                1*8GR.</t>
  </si>
  <si>
    <t>HEPAMERZ INJ.                 1*10ML</t>
  </si>
  <si>
    <t>HEPAMERZ SYP                  1*60ML</t>
  </si>
  <si>
    <t>HEPAMERZ TAB                  1*10</t>
  </si>
  <si>
    <t>MOVICAL PED SACHET            1*3</t>
  </si>
  <si>
    <t>MOVICAL SACHET                1*13.8G</t>
  </si>
  <si>
    <t>MOVICAL SYP                   1*200ML</t>
  </si>
  <si>
    <t>MYOSPAZ FORTE TAB             1*10</t>
  </si>
  <si>
    <t>MYOSPAZ TAB                   1*10</t>
  </si>
  <si>
    <t>MYOSPAZ-D TAB                 1*10</t>
  </si>
  <si>
    <t>BROZEDEX LS KID PED SYP       1*60ML</t>
  </si>
  <si>
    <t>BROZEDEX LS PLUS SYP          100ML</t>
  </si>
  <si>
    <t>BROZEDEX SF SYP               1*100ML</t>
  </si>
  <si>
    <t>DECDAN LITE CREAM             1*20GM</t>
  </si>
  <si>
    <t>DEPIWHITE CREAM               1*15GM</t>
  </si>
  <si>
    <t>DEXOLAC*NO*1 TIN PACK         1*400GM</t>
  </si>
  <si>
    <t>GLARITUS CARTEGE              1*1</t>
  </si>
  <si>
    <t>GLIMADAY-1 TAB                1*15</t>
  </si>
  <si>
    <t>GLIMADAY-2 TAB                1*15</t>
  </si>
  <si>
    <t>INOGLA M 500                  1*10TAB</t>
  </si>
  <si>
    <t>NADOXIN OINT 5GM              1*5GM</t>
  </si>
  <si>
    <t>NADOXIN PLUS CREAM            1*10GM</t>
  </si>
  <si>
    <t>NURODAY-D3 TAB                1*15</t>
  </si>
  <si>
    <t>PP 26/6 FORTE TAB             1*10</t>
  </si>
  <si>
    <t>SPASMO*PROXYVON*T  CAP        1*8</t>
  </si>
  <si>
    <t>WINOFIT GOLD CAP              1*15</t>
  </si>
  <si>
    <t>WOSULIN 30/70 CARTAGE         1*3ML</t>
  </si>
  <si>
    <t>WOSULIN-30/70 VAIL            INJ.</t>
  </si>
  <si>
    <t>WOSULIN-R CARTAGE             1*1</t>
  </si>
  <si>
    <t>WOSULIN-R VAIL                INJ.</t>
  </si>
  <si>
    <t>ZEDEX PLUS SYP                100ML</t>
  </si>
  <si>
    <t>ZEDEX SF SYP                  1*100ML</t>
  </si>
  <si>
    <t>AZIWOK-100 SYP.               1*15ML</t>
  </si>
  <si>
    <t>AZIWOK-200 SYP.               1*15ML</t>
  </si>
  <si>
    <t>AZIWOK-250 TAB                1*6</t>
  </si>
  <si>
    <t>AZIWOK-500 TAB                1*1</t>
  </si>
  <si>
    <t>BROZEDEX SYP.                 1*100ML</t>
  </si>
  <si>
    <t>BUTAPROXYVON CAP              1*8</t>
  </si>
  <si>
    <t>DEXOLAC-SPECIAL               1*500GM</t>
  </si>
  <si>
    <t>NADIMIX CREAM                 1*7.5GM</t>
  </si>
  <si>
    <t>NADOXIN CREAM                 1*10GM</t>
  </si>
  <si>
    <t>NADOXIN GEL                   1*10GM</t>
  </si>
  <si>
    <t>NADOXIN-C CREAM.              1*10GR.</t>
  </si>
  <si>
    <t>NURODAY-H TAB                 1*10</t>
  </si>
  <si>
    <t>PROXYVON PLUS CAP             1*8</t>
  </si>
  <si>
    <t>SPASMO-PROXY FORTE INJ        10*2ML</t>
  </si>
  <si>
    <t>SPASMO-PROXYVON CAP NRX       1*8</t>
  </si>
  <si>
    <t>SPER LOTION                   1*100ML</t>
  </si>
  <si>
    <t>WINOFIT CAP                   1*15</t>
  </si>
  <si>
    <t>ZEDEX SYP.                    1*100ML</t>
  </si>
  <si>
    <t>ZEDEX-P SYP                   1*60ml</t>
  </si>
  <si>
    <t>ACILOC INJ.                   1*1AMP</t>
  </si>
  <si>
    <t>ACILOC ONLY SYP               1*100ML</t>
  </si>
  <si>
    <t>ACILOC-150 TAB                1*15</t>
  </si>
  <si>
    <t>ACILOC-300 TAB                1*15</t>
  </si>
  <si>
    <t>ACILOC-RD TAB                 1*30</t>
  </si>
  <si>
    <t>ACILOC-S SYP.                 1*200ML</t>
  </si>
  <si>
    <t>AMLODAC CH                    1*10TA</t>
  </si>
  <si>
    <t>AMLODAC D TAB                 1*10</t>
  </si>
  <si>
    <t>AMLODAC-10 TAB                1*15</t>
  </si>
  <si>
    <t>AMLODAC-2.5 TAB               1*10</t>
  </si>
  <si>
    <t>AMLODAC-5 TAB                 1*30</t>
  </si>
  <si>
    <t>AMLODAC-AT TAB                1*15</t>
  </si>
  <si>
    <t>ATEN-25 TAB                   1*14</t>
  </si>
  <si>
    <t>ATEN-50 TAB                   1*14</t>
  </si>
  <si>
    <t>ATEN-AM TAB                   1*14</t>
  </si>
  <si>
    <t>ATEN-D TAB                    1*10</t>
  </si>
  <si>
    <t>ATORVA ASP150 TAB             1*10</t>
  </si>
  <si>
    <t>ATORVA ASP75 TAB              1*10</t>
  </si>
  <si>
    <t>ATORVA-10 TAB                 1*15</t>
  </si>
  <si>
    <t>ATORVA-20 TAB                 1*15</t>
  </si>
  <si>
    <t>ATORVA-40 TAB                 1*10</t>
  </si>
  <si>
    <t>ATORVA-5 TAB                  1*10</t>
  </si>
  <si>
    <t>BILYPSA TAB                   1*45</t>
  </si>
  <si>
    <t>CADILOSE SYP                  1*100ML</t>
  </si>
  <si>
    <t>CADISPER-C TAB                1*10</t>
  </si>
  <si>
    <t>CALCIROL SACHET               1*1</t>
  </si>
  <si>
    <t>CARVIL-12.5                   1*10TAB</t>
  </si>
  <si>
    <t>CARVIL-6.25 TAB               1*10</t>
  </si>
  <si>
    <t>CIMUNE TAB                    1*20</t>
  </si>
  <si>
    <t>CINTODAC CAP                  1*10CA</t>
  </si>
  <si>
    <t>CIPROBID-500 TAB              1*10</t>
  </si>
  <si>
    <t>CLOPITORVA-10 CAP             1*10</t>
  </si>
  <si>
    <t>CLOPITORVA-20                 1*10TAB</t>
  </si>
  <si>
    <t>DAPAGLYN**10 TAB              1*15</t>
  </si>
  <si>
    <t>DAPAGLYN**5 TAB               1*10</t>
  </si>
  <si>
    <t>DEPIN RETARD TAB              1*15</t>
  </si>
  <si>
    <t>DEPIN-10 TAB                  1*30</t>
  </si>
  <si>
    <t>DEXONA INJ                    1*1</t>
  </si>
  <si>
    <t>DEXONA TAB                    1*30</t>
  </si>
  <si>
    <t>ELICIA 4                      1*10AB</t>
  </si>
  <si>
    <t>ENVAS-10 TAB                  1*10</t>
  </si>
  <si>
    <t>ENVAS-2.5 TAB                 1*15</t>
  </si>
  <si>
    <t>ENVAS-5 TAB                   1*15</t>
  </si>
  <si>
    <t>ENVAS-H TAB                   1*10</t>
  </si>
  <si>
    <t>EPSOLIN 100 TAB               1*100</t>
  </si>
  <si>
    <t>EPSOLIN INJ.                  1*7*2ML</t>
  </si>
  <si>
    <t>EPSOLIN-300 TAB               1*30</t>
  </si>
  <si>
    <t>EPSOLIN-ER-300 TAB            1*30</t>
  </si>
  <si>
    <t>ETOGESIC ER                   1*10TAB</t>
  </si>
  <si>
    <t>EUGLIM-1 TAB                  1*10</t>
  </si>
  <si>
    <t>EUGLIM-2MG TAB                1*10</t>
  </si>
  <si>
    <t>EUGLIM-M1 TAB                 1*10</t>
  </si>
  <si>
    <t>EUGLIM-M2 TAB                 1*10</t>
  </si>
  <si>
    <t>FLUDAC-20 CAP                 1*10</t>
  </si>
  <si>
    <t>FOL-5 TAB                     1*10</t>
  </si>
  <si>
    <t>FOL-XT TAB                    1*10</t>
  </si>
  <si>
    <t>FORGLYN*PLUS RESPICAPS        1*30</t>
  </si>
  <si>
    <t>FORMOSONE 250 RC              1*30CAP</t>
  </si>
  <si>
    <t>GRD POWDER                    1*200GM</t>
  </si>
  <si>
    <t>GRD POWDER BIG                1*400GM</t>
  </si>
  <si>
    <t>GRD SMART VANILLA             1*200gm</t>
  </si>
  <si>
    <t>HEAM-UP CAP                   1*100</t>
  </si>
  <si>
    <t>HEAM-UP CAP                   1*30</t>
  </si>
  <si>
    <t>HEAM-UP SYP.                  1*200ML</t>
  </si>
  <si>
    <t>HYPONATE-O-15 TAB ZYDUS       1*10</t>
  </si>
  <si>
    <t>ILADAC-10 TAB                 1*10</t>
  </si>
  <si>
    <t>IMOL-PLUS TAB                 1*10</t>
  </si>
  <si>
    <t>INDITEL 20 TAB.               1*10TAB</t>
  </si>
  <si>
    <t>INDITEL CH 40                 1*10TAB</t>
  </si>
  <si>
    <t>INDITEL H 40 TAB              1*10</t>
  </si>
  <si>
    <t>INDITEL H 80 TAB.             1*10TAB</t>
  </si>
  <si>
    <t>INDITEL-40 TAB                1*10</t>
  </si>
  <si>
    <t>INDITEL-AM TAB                1*15</t>
  </si>
  <si>
    <t>INDITEL-D TAB                 1*10</t>
  </si>
  <si>
    <t>INDITEL-MX-50 TAB             1*10</t>
  </si>
  <si>
    <t>K-BIND SACHET                 1*15GM</t>
  </si>
  <si>
    <t>LINID I.V.                    1*300ML</t>
  </si>
  <si>
    <t>LINID-600 TAB                 1*10</t>
  </si>
  <si>
    <t>LIPAGLYN TAB                  1*10</t>
  </si>
  <si>
    <t>LOSACAR-25 TAB                1*10</t>
  </si>
  <si>
    <t>LOSACAR-50 TAB                1*10</t>
  </si>
  <si>
    <t>LOSACAR-A TAB                 1*10</t>
  </si>
  <si>
    <t>LOSACAR-H TAB                 1*10</t>
  </si>
  <si>
    <t>LOSIUM-50 TAB                 1*30</t>
  </si>
  <si>
    <t>LOSIUM-H TAB                  1*30</t>
  </si>
  <si>
    <t>NEBULA AM TAB                 1*10</t>
  </si>
  <si>
    <t>NEBULA-5                      1*10TAB</t>
  </si>
  <si>
    <t>NEBULA-D TAB                  1*10</t>
  </si>
  <si>
    <t>NEUROTRAT LM TAB              1*10</t>
  </si>
  <si>
    <t>NODON AM 2.5-2.5              1*10TAB</t>
  </si>
  <si>
    <t>NODON-2.5 TAB                 1*10</t>
  </si>
  <si>
    <t>NODON-5 TAB                   1*10</t>
  </si>
  <si>
    <t>NODON-AM TAB                  1*10</t>
  </si>
  <si>
    <t>NODON-H TAB                   1*10</t>
  </si>
  <si>
    <t>NUCOXIA-120MG TAB             1*10</t>
  </si>
  <si>
    <t>NUCOXIA-90MG TAB              1*10</t>
  </si>
  <si>
    <t>NUCOXIA-MR TAB                1*8</t>
  </si>
  <si>
    <t>NUCOXIA-P                     1*10</t>
  </si>
  <si>
    <t>OCID-20 CAP                   1*20</t>
  </si>
  <si>
    <t>OCID-D CAP                    1*10</t>
  </si>
  <si>
    <t>OCID-QRS.TAB                  1*15</t>
  </si>
  <si>
    <t>OFLIN-200 TAB                 1*10</t>
  </si>
  <si>
    <t>OLMY D40                      1*10TAB</t>
  </si>
  <si>
    <t>OLMY-20 TAB                   1*10</t>
  </si>
  <si>
    <t>ORNI-500 TAB                  1*10</t>
  </si>
  <si>
    <t>ORNI-O TAB                    1*10</t>
  </si>
  <si>
    <t>OXALGIN NANOGEL               1*30</t>
  </si>
  <si>
    <t>OXALGIN-DP TAB                1*10</t>
  </si>
  <si>
    <t>PANTODAC L CAP                1*10</t>
  </si>
  <si>
    <t>PANTODAC-40 TAB               1*10</t>
  </si>
  <si>
    <t>PANTODAC-DSR CAP              1*10</t>
  </si>
  <si>
    <t>PATERNIA XT TAB               1*10</t>
  </si>
  <si>
    <t>PIVASTA-1 TAB                 1*10</t>
  </si>
  <si>
    <t>PIVASTA-2                     1*10TAB</t>
  </si>
  <si>
    <t>RABELOC-20 TAB                1*10</t>
  </si>
  <si>
    <t>RABELOC-I.V.                  1*1</t>
  </si>
  <si>
    <t>RABELOC-RD TAB                1*10</t>
  </si>
  <si>
    <t>RAMITORVA CAP                 1*10</t>
  </si>
  <si>
    <t>SUGAMET MC 500                1*10TAB</t>
  </si>
  <si>
    <t>SUSTAMET 25                   1*10</t>
  </si>
  <si>
    <t>SUSTAMET 50                   1*10</t>
  </si>
  <si>
    <t>SUSTAMET AM                   1*10</t>
  </si>
  <si>
    <t>TENALI*M 1000 TAB             1*10</t>
  </si>
  <si>
    <t>TENALI*M 500 TAB              1*10</t>
  </si>
  <si>
    <t>TENALI*TAB                    1*10</t>
  </si>
  <si>
    <t>TENGLYN TAB                   1*15</t>
  </si>
  <si>
    <t>TENGLYN-M-500 TAB             1*15</t>
  </si>
  <si>
    <t>THRABIS VACCINE               1*1</t>
  </si>
  <si>
    <t>TINIBA-500 TAB                1*10</t>
  </si>
  <si>
    <t>TRICORT TAB                   1*10</t>
  </si>
  <si>
    <t>TRICORT-40 INJ.               1*1</t>
  </si>
  <si>
    <t>TRIOFLAM TAB                  1*10</t>
  </si>
  <si>
    <t>VASOGRAIN TAB                 1*14</t>
  </si>
  <si>
    <t>VINGLYN*M*500 TAB             1*15</t>
  </si>
  <si>
    <t>XET-10 TAB                    1*10</t>
  </si>
  <si>
    <t>XET-CR-12.5 TAB               1*10</t>
  </si>
  <si>
    <t>ZY-Q-200 TAB                  1*10</t>
  </si>
  <si>
    <t>ZYAQUA DROP                   1*1</t>
  </si>
  <si>
    <t>ZYCOLOCHIN TAB                1*10</t>
  </si>
  <si>
    <t>ZYTANIX-2.5 TAB               1*10</t>
  </si>
  <si>
    <t>ZYTANIX-5 TAB                 1*10</t>
  </si>
  <si>
    <t>Our Software MARG Erp 9301090609,07314030609,07314249456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</si>
</sst>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202124"/>
      <name val="Roboto"/>
    </font>
    <font>
      <b/>
      <sz val="12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sz val="11.0"/>
      <color theme="1"/>
      <name val="Calibri"/>
    </font>
    <font/>
    <font>
      <b/>
      <sz val="11.0"/>
      <color theme="1"/>
      <name val="Arial"/>
    </font>
    <font>
      <sz val="10.0"/>
      <color theme="1"/>
      <name val="Arial"/>
    </font>
    <font>
      <sz val="10.0"/>
      <color theme="1"/>
      <name val="Courier New"/>
    </font>
    <font>
      <b/>
      <sz val="11.0"/>
      <color theme="1"/>
      <name val="Calibri"/>
    </font>
    <font>
      <i/>
      <sz val="8.0"/>
      <color theme="1"/>
      <name val="Arial Narrow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CCCFF"/>
        <bgColor rgb="FFCCCC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shrinkToFit="0" wrapText="0"/>
    </xf>
    <xf borderId="1" fillId="0" fontId="1" numFmtId="0" xfId="0" applyAlignment="1" applyBorder="1" applyFont="1">
      <alignment horizontal="left" shrinkToFit="0" wrapText="0"/>
    </xf>
    <xf borderId="0" fillId="0" fontId="1" numFmtId="0" xfId="0" applyFont="1"/>
    <xf borderId="0" fillId="2" fontId="2" numFmtId="0" xfId="0" applyFill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49" xfId="0" applyAlignment="1" applyFont="1" applyNumberFormat="1">
      <alignment horizontal="center" shrinkToFit="0" vertical="top" wrapText="0"/>
    </xf>
    <xf borderId="0" fillId="0" fontId="4" numFmtId="49" xfId="0" applyAlignment="1" applyFont="1" applyNumberFormat="1">
      <alignment horizontal="center" shrinkToFit="0" vertical="top" wrapText="0"/>
    </xf>
    <xf borderId="0" fillId="0" fontId="4" numFmtId="49" xfId="0" applyAlignment="1" applyFont="1" applyNumberFormat="1">
      <alignment shrinkToFit="0" vertical="top" wrapText="0"/>
    </xf>
    <xf borderId="1" fillId="3" fontId="5" numFmtId="49" xfId="0" applyAlignment="1" applyBorder="1" applyFill="1" applyFont="1" applyNumberFormat="1">
      <alignment horizontal="center" shrinkToFit="0" vertical="top" wrapText="0"/>
    </xf>
    <xf borderId="2" fillId="0" fontId="6" numFmtId="0" xfId="0" applyAlignment="1" applyBorder="1" applyFont="1">
      <alignment shrinkToFit="0" vertical="bottom" wrapText="0"/>
    </xf>
    <xf borderId="3" fillId="0" fontId="7" numFmtId="0" xfId="0" applyBorder="1" applyFont="1"/>
    <xf borderId="4" fillId="0" fontId="7" numFmtId="0" xfId="0" applyBorder="1" applyFont="1"/>
    <xf borderId="5" fillId="0" fontId="8" numFmtId="49" xfId="0" applyAlignment="1" applyBorder="1" applyFont="1" applyNumberFormat="1">
      <alignment horizontal="left" shrinkToFit="0" vertical="top" wrapText="0"/>
    </xf>
    <xf borderId="5" fillId="0" fontId="7" numFmtId="0" xfId="0" applyBorder="1" applyFont="1"/>
    <xf borderId="1" fillId="0" fontId="9" numFmtId="1" xfId="0" applyAlignment="1" applyBorder="1" applyFont="1" applyNumberFormat="1">
      <alignment shrinkToFit="0" vertical="bottom" wrapText="0"/>
    </xf>
    <xf borderId="1" fillId="0" fontId="10" numFmtId="49" xfId="0" applyAlignment="1" applyBorder="1" applyFont="1" applyNumberFormat="1">
      <alignment shrinkToFit="0" vertical="bottom" wrapText="0"/>
    </xf>
    <xf borderId="1" fillId="0" fontId="9" numFmtId="49" xfId="0" applyAlignment="1" applyBorder="1" applyFont="1" applyNumberFormat="1">
      <alignment shrinkToFit="0" vertical="bottom" wrapText="0"/>
    </xf>
    <xf borderId="1" fillId="0" fontId="9" numFmtId="2" xfId="0" applyAlignment="1" applyBorder="1" applyFont="1" applyNumberFormat="1">
      <alignment shrinkToFit="0" vertical="bottom" wrapText="0"/>
    </xf>
    <xf borderId="1" fillId="4" fontId="11" numFmtId="0" xfId="0" applyAlignment="1" applyBorder="1" applyFill="1" applyFont="1">
      <alignment shrinkToFit="0" vertical="bottom" wrapText="0"/>
    </xf>
    <xf borderId="1" fillId="4" fontId="5" numFmtId="49" xfId="0" applyAlignment="1" applyBorder="1" applyFont="1" applyNumberFormat="1">
      <alignment shrinkToFit="0" vertical="bottom" wrapText="0"/>
    </xf>
    <xf borderId="1" fillId="4" fontId="5" numFmtId="164" xfId="0" applyAlignment="1" applyBorder="1" applyFont="1" applyNumberFormat="1">
      <alignment shrinkToFit="0" vertical="bottom" wrapText="0"/>
    </xf>
    <xf borderId="1" fillId="4" fontId="5" numFmtId="1" xfId="0" applyAlignment="1" applyBorder="1" applyFont="1" applyNumberFormat="1">
      <alignment shrinkToFit="0" vertical="bottom" wrapText="0"/>
    </xf>
    <xf borderId="5" fillId="0" fontId="12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29"/>
    <col customWidth="1" min="2" max="2" width="39.29"/>
    <col customWidth="1" min="3" max="3" width="13.86"/>
    <col customWidth="1" min="4" max="4" width="8.57"/>
    <col customWidth="1" min="5" max="5" width="11.86"/>
    <col customWidth="1" min="6" max="6" width="15.29"/>
    <col customWidth="1" min="7" max="7" width="8.14"/>
    <col customWidth="1" min="8" max="8" width="11.86"/>
    <col customWidth="1" min="9" max="9" width="8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" t="s">
        <v>9</v>
      </c>
      <c r="B2" s="1" t="s">
        <v>10</v>
      </c>
      <c r="C2" s="1"/>
      <c r="D2" s="1"/>
      <c r="E2" s="1"/>
      <c r="F2" s="1"/>
      <c r="G2" s="1"/>
      <c r="H2" s="1"/>
      <c r="I2" s="1"/>
    </row>
    <row r="3">
      <c r="A3" s="1" t="s">
        <v>11</v>
      </c>
      <c r="B3" s="1" t="s">
        <v>10</v>
      </c>
      <c r="C3" s="1"/>
      <c r="D3" s="1"/>
      <c r="E3" s="1"/>
      <c r="F3" s="1"/>
      <c r="G3" s="1"/>
      <c r="H3" s="1"/>
      <c r="I3" s="1"/>
    </row>
    <row r="4">
      <c r="A4" s="1" t="s">
        <v>12</v>
      </c>
      <c r="B4" s="1" t="s">
        <v>10</v>
      </c>
      <c r="C4" s="1"/>
      <c r="D4" s="1"/>
      <c r="E4" s="1"/>
      <c r="F4" s="1"/>
      <c r="G4" s="1"/>
      <c r="H4" s="1"/>
      <c r="I4" s="1"/>
    </row>
    <row r="5">
      <c r="A5" s="1" t="s">
        <v>13</v>
      </c>
      <c r="B5" s="1" t="s">
        <v>10</v>
      </c>
      <c r="C5" s="1"/>
      <c r="D5" s="1"/>
      <c r="E5" s="1"/>
      <c r="F5" s="1"/>
      <c r="G5" s="1"/>
      <c r="H5" s="1"/>
      <c r="I5" s="1"/>
    </row>
    <row r="6">
      <c r="A6" s="1" t="s">
        <v>14</v>
      </c>
      <c r="B6" s="1" t="s">
        <v>10</v>
      </c>
      <c r="C6" s="1"/>
      <c r="D6" s="1"/>
      <c r="E6" s="1"/>
      <c r="F6" s="1"/>
      <c r="G6" s="1"/>
      <c r="H6" s="1"/>
      <c r="I6" s="1"/>
    </row>
    <row r="7">
      <c r="A7" s="1" t="s">
        <v>15</v>
      </c>
      <c r="B7" s="1" t="s">
        <v>10</v>
      </c>
      <c r="C7" s="1"/>
      <c r="D7" s="1"/>
      <c r="E7" s="1"/>
      <c r="F7" s="1"/>
      <c r="G7" s="1"/>
      <c r="H7" s="1"/>
      <c r="I7" s="1"/>
    </row>
    <row r="8">
      <c r="A8" s="1" t="s">
        <v>16</v>
      </c>
      <c r="B8" s="1" t="s">
        <v>10</v>
      </c>
      <c r="C8" s="1"/>
      <c r="D8" s="1"/>
      <c r="E8" s="1"/>
      <c r="F8" s="1"/>
      <c r="G8" s="1"/>
      <c r="H8" s="1"/>
      <c r="I8" s="1"/>
    </row>
    <row r="9">
      <c r="A9" s="1" t="s">
        <v>17</v>
      </c>
      <c r="B9" s="1" t="s">
        <v>10</v>
      </c>
      <c r="C9" s="1"/>
      <c r="D9" s="1"/>
      <c r="E9" s="1"/>
      <c r="F9" s="1"/>
      <c r="G9" s="1"/>
      <c r="H9" s="1"/>
      <c r="I9" s="1"/>
    </row>
    <row r="10">
      <c r="A10" s="1" t="s">
        <v>18</v>
      </c>
      <c r="B10" s="1" t="s">
        <v>10</v>
      </c>
      <c r="C10" s="1"/>
      <c r="D10" s="1"/>
      <c r="E10" s="1"/>
      <c r="F10" s="1"/>
      <c r="G10" s="1"/>
      <c r="H10" s="1"/>
      <c r="I10" s="1"/>
    </row>
    <row r="11">
      <c r="A11" s="1" t="s">
        <v>19</v>
      </c>
      <c r="B11" s="1" t="s">
        <v>10</v>
      </c>
      <c r="C11" s="1"/>
      <c r="D11" s="1"/>
      <c r="E11" s="1"/>
      <c r="F11" s="1"/>
      <c r="G11" s="1"/>
      <c r="H11" s="1"/>
      <c r="I11" s="1"/>
    </row>
    <row r="12" ht="15.75" customHeight="1">
      <c r="A12" s="1" t="s">
        <v>20</v>
      </c>
      <c r="B12" s="1" t="s">
        <v>10</v>
      </c>
      <c r="C12" s="1"/>
      <c r="D12" s="1"/>
      <c r="E12" s="1"/>
      <c r="F12" s="1"/>
      <c r="G12" s="1"/>
      <c r="H12" s="1"/>
      <c r="I12" s="1"/>
    </row>
    <row r="13" ht="15.75" customHeight="1">
      <c r="A13" s="1" t="s">
        <v>21</v>
      </c>
      <c r="B13" s="1" t="s">
        <v>10</v>
      </c>
      <c r="C13" s="1"/>
      <c r="D13" s="1"/>
      <c r="E13" s="1"/>
      <c r="F13" s="1"/>
      <c r="G13" s="1"/>
      <c r="H13" s="1"/>
      <c r="I13" s="1"/>
    </row>
    <row r="14" ht="15.75" customHeight="1">
      <c r="A14" s="1" t="s">
        <v>22</v>
      </c>
      <c r="B14" s="1" t="s">
        <v>10</v>
      </c>
      <c r="C14" s="1"/>
      <c r="D14" s="1"/>
      <c r="E14" s="1"/>
      <c r="F14" s="1"/>
      <c r="G14" s="1"/>
      <c r="H14" s="1"/>
      <c r="I14" s="1"/>
    </row>
    <row r="15" ht="15.75" customHeight="1">
      <c r="A15" s="1" t="s">
        <v>23</v>
      </c>
      <c r="B15" s="1" t="s">
        <v>10</v>
      </c>
      <c r="C15" s="1"/>
      <c r="D15" s="1"/>
      <c r="E15" s="1"/>
      <c r="F15" s="1"/>
      <c r="G15" s="1"/>
      <c r="H15" s="1"/>
      <c r="I15" s="1"/>
    </row>
    <row r="16" ht="15.75" customHeight="1">
      <c r="A16" s="1" t="s">
        <v>24</v>
      </c>
      <c r="B16" s="1" t="s">
        <v>10</v>
      </c>
      <c r="C16" s="1"/>
      <c r="D16" s="1"/>
      <c r="E16" s="1"/>
      <c r="F16" s="1"/>
      <c r="G16" s="1"/>
      <c r="H16" s="1"/>
      <c r="I16" s="1"/>
    </row>
    <row r="17" ht="15.75" customHeight="1">
      <c r="A17" s="1" t="s">
        <v>25</v>
      </c>
      <c r="B17" s="1" t="s">
        <v>10</v>
      </c>
      <c r="C17" s="1"/>
      <c r="D17" s="1"/>
      <c r="E17" s="1"/>
      <c r="F17" s="1"/>
      <c r="G17" s="1"/>
      <c r="H17" s="1"/>
      <c r="I17" s="1"/>
    </row>
    <row r="18" ht="15.75" customHeight="1">
      <c r="A18" s="1" t="s">
        <v>26</v>
      </c>
      <c r="B18" s="1" t="s">
        <v>10</v>
      </c>
      <c r="C18" s="1"/>
      <c r="D18" s="1"/>
      <c r="E18" s="1"/>
      <c r="F18" s="1"/>
      <c r="G18" s="1"/>
      <c r="H18" s="1"/>
      <c r="I18" s="1"/>
    </row>
    <row r="19" ht="15.75" customHeight="1">
      <c r="A19" s="1" t="s">
        <v>27</v>
      </c>
      <c r="B19" s="1" t="s">
        <v>10</v>
      </c>
      <c r="C19" s="1"/>
      <c r="D19" s="1"/>
      <c r="E19" s="1"/>
      <c r="F19" s="1"/>
      <c r="G19" s="1"/>
      <c r="H19" s="1"/>
      <c r="I19" s="1"/>
    </row>
    <row r="20" ht="15.75" customHeight="1">
      <c r="A20" s="1" t="s">
        <v>28</v>
      </c>
      <c r="B20" s="1" t="s">
        <v>10</v>
      </c>
      <c r="C20" s="1"/>
      <c r="D20" s="1"/>
      <c r="E20" s="1"/>
      <c r="F20" s="1"/>
      <c r="G20" s="1"/>
      <c r="H20" s="1"/>
      <c r="I20" s="1"/>
    </row>
    <row r="21" ht="15.75" customHeight="1">
      <c r="A21" s="1" t="s">
        <v>29</v>
      </c>
      <c r="B21" s="1" t="s">
        <v>10</v>
      </c>
      <c r="C21" s="1"/>
      <c r="D21" s="1"/>
      <c r="E21" s="1"/>
      <c r="F21" s="1"/>
      <c r="G21" s="1"/>
      <c r="H21" s="1"/>
      <c r="I21" s="1"/>
    </row>
    <row r="22" ht="15.75" customHeight="1">
      <c r="A22" s="1" t="s">
        <v>30</v>
      </c>
      <c r="B22" s="1" t="s">
        <v>10</v>
      </c>
      <c r="C22" s="1"/>
      <c r="D22" s="1"/>
      <c r="E22" s="1"/>
      <c r="F22" s="1"/>
      <c r="G22" s="1"/>
      <c r="H22" s="1"/>
      <c r="I22" s="1"/>
    </row>
    <row r="23" ht="15.75" customHeight="1">
      <c r="A23" s="1" t="s">
        <v>31</v>
      </c>
      <c r="B23" s="1" t="s">
        <v>10</v>
      </c>
      <c r="C23" s="1"/>
      <c r="D23" s="1"/>
      <c r="E23" s="1"/>
      <c r="F23" s="1"/>
      <c r="G23" s="1"/>
      <c r="H23" s="1"/>
      <c r="I23" s="1"/>
    </row>
    <row r="24" ht="15.75" customHeight="1">
      <c r="A24" s="1" t="s">
        <v>32</v>
      </c>
      <c r="B24" s="1" t="s">
        <v>10</v>
      </c>
      <c r="C24" s="1"/>
      <c r="D24" s="1"/>
      <c r="E24" s="1"/>
      <c r="F24" s="1"/>
      <c r="G24" s="1"/>
      <c r="H24" s="1"/>
      <c r="I24" s="1"/>
    </row>
    <row r="25" ht="15.75" customHeight="1">
      <c r="A25" s="1" t="s">
        <v>33</v>
      </c>
      <c r="B25" s="1" t="s">
        <v>10</v>
      </c>
      <c r="C25" s="1"/>
      <c r="D25" s="1"/>
      <c r="E25" s="1"/>
      <c r="F25" s="1"/>
      <c r="G25" s="1"/>
      <c r="H25" s="1"/>
      <c r="I25" s="1"/>
    </row>
    <row r="26" ht="15.75" customHeight="1">
      <c r="A26" s="1" t="s">
        <v>34</v>
      </c>
      <c r="B26" s="1" t="s">
        <v>10</v>
      </c>
      <c r="C26" s="1"/>
      <c r="D26" s="1"/>
      <c r="E26" s="1"/>
      <c r="F26" s="1"/>
      <c r="G26" s="1"/>
      <c r="H26" s="1"/>
      <c r="I26" s="1"/>
    </row>
    <row r="27" ht="15.75" customHeight="1">
      <c r="A27" s="1" t="s">
        <v>35</v>
      </c>
      <c r="B27" s="1" t="s">
        <v>10</v>
      </c>
      <c r="C27" s="1"/>
      <c r="D27" s="1"/>
      <c r="E27" s="1"/>
      <c r="F27" s="1"/>
      <c r="G27" s="1"/>
      <c r="H27" s="1"/>
      <c r="I27" s="1"/>
    </row>
    <row r="28" ht="15.75" customHeight="1">
      <c r="A28" s="1" t="s">
        <v>36</v>
      </c>
      <c r="B28" s="1" t="s">
        <v>10</v>
      </c>
      <c r="C28" s="1"/>
      <c r="D28" s="1"/>
      <c r="E28" s="1"/>
      <c r="F28" s="1"/>
      <c r="G28" s="1"/>
      <c r="H28" s="1"/>
      <c r="I28" s="1"/>
    </row>
    <row r="29" ht="15.75" customHeight="1">
      <c r="A29" s="1" t="s">
        <v>37</v>
      </c>
      <c r="B29" s="1" t="s">
        <v>10</v>
      </c>
      <c r="C29" s="1"/>
      <c r="D29" s="1"/>
      <c r="E29" s="1"/>
      <c r="F29" s="1"/>
      <c r="G29" s="1"/>
      <c r="H29" s="1"/>
      <c r="I29" s="1"/>
    </row>
    <row r="30" ht="15.75" customHeight="1">
      <c r="A30" s="1" t="s">
        <v>38</v>
      </c>
      <c r="B30" s="1" t="s">
        <v>10</v>
      </c>
      <c r="C30" s="1"/>
      <c r="D30" s="1"/>
      <c r="E30" s="1"/>
      <c r="F30" s="1"/>
      <c r="G30" s="1"/>
      <c r="H30" s="1"/>
      <c r="I30" s="1"/>
    </row>
    <row r="31" ht="15.75" customHeight="1">
      <c r="A31" s="1" t="s">
        <v>39</v>
      </c>
      <c r="B31" s="1" t="s">
        <v>10</v>
      </c>
      <c r="C31" s="1"/>
      <c r="D31" s="1"/>
      <c r="E31" s="1"/>
      <c r="F31" s="1"/>
      <c r="G31" s="1"/>
      <c r="H31" s="1"/>
      <c r="I31" s="1"/>
    </row>
    <row r="32" ht="15.75" customHeight="1">
      <c r="A32" s="1" t="s">
        <v>40</v>
      </c>
      <c r="B32" s="1" t="s">
        <v>10</v>
      </c>
      <c r="C32" s="1"/>
      <c r="D32" s="1"/>
      <c r="E32" s="1"/>
      <c r="F32" s="1"/>
      <c r="G32" s="1"/>
      <c r="H32" s="1"/>
      <c r="I32" s="1"/>
    </row>
    <row r="33" ht="15.75" customHeight="1">
      <c r="A33" s="1" t="s">
        <v>41</v>
      </c>
      <c r="B33" s="1" t="s">
        <v>10</v>
      </c>
      <c r="C33" s="1"/>
      <c r="D33" s="1"/>
      <c r="E33" s="1"/>
      <c r="F33" s="1"/>
      <c r="G33" s="1"/>
      <c r="H33" s="1"/>
      <c r="I33" s="1"/>
    </row>
    <row r="34" ht="15.75" customHeight="1">
      <c r="A34" s="1" t="s">
        <v>42</v>
      </c>
      <c r="B34" s="1" t="s">
        <v>10</v>
      </c>
      <c r="C34" s="1"/>
      <c r="D34" s="1"/>
      <c r="E34" s="1"/>
      <c r="F34" s="1"/>
      <c r="G34" s="1"/>
      <c r="H34" s="1"/>
      <c r="I34" s="1"/>
    </row>
    <row r="35" ht="15.75" customHeight="1">
      <c r="A35" s="1" t="s">
        <v>43</v>
      </c>
      <c r="B35" s="1" t="s">
        <v>10</v>
      </c>
      <c r="C35" s="1"/>
      <c r="D35" s="1"/>
      <c r="E35" s="1"/>
      <c r="F35" s="1"/>
      <c r="G35" s="1"/>
      <c r="H35" s="1"/>
      <c r="I35" s="1"/>
    </row>
    <row r="36" ht="15.75" customHeight="1">
      <c r="A36" s="1" t="s">
        <v>44</v>
      </c>
      <c r="B36" s="1" t="s">
        <v>10</v>
      </c>
      <c r="C36" s="1"/>
      <c r="D36" s="1"/>
      <c r="E36" s="1"/>
      <c r="F36" s="1"/>
      <c r="G36" s="1"/>
      <c r="H36" s="1"/>
      <c r="I36" s="1"/>
    </row>
    <row r="37" ht="15.75" customHeight="1">
      <c r="A37" s="1" t="s">
        <v>45</v>
      </c>
      <c r="B37" s="1" t="s">
        <v>10</v>
      </c>
      <c r="C37" s="1"/>
      <c r="D37" s="1"/>
      <c r="E37" s="1"/>
      <c r="F37" s="1"/>
      <c r="G37" s="1"/>
      <c r="H37" s="1"/>
      <c r="I37" s="1"/>
    </row>
    <row r="38" ht="15.75" customHeight="1">
      <c r="A38" s="1" t="s">
        <v>46</v>
      </c>
      <c r="B38" s="1" t="s">
        <v>10</v>
      </c>
      <c r="C38" s="1"/>
      <c r="D38" s="1"/>
      <c r="E38" s="1"/>
      <c r="F38" s="1"/>
      <c r="G38" s="1"/>
      <c r="H38" s="1"/>
      <c r="I38" s="1"/>
    </row>
    <row r="39" ht="15.75" customHeight="1">
      <c r="A39" s="1" t="s">
        <v>47</v>
      </c>
      <c r="B39" s="1" t="s">
        <v>10</v>
      </c>
      <c r="C39" s="1"/>
      <c r="D39" s="1"/>
      <c r="E39" s="1"/>
      <c r="F39" s="1"/>
      <c r="G39" s="1"/>
      <c r="H39" s="1"/>
      <c r="I39" s="1"/>
    </row>
    <row r="40" ht="15.75" customHeight="1">
      <c r="A40" s="1" t="s">
        <v>48</v>
      </c>
      <c r="B40" s="1" t="s">
        <v>10</v>
      </c>
      <c r="C40" s="1"/>
      <c r="D40" s="1"/>
      <c r="E40" s="1"/>
      <c r="F40" s="1"/>
      <c r="G40" s="1"/>
      <c r="H40" s="1"/>
      <c r="I40" s="1"/>
    </row>
    <row r="41" ht="15.75" customHeight="1">
      <c r="A41" s="1" t="s">
        <v>49</v>
      </c>
      <c r="B41" s="1" t="s">
        <v>10</v>
      </c>
      <c r="C41" s="1"/>
      <c r="D41" s="1"/>
      <c r="E41" s="1"/>
      <c r="F41" s="1"/>
      <c r="G41" s="1"/>
      <c r="H41" s="1"/>
      <c r="I41" s="1"/>
    </row>
    <row r="42" ht="15.75" customHeight="1">
      <c r="A42" s="1" t="s">
        <v>50</v>
      </c>
      <c r="B42" s="1" t="s">
        <v>10</v>
      </c>
      <c r="C42" s="1"/>
      <c r="D42" s="1"/>
      <c r="E42" s="1"/>
      <c r="F42" s="1"/>
      <c r="G42" s="1"/>
      <c r="H42" s="1"/>
      <c r="I42" s="1"/>
    </row>
    <row r="43" ht="15.75" customHeight="1">
      <c r="A43" s="1" t="s">
        <v>51</v>
      </c>
      <c r="B43" s="1" t="s">
        <v>10</v>
      </c>
      <c r="C43" s="1"/>
      <c r="D43" s="1"/>
      <c r="E43" s="1"/>
      <c r="F43" s="1"/>
      <c r="G43" s="1"/>
      <c r="H43" s="1"/>
      <c r="I43" s="1"/>
    </row>
    <row r="44" ht="15.75" customHeight="1">
      <c r="A44" s="1" t="s">
        <v>52</v>
      </c>
      <c r="B44" s="1" t="s">
        <v>10</v>
      </c>
      <c r="C44" s="1"/>
      <c r="D44" s="1"/>
      <c r="E44" s="1"/>
      <c r="F44" s="1"/>
      <c r="G44" s="1"/>
      <c r="H44" s="1"/>
      <c r="I44" s="1"/>
    </row>
    <row r="45" ht="15.75" customHeight="1">
      <c r="A45" s="1" t="s">
        <v>53</v>
      </c>
      <c r="B45" s="1" t="s">
        <v>10</v>
      </c>
      <c r="C45" s="1"/>
      <c r="D45" s="1"/>
      <c r="E45" s="1"/>
      <c r="F45" s="1"/>
      <c r="G45" s="1"/>
      <c r="H45" s="1"/>
      <c r="I45" s="1"/>
    </row>
    <row r="46" ht="15.75" customHeight="1">
      <c r="A46" s="1" t="s">
        <v>54</v>
      </c>
      <c r="B46" s="1" t="s">
        <v>10</v>
      </c>
      <c r="C46" s="1"/>
      <c r="D46" s="1"/>
      <c r="E46" s="1"/>
      <c r="F46" s="1"/>
      <c r="G46" s="1"/>
      <c r="H46" s="1"/>
      <c r="I46" s="1"/>
    </row>
    <row r="47" ht="15.75" customHeight="1">
      <c r="A47" s="1" t="s">
        <v>55</v>
      </c>
      <c r="B47" s="1" t="s">
        <v>10</v>
      </c>
      <c r="C47" s="1"/>
      <c r="D47" s="1"/>
      <c r="E47" s="1"/>
      <c r="F47" s="1"/>
      <c r="G47" s="1"/>
      <c r="H47" s="1"/>
      <c r="I47" s="1"/>
    </row>
    <row r="48" ht="15.75" customHeight="1">
      <c r="A48" s="1" t="s">
        <v>56</v>
      </c>
      <c r="B48" s="1" t="s">
        <v>10</v>
      </c>
      <c r="C48" s="1"/>
      <c r="D48" s="1"/>
      <c r="E48" s="1"/>
      <c r="F48" s="1"/>
      <c r="G48" s="1"/>
      <c r="H48" s="1"/>
      <c r="I48" s="1"/>
    </row>
    <row r="49" ht="15.75" customHeight="1">
      <c r="A49" s="1" t="s">
        <v>57</v>
      </c>
      <c r="B49" s="1" t="s">
        <v>10</v>
      </c>
      <c r="C49" s="1"/>
      <c r="D49" s="1"/>
      <c r="E49" s="1"/>
      <c r="F49" s="1"/>
      <c r="G49" s="1"/>
      <c r="H49" s="1"/>
      <c r="I49" s="1"/>
    </row>
    <row r="50" ht="15.75" customHeight="1">
      <c r="A50" s="1" t="s">
        <v>58</v>
      </c>
      <c r="B50" s="1" t="s">
        <v>10</v>
      </c>
      <c r="C50" s="1"/>
      <c r="D50" s="1"/>
      <c r="E50" s="1"/>
      <c r="F50" s="1"/>
      <c r="G50" s="1"/>
      <c r="H50" s="1"/>
      <c r="I50" s="1"/>
    </row>
    <row r="51" ht="15.75" customHeight="1">
      <c r="A51" s="1" t="s">
        <v>59</v>
      </c>
      <c r="B51" s="1" t="s">
        <v>10</v>
      </c>
      <c r="C51" s="1"/>
      <c r="D51" s="1"/>
      <c r="E51" s="1"/>
      <c r="F51" s="1"/>
      <c r="G51" s="1"/>
      <c r="H51" s="1"/>
      <c r="I51" s="1"/>
    </row>
    <row r="52" ht="15.75" customHeight="1">
      <c r="A52" s="1" t="s">
        <v>60</v>
      </c>
      <c r="B52" s="1" t="s">
        <v>10</v>
      </c>
      <c r="C52" s="1"/>
      <c r="D52" s="1"/>
      <c r="E52" s="1"/>
      <c r="F52" s="1"/>
      <c r="G52" s="1"/>
      <c r="H52" s="1"/>
      <c r="I52" s="1"/>
    </row>
    <row r="53" ht="15.75" customHeight="1">
      <c r="A53" s="1" t="s">
        <v>61</v>
      </c>
      <c r="B53" s="1" t="s">
        <v>10</v>
      </c>
      <c r="C53" s="1"/>
      <c r="D53" s="1"/>
      <c r="E53" s="1"/>
      <c r="F53" s="1"/>
      <c r="G53" s="1"/>
      <c r="H53" s="1"/>
      <c r="I53" s="1"/>
    </row>
    <row r="54" ht="15.75" customHeight="1">
      <c r="A54" s="1" t="s">
        <v>62</v>
      </c>
      <c r="B54" s="1" t="s">
        <v>10</v>
      </c>
      <c r="C54" s="1"/>
      <c r="D54" s="1"/>
      <c r="E54" s="1"/>
      <c r="F54" s="1"/>
      <c r="G54" s="1"/>
      <c r="H54" s="1"/>
      <c r="I54" s="1"/>
    </row>
    <row r="55" ht="15.75" customHeight="1">
      <c r="A55" s="1" t="s">
        <v>63</v>
      </c>
      <c r="B55" s="1" t="s">
        <v>10</v>
      </c>
      <c r="C55" s="1"/>
      <c r="D55" s="1"/>
      <c r="E55" s="1"/>
      <c r="F55" s="1"/>
      <c r="G55" s="1"/>
      <c r="H55" s="1"/>
      <c r="I55" s="1"/>
    </row>
    <row r="56" ht="15.75" customHeight="1">
      <c r="A56" s="1" t="s">
        <v>64</v>
      </c>
      <c r="B56" s="1" t="s">
        <v>10</v>
      </c>
      <c r="C56" s="1"/>
      <c r="D56" s="1"/>
      <c r="E56" s="1"/>
      <c r="F56" s="1"/>
      <c r="G56" s="1"/>
      <c r="H56" s="1"/>
      <c r="I56" s="1"/>
    </row>
    <row r="57" ht="15.75" customHeight="1">
      <c r="A57" s="1" t="s">
        <v>65</v>
      </c>
      <c r="B57" s="1" t="s">
        <v>10</v>
      </c>
      <c r="C57" s="1"/>
      <c r="D57" s="1"/>
      <c r="E57" s="1"/>
      <c r="F57" s="1"/>
      <c r="G57" s="1"/>
      <c r="H57" s="1"/>
      <c r="I57" s="1"/>
    </row>
    <row r="58" ht="15.75" customHeight="1">
      <c r="A58" s="1" t="s">
        <v>66</v>
      </c>
      <c r="B58" s="1" t="s">
        <v>10</v>
      </c>
      <c r="C58" s="1"/>
      <c r="D58" s="1"/>
      <c r="E58" s="1"/>
      <c r="F58" s="1"/>
      <c r="G58" s="1"/>
      <c r="H58" s="1"/>
      <c r="I58" s="1"/>
    </row>
    <row r="59" ht="15.75" customHeight="1">
      <c r="A59" s="1" t="s">
        <v>67</v>
      </c>
      <c r="B59" s="1" t="s">
        <v>10</v>
      </c>
      <c r="C59" s="1"/>
      <c r="D59" s="1"/>
      <c r="E59" s="1"/>
      <c r="F59" s="1"/>
      <c r="G59" s="1"/>
      <c r="H59" s="1"/>
      <c r="I59" s="1"/>
    </row>
    <row r="60" ht="15.75" customHeight="1">
      <c r="A60" s="1" t="s">
        <v>68</v>
      </c>
      <c r="B60" s="1" t="s">
        <v>10</v>
      </c>
      <c r="C60" s="1"/>
      <c r="D60" s="1"/>
      <c r="E60" s="1"/>
      <c r="F60" s="1"/>
      <c r="G60" s="1"/>
      <c r="H60" s="1"/>
      <c r="I60" s="1"/>
    </row>
    <row r="61" ht="15.75" customHeight="1">
      <c r="A61" s="1" t="s">
        <v>69</v>
      </c>
      <c r="B61" s="1" t="s">
        <v>10</v>
      </c>
      <c r="C61" s="1"/>
      <c r="D61" s="1"/>
      <c r="E61" s="1"/>
      <c r="F61" s="1"/>
      <c r="G61" s="1"/>
      <c r="H61" s="1"/>
      <c r="I61" s="1"/>
    </row>
    <row r="62" ht="15.75" customHeight="1">
      <c r="A62" s="1" t="s">
        <v>70</v>
      </c>
      <c r="B62" s="1" t="s">
        <v>10</v>
      </c>
      <c r="C62" s="1"/>
      <c r="D62" s="1"/>
      <c r="E62" s="1"/>
      <c r="F62" s="1"/>
      <c r="G62" s="1"/>
      <c r="H62" s="1"/>
      <c r="I62" s="1"/>
    </row>
    <row r="63" ht="15.75" customHeight="1">
      <c r="A63" s="1" t="s">
        <v>71</v>
      </c>
      <c r="B63" s="1" t="s">
        <v>10</v>
      </c>
      <c r="C63" s="1"/>
      <c r="D63" s="1"/>
      <c r="E63" s="1"/>
      <c r="F63" s="1"/>
      <c r="G63" s="1"/>
      <c r="H63" s="1"/>
      <c r="I63" s="1"/>
    </row>
    <row r="64" ht="15.75" customHeight="1">
      <c r="A64" s="1" t="s">
        <v>72</v>
      </c>
      <c r="B64" s="1" t="s">
        <v>10</v>
      </c>
      <c r="C64" s="1"/>
      <c r="D64" s="1"/>
      <c r="E64" s="1"/>
      <c r="F64" s="1"/>
      <c r="G64" s="1"/>
      <c r="H64" s="1"/>
      <c r="I64" s="1"/>
    </row>
    <row r="65" ht="15.75" customHeight="1">
      <c r="A65" s="1" t="s">
        <v>73</v>
      </c>
      <c r="B65" s="1" t="s">
        <v>10</v>
      </c>
      <c r="C65" s="1"/>
      <c r="D65" s="1"/>
      <c r="E65" s="1"/>
      <c r="F65" s="1"/>
      <c r="G65" s="1"/>
      <c r="H65" s="1"/>
      <c r="I65" s="1"/>
    </row>
    <row r="66" ht="15.75" customHeight="1">
      <c r="A66" s="1" t="s">
        <v>74</v>
      </c>
      <c r="B66" s="1" t="s">
        <v>10</v>
      </c>
      <c r="C66" s="1"/>
      <c r="D66" s="1"/>
      <c r="E66" s="1"/>
      <c r="F66" s="1"/>
      <c r="G66" s="1"/>
      <c r="H66" s="1"/>
      <c r="I66" s="1"/>
    </row>
    <row r="67" ht="15.75" customHeight="1">
      <c r="A67" s="1" t="s">
        <v>75</v>
      </c>
      <c r="B67" s="1" t="s">
        <v>10</v>
      </c>
      <c r="C67" s="1"/>
      <c r="D67" s="1"/>
      <c r="E67" s="1"/>
      <c r="F67" s="1"/>
      <c r="G67" s="1"/>
      <c r="H67" s="1"/>
      <c r="I67" s="1"/>
    </row>
    <row r="68" ht="15.75" customHeight="1">
      <c r="A68" s="1" t="s">
        <v>76</v>
      </c>
      <c r="B68" s="1" t="s">
        <v>10</v>
      </c>
      <c r="C68" s="1"/>
      <c r="D68" s="1"/>
      <c r="E68" s="1"/>
      <c r="F68" s="1"/>
      <c r="G68" s="1"/>
      <c r="H68" s="1"/>
      <c r="I68" s="1"/>
    </row>
    <row r="69" ht="15.75" customHeight="1">
      <c r="A69" s="1" t="s">
        <v>77</v>
      </c>
      <c r="B69" s="1" t="s">
        <v>10</v>
      </c>
      <c r="C69" s="1"/>
      <c r="D69" s="1"/>
      <c r="E69" s="1"/>
      <c r="F69" s="1"/>
      <c r="G69" s="1"/>
      <c r="H69" s="1"/>
      <c r="I69" s="1"/>
    </row>
    <row r="70" ht="15.75" customHeight="1">
      <c r="A70" s="1" t="s">
        <v>78</v>
      </c>
      <c r="B70" s="1" t="s">
        <v>10</v>
      </c>
      <c r="C70" s="1"/>
      <c r="D70" s="1"/>
      <c r="E70" s="1"/>
      <c r="F70" s="1"/>
      <c r="G70" s="1"/>
      <c r="H70" s="1"/>
      <c r="I70" s="1"/>
    </row>
    <row r="71" ht="15.75" customHeight="1">
      <c r="A71" s="1" t="s">
        <v>79</v>
      </c>
      <c r="B71" s="1" t="s">
        <v>10</v>
      </c>
      <c r="C71" s="1"/>
      <c r="D71" s="1"/>
      <c r="E71" s="1"/>
      <c r="F71" s="1"/>
      <c r="G71" s="1"/>
      <c r="H71" s="1"/>
      <c r="I71" s="1"/>
    </row>
    <row r="72" ht="15.75" customHeight="1">
      <c r="A72" s="1" t="s">
        <v>80</v>
      </c>
      <c r="B72" s="1" t="s">
        <v>10</v>
      </c>
      <c r="C72" s="1"/>
      <c r="D72" s="1"/>
      <c r="E72" s="1"/>
      <c r="F72" s="1"/>
      <c r="G72" s="1"/>
      <c r="H72" s="1"/>
      <c r="I72" s="1"/>
    </row>
    <row r="73" ht="15.75" customHeight="1">
      <c r="A73" s="1" t="s">
        <v>81</v>
      </c>
      <c r="B73" s="1" t="s">
        <v>10</v>
      </c>
      <c r="C73" s="1"/>
      <c r="D73" s="1"/>
      <c r="E73" s="1"/>
      <c r="F73" s="1"/>
      <c r="G73" s="1"/>
      <c r="H73" s="1"/>
      <c r="I73" s="1"/>
    </row>
    <row r="74" ht="15.75" customHeight="1">
      <c r="A74" s="1" t="s">
        <v>82</v>
      </c>
      <c r="B74" s="1" t="s">
        <v>10</v>
      </c>
      <c r="C74" s="1"/>
      <c r="D74" s="1"/>
      <c r="E74" s="1"/>
      <c r="F74" s="1"/>
      <c r="G74" s="1"/>
      <c r="H74" s="1"/>
      <c r="I74" s="1"/>
    </row>
    <row r="75" ht="15.75" customHeight="1">
      <c r="A75" s="1" t="s">
        <v>83</v>
      </c>
      <c r="B75" s="1" t="s">
        <v>10</v>
      </c>
      <c r="C75" s="1"/>
      <c r="D75" s="1"/>
      <c r="E75" s="1"/>
      <c r="F75" s="1"/>
      <c r="G75" s="1"/>
      <c r="H75" s="1"/>
      <c r="I75" s="1"/>
    </row>
    <row r="76" ht="15.75" customHeight="1">
      <c r="A76" s="1" t="s">
        <v>84</v>
      </c>
      <c r="B76" s="1" t="s">
        <v>10</v>
      </c>
      <c r="C76" s="1"/>
      <c r="D76" s="1"/>
      <c r="E76" s="1"/>
      <c r="F76" s="1"/>
      <c r="G76" s="1"/>
      <c r="H76" s="1"/>
      <c r="I76" s="1"/>
    </row>
    <row r="77" ht="15.75" customHeight="1">
      <c r="A77" s="1" t="s">
        <v>85</v>
      </c>
      <c r="B77" s="1" t="s">
        <v>10</v>
      </c>
      <c r="C77" s="1"/>
      <c r="D77" s="1"/>
      <c r="E77" s="1"/>
      <c r="F77" s="1"/>
      <c r="G77" s="1"/>
      <c r="H77" s="1"/>
      <c r="I77" s="1"/>
    </row>
    <row r="78" ht="15.75" customHeight="1">
      <c r="A78" s="1" t="s">
        <v>86</v>
      </c>
      <c r="B78" s="1" t="s">
        <v>10</v>
      </c>
      <c r="C78" s="1"/>
      <c r="D78" s="1"/>
      <c r="E78" s="1"/>
      <c r="F78" s="1"/>
      <c r="G78" s="1"/>
      <c r="H78" s="1"/>
      <c r="I78" s="1"/>
    </row>
    <row r="79" ht="15.75" customHeight="1">
      <c r="A79" s="1" t="s">
        <v>87</v>
      </c>
      <c r="B79" s="1" t="s">
        <v>10</v>
      </c>
      <c r="C79" s="1"/>
      <c r="D79" s="1"/>
      <c r="E79" s="1"/>
      <c r="F79" s="1"/>
      <c r="G79" s="1"/>
      <c r="H79" s="1"/>
      <c r="I79" s="1"/>
    </row>
    <row r="80" ht="15.75" customHeight="1">
      <c r="A80" s="1" t="s">
        <v>88</v>
      </c>
      <c r="B80" s="1" t="s">
        <v>10</v>
      </c>
      <c r="C80" s="1"/>
      <c r="D80" s="1"/>
      <c r="E80" s="1"/>
      <c r="F80" s="1"/>
      <c r="G80" s="1"/>
      <c r="H80" s="1"/>
      <c r="I80" s="1"/>
    </row>
    <row r="81" ht="15.75" customHeight="1">
      <c r="A81" s="1" t="s">
        <v>89</v>
      </c>
      <c r="B81" s="1" t="s">
        <v>10</v>
      </c>
      <c r="C81" s="1"/>
      <c r="D81" s="1"/>
      <c r="E81" s="1"/>
      <c r="F81" s="1"/>
      <c r="G81" s="1"/>
      <c r="H81" s="1"/>
      <c r="I81" s="1"/>
    </row>
    <row r="82" ht="15.75" customHeight="1">
      <c r="A82" s="1" t="s">
        <v>90</v>
      </c>
      <c r="B82" s="1" t="s">
        <v>10</v>
      </c>
      <c r="C82" s="1"/>
      <c r="D82" s="1"/>
      <c r="E82" s="1"/>
      <c r="F82" s="1"/>
      <c r="G82" s="1"/>
      <c r="H82" s="1"/>
      <c r="I82" s="1"/>
    </row>
    <row r="83" ht="15.75" customHeight="1">
      <c r="A83" s="1" t="s">
        <v>91</v>
      </c>
      <c r="B83" s="1" t="s">
        <v>10</v>
      </c>
      <c r="C83" s="1"/>
      <c r="D83" s="1"/>
      <c r="E83" s="1"/>
      <c r="F83" s="1"/>
      <c r="G83" s="1"/>
      <c r="H83" s="1"/>
      <c r="I83" s="1"/>
    </row>
    <row r="84" ht="15.75" customHeight="1">
      <c r="A84" s="1" t="s">
        <v>92</v>
      </c>
      <c r="B84" s="1" t="s">
        <v>10</v>
      </c>
      <c r="C84" s="1"/>
      <c r="D84" s="1"/>
      <c r="E84" s="1"/>
      <c r="F84" s="1"/>
      <c r="G84" s="1"/>
      <c r="H84" s="1"/>
      <c r="I84" s="1"/>
    </row>
    <row r="85" ht="15.75" customHeight="1">
      <c r="A85" s="1" t="s">
        <v>93</v>
      </c>
      <c r="B85" s="1" t="s">
        <v>10</v>
      </c>
      <c r="C85" s="1"/>
      <c r="D85" s="1"/>
      <c r="E85" s="1"/>
      <c r="F85" s="1"/>
      <c r="G85" s="1"/>
      <c r="H85" s="1"/>
      <c r="I85" s="1"/>
    </row>
    <row r="86" ht="15.75" customHeight="1">
      <c r="A86" s="1" t="s">
        <v>94</v>
      </c>
      <c r="B86" s="1" t="s">
        <v>10</v>
      </c>
      <c r="C86" s="1"/>
      <c r="D86" s="1"/>
      <c r="E86" s="1"/>
      <c r="F86" s="1"/>
      <c r="G86" s="1"/>
      <c r="H86" s="1"/>
      <c r="I86" s="1"/>
    </row>
    <row r="87" ht="15.75" customHeight="1">
      <c r="A87" s="1" t="s">
        <v>95</v>
      </c>
      <c r="B87" s="1" t="s">
        <v>10</v>
      </c>
      <c r="C87" s="1"/>
      <c r="D87" s="1"/>
      <c r="E87" s="1"/>
      <c r="F87" s="1"/>
      <c r="G87" s="1"/>
      <c r="H87" s="1"/>
      <c r="I87" s="1"/>
    </row>
    <row r="88" ht="15.75" customHeight="1">
      <c r="A88" s="1" t="s">
        <v>96</v>
      </c>
      <c r="B88" s="1" t="s">
        <v>10</v>
      </c>
      <c r="C88" s="1"/>
      <c r="D88" s="1"/>
      <c r="E88" s="1"/>
      <c r="F88" s="1"/>
      <c r="G88" s="1"/>
      <c r="H88" s="1"/>
      <c r="I88" s="1"/>
    </row>
    <row r="89" ht="15.75" customHeight="1">
      <c r="A89" s="1" t="s">
        <v>97</v>
      </c>
      <c r="B89" s="1" t="s">
        <v>10</v>
      </c>
      <c r="C89" s="1"/>
      <c r="D89" s="1"/>
      <c r="E89" s="1"/>
      <c r="F89" s="1"/>
      <c r="G89" s="1"/>
      <c r="H89" s="1"/>
      <c r="I89" s="1"/>
    </row>
    <row r="90" ht="15.75" customHeight="1">
      <c r="A90" s="1" t="s">
        <v>98</v>
      </c>
      <c r="B90" s="1" t="s">
        <v>10</v>
      </c>
      <c r="C90" s="1"/>
      <c r="D90" s="1"/>
      <c r="E90" s="1"/>
      <c r="F90" s="1"/>
      <c r="G90" s="1"/>
      <c r="H90" s="1"/>
      <c r="I90" s="1"/>
    </row>
    <row r="91" ht="15.75" customHeight="1">
      <c r="A91" s="1" t="s">
        <v>99</v>
      </c>
      <c r="B91" s="1" t="s">
        <v>100</v>
      </c>
      <c r="C91" s="1"/>
      <c r="D91" s="1"/>
      <c r="E91" s="1"/>
      <c r="F91" s="1"/>
      <c r="G91" s="1"/>
      <c r="H91" s="1"/>
      <c r="I91" s="1"/>
    </row>
    <row r="92" ht="15.75" customHeight="1">
      <c r="A92" s="1" t="s">
        <v>101</v>
      </c>
      <c r="B92" s="1" t="s">
        <v>100</v>
      </c>
      <c r="C92" s="1"/>
      <c r="D92" s="1"/>
      <c r="E92" s="1"/>
      <c r="F92" s="1"/>
      <c r="G92" s="1"/>
      <c r="H92" s="1"/>
      <c r="I92" s="1"/>
    </row>
    <row r="93" ht="15.75" customHeight="1">
      <c r="A93" s="1" t="s">
        <v>102</v>
      </c>
      <c r="B93" s="1" t="s">
        <v>100</v>
      </c>
      <c r="C93" s="1"/>
      <c r="D93" s="1"/>
      <c r="E93" s="1"/>
      <c r="F93" s="1"/>
      <c r="G93" s="1"/>
      <c r="H93" s="1"/>
      <c r="I93" s="1"/>
    </row>
    <row r="94" ht="15.75" customHeight="1">
      <c r="A94" s="1" t="s">
        <v>103</v>
      </c>
      <c r="B94" s="1" t="s">
        <v>100</v>
      </c>
      <c r="C94" s="1"/>
      <c r="D94" s="1"/>
      <c r="E94" s="1"/>
      <c r="F94" s="1"/>
      <c r="G94" s="1"/>
      <c r="H94" s="1"/>
      <c r="I94" s="1"/>
    </row>
    <row r="95" ht="15.75" customHeight="1">
      <c r="A95" s="1" t="s">
        <v>104</v>
      </c>
      <c r="B95" s="1" t="s">
        <v>100</v>
      </c>
      <c r="C95" s="1"/>
      <c r="D95" s="1"/>
      <c r="E95" s="1"/>
      <c r="F95" s="1"/>
      <c r="G95" s="1"/>
      <c r="H95" s="1"/>
      <c r="I95" s="1"/>
    </row>
    <row r="96" ht="15.75" customHeight="1">
      <c r="A96" s="1" t="s">
        <v>105</v>
      </c>
      <c r="B96" s="1" t="s">
        <v>100</v>
      </c>
      <c r="C96" s="1"/>
      <c r="D96" s="1"/>
      <c r="E96" s="1"/>
      <c r="F96" s="1"/>
      <c r="G96" s="1"/>
      <c r="H96" s="1"/>
      <c r="I96" s="1"/>
    </row>
    <row r="97" ht="15.75" customHeight="1">
      <c r="A97" s="1" t="s">
        <v>106</v>
      </c>
      <c r="B97" s="1" t="s">
        <v>100</v>
      </c>
      <c r="C97" s="1"/>
      <c r="D97" s="1"/>
      <c r="E97" s="1"/>
      <c r="F97" s="1"/>
      <c r="G97" s="1"/>
      <c r="H97" s="1"/>
      <c r="I97" s="1"/>
    </row>
    <row r="98" ht="15.75" customHeight="1">
      <c r="A98" s="1" t="s">
        <v>107</v>
      </c>
      <c r="B98" s="1" t="s">
        <v>100</v>
      </c>
      <c r="C98" s="1"/>
      <c r="D98" s="1"/>
      <c r="E98" s="1"/>
      <c r="F98" s="1"/>
      <c r="G98" s="1"/>
      <c r="H98" s="1"/>
      <c r="I98" s="1"/>
    </row>
    <row r="99" ht="15.75" customHeight="1">
      <c r="A99" s="1" t="s">
        <v>108</v>
      </c>
      <c r="B99" s="1" t="s">
        <v>100</v>
      </c>
      <c r="C99" s="1"/>
      <c r="D99" s="1"/>
      <c r="E99" s="1"/>
      <c r="F99" s="1"/>
      <c r="G99" s="1"/>
      <c r="H99" s="1"/>
      <c r="I99" s="1"/>
    </row>
    <row r="100" ht="15.75" customHeight="1">
      <c r="A100" s="1" t="s">
        <v>109</v>
      </c>
      <c r="B100" s="1" t="s">
        <v>100</v>
      </c>
      <c r="C100" s="1"/>
      <c r="D100" s="1"/>
      <c r="E100" s="1"/>
      <c r="F100" s="1"/>
      <c r="G100" s="1"/>
      <c r="H100" s="1"/>
      <c r="I100" s="1"/>
    </row>
    <row r="101" ht="15.75" customHeight="1">
      <c r="A101" s="1" t="s">
        <v>110</v>
      </c>
      <c r="B101" s="1" t="s">
        <v>100</v>
      </c>
      <c r="C101" s="1"/>
      <c r="D101" s="1"/>
      <c r="E101" s="1"/>
      <c r="F101" s="1"/>
      <c r="G101" s="1"/>
      <c r="H101" s="1"/>
      <c r="I101" s="1"/>
    </row>
    <row r="102" ht="15.75" customHeight="1">
      <c r="A102" s="1" t="s">
        <v>111</v>
      </c>
      <c r="B102" s="1" t="s">
        <v>100</v>
      </c>
      <c r="C102" s="1"/>
      <c r="D102" s="1"/>
      <c r="E102" s="1"/>
      <c r="F102" s="1"/>
      <c r="G102" s="1"/>
      <c r="H102" s="1"/>
      <c r="I102" s="1"/>
    </row>
    <row r="103" ht="15.75" customHeight="1">
      <c r="A103" s="1" t="s">
        <v>112</v>
      </c>
      <c r="B103" s="1" t="s">
        <v>100</v>
      </c>
      <c r="C103" s="1"/>
      <c r="D103" s="1"/>
      <c r="E103" s="1"/>
      <c r="F103" s="1"/>
      <c r="G103" s="1"/>
      <c r="H103" s="1"/>
      <c r="I103" s="1"/>
    </row>
    <row r="104" ht="15.75" customHeight="1">
      <c r="A104" s="1" t="s">
        <v>113</v>
      </c>
      <c r="B104" s="1" t="s">
        <v>100</v>
      </c>
      <c r="C104" s="1"/>
      <c r="D104" s="1"/>
      <c r="E104" s="1"/>
      <c r="F104" s="1"/>
      <c r="G104" s="1"/>
      <c r="H104" s="1"/>
      <c r="I104" s="1"/>
    </row>
    <row r="105" ht="15.75" customHeight="1">
      <c r="A105" s="1" t="s">
        <v>114</v>
      </c>
      <c r="B105" s="1" t="s">
        <v>100</v>
      </c>
      <c r="C105" s="1"/>
      <c r="D105" s="1"/>
      <c r="E105" s="1"/>
      <c r="F105" s="1"/>
      <c r="G105" s="1"/>
      <c r="H105" s="1"/>
      <c r="I105" s="1"/>
    </row>
    <row r="106" ht="15.75" customHeight="1">
      <c r="A106" s="1" t="s">
        <v>115</v>
      </c>
      <c r="B106" s="1" t="s">
        <v>100</v>
      </c>
      <c r="C106" s="1"/>
      <c r="D106" s="1"/>
      <c r="E106" s="1"/>
      <c r="F106" s="1"/>
      <c r="G106" s="1"/>
      <c r="H106" s="1"/>
      <c r="I106" s="1"/>
    </row>
    <row r="107" ht="15.75" customHeight="1">
      <c r="A107" s="1" t="s">
        <v>116</v>
      </c>
      <c r="B107" s="1" t="s">
        <v>100</v>
      </c>
      <c r="C107" s="1"/>
      <c r="D107" s="1"/>
      <c r="E107" s="1"/>
      <c r="F107" s="1"/>
      <c r="G107" s="1"/>
      <c r="H107" s="1"/>
      <c r="I107" s="1"/>
    </row>
    <row r="108" ht="15.75" customHeight="1">
      <c r="A108" s="1" t="s">
        <v>117</v>
      </c>
      <c r="B108" s="1" t="s">
        <v>100</v>
      </c>
      <c r="C108" s="1"/>
      <c r="D108" s="1"/>
      <c r="E108" s="1"/>
      <c r="F108" s="1"/>
      <c r="G108" s="1"/>
      <c r="H108" s="1"/>
      <c r="I108" s="1"/>
    </row>
    <row r="109" ht="15.75" customHeight="1">
      <c r="A109" s="1" t="s">
        <v>118</v>
      </c>
      <c r="B109" s="1" t="s">
        <v>100</v>
      </c>
      <c r="C109" s="1"/>
      <c r="D109" s="1"/>
      <c r="E109" s="1"/>
      <c r="F109" s="1"/>
      <c r="G109" s="1"/>
      <c r="H109" s="1"/>
      <c r="I109" s="1"/>
    </row>
    <row r="110" ht="15.75" customHeight="1">
      <c r="A110" s="1" t="s">
        <v>119</v>
      </c>
      <c r="B110" s="1" t="s">
        <v>100</v>
      </c>
      <c r="C110" s="1"/>
      <c r="D110" s="1"/>
      <c r="E110" s="1"/>
      <c r="F110" s="1"/>
      <c r="G110" s="1"/>
      <c r="H110" s="1"/>
      <c r="I110" s="1"/>
    </row>
    <row r="111" ht="15.75" customHeight="1">
      <c r="A111" s="1" t="s">
        <v>120</v>
      </c>
      <c r="B111" s="1" t="s">
        <v>100</v>
      </c>
      <c r="C111" s="1"/>
      <c r="D111" s="1"/>
      <c r="E111" s="1"/>
      <c r="F111" s="1"/>
      <c r="G111" s="1"/>
      <c r="H111" s="1"/>
      <c r="I111" s="1"/>
    </row>
    <row r="112" ht="15.75" customHeight="1">
      <c r="A112" s="1" t="s">
        <v>121</v>
      </c>
      <c r="B112" s="1" t="s">
        <v>100</v>
      </c>
      <c r="C112" s="1"/>
      <c r="D112" s="1"/>
      <c r="E112" s="1"/>
      <c r="F112" s="1"/>
      <c r="G112" s="1"/>
      <c r="H112" s="1"/>
      <c r="I112" s="1"/>
    </row>
    <row r="113" ht="15.75" customHeight="1">
      <c r="A113" s="1" t="s">
        <v>122</v>
      </c>
      <c r="B113" s="1" t="s">
        <v>100</v>
      </c>
      <c r="C113" s="1"/>
      <c r="D113" s="1"/>
      <c r="E113" s="1"/>
      <c r="F113" s="1"/>
      <c r="G113" s="1"/>
      <c r="H113" s="1"/>
      <c r="I113" s="1"/>
    </row>
    <row r="114" ht="15.75" customHeight="1">
      <c r="A114" s="1" t="s">
        <v>123</v>
      </c>
      <c r="B114" s="1" t="s">
        <v>100</v>
      </c>
      <c r="C114" s="1"/>
      <c r="D114" s="1"/>
      <c r="E114" s="1"/>
      <c r="F114" s="1"/>
      <c r="G114" s="1"/>
      <c r="H114" s="1"/>
      <c r="I114" s="1"/>
    </row>
    <row r="115" ht="15.75" customHeight="1">
      <c r="A115" s="1" t="s">
        <v>124</v>
      </c>
      <c r="B115" s="1" t="s">
        <v>100</v>
      </c>
      <c r="C115" s="1"/>
      <c r="D115" s="1"/>
      <c r="E115" s="1"/>
      <c r="F115" s="1"/>
      <c r="G115" s="1"/>
      <c r="H115" s="1"/>
      <c r="I115" s="1"/>
    </row>
    <row r="116" ht="15.75" customHeight="1">
      <c r="A116" s="1" t="s">
        <v>125</v>
      </c>
      <c r="B116" s="1" t="s">
        <v>100</v>
      </c>
      <c r="C116" s="1"/>
      <c r="D116" s="1"/>
      <c r="E116" s="1"/>
      <c r="F116" s="1"/>
      <c r="G116" s="1"/>
      <c r="H116" s="1"/>
      <c r="I116" s="1"/>
    </row>
    <row r="117" ht="15.75" customHeight="1">
      <c r="A117" s="1" t="s">
        <v>126</v>
      </c>
      <c r="B117" s="1" t="s">
        <v>100</v>
      </c>
      <c r="C117" s="1"/>
      <c r="D117" s="1"/>
      <c r="E117" s="1"/>
      <c r="F117" s="1"/>
      <c r="G117" s="1"/>
      <c r="H117" s="1"/>
      <c r="I117" s="1"/>
    </row>
    <row r="118" ht="15.75" customHeight="1">
      <c r="A118" s="1" t="s">
        <v>127</v>
      </c>
      <c r="B118" s="1" t="s">
        <v>100</v>
      </c>
      <c r="C118" s="1"/>
      <c r="D118" s="1"/>
      <c r="E118" s="1"/>
      <c r="F118" s="1"/>
      <c r="G118" s="1"/>
      <c r="H118" s="1"/>
      <c r="I118" s="1"/>
    </row>
    <row r="119" ht="15.75" customHeight="1">
      <c r="A119" s="1" t="s">
        <v>128</v>
      </c>
      <c r="B119" s="1" t="s">
        <v>100</v>
      </c>
      <c r="C119" s="1"/>
      <c r="D119" s="1"/>
      <c r="E119" s="1"/>
      <c r="F119" s="1"/>
      <c r="G119" s="1"/>
      <c r="H119" s="1"/>
      <c r="I119" s="1"/>
    </row>
    <row r="120" ht="15.75" customHeight="1">
      <c r="A120" s="1" t="s">
        <v>129</v>
      </c>
      <c r="B120" s="1" t="s">
        <v>100</v>
      </c>
      <c r="C120" s="1"/>
      <c r="D120" s="1"/>
      <c r="E120" s="1"/>
      <c r="F120" s="1"/>
      <c r="G120" s="1"/>
      <c r="H120" s="1"/>
      <c r="I120" s="1"/>
    </row>
    <row r="121" ht="15.75" customHeight="1">
      <c r="A121" s="1" t="s">
        <v>130</v>
      </c>
      <c r="B121" s="1" t="s">
        <v>100</v>
      </c>
      <c r="C121" s="1"/>
      <c r="D121" s="1"/>
      <c r="E121" s="1"/>
      <c r="F121" s="1"/>
      <c r="G121" s="1"/>
      <c r="H121" s="1"/>
      <c r="I121" s="1"/>
    </row>
    <row r="122" ht="15.75" customHeight="1">
      <c r="A122" s="1" t="s">
        <v>131</v>
      </c>
      <c r="B122" s="1" t="s">
        <v>100</v>
      </c>
      <c r="C122" s="1"/>
      <c r="D122" s="1"/>
      <c r="E122" s="1"/>
      <c r="F122" s="1"/>
      <c r="G122" s="1"/>
      <c r="H122" s="1"/>
      <c r="I122" s="1"/>
    </row>
    <row r="123" ht="15.75" customHeight="1">
      <c r="A123" s="1" t="s">
        <v>132</v>
      </c>
      <c r="B123" s="1" t="s">
        <v>100</v>
      </c>
      <c r="C123" s="1"/>
      <c r="D123" s="1"/>
      <c r="E123" s="1"/>
      <c r="F123" s="1"/>
      <c r="G123" s="1"/>
      <c r="H123" s="1"/>
      <c r="I123" s="1"/>
    </row>
    <row r="124" ht="15.75" customHeight="1">
      <c r="A124" s="1" t="s">
        <v>133</v>
      </c>
      <c r="B124" s="1" t="s">
        <v>100</v>
      </c>
      <c r="C124" s="1"/>
      <c r="D124" s="1"/>
      <c r="E124" s="1"/>
      <c r="F124" s="1"/>
      <c r="G124" s="1"/>
      <c r="H124" s="1"/>
      <c r="I124" s="1"/>
    </row>
    <row r="125" ht="15.75" customHeight="1">
      <c r="A125" s="1" t="s">
        <v>134</v>
      </c>
      <c r="B125" s="1" t="s">
        <v>100</v>
      </c>
      <c r="C125" s="1"/>
      <c r="D125" s="1"/>
      <c r="E125" s="1"/>
      <c r="F125" s="1"/>
      <c r="G125" s="1"/>
      <c r="H125" s="1"/>
      <c r="I125" s="1"/>
    </row>
    <row r="126" ht="15.75" customHeight="1">
      <c r="A126" s="1" t="s">
        <v>135</v>
      </c>
      <c r="B126" s="1" t="s">
        <v>100</v>
      </c>
      <c r="C126" s="1"/>
      <c r="D126" s="1"/>
      <c r="E126" s="1"/>
      <c r="F126" s="1"/>
      <c r="G126" s="1"/>
      <c r="H126" s="1"/>
      <c r="I126" s="1"/>
    </row>
    <row r="127" ht="15.75" customHeight="1">
      <c r="A127" s="1" t="s">
        <v>136</v>
      </c>
      <c r="B127" s="1" t="s">
        <v>100</v>
      </c>
      <c r="C127" s="1"/>
      <c r="D127" s="1"/>
      <c r="E127" s="1"/>
      <c r="F127" s="1"/>
      <c r="G127" s="1"/>
      <c r="H127" s="1"/>
      <c r="I127" s="1"/>
    </row>
    <row r="128" ht="15.75" customHeight="1">
      <c r="A128" s="1" t="s">
        <v>137</v>
      </c>
      <c r="B128" s="1" t="s">
        <v>100</v>
      </c>
      <c r="C128" s="1"/>
      <c r="D128" s="1"/>
      <c r="E128" s="1"/>
      <c r="F128" s="1"/>
      <c r="G128" s="1"/>
      <c r="H128" s="1"/>
      <c r="I128" s="1"/>
    </row>
    <row r="129" ht="15.75" customHeight="1">
      <c r="A129" s="1" t="s">
        <v>138</v>
      </c>
      <c r="B129" s="1" t="s">
        <v>100</v>
      </c>
      <c r="C129" s="1"/>
      <c r="D129" s="1"/>
      <c r="E129" s="1"/>
      <c r="F129" s="1"/>
      <c r="G129" s="1"/>
      <c r="H129" s="1"/>
      <c r="I129" s="1"/>
    </row>
    <row r="130" ht="15.75" customHeight="1">
      <c r="A130" s="1" t="s">
        <v>139</v>
      </c>
      <c r="B130" s="1" t="s">
        <v>100</v>
      </c>
      <c r="C130" s="1"/>
      <c r="D130" s="1"/>
      <c r="E130" s="1"/>
      <c r="F130" s="1"/>
      <c r="G130" s="1"/>
      <c r="H130" s="1"/>
      <c r="I130" s="1"/>
    </row>
    <row r="131" ht="15.75" customHeight="1">
      <c r="A131" s="1" t="s">
        <v>140</v>
      </c>
      <c r="B131" s="1" t="s">
        <v>100</v>
      </c>
      <c r="C131" s="1"/>
      <c r="D131" s="1"/>
      <c r="E131" s="1"/>
      <c r="F131" s="1"/>
      <c r="G131" s="1"/>
      <c r="H131" s="1"/>
      <c r="I131" s="1"/>
    </row>
    <row r="132" ht="15.75" customHeight="1">
      <c r="A132" s="1" t="s">
        <v>141</v>
      </c>
      <c r="B132" s="1" t="s">
        <v>100</v>
      </c>
      <c r="C132" s="1"/>
      <c r="D132" s="1"/>
      <c r="E132" s="1"/>
      <c r="F132" s="1"/>
      <c r="G132" s="1"/>
      <c r="H132" s="1"/>
      <c r="I132" s="1"/>
    </row>
    <row r="133" ht="15.75" customHeight="1">
      <c r="A133" s="1" t="s">
        <v>142</v>
      </c>
      <c r="B133" s="1" t="s">
        <v>100</v>
      </c>
      <c r="C133" s="1"/>
      <c r="D133" s="1"/>
      <c r="E133" s="1"/>
      <c r="F133" s="1"/>
      <c r="G133" s="1"/>
      <c r="H133" s="1"/>
      <c r="I133" s="1"/>
    </row>
    <row r="134" ht="15.75" customHeight="1">
      <c r="A134" s="1" t="s">
        <v>143</v>
      </c>
      <c r="B134" s="1" t="s">
        <v>100</v>
      </c>
      <c r="C134" s="1"/>
      <c r="D134" s="1"/>
      <c r="E134" s="1"/>
      <c r="F134" s="1"/>
      <c r="G134" s="1"/>
      <c r="H134" s="1"/>
      <c r="I134" s="1"/>
    </row>
    <row r="135" ht="15.75" customHeight="1">
      <c r="A135" s="1" t="s">
        <v>144</v>
      </c>
      <c r="B135" s="1" t="s">
        <v>100</v>
      </c>
      <c r="C135" s="1"/>
      <c r="D135" s="1"/>
      <c r="E135" s="1"/>
      <c r="F135" s="1"/>
      <c r="G135" s="1"/>
      <c r="H135" s="1"/>
      <c r="I135" s="1"/>
    </row>
    <row r="136" ht="15.75" customHeight="1">
      <c r="A136" s="1" t="s">
        <v>145</v>
      </c>
      <c r="B136" s="1" t="s">
        <v>100</v>
      </c>
      <c r="C136" s="1"/>
      <c r="D136" s="1"/>
      <c r="E136" s="1"/>
      <c r="F136" s="1"/>
      <c r="G136" s="1"/>
      <c r="H136" s="1"/>
      <c r="I136" s="1"/>
    </row>
    <row r="137" ht="15.75" customHeight="1">
      <c r="A137" s="1" t="s">
        <v>146</v>
      </c>
      <c r="B137" s="1" t="s">
        <v>100</v>
      </c>
      <c r="C137" s="1"/>
      <c r="D137" s="1"/>
      <c r="E137" s="1"/>
      <c r="F137" s="1"/>
      <c r="G137" s="1"/>
      <c r="H137" s="1"/>
      <c r="I137" s="1"/>
    </row>
    <row r="138" ht="15.75" customHeight="1">
      <c r="A138" s="1" t="s">
        <v>147</v>
      </c>
      <c r="B138" s="1" t="s">
        <v>100</v>
      </c>
      <c r="C138" s="1"/>
      <c r="D138" s="1"/>
      <c r="E138" s="1"/>
      <c r="F138" s="1"/>
      <c r="G138" s="1"/>
      <c r="H138" s="1"/>
      <c r="I138" s="1"/>
    </row>
    <row r="139" ht="15.75" customHeight="1">
      <c r="A139" s="1" t="s">
        <v>148</v>
      </c>
      <c r="B139" s="1" t="s">
        <v>100</v>
      </c>
      <c r="C139" s="1"/>
      <c r="D139" s="1"/>
      <c r="E139" s="1"/>
      <c r="F139" s="1"/>
      <c r="G139" s="1"/>
      <c r="H139" s="1"/>
      <c r="I139" s="1"/>
    </row>
    <row r="140" ht="15.75" customHeight="1">
      <c r="A140" s="1" t="s">
        <v>149</v>
      </c>
      <c r="B140" s="1" t="s">
        <v>100</v>
      </c>
      <c r="C140" s="1"/>
      <c r="D140" s="1"/>
      <c r="E140" s="1"/>
      <c r="F140" s="1"/>
      <c r="G140" s="1"/>
      <c r="H140" s="1"/>
      <c r="I140" s="1"/>
    </row>
    <row r="141" ht="15.75" customHeight="1">
      <c r="A141" s="1" t="s">
        <v>150</v>
      </c>
      <c r="B141" s="1" t="s">
        <v>100</v>
      </c>
      <c r="C141" s="1"/>
      <c r="D141" s="1"/>
      <c r="E141" s="1"/>
      <c r="F141" s="1"/>
      <c r="G141" s="1"/>
      <c r="H141" s="1"/>
      <c r="I141" s="1"/>
    </row>
    <row r="142" ht="15.75" customHeight="1">
      <c r="A142" s="1" t="s">
        <v>151</v>
      </c>
      <c r="B142" s="1" t="s">
        <v>100</v>
      </c>
      <c r="C142" s="1"/>
      <c r="D142" s="1"/>
      <c r="E142" s="1"/>
      <c r="F142" s="1"/>
      <c r="G142" s="1"/>
      <c r="H142" s="1"/>
      <c r="I142" s="1"/>
    </row>
    <row r="143" ht="15.75" customHeight="1">
      <c r="A143" s="1" t="s">
        <v>152</v>
      </c>
      <c r="B143" s="1" t="s">
        <v>100</v>
      </c>
      <c r="C143" s="1"/>
      <c r="D143" s="1"/>
      <c r="E143" s="1"/>
      <c r="F143" s="1"/>
      <c r="G143" s="1"/>
      <c r="H143" s="1"/>
      <c r="I143" s="1"/>
    </row>
    <row r="144" ht="15.75" customHeight="1">
      <c r="A144" s="1" t="s">
        <v>153</v>
      </c>
      <c r="B144" s="1" t="s">
        <v>100</v>
      </c>
      <c r="C144" s="1"/>
      <c r="D144" s="1"/>
      <c r="E144" s="1"/>
      <c r="F144" s="1"/>
      <c r="G144" s="1"/>
      <c r="H144" s="1"/>
      <c r="I144" s="1"/>
    </row>
    <row r="145" ht="15.75" customHeight="1">
      <c r="A145" s="1" t="s">
        <v>154</v>
      </c>
      <c r="B145" s="1" t="s">
        <v>155</v>
      </c>
      <c r="C145" s="1"/>
      <c r="D145" s="1"/>
      <c r="E145" s="1"/>
      <c r="F145" s="1"/>
      <c r="G145" s="1"/>
      <c r="H145" s="1"/>
      <c r="I145" s="1"/>
    </row>
    <row r="146" ht="15.75" customHeight="1">
      <c r="A146" s="1" t="s">
        <v>156</v>
      </c>
      <c r="B146" s="1" t="s">
        <v>155</v>
      </c>
      <c r="C146" s="1"/>
      <c r="D146" s="1"/>
      <c r="E146" s="1"/>
      <c r="F146" s="1"/>
      <c r="G146" s="1"/>
      <c r="H146" s="1"/>
      <c r="I146" s="1"/>
    </row>
    <row r="147" ht="15.75" customHeight="1">
      <c r="A147" s="1" t="s">
        <v>157</v>
      </c>
      <c r="B147" s="1" t="s">
        <v>155</v>
      </c>
      <c r="C147" s="1"/>
      <c r="D147" s="1"/>
      <c r="E147" s="1"/>
      <c r="F147" s="1"/>
      <c r="G147" s="1"/>
      <c r="H147" s="1"/>
      <c r="I147" s="1"/>
    </row>
    <row r="148" ht="15.75" customHeight="1">
      <c r="A148" s="1" t="s">
        <v>158</v>
      </c>
      <c r="B148" s="1" t="s">
        <v>155</v>
      </c>
      <c r="C148" s="1"/>
      <c r="D148" s="1"/>
      <c r="E148" s="1"/>
      <c r="F148" s="1"/>
      <c r="G148" s="1"/>
      <c r="H148" s="1"/>
      <c r="I148" s="1"/>
    </row>
    <row r="149" ht="15.75" customHeight="1">
      <c r="A149" s="1" t="s">
        <v>159</v>
      </c>
      <c r="B149" s="1" t="s">
        <v>160</v>
      </c>
      <c r="C149" s="1"/>
      <c r="D149" s="1"/>
      <c r="E149" s="1"/>
      <c r="F149" s="1"/>
      <c r="G149" s="1"/>
      <c r="H149" s="1"/>
      <c r="I149" s="1"/>
    </row>
    <row r="150" ht="15.75" customHeight="1">
      <c r="A150" s="1" t="s">
        <v>161</v>
      </c>
      <c r="B150" s="1" t="s">
        <v>160</v>
      </c>
      <c r="C150" s="1"/>
      <c r="D150" s="1"/>
      <c r="E150" s="1"/>
      <c r="F150" s="1"/>
      <c r="G150" s="1"/>
      <c r="H150" s="1"/>
      <c r="I150" s="1"/>
    </row>
    <row r="151" ht="15.75" customHeight="1">
      <c r="A151" s="1" t="s">
        <v>162</v>
      </c>
      <c r="B151" s="1" t="s">
        <v>160</v>
      </c>
      <c r="C151" s="1"/>
      <c r="D151" s="1"/>
      <c r="E151" s="1"/>
      <c r="F151" s="1"/>
      <c r="G151" s="1"/>
      <c r="H151" s="1"/>
      <c r="I151" s="1"/>
    </row>
    <row r="152" ht="15.75" customHeight="1">
      <c r="A152" s="1" t="s">
        <v>163</v>
      </c>
      <c r="B152" s="1" t="s">
        <v>160</v>
      </c>
      <c r="C152" s="1"/>
      <c r="D152" s="1"/>
      <c r="E152" s="1"/>
      <c r="F152" s="1"/>
      <c r="G152" s="1"/>
      <c r="H152" s="1"/>
      <c r="I152" s="1"/>
    </row>
    <row r="153" ht="15.75" customHeight="1">
      <c r="A153" s="1" t="s">
        <v>164</v>
      </c>
      <c r="B153" s="1" t="s">
        <v>165</v>
      </c>
      <c r="C153" s="1"/>
      <c r="D153" s="1"/>
      <c r="E153" s="1"/>
      <c r="F153" s="1"/>
      <c r="G153" s="1"/>
      <c r="H153" s="1"/>
      <c r="I153" s="1"/>
    </row>
    <row r="154" ht="15.75" customHeight="1">
      <c r="A154" s="1" t="s">
        <v>166</v>
      </c>
      <c r="B154" s="1" t="s">
        <v>155</v>
      </c>
      <c r="C154" s="1"/>
      <c r="D154" s="1"/>
      <c r="E154" s="1"/>
      <c r="F154" s="1"/>
      <c r="G154" s="1"/>
      <c r="H154" s="1"/>
      <c r="I154" s="1"/>
    </row>
    <row r="155" ht="15.75" customHeight="1">
      <c r="A155" s="1" t="s">
        <v>167</v>
      </c>
      <c r="B155" s="1" t="s">
        <v>155</v>
      </c>
      <c r="C155" s="1"/>
      <c r="D155" s="1"/>
      <c r="E155" s="1"/>
      <c r="F155" s="1"/>
      <c r="G155" s="1"/>
      <c r="H155" s="1"/>
      <c r="I155" s="1"/>
    </row>
    <row r="156" ht="15.75" customHeight="1">
      <c r="A156" s="1" t="s">
        <v>168</v>
      </c>
      <c r="B156" s="1" t="s">
        <v>155</v>
      </c>
      <c r="C156" s="1"/>
      <c r="D156" s="1"/>
      <c r="E156" s="1"/>
      <c r="F156" s="1"/>
      <c r="G156" s="1"/>
      <c r="H156" s="1"/>
      <c r="I156" s="1"/>
    </row>
    <row r="157" ht="15.75" customHeight="1">
      <c r="A157" s="1" t="s">
        <v>169</v>
      </c>
      <c r="B157" s="1" t="s">
        <v>155</v>
      </c>
      <c r="C157" s="1"/>
      <c r="D157" s="1"/>
      <c r="E157" s="1"/>
      <c r="F157" s="1"/>
      <c r="G157" s="1"/>
      <c r="H157" s="1"/>
      <c r="I157" s="1"/>
    </row>
    <row r="158" ht="15.75" customHeight="1">
      <c r="A158" s="1" t="s">
        <v>170</v>
      </c>
      <c r="B158" s="1" t="s">
        <v>155</v>
      </c>
      <c r="C158" s="1"/>
      <c r="D158" s="1"/>
      <c r="E158" s="1"/>
      <c r="F158" s="1"/>
      <c r="G158" s="1"/>
      <c r="H158" s="1"/>
      <c r="I158" s="1"/>
    </row>
    <row r="159" ht="15.75" customHeight="1">
      <c r="A159" s="1" t="s">
        <v>171</v>
      </c>
      <c r="B159" s="1" t="s">
        <v>155</v>
      </c>
      <c r="C159" s="1"/>
      <c r="D159" s="1"/>
      <c r="E159" s="1"/>
      <c r="F159" s="1"/>
      <c r="G159" s="1"/>
      <c r="H159" s="1"/>
      <c r="I159" s="1"/>
    </row>
    <row r="160" ht="15.75" customHeight="1">
      <c r="A160" s="1" t="s">
        <v>172</v>
      </c>
      <c r="B160" s="1" t="s">
        <v>173</v>
      </c>
      <c r="C160" s="1"/>
      <c r="D160" s="1"/>
      <c r="E160" s="1"/>
      <c r="F160" s="1"/>
      <c r="G160" s="1"/>
      <c r="H160" s="1"/>
      <c r="I160" s="1"/>
    </row>
    <row r="161" ht="15.75" customHeight="1">
      <c r="A161" s="1" t="s">
        <v>174</v>
      </c>
      <c r="B161" s="1" t="s">
        <v>173</v>
      </c>
      <c r="C161" s="1"/>
      <c r="D161" s="1"/>
      <c r="E161" s="1"/>
      <c r="F161" s="1"/>
      <c r="G161" s="1"/>
      <c r="H161" s="1"/>
      <c r="I161" s="1"/>
    </row>
    <row r="162" ht="15.75" customHeight="1">
      <c r="A162" s="1" t="s">
        <v>175</v>
      </c>
      <c r="B162" s="1" t="s">
        <v>173</v>
      </c>
      <c r="C162" s="1"/>
      <c r="D162" s="1"/>
      <c r="E162" s="1"/>
      <c r="F162" s="1"/>
      <c r="G162" s="1"/>
      <c r="H162" s="1"/>
      <c r="I162" s="1"/>
    </row>
    <row r="163" ht="15.75" customHeight="1">
      <c r="A163" s="1" t="s">
        <v>176</v>
      </c>
      <c r="B163" s="1" t="s">
        <v>173</v>
      </c>
      <c r="C163" s="1"/>
      <c r="D163" s="1"/>
      <c r="E163" s="1"/>
      <c r="F163" s="1"/>
      <c r="G163" s="1"/>
      <c r="H163" s="1"/>
      <c r="I163" s="1"/>
    </row>
    <row r="164" ht="15.75" customHeight="1">
      <c r="A164" s="1" t="s">
        <v>177</v>
      </c>
      <c r="B164" s="1" t="s">
        <v>173</v>
      </c>
      <c r="C164" s="1"/>
      <c r="D164" s="1"/>
      <c r="E164" s="1"/>
      <c r="F164" s="1"/>
      <c r="G164" s="1"/>
      <c r="H164" s="1"/>
      <c r="I164" s="1"/>
    </row>
    <row r="165" ht="15.75" customHeight="1">
      <c r="A165" s="1" t="s">
        <v>178</v>
      </c>
      <c r="B165" s="1" t="s">
        <v>173</v>
      </c>
      <c r="C165" s="1"/>
      <c r="D165" s="1"/>
      <c r="E165" s="1"/>
      <c r="F165" s="1"/>
      <c r="G165" s="1"/>
      <c r="H165" s="1"/>
      <c r="I165" s="1"/>
    </row>
    <row r="166" ht="15.75" customHeight="1">
      <c r="A166" s="1" t="s">
        <v>179</v>
      </c>
      <c r="B166" s="1" t="s">
        <v>173</v>
      </c>
      <c r="C166" s="1"/>
      <c r="D166" s="1"/>
      <c r="E166" s="1"/>
      <c r="F166" s="1"/>
      <c r="G166" s="1"/>
      <c r="H166" s="1"/>
      <c r="I166" s="1"/>
    </row>
    <row r="167" ht="15.75" customHeight="1">
      <c r="A167" s="1" t="s">
        <v>180</v>
      </c>
      <c r="B167" s="1" t="s">
        <v>181</v>
      </c>
      <c r="C167" s="1"/>
      <c r="D167" s="1"/>
      <c r="E167" s="1"/>
      <c r="F167" s="1"/>
      <c r="G167" s="1"/>
      <c r="H167" s="1"/>
      <c r="I167" s="1"/>
    </row>
    <row r="168" ht="15.75" customHeight="1">
      <c r="A168" s="1" t="s">
        <v>182</v>
      </c>
      <c r="B168" s="1" t="s">
        <v>181</v>
      </c>
      <c r="C168" s="1"/>
      <c r="D168" s="1"/>
      <c r="E168" s="1"/>
      <c r="F168" s="1"/>
      <c r="G168" s="1"/>
      <c r="H168" s="1"/>
      <c r="I168" s="1"/>
    </row>
    <row r="169" ht="15.75" customHeight="1">
      <c r="A169" s="1" t="s">
        <v>183</v>
      </c>
      <c r="B169" s="1" t="s">
        <v>181</v>
      </c>
      <c r="C169" s="1"/>
      <c r="D169" s="1"/>
      <c r="E169" s="1"/>
      <c r="F169" s="1"/>
      <c r="G169" s="1"/>
      <c r="H169" s="1"/>
      <c r="I169" s="1"/>
    </row>
    <row r="170" ht="15.75" customHeight="1">
      <c r="A170" s="1" t="s">
        <v>184</v>
      </c>
      <c r="B170" s="1" t="s">
        <v>181</v>
      </c>
      <c r="C170" s="1"/>
      <c r="D170" s="1"/>
      <c r="E170" s="1"/>
      <c r="F170" s="1"/>
      <c r="G170" s="1"/>
      <c r="H170" s="1"/>
      <c r="I170" s="1"/>
    </row>
    <row r="171" ht="15.75" customHeight="1">
      <c r="A171" s="1" t="s">
        <v>185</v>
      </c>
      <c r="B171" s="1" t="s">
        <v>181</v>
      </c>
      <c r="C171" s="1"/>
      <c r="D171" s="1"/>
      <c r="E171" s="1"/>
      <c r="F171" s="1"/>
      <c r="G171" s="1"/>
      <c r="H171" s="1"/>
      <c r="I171" s="1"/>
    </row>
    <row r="172" ht="15.75" customHeight="1">
      <c r="A172" s="1" t="s">
        <v>186</v>
      </c>
      <c r="B172" s="1" t="s">
        <v>181</v>
      </c>
      <c r="C172" s="1"/>
      <c r="D172" s="1"/>
      <c r="E172" s="1"/>
      <c r="F172" s="1"/>
      <c r="G172" s="1"/>
      <c r="H172" s="1"/>
      <c r="I172" s="1"/>
    </row>
    <row r="173" ht="15.75" customHeight="1">
      <c r="A173" s="1" t="s">
        <v>187</v>
      </c>
      <c r="B173" s="1" t="s">
        <v>188</v>
      </c>
      <c r="C173" s="1"/>
      <c r="D173" s="1"/>
      <c r="E173" s="1"/>
      <c r="F173" s="1"/>
      <c r="G173" s="1"/>
      <c r="H173" s="1"/>
      <c r="I173" s="1"/>
    </row>
    <row r="174" ht="15.75" customHeight="1">
      <c r="A174" s="1" t="s">
        <v>189</v>
      </c>
      <c r="B174" s="1" t="s">
        <v>188</v>
      </c>
      <c r="C174" s="1"/>
      <c r="D174" s="1"/>
      <c r="E174" s="1"/>
      <c r="F174" s="1"/>
      <c r="G174" s="1"/>
      <c r="H174" s="1"/>
      <c r="I174" s="1"/>
    </row>
    <row r="175" ht="15.75" customHeight="1">
      <c r="A175" s="1" t="s">
        <v>190</v>
      </c>
      <c r="B175" s="1" t="s">
        <v>188</v>
      </c>
      <c r="C175" s="1"/>
      <c r="D175" s="1"/>
      <c r="E175" s="1"/>
      <c r="F175" s="1"/>
      <c r="G175" s="1"/>
      <c r="H175" s="1"/>
      <c r="I175" s="1"/>
    </row>
    <row r="176" ht="15.75" customHeight="1">
      <c r="A176" s="1" t="s">
        <v>191</v>
      </c>
      <c r="B176" s="1" t="s">
        <v>188</v>
      </c>
      <c r="C176" s="1"/>
      <c r="D176" s="1"/>
      <c r="E176" s="1"/>
      <c r="F176" s="1"/>
      <c r="G176" s="1"/>
      <c r="H176" s="1"/>
      <c r="I176" s="1"/>
    </row>
    <row r="177" ht="15.75" customHeight="1">
      <c r="A177" s="1" t="s">
        <v>192</v>
      </c>
      <c r="B177" s="1" t="s">
        <v>188</v>
      </c>
      <c r="C177" s="1"/>
      <c r="D177" s="1"/>
      <c r="E177" s="1"/>
      <c r="F177" s="1"/>
      <c r="G177" s="1"/>
      <c r="H177" s="1"/>
      <c r="I177" s="1"/>
    </row>
    <row r="178" ht="15.75" customHeight="1">
      <c r="A178" s="1" t="s">
        <v>193</v>
      </c>
      <c r="B178" s="1" t="s">
        <v>188</v>
      </c>
      <c r="C178" s="1"/>
      <c r="D178" s="1"/>
      <c r="E178" s="1"/>
      <c r="F178" s="1"/>
      <c r="G178" s="1"/>
      <c r="H178" s="1"/>
      <c r="I178" s="1"/>
    </row>
    <row r="179" ht="15.75" customHeight="1">
      <c r="A179" s="1" t="s">
        <v>194</v>
      </c>
      <c r="B179" s="1" t="s">
        <v>188</v>
      </c>
      <c r="C179" s="1"/>
      <c r="D179" s="1"/>
      <c r="E179" s="1"/>
      <c r="F179" s="1"/>
      <c r="G179" s="1"/>
      <c r="H179" s="1"/>
      <c r="I179" s="1"/>
    </row>
    <row r="180" ht="15.75" customHeight="1">
      <c r="A180" s="1" t="s">
        <v>195</v>
      </c>
      <c r="B180" s="1" t="s">
        <v>188</v>
      </c>
      <c r="C180" s="1"/>
      <c r="D180" s="1"/>
      <c r="E180" s="1"/>
      <c r="F180" s="1"/>
      <c r="G180" s="1"/>
      <c r="H180" s="1"/>
      <c r="I180" s="1"/>
    </row>
    <row r="181" ht="15.75" customHeight="1">
      <c r="A181" s="1" t="s">
        <v>196</v>
      </c>
      <c r="B181" s="1" t="s">
        <v>188</v>
      </c>
      <c r="C181" s="1"/>
      <c r="D181" s="1"/>
      <c r="E181" s="1"/>
      <c r="F181" s="1"/>
      <c r="G181" s="1"/>
      <c r="H181" s="1"/>
      <c r="I181" s="1"/>
    </row>
    <row r="182" ht="15.75" customHeight="1">
      <c r="A182" s="1" t="s">
        <v>197</v>
      </c>
      <c r="B182" s="1" t="s">
        <v>188</v>
      </c>
      <c r="C182" s="1"/>
      <c r="D182" s="1"/>
      <c r="E182" s="1"/>
      <c r="F182" s="1"/>
      <c r="G182" s="1"/>
      <c r="H182" s="1"/>
      <c r="I182" s="1"/>
    </row>
    <row r="183" ht="15.75" customHeight="1">
      <c r="A183" s="1" t="s">
        <v>198</v>
      </c>
      <c r="B183" s="1" t="s">
        <v>188</v>
      </c>
      <c r="C183" s="1"/>
      <c r="D183" s="1"/>
      <c r="E183" s="1"/>
      <c r="F183" s="1"/>
      <c r="G183" s="1"/>
      <c r="H183" s="1"/>
      <c r="I183" s="1"/>
    </row>
    <row r="184" ht="15.75" customHeight="1">
      <c r="A184" s="1" t="s">
        <v>199</v>
      </c>
      <c r="B184" s="1" t="s">
        <v>188</v>
      </c>
      <c r="C184" s="1"/>
      <c r="D184" s="1"/>
      <c r="E184" s="1"/>
      <c r="F184" s="1"/>
      <c r="G184" s="1"/>
      <c r="H184" s="1"/>
      <c r="I184" s="1"/>
    </row>
    <row r="185" ht="15.75" customHeight="1">
      <c r="A185" s="1" t="s">
        <v>200</v>
      </c>
      <c r="B185" s="1" t="s">
        <v>188</v>
      </c>
      <c r="C185" s="1"/>
      <c r="D185" s="1"/>
      <c r="E185" s="1"/>
      <c r="F185" s="1"/>
      <c r="G185" s="1"/>
      <c r="H185" s="1"/>
      <c r="I185" s="1"/>
    </row>
    <row r="186" ht="15.75" customHeight="1">
      <c r="A186" s="1" t="s">
        <v>201</v>
      </c>
      <c r="B186" s="1" t="s">
        <v>188</v>
      </c>
      <c r="C186" s="1"/>
      <c r="D186" s="1"/>
      <c r="E186" s="1"/>
      <c r="F186" s="1"/>
      <c r="G186" s="1"/>
      <c r="H186" s="1"/>
      <c r="I186" s="1"/>
    </row>
    <row r="187" ht="15.75" customHeight="1">
      <c r="A187" s="1" t="s">
        <v>202</v>
      </c>
      <c r="B187" s="1" t="s">
        <v>188</v>
      </c>
      <c r="C187" s="1"/>
      <c r="D187" s="1"/>
      <c r="E187" s="1"/>
      <c r="F187" s="1"/>
      <c r="G187" s="1"/>
      <c r="H187" s="1"/>
      <c r="I187" s="1"/>
    </row>
    <row r="188" ht="15.75" customHeight="1">
      <c r="A188" s="1" t="s">
        <v>203</v>
      </c>
      <c r="B188" s="1" t="s">
        <v>188</v>
      </c>
      <c r="C188" s="1"/>
      <c r="D188" s="1"/>
      <c r="E188" s="1"/>
      <c r="F188" s="1"/>
      <c r="G188" s="1"/>
      <c r="H188" s="1"/>
      <c r="I188" s="1"/>
    </row>
    <row r="189" ht="15.75" customHeight="1">
      <c r="A189" s="1" t="s">
        <v>204</v>
      </c>
      <c r="B189" s="1" t="s">
        <v>188</v>
      </c>
      <c r="C189" s="1"/>
      <c r="D189" s="1"/>
      <c r="E189" s="1"/>
      <c r="F189" s="1"/>
      <c r="G189" s="1"/>
      <c r="H189" s="1"/>
      <c r="I189" s="1"/>
    </row>
    <row r="190" ht="15.75" customHeight="1">
      <c r="A190" s="1" t="s">
        <v>205</v>
      </c>
      <c r="B190" s="1" t="s">
        <v>188</v>
      </c>
      <c r="C190" s="1"/>
      <c r="D190" s="1"/>
      <c r="E190" s="1"/>
      <c r="F190" s="1"/>
      <c r="G190" s="1"/>
      <c r="H190" s="1"/>
      <c r="I190" s="1"/>
    </row>
    <row r="191" ht="15.75" customHeight="1">
      <c r="A191" s="1" t="s">
        <v>206</v>
      </c>
      <c r="B191" s="1" t="s">
        <v>188</v>
      </c>
      <c r="C191" s="1"/>
      <c r="D191" s="1"/>
      <c r="E191" s="1"/>
      <c r="F191" s="1"/>
      <c r="G191" s="1"/>
      <c r="H191" s="1"/>
      <c r="I191" s="1"/>
    </row>
    <row r="192" ht="15.75" customHeight="1">
      <c r="A192" s="1" t="s">
        <v>207</v>
      </c>
      <c r="B192" s="1" t="s">
        <v>188</v>
      </c>
      <c r="C192" s="1"/>
      <c r="D192" s="1"/>
      <c r="E192" s="1"/>
      <c r="F192" s="1"/>
      <c r="G192" s="1"/>
      <c r="H192" s="1"/>
      <c r="I192" s="1"/>
    </row>
    <row r="193" ht="15.75" customHeight="1">
      <c r="A193" s="1" t="s">
        <v>208</v>
      </c>
      <c r="B193" s="1" t="s">
        <v>188</v>
      </c>
      <c r="C193" s="1"/>
      <c r="D193" s="1"/>
      <c r="E193" s="1"/>
      <c r="F193" s="1"/>
      <c r="G193" s="1"/>
      <c r="H193" s="1"/>
      <c r="I193" s="1"/>
    </row>
    <row r="194" ht="15.75" customHeight="1">
      <c r="A194" s="1" t="s">
        <v>209</v>
      </c>
      <c r="B194" s="1" t="s">
        <v>188</v>
      </c>
      <c r="C194" s="1"/>
      <c r="D194" s="1"/>
      <c r="E194" s="1"/>
      <c r="F194" s="1"/>
      <c r="G194" s="1"/>
      <c r="H194" s="1"/>
      <c r="I194" s="1"/>
    </row>
    <row r="195" ht="15.75" customHeight="1">
      <c r="A195" s="1" t="s">
        <v>210</v>
      </c>
      <c r="B195" s="1" t="s">
        <v>188</v>
      </c>
      <c r="C195" s="1"/>
      <c r="D195" s="1"/>
      <c r="E195" s="1"/>
      <c r="F195" s="1"/>
      <c r="G195" s="1"/>
      <c r="H195" s="1"/>
      <c r="I195" s="1"/>
    </row>
    <row r="196" ht="15.75" customHeight="1">
      <c r="A196" s="1" t="s">
        <v>211</v>
      </c>
      <c r="B196" s="1" t="s">
        <v>188</v>
      </c>
      <c r="C196" s="1"/>
      <c r="D196" s="1"/>
      <c r="E196" s="1"/>
      <c r="F196" s="1"/>
      <c r="G196" s="1"/>
      <c r="H196" s="1"/>
      <c r="I196" s="1"/>
    </row>
    <row r="197" ht="15.75" customHeight="1">
      <c r="A197" s="1" t="s">
        <v>212</v>
      </c>
      <c r="B197" s="1" t="s">
        <v>188</v>
      </c>
      <c r="C197" s="1"/>
      <c r="D197" s="1"/>
      <c r="E197" s="1"/>
      <c r="F197" s="1"/>
      <c r="G197" s="1"/>
      <c r="H197" s="1"/>
      <c r="I197" s="1"/>
    </row>
    <row r="198" ht="15.75" customHeight="1">
      <c r="A198" s="1" t="s">
        <v>213</v>
      </c>
      <c r="B198" s="1" t="s">
        <v>188</v>
      </c>
      <c r="C198" s="1"/>
      <c r="D198" s="1"/>
      <c r="E198" s="1"/>
      <c r="F198" s="1"/>
      <c r="G198" s="1"/>
      <c r="H198" s="1"/>
      <c r="I198" s="1"/>
    </row>
    <row r="199" ht="15.75" customHeight="1">
      <c r="A199" s="1" t="s">
        <v>214</v>
      </c>
      <c r="B199" s="1" t="s">
        <v>188</v>
      </c>
      <c r="C199" s="1"/>
      <c r="D199" s="1"/>
      <c r="E199" s="1"/>
      <c r="F199" s="1"/>
      <c r="G199" s="1"/>
      <c r="H199" s="1"/>
      <c r="I199" s="1"/>
    </row>
    <row r="200" ht="15.75" customHeight="1">
      <c r="A200" s="1" t="s">
        <v>215</v>
      </c>
      <c r="B200" s="1" t="s">
        <v>188</v>
      </c>
      <c r="C200" s="1"/>
      <c r="D200" s="1"/>
      <c r="E200" s="1"/>
      <c r="F200" s="1"/>
      <c r="G200" s="1"/>
      <c r="H200" s="1"/>
      <c r="I200" s="1"/>
    </row>
    <row r="201" ht="15.75" customHeight="1">
      <c r="A201" s="1" t="s">
        <v>216</v>
      </c>
      <c r="B201" s="1" t="s">
        <v>188</v>
      </c>
      <c r="C201" s="1"/>
      <c r="D201" s="1"/>
      <c r="E201" s="1"/>
      <c r="F201" s="1"/>
      <c r="G201" s="1"/>
      <c r="H201" s="1"/>
      <c r="I201" s="1"/>
    </row>
    <row r="202" ht="15.75" customHeight="1">
      <c r="A202" s="1" t="s">
        <v>217</v>
      </c>
      <c r="B202" s="1" t="s">
        <v>188</v>
      </c>
      <c r="C202" s="1"/>
      <c r="D202" s="1"/>
      <c r="E202" s="1"/>
      <c r="F202" s="1"/>
      <c r="G202" s="1"/>
      <c r="H202" s="1"/>
      <c r="I202" s="1"/>
    </row>
    <row r="203" ht="15.75" customHeight="1">
      <c r="A203" s="1" t="s">
        <v>218</v>
      </c>
      <c r="B203" s="1" t="s">
        <v>188</v>
      </c>
      <c r="C203" s="1"/>
      <c r="D203" s="1"/>
      <c r="E203" s="1"/>
      <c r="F203" s="1"/>
      <c r="G203" s="1"/>
      <c r="H203" s="1"/>
      <c r="I203" s="1"/>
    </row>
    <row r="204" ht="15.75" customHeight="1">
      <c r="A204" s="1" t="s">
        <v>219</v>
      </c>
      <c r="B204" s="1" t="s">
        <v>188</v>
      </c>
      <c r="C204" s="1"/>
      <c r="D204" s="1"/>
      <c r="E204" s="1"/>
      <c r="F204" s="1"/>
      <c r="G204" s="1"/>
      <c r="H204" s="1"/>
      <c r="I204" s="1"/>
    </row>
    <row r="205" ht="15.75" customHeight="1">
      <c r="A205" s="1" t="s">
        <v>220</v>
      </c>
      <c r="B205" s="1" t="s">
        <v>188</v>
      </c>
      <c r="C205" s="1"/>
      <c r="D205" s="1"/>
      <c r="E205" s="1"/>
      <c r="F205" s="1"/>
      <c r="G205" s="1"/>
      <c r="H205" s="1"/>
      <c r="I205" s="1"/>
    </row>
    <row r="206" ht="15.75" customHeight="1">
      <c r="A206" s="1" t="s">
        <v>221</v>
      </c>
      <c r="B206" s="1" t="s">
        <v>188</v>
      </c>
      <c r="C206" s="1"/>
      <c r="D206" s="1"/>
      <c r="E206" s="1"/>
      <c r="F206" s="1"/>
      <c r="G206" s="1"/>
      <c r="H206" s="1"/>
      <c r="I206" s="1"/>
    </row>
    <row r="207" ht="15.75" customHeight="1">
      <c r="A207" s="1" t="s">
        <v>222</v>
      </c>
      <c r="B207" s="1" t="s">
        <v>188</v>
      </c>
      <c r="C207" s="1"/>
      <c r="D207" s="1"/>
      <c r="E207" s="1"/>
      <c r="F207" s="1"/>
      <c r="G207" s="1"/>
      <c r="H207" s="1"/>
      <c r="I207" s="1"/>
    </row>
    <row r="208" ht="15.75" customHeight="1">
      <c r="A208" s="1" t="s">
        <v>223</v>
      </c>
      <c r="B208" s="1" t="s">
        <v>188</v>
      </c>
      <c r="C208" s="1"/>
      <c r="D208" s="1"/>
      <c r="E208" s="1"/>
      <c r="F208" s="1"/>
      <c r="G208" s="1"/>
      <c r="H208" s="1"/>
      <c r="I208" s="1"/>
    </row>
    <row r="209" ht="15.75" customHeight="1">
      <c r="A209" s="1" t="s">
        <v>224</v>
      </c>
      <c r="B209" s="1" t="s">
        <v>188</v>
      </c>
      <c r="C209" s="1"/>
      <c r="D209" s="1"/>
      <c r="E209" s="1"/>
      <c r="F209" s="1"/>
      <c r="G209" s="1"/>
      <c r="H209" s="1"/>
      <c r="I209" s="1"/>
    </row>
    <row r="210" ht="15.75" customHeight="1">
      <c r="A210" s="1" t="s">
        <v>225</v>
      </c>
      <c r="B210" s="1" t="s">
        <v>188</v>
      </c>
      <c r="C210" s="1"/>
      <c r="D210" s="1"/>
      <c r="E210" s="1"/>
      <c r="F210" s="1"/>
      <c r="G210" s="1"/>
      <c r="H210" s="1"/>
      <c r="I210" s="1"/>
    </row>
    <row r="211" ht="15.75" customHeight="1">
      <c r="A211" s="1" t="s">
        <v>226</v>
      </c>
      <c r="B211" s="1" t="s">
        <v>188</v>
      </c>
      <c r="C211" s="1"/>
      <c r="D211" s="1"/>
      <c r="E211" s="1"/>
      <c r="F211" s="1"/>
      <c r="G211" s="1"/>
      <c r="H211" s="1"/>
      <c r="I211" s="1"/>
    </row>
    <row r="212" ht="15.75" customHeight="1">
      <c r="A212" s="1" t="s">
        <v>227</v>
      </c>
      <c r="B212" s="1" t="s">
        <v>188</v>
      </c>
      <c r="C212" s="1"/>
      <c r="D212" s="1"/>
      <c r="E212" s="1"/>
      <c r="F212" s="1"/>
      <c r="G212" s="1"/>
      <c r="H212" s="1"/>
      <c r="I212" s="1"/>
    </row>
    <row r="213" ht="15.75" customHeight="1">
      <c r="A213" s="1" t="s">
        <v>228</v>
      </c>
      <c r="B213" s="1" t="s">
        <v>188</v>
      </c>
      <c r="C213" s="1"/>
      <c r="D213" s="1"/>
      <c r="E213" s="1"/>
      <c r="F213" s="1"/>
      <c r="G213" s="1"/>
      <c r="H213" s="1"/>
      <c r="I213" s="1"/>
    </row>
    <row r="214" ht="15.75" customHeight="1">
      <c r="A214" s="1" t="s">
        <v>229</v>
      </c>
      <c r="B214" s="1" t="s">
        <v>188</v>
      </c>
      <c r="C214" s="1"/>
      <c r="D214" s="1"/>
      <c r="E214" s="1"/>
      <c r="F214" s="1"/>
      <c r="G214" s="1"/>
      <c r="H214" s="1"/>
      <c r="I214" s="1"/>
    </row>
    <row r="215" ht="15.75" customHeight="1">
      <c r="A215" s="1" t="s">
        <v>230</v>
      </c>
      <c r="B215" s="1" t="s">
        <v>188</v>
      </c>
      <c r="C215" s="1"/>
      <c r="D215" s="1"/>
      <c r="E215" s="1"/>
      <c r="F215" s="1"/>
      <c r="G215" s="1"/>
      <c r="H215" s="1"/>
      <c r="I215" s="1"/>
    </row>
    <row r="216" ht="15.75" customHeight="1">
      <c r="A216" s="1" t="s">
        <v>231</v>
      </c>
      <c r="B216" s="1" t="s">
        <v>188</v>
      </c>
      <c r="C216" s="1"/>
      <c r="D216" s="1"/>
      <c r="E216" s="1"/>
      <c r="F216" s="1"/>
      <c r="G216" s="1"/>
      <c r="H216" s="1"/>
      <c r="I216" s="1"/>
    </row>
    <row r="217" ht="15.75" customHeight="1">
      <c r="A217" s="1" t="s">
        <v>232</v>
      </c>
      <c r="B217" s="1" t="s">
        <v>188</v>
      </c>
      <c r="C217" s="1"/>
      <c r="D217" s="1"/>
      <c r="E217" s="1"/>
      <c r="F217" s="1"/>
      <c r="G217" s="1"/>
      <c r="H217" s="1"/>
      <c r="I217" s="1"/>
    </row>
    <row r="218" ht="15.75" customHeight="1">
      <c r="A218" s="1" t="s">
        <v>233</v>
      </c>
      <c r="B218" s="1" t="s">
        <v>188</v>
      </c>
      <c r="C218" s="1"/>
      <c r="D218" s="1"/>
      <c r="E218" s="1"/>
      <c r="F218" s="1"/>
      <c r="G218" s="1"/>
      <c r="H218" s="1"/>
      <c r="I218" s="1"/>
    </row>
    <row r="219" ht="15.75" customHeight="1">
      <c r="A219" s="1" t="s">
        <v>234</v>
      </c>
      <c r="B219" s="1" t="s">
        <v>188</v>
      </c>
      <c r="C219" s="1"/>
      <c r="D219" s="1"/>
      <c r="E219" s="1"/>
      <c r="F219" s="1"/>
      <c r="G219" s="1"/>
      <c r="H219" s="1"/>
      <c r="I219" s="1"/>
    </row>
    <row r="220" ht="15.75" customHeight="1">
      <c r="A220" s="1" t="s">
        <v>235</v>
      </c>
      <c r="B220" s="1" t="s">
        <v>188</v>
      </c>
      <c r="C220" s="1"/>
      <c r="D220" s="1"/>
      <c r="E220" s="1"/>
      <c r="F220" s="1"/>
      <c r="G220" s="1"/>
      <c r="H220" s="1"/>
      <c r="I220" s="1"/>
    </row>
    <row r="221" ht="15.75" customHeight="1">
      <c r="A221" s="1" t="s">
        <v>236</v>
      </c>
      <c r="B221" s="1" t="s">
        <v>188</v>
      </c>
      <c r="C221" s="1"/>
      <c r="D221" s="1"/>
      <c r="E221" s="1"/>
      <c r="F221" s="1"/>
      <c r="G221" s="1"/>
      <c r="H221" s="1"/>
      <c r="I221" s="1"/>
    </row>
    <row r="222" ht="15.75" customHeight="1">
      <c r="A222" s="1" t="s">
        <v>237</v>
      </c>
      <c r="B222" s="1" t="s">
        <v>188</v>
      </c>
      <c r="C222" s="1"/>
      <c r="D222" s="1"/>
      <c r="E222" s="1"/>
      <c r="F222" s="1"/>
      <c r="G222" s="1"/>
      <c r="H222" s="1"/>
      <c r="I222" s="1"/>
    </row>
    <row r="223" ht="15.75" customHeight="1">
      <c r="A223" s="1" t="s">
        <v>238</v>
      </c>
      <c r="B223" s="1" t="s">
        <v>188</v>
      </c>
      <c r="C223" s="1"/>
      <c r="D223" s="1"/>
      <c r="E223" s="1"/>
      <c r="F223" s="1"/>
      <c r="G223" s="1"/>
      <c r="H223" s="1"/>
      <c r="I223" s="1"/>
    </row>
    <row r="224" ht="15.75" customHeight="1">
      <c r="A224" s="1" t="s">
        <v>239</v>
      </c>
      <c r="B224" s="1" t="s">
        <v>188</v>
      </c>
      <c r="C224" s="1"/>
      <c r="D224" s="1"/>
      <c r="E224" s="1"/>
      <c r="F224" s="1"/>
      <c r="G224" s="1"/>
      <c r="H224" s="1"/>
      <c r="I224" s="1"/>
    </row>
    <row r="225" ht="15.75" customHeight="1">
      <c r="A225" s="1" t="s">
        <v>240</v>
      </c>
      <c r="B225" s="1" t="s">
        <v>188</v>
      </c>
      <c r="C225" s="1"/>
      <c r="D225" s="1"/>
      <c r="E225" s="1"/>
      <c r="F225" s="1"/>
      <c r="G225" s="1"/>
      <c r="H225" s="1"/>
      <c r="I225" s="1"/>
    </row>
    <row r="226" ht="15.75" customHeight="1">
      <c r="A226" s="1" t="s">
        <v>241</v>
      </c>
      <c r="B226" s="1" t="s">
        <v>188</v>
      </c>
      <c r="C226" s="1"/>
      <c r="D226" s="1"/>
      <c r="E226" s="1"/>
      <c r="F226" s="1"/>
      <c r="G226" s="1"/>
      <c r="H226" s="1"/>
      <c r="I226" s="1"/>
    </row>
    <row r="227" ht="15.75" customHeight="1">
      <c r="A227" s="1" t="s">
        <v>242</v>
      </c>
      <c r="B227" s="1" t="s">
        <v>188</v>
      </c>
      <c r="C227" s="1"/>
      <c r="D227" s="1"/>
      <c r="E227" s="1"/>
      <c r="F227" s="1"/>
      <c r="G227" s="1"/>
      <c r="H227" s="1"/>
      <c r="I227" s="1"/>
    </row>
    <row r="228" ht="15.75" customHeight="1">
      <c r="A228" s="1" t="s">
        <v>243</v>
      </c>
      <c r="B228" s="1" t="s">
        <v>188</v>
      </c>
      <c r="C228" s="1"/>
      <c r="D228" s="1"/>
      <c r="E228" s="1"/>
      <c r="F228" s="1"/>
      <c r="G228" s="1"/>
      <c r="H228" s="1"/>
      <c r="I228" s="1"/>
    </row>
    <row r="229" ht="15.75" customHeight="1">
      <c r="A229" s="1" t="s">
        <v>244</v>
      </c>
      <c r="B229" s="1" t="s">
        <v>188</v>
      </c>
      <c r="C229" s="1"/>
      <c r="D229" s="1"/>
      <c r="E229" s="1"/>
      <c r="F229" s="1"/>
      <c r="G229" s="1"/>
      <c r="H229" s="1"/>
      <c r="I229" s="1"/>
    </row>
    <row r="230" ht="15.75" customHeight="1">
      <c r="A230" s="1" t="s">
        <v>245</v>
      </c>
      <c r="B230" s="1" t="s">
        <v>188</v>
      </c>
      <c r="C230" s="1"/>
      <c r="D230" s="1"/>
      <c r="E230" s="1"/>
      <c r="F230" s="1"/>
      <c r="G230" s="1"/>
      <c r="H230" s="1"/>
      <c r="I230" s="1"/>
    </row>
    <row r="231" ht="15.75" customHeight="1">
      <c r="A231" s="1" t="s">
        <v>246</v>
      </c>
      <c r="B231" s="1" t="s">
        <v>188</v>
      </c>
      <c r="C231" s="1"/>
      <c r="D231" s="1"/>
      <c r="E231" s="1"/>
      <c r="F231" s="1"/>
      <c r="G231" s="1"/>
      <c r="H231" s="1"/>
      <c r="I231" s="1"/>
    </row>
    <row r="232" ht="15.75" customHeight="1">
      <c r="A232" s="1" t="s">
        <v>247</v>
      </c>
      <c r="B232" s="1" t="s">
        <v>188</v>
      </c>
      <c r="C232" s="1"/>
      <c r="D232" s="1"/>
      <c r="E232" s="1"/>
      <c r="F232" s="1"/>
      <c r="G232" s="1"/>
      <c r="H232" s="1"/>
      <c r="I232" s="1"/>
    </row>
    <row r="233" ht="15.75" customHeight="1">
      <c r="A233" s="1" t="s">
        <v>248</v>
      </c>
      <c r="B233" s="1" t="s">
        <v>188</v>
      </c>
      <c r="C233" s="1"/>
      <c r="D233" s="1"/>
      <c r="E233" s="1"/>
      <c r="F233" s="1"/>
      <c r="G233" s="1"/>
      <c r="H233" s="1"/>
      <c r="I233" s="1"/>
    </row>
    <row r="234" ht="15.75" customHeight="1">
      <c r="A234" s="1" t="s">
        <v>249</v>
      </c>
      <c r="B234" s="1" t="s">
        <v>188</v>
      </c>
      <c r="C234" s="1"/>
      <c r="D234" s="1"/>
      <c r="E234" s="1"/>
      <c r="F234" s="1"/>
      <c r="G234" s="1"/>
      <c r="H234" s="1"/>
      <c r="I234" s="1"/>
    </row>
    <row r="235" ht="15.75" customHeight="1">
      <c r="A235" s="1" t="s">
        <v>250</v>
      </c>
      <c r="B235" s="1" t="s">
        <v>188</v>
      </c>
      <c r="C235" s="1"/>
      <c r="D235" s="1"/>
      <c r="E235" s="1"/>
      <c r="F235" s="1"/>
      <c r="G235" s="1"/>
      <c r="H235" s="1"/>
      <c r="I235" s="1"/>
    </row>
    <row r="236" ht="15.75" customHeight="1">
      <c r="A236" s="1" t="s">
        <v>251</v>
      </c>
      <c r="B236" s="1" t="s">
        <v>188</v>
      </c>
      <c r="C236" s="1"/>
      <c r="D236" s="1"/>
      <c r="E236" s="1"/>
      <c r="F236" s="1"/>
      <c r="G236" s="1"/>
      <c r="H236" s="1"/>
      <c r="I236" s="1"/>
    </row>
    <row r="237" ht="15.75" customHeight="1">
      <c r="A237" s="1" t="s">
        <v>252</v>
      </c>
      <c r="B237" s="1" t="s">
        <v>188</v>
      </c>
      <c r="C237" s="1"/>
      <c r="D237" s="1"/>
      <c r="E237" s="1"/>
      <c r="F237" s="1"/>
      <c r="G237" s="1"/>
      <c r="H237" s="1"/>
      <c r="I237" s="1"/>
    </row>
    <row r="238" ht="15.75" customHeight="1">
      <c r="A238" s="1" t="s">
        <v>253</v>
      </c>
      <c r="B238" s="1" t="s">
        <v>188</v>
      </c>
      <c r="C238" s="1"/>
      <c r="D238" s="1"/>
      <c r="E238" s="1"/>
      <c r="F238" s="1"/>
      <c r="G238" s="1"/>
      <c r="H238" s="1"/>
      <c r="I238" s="1"/>
    </row>
    <row r="239" ht="15.75" customHeight="1">
      <c r="A239" s="1" t="s">
        <v>254</v>
      </c>
      <c r="B239" s="1" t="s">
        <v>188</v>
      </c>
      <c r="C239" s="1"/>
      <c r="D239" s="1"/>
      <c r="E239" s="1"/>
      <c r="F239" s="1"/>
      <c r="G239" s="1"/>
      <c r="H239" s="1"/>
      <c r="I239" s="1"/>
    </row>
    <row r="240" ht="15.75" customHeight="1">
      <c r="A240" s="1" t="s">
        <v>255</v>
      </c>
      <c r="B240" s="1" t="s">
        <v>188</v>
      </c>
      <c r="C240" s="1"/>
      <c r="D240" s="1"/>
      <c r="E240" s="1"/>
      <c r="F240" s="1"/>
      <c r="G240" s="1"/>
      <c r="H240" s="1"/>
      <c r="I240" s="1"/>
    </row>
    <row r="241" ht="15.75" customHeight="1">
      <c r="A241" s="1" t="s">
        <v>256</v>
      </c>
      <c r="B241" s="1" t="s">
        <v>188</v>
      </c>
      <c r="C241" s="1"/>
      <c r="D241" s="1"/>
      <c r="E241" s="1"/>
      <c r="F241" s="1"/>
      <c r="G241" s="1"/>
      <c r="H241" s="1"/>
      <c r="I241" s="1"/>
    </row>
    <row r="242" ht="15.75" customHeight="1">
      <c r="A242" s="1" t="s">
        <v>257</v>
      </c>
      <c r="B242" s="1" t="s">
        <v>188</v>
      </c>
      <c r="C242" s="1"/>
      <c r="D242" s="1"/>
      <c r="E242" s="1"/>
      <c r="F242" s="1"/>
      <c r="G242" s="1"/>
      <c r="H242" s="1"/>
      <c r="I242" s="1"/>
    </row>
    <row r="243" ht="15.75" customHeight="1">
      <c r="A243" s="1" t="s">
        <v>258</v>
      </c>
      <c r="B243" s="1" t="s">
        <v>188</v>
      </c>
      <c r="C243" s="1"/>
      <c r="D243" s="1"/>
      <c r="E243" s="1"/>
      <c r="F243" s="1"/>
      <c r="G243" s="1"/>
      <c r="H243" s="1"/>
      <c r="I243" s="1"/>
    </row>
    <row r="244" ht="15.75" customHeight="1">
      <c r="A244" s="1" t="s">
        <v>259</v>
      </c>
      <c r="B244" s="1" t="s">
        <v>188</v>
      </c>
      <c r="C244" s="1"/>
      <c r="D244" s="1"/>
      <c r="E244" s="1"/>
      <c r="F244" s="1"/>
      <c r="G244" s="1"/>
      <c r="H244" s="1"/>
      <c r="I244" s="1"/>
    </row>
    <row r="245" ht="15.75" customHeight="1">
      <c r="A245" s="1" t="s">
        <v>260</v>
      </c>
      <c r="B245" s="1" t="s">
        <v>188</v>
      </c>
      <c r="C245" s="1"/>
      <c r="D245" s="1"/>
      <c r="E245" s="1"/>
      <c r="F245" s="1"/>
      <c r="G245" s="1"/>
      <c r="H245" s="1"/>
      <c r="I245" s="1"/>
    </row>
    <row r="246" ht="15.75" customHeight="1">
      <c r="A246" s="1" t="s">
        <v>261</v>
      </c>
      <c r="B246" s="1" t="s">
        <v>188</v>
      </c>
      <c r="C246" s="1"/>
      <c r="D246" s="1"/>
      <c r="E246" s="1"/>
      <c r="F246" s="1"/>
      <c r="G246" s="1"/>
      <c r="H246" s="1"/>
      <c r="I246" s="1"/>
    </row>
    <row r="247" ht="15.75" customHeight="1">
      <c r="A247" s="1" t="s">
        <v>262</v>
      </c>
      <c r="B247" s="1" t="s">
        <v>188</v>
      </c>
      <c r="C247" s="1"/>
      <c r="D247" s="1"/>
      <c r="E247" s="1"/>
      <c r="F247" s="1"/>
      <c r="G247" s="1"/>
      <c r="H247" s="1"/>
      <c r="I247" s="1"/>
    </row>
    <row r="248" ht="15.75" customHeight="1">
      <c r="A248" s="1" t="s">
        <v>263</v>
      </c>
      <c r="B248" s="1" t="s">
        <v>188</v>
      </c>
      <c r="C248" s="1"/>
      <c r="D248" s="1"/>
      <c r="E248" s="1"/>
      <c r="F248" s="1"/>
      <c r="G248" s="1"/>
      <c r="H248" s="1"/>
      <c r="I248" s="1"/>
    </row>
    <row r="249" ht="15.75" customHeight="1">
      <c r="A249" s="1" t="s">
        <v>264</v>
      </c>
      <c r="B249" s="1" t="s">
        <v>188</v>
      </c>
      <c r="C249" s="1"/>
      <c r="D249" s="1"/>
      <c r="E249" s="1"/>
      <c r="F249" s="1"/>
      <c r="G249" s="1"/>
      <c r="H249" s="1"/>
      <c r="I249" s="1"/>
    </row>
    <row r="250" ht="15.75" customHeight="1">
      <c r="A250" s="1" t="s">
        <v>265</v>
      </c>
      <c r="B250" s="1" t="s">
        <v>188</v>
      </c>
      <c r="C250" s="1"/>
      <c r="D250" s="1"/>
      <c r="E250" s="1"/>
      <c r="F250" s="1"/>
      <c r="G250" s="1"/>
      <c r="H250" s="1"/>
      <c r="I250" s="1"/>
    </row>
    <row r="251" ht="15.75" customHeight="1">
      <c r="A251" s="1" t="s">
        <v>266</v>
      </c>
      <c r="B251" s="1" t="s">
        <v>188</v>
      </c>
      <c r="C251" s="1"/>
      <c r="D251" s="1"/>
      <c r="E251" s="1"/>
      <c r="F251" s="1"/>
      <c r="G251" s="1"/>
      <c r="H251" s="1"/>
      <c r="I251" s="1"/>
    </row>
    <row r="252" ht="15.75" customHeight="1">
      <c r="A252" s="1" t="s">
        <v>267</v>
      </c>
      <c r="B252" s="1" t="s">
        <v>188</v>
      </c>
      <c r="C252" s="1"/>
      <c r="D252" s="1"/>
      <c r="E252" s="1"/>
      <c r="F252" s="1"/>
      <c r="G252" s="1"/>
      <c r="H252" s="1"/>
      <c r="I252" s="1"/>
    </row>
    <row r="253" ht="15.75" customHeight="1">
      <c r="A253" s="1" t="s">
        <v>268</v>
      </c>
      <c r="B253" s="1" t="s">
        <v>188</v>
      </c>
      <c r="C253" s="1"/>
      <c r="D253" s="1"/>
      <c r="E253" s="1"/>
      <c r="F253" s="1"/>
      <c r="G253" s="1"/>
      <c r="H253" s="1"/>
      <c r="I253" s="1"/>
    </row>
    <row r="254" ht="15.75" customHeight="1">
      <c r="A254" s="1" t="s">
        <v>269</v>
      </c>
      <c r="B254" s="1" t="s">
        <v>188</v>
      </c>
      <c r="C254" s="1"/>
      <c r="D254" s="1"/>
      <c r="E254" s="1"/>
      <c r="F254" s="1"/>
      <c r="G254" s="1"/>
      <c r="H254" s="1"/>
      <c r="I254" s="1"/>
    </row>
    <row r="255" ht="15.75" customHeight="1">
      <c r="A255" s="1" t="s">
        <v>270</v>
      </c>
      <c r="B255" s="1" t="s">
        <v>188</v>
      </c>
      <c r="C255" s="1"/>
      <c r="D255" s="1"/>
      <c r="E255" s="1"/>
      <c r="F255" s="1"/>
      <c r="G255" s="1"/>
      <c r="H255" s="1"/>
      <c r="I255" s="1"/>
    </row>
    <row r="256" ht="15.75" customHeight="1">
      <c r="A256" s="1" t="s">
        <v>271</v>
      </c>
      <c r="B256" s="1" t="s">
        <v>188</v>
      </c>
      <c r="C256" s="1"/>
      <c r="D256" s="1"/>
      <c r="E256" s="1"/>
      <c r="F256" s="1"/>
      <c r="G256" s="1"/>
      <c r="H256" s="1"/>
      <c r="I256" s="1"/>
    </row>
    <row r="257" ht="15.75" customHeight="1">
      <c r="A257" s="1" t="s">
        <v>272</v>
      </c>
      <c r="B257" s="1" t="s">
        <v>188</v>
      </c>
      <c r="C257" s="1"/>
      <c r="D257" s="1"/>
      <c r="E257" s="1"/>
      <c r="F257" s="1"/>
      <c r="G257" s="1"/>
      <c r="H257" s="1"/>
      <c r="I257" s="1"/>
    </row>
    <row r="258" ht="15.75" customHeight="1">
      <c r="A258" s="1" t="s">
        <v>273</v>
      </c>
      <c r="B258" s="1" t="s">
        <v>188</v>
      </c>
      <c r="C258" s="1"/>
      <c r="D258" s="1"/>
      <c r="E258" s="1"/>
      <c r="F258" s="1"/>
      <c r="G258" s="1"/>
      <c r="H258" s="1"/>
      <c r="I258" s="1"/>
    </row>
    <row r="259" ht="15.75" customHeight="1">
      <c r="A259" s="1" t="s">
        <v>274</v>
      </c>
      <c r="B259" s="1" t="s">
        <v>188</v>
      </c>
      <c r="C259" s="1"/>
      <c r="D259" s="1"/>
      <c r="E259" s="1"/>
      <c r="F259" s="1"/>
      <c r="G259" s="1"/>
      <c r="H259" s="1"/>
      <c r="I259" s="1"/>
    </row>
    <row r="260" ht="15.75" customHeight="1">
      <c r="A260" s="1" t="s">
        <v>275</v>
      </c>
      <c r="B260" s="1" t="s">
        <v>276</v>
      </c>
      <c r="C260" s="1"/>
      <c r="D260" s="1"/>
      <c r="E260" s="1"/>
      <c r="F260" s="1"/>
      <c r="G260" s="1"/>
      <c r="H260" s="1"/>
      <c r="I260" s="1"/>
    </row>
    <row r="261" ht="15.75" customHeight="1">
      <c r="A261" s="1" t="s">
        <v>277</v>
      </c>
      <c r="B261" s="1" t="s">
        <v>276</v>
      </c>
      <c r="C261" s="1"/>
      <c r="D261" s="1"/>
      <c r="E261" s="1"/>
      <c r="F261" s="1"/>
      <c r="G261" s="1"/>
      <c r="H261" s="1"/>
      <c r="I261" s="1"/>
    </row>
    <row r="262" ht="15.75" customHeight="1">
      <c r="A262" s="1" t="s">
        <v>278</v>
      </c>
      <c r="B262" s="1" t="s">
        <v>276</v>
      </c>
      <c r="C262" s="1"/>
      <c r="D262" s="1"/>
      <c r="E262" s="1"/>
      <c r="F262" s="1"/>
      <c r="G262" s="1"/>
      <c r="H262" s="1"/>
      <c r="I262" s="1"/>
    </row>
    <row r="263" ht="15.75" customHeight="1">
      <c r="A263" s="1" t="s">
        <v>279</v>
      </c>
      <c r="B263" s="1" t="s">
        <v>276</v>
      </c>
      <c r="C263" s="1"/>
      <c r="D263" s="1"/>
      <c r="E263" s="1"/>
      <c r="F263" s="1"/>
      <c r="G263" s="1"/>
      <c r="H263" s="1"/>
      <c r="I263" s="1"/>
    </row>
    <row r="264" ht="15.75" customHeight="1">
      <c r="A264" s="1" t="s">
        <v>280</v>
      </c>
      <c r="B264" s="1" t="s">
        <v>276</v>
      </c>
      <c r="C264" s="1"/>
      <c r="D264" s="1"/>
      <c r="E264" s="1"/>
      <c r="F264" s="1"/>
      <c r="G264" s="1"/>
      <c r="H264" s="1"/>
      <c r="I264" s="1"/>
    </row>
    <row r="265" ht="15.75" customHeight="1">
      <c r="A265" s="1" t="s">
        <v>281</v>
      </c>
      <c r="B265" s="1" t="s">
        <v>276</v>
      </c>
      <c r="C265" s="1"/>
      <c r="D265" s="1"/>
      <c r="E265" s="1"/>
      <c r="F265" s="1"/>
      <c r="G265" s="1"/>
      <c r="H265" s="1"/>
      <c r="I265" s="1"/>
    </row>
    <row r="266" ht="15.75" customHeight="1">
      <c r="A266" s="1" t="s">
        <v>282</v>
      </c>
      <c r="B266" s="1" t="s">
        <v>276</v>
      </c>
      <c r="C266" s="1"/>
      <c r="D266" s="1"/>
      <c r="E266" s="1"/>
      <c r="F266" s="1"/>
      <c r="G266" s="1"/>
      <c r="H266" s="1"/>
      <c r="I266" s="1"/>
    </row>
    <row r="267" ht="15.75" customHeight="1">
      <c r="A267" s="1" t="s">
        <v>283</v>
      </c>
      <c r="B267" s="1" t="s">
        <v>276</v>
      </c>
      <c r="C267" s="1"/>
      <c r="D267" s="1"/>
      <c r="E267" s="1"/>
      <c r="F267" s="1"/>
      <c r="G267" s="1"/>
      <c r="H267" s="1"/>
      <c r="I267" s="1"/>
    </row>
    <row r="268" ht="15.75" customHeight="1">
      <c r="A268" s="1" t="s">
        <v>284</v>
      </c>
      <c r="B268" s="1" t="s">
        <v>276</v>
      </c>
      <c r="C268" s="1"/>
      <c r="D268" s="1"/>
      <c r="E268" s="1"/>
      <c r="F268" s="1"/>
      <c r="G268" s="1"/>
      <c r="H268" s="1"/>
      <c r="I268" s="1"/>
    </row>
    <row r="269" ht="15.75" customHeight="1">
      <c r="A269" s="1" t="s">
        <v>285</v>
      </c>
      <c r="B269" s="1" t="s">
        <v>276</v>
      </c>
      <c r="C269" s="1"/>
      <c r="D269" s="1"/>
      <c r="E269" s="1"/>
      <c r="F269" s="1"/>
      <c r="G269" s="1"/>
      <c r="H269" s="1"/>
      <c r="I269" s="1"/>
    </row>
    <row r="270" ht="15.75" customHeight="1">
      <c r="A270" s="1" t="s">
        <v>286</v>
      </c>
      <c r="B270" s="1" t="s">
        <v>276</v>
      </c>
      <c r="C270" s="1"/>
      <c r="D270" s="1"/>
      <c r="E270" s="1"/>
      <c r="F270" s="1"/>
      <c r="G270" s="1"/>
      <c r="H270" s="1"/>
      <c r="I270" s="1"/>
    </row>
    <row r="271" ht="15.75" customHeight="1">
      <c r="A271" s="1" t="s">
        <v>287</v>
      </c>
      <c r="B271" s="1" t="s">
        <v>276</v>
      </c>
      <c r="C271" s="1"/>
      <c r="D271" s="1"/>
      <c r="E271" s="1"/>
      <c r="F271" s="1"/>
      <c r="G271" s="1"/>
      <c r="H271" s="1"/>
      <c r="I271" s="1"/>
    </row>
    <row r="272" ht="15.75" customHeight="1">
      <c r="A272" s="1" t="s">
        <v>288</v>
      </c>
      <c r="B272" s="1" t="s">
        <v>276</v>
      </c>
      <c r="C272" s="1"/>
      <c r="D272" s="1"/>
      <c r="E272" s="1"/>
      <c r="F272" s="1"/>
      <c r="G272" s="1"/>
      <c r="H272" s="1"/>
      <c r="I272" s="1"/>
    </row>
    <row r="273" ht="15.75" customHeight="1">
      <c r="A273" s="1" t="s">
        <v>289</v>
      </c>
      <c r="B273" s="1" t="s">
        <v>276</v>
      </c>
      <c r="C273" s="1"/>
      <c r="D273" s="1"/>
      <c r="E273" s="1"/>
      <c r="F273" s="1"/>
      <c r="G273" s="1"/>
      <c r="H273" s="1"/>
      <c r="I273" s="1"/>
    </row>
    <row r="274" ht="15.75" customHeight="1">
      <c r="A274" s="1" t="s">
        <v>290</v>
      </c>
      <c r="B274" s="1" t="s">
        <v>276</v>
      </c>
      <c r="C274" s="1"/>
      <c r="D274" s="1"/>
      <c r="E274" s="1"/>
      <c r="F274" s="1"/>
      <c r="G274" s="1"/>
      <c r="H274" s="1"/>
      <c r="I274" s="1"/>
    </row>
    <row r="275" ht="15.75" customHeight="1">
      <c r="A275" s="1" t="s">
        <v>291</v>
      </c>
      <c r="B275" s="1" t="s">
        <v>276</v>
      </c>
      <c r="C275" s="1"/>
      <c r="D275" s="1"/>
      <c r="E275" s="1"/>
      <c r="F275" s="1"/>
      <c r="G275" s="1"/>
      <c r="H275" s="1"/>
      <c r="I275" s="1"/>
    </row>
    <row r="276" ht="15.75" customHeight="1">
      <c r="A276" s="1" t="s">
        <v>292</v>
      </c>
      <c r="B276" s="1" t="s">
        <v>276</v>
      </c>
      <c r="C276" s="1"/>
      <c r="D276" s="1"/>
      <c r="E276" s="1"/>
      <c r="F276" s="1"/>
      <c r="G276" s="1"/>
      <c r="H276" s="1"/>
      <c r="I276" s="1"/>
    </row>
    <row r="277" ht="15.75" customHeight="1">
      <c r="A277" s="1" t="s">
        <v>293</v>
      </c>
      <c r="B277" s="1" t="s">
        <v>276</v>
      </c>
      <c r="C277" s="1"/>
      <c r="D277" s="1"/>
      <c r="E277" s="1"/>
      <c r="F277" s="1"/>
      <c r="G277" s="1"/>
      <c r="H277" s="1"/>
      <c r="I277" s="1"/>
    </row>
    <row r="278" ht="15.75" customHeight="1">
      <c r="A278" s="1" t="s">
        <v>294</v>
      </c>
      <c r="B278" s="1" t="s">
        <v>276</v>
      </c>
      <c r="C278" s="1"/>
      <c r="D278" s="1"/>
      <c r="E278" s="1"/>
      <c r="F278" s="1"/>
      <c r="G278" s="1"/>
      <c r="H278" s="1"/>
      <c r="I278" s="1"/>
    </row>
    <row r="279" ht="15.75" customHeight="1">
      <c r="A279" s="1" t="s">
        <v>295</v>
      </c>
      <c r="B279" s="1" t="s">
        <v>276</v>
      </c>
      <c r="C279" s="1"/>
      <c r="D279" s="1"/>
      <c r="E279" s="1"/>
      <c r="F279" s="1"/>
      <c r="G279" s="1"/>
      <c r="H279" s="1"/>
      <c r="I279" s="1"/>
    </row>
    <row r="280" ht="15.75" customHeight="1">
      <c r="A280" s="1" t="s">
        <v>296</v>
      </c>
      <c r="B280" s="1" t="s">
        <v>276</v>
      </c>
      <c r="C280" s="1"/>
      <c r="D280" s="1"/>
      <c r="E280" s="1"/>
      <c r="F280" s="1"/>
      <c r="G280" s="1"/>
      <c r="H280" s="1"/>
      <c r="I280" s="1"/>
    </row>
    <row r="281" ht="15.75" customHeight="1">
      <c r="A281" s="1" t="s">
        <v>297</v>
      </c>
      <c r="B281" s="1" t="s">
        <v>276</v>
      </c>
      <c r="C281" s="1"/>
      <c r="D281" s="1"/>
      <c r="E281" s="1"/>
      <c r="F281" s="1"/>
      <c r="G281" s="1"/>
      <c r="H281" s="1"/>
      <c r="I281" s="1"/>
    </row>
    <row r="282" ht="15.75" customHeight="1">
      <c r="A282" s="1" t="s">
        <v>298</v>
      </c>
      <c r="B282" s="1" t="s">
        <v>276</v>
      </c>
      <c r="C282" s="1"/>
      <c r="D282" s="1"/>
      <c r="E282" s="1"/>
      <c r="F282" s="1"/>
      <c r="G282" s="1"/>
      <c r="H282" s="1"/>
      <c r="I282" s="1"/>
    </row>
    <row r="283" ht="15.75" customHeight="1">
      <c r="A283" s="1" t="s">
        <v>299</v>
      </c>
      <c r="B283" s="1" t="s">
        <v>276</v>
      </c>
      <c r="C283" s="1"/>
      <c r="D283" s="1"/>
      <c r="E283" s="1"/>
      <c r="F283" s="1"/>
      <c r="G283" s="1"/>
      <c r="H283" s="1"/>
      <c r="I283" s="1"/>
    </row>
    <row r="284" ht="15.75" customHeight="1">
      <c r="A284" s="1" t="s">
        <v>300</v>
      </c>
      <c r="B284" s="1" t="s">
        <v>276</v>
      </c>
      <c r="C284" s="1"/>
      <c r="D284" s="1"/>
      <c r="E284" s="1"/>
      <c r="F284" s="1"/>
      <c r="G284" s="1"/>
      <c r="H284" s="1"/>
      <c r="I284" s="1"/>
    </row>
    <row r="285" ht="15.75" customHeight="1">
      <c r="A285" s="1" t="s">
        <v>301</v>
      </c>
      <c r="B285" s="1" t="s">
        <v>276</v>
      </c>
      <c r="C285" s="1"/>
      <c r="D285" s="1"/>
      <c r="E285" s="1"/>
      <c r="F285" s="1"/>
      <c r="G285" s="1"/>
      <c r="H285" s="1"/>
      <c r="I285" s="1"/>
    </row>
    <row r="286" ht="15.75" customHeight="1">
      <c r="A286" s="1" t="s">
        <v>302</v>
      </c>
      <c r="B286" s="1" t="s">
        <v>276</v>
      </c>
      <c r="C286" s="1"/>
      <c r="D286" s="1"/>
      <c r="E286" s="1"/>
      <c r="F286" s="1"/>
      <c r="G286" s="1"/>
      <c r="H286" s="1"/>
      <c r="I286" s="1"/>
    </row>
    <row r="287" ht="15.75" customHeight="1">
      <c r="A287" s="1" t="s">
        <v>303</v>
      </c>
      <c r="B287" s="1" t="s">
        <v>276</v>
      </c>
      <c r="C287" s="1"/>
      <c r="D287" s="1"/>
      <c r="E287" s="1"/>
      <c r="F287" s="1"/>
      <c r="G287" s="1"/>
      <c r="H287" s="1"/>
      <c r="I287" s="1"/>
    </row>
    <row r="288" ht="15.75" customHeight="1">
      <c r="A288" s="1" t="s">
        <v>304</v>
      </c>
      <c r="B288" s="1" t="s">
        <v>276</v>
      </c>
      <c r="C288" s="1"/>
      <c r="D288" s="1"/>
      <c r="E288" s="1"/>
      <c r="F288" s="1"/>
      <c r="G288" s="1"/>
      <c r="H288" s="1"/>
      <c r="I288" s="1"/>
    </row>
    <row r="289" ht="15.75" customHeight="1">
      <c r="A289" s="1" t="s">
        <v>305</v>
      </c>
      <c r="B289" s="1" t="s">
        <v>276</v>
      </c>
      <c r="C289" s="1"/>
      <c r="D289" s="1"/>
      <c r="E289" s="1"/>
      <c r="F289" s="1"/>
      <c r="G289" s="1"/>
      <c r="H289" s="1"/>
      <c r="I289" s="1"/>
    </row>
    <row r="290" ht="15.75" customHeight="1">
      <c r="A290" s="1" t="s">
        <v>306</v>
      </c>
      <c r="B290" s="1" t="s">
        <v>276</v>
      </c>
      <c r="C290" s="1"/>
      <c r="D290" s="1"/>
      <c r="E290" s="1"/>
      <c r="F290" s="1"/>
      <c r="G290" s="1"/>
      <c r="H290" s="1"/>
      <c r="I290" s="1"/>
    </row>
    <row r="291" ht="15.75" customHeight="1">
      <c r="A291" s="1" t="s">
        <v>307</v>
      </c>
      <c r="B291" s="1" t="s">
        <v>276</v>
      </c>
      <c r="C291" s="1"/>
      <c r="D291" s="1"/>
      <c r="E291" s="1"/>
      <c r="F291" s="1"/>
      <c r="G291" s="1"/>
      <c r="H291" s="1"/>
      <c r="I291" s="1"/>
    </row>
    <row r="292" ht="15.75" customHeight="1">
      <c r="A292" s="1" t="s">
        <v>308</v>
      </c>
      <c r="B292" s="1" t="s">
        <v>276</v>
      </c>
      <c r="C292" s="1"/>
      <c r="D292" s="1"/>
      <c r="E292" s="1"/>
      <c r="F292" s="1"/>
      <c r="G292" s="1"/>
      <c r="H292" s="1"/>
      <c r="I292" s="1"/>
    </row>
    <row r="293" ht="15.75" customHeight="1">
      <c r="A293" s="1" t="s">
        <v>309</v>
      </c>
      <c r="B293" s="1" t="s">
        <v>276</v>
      </c>
      <c r="C293" s="1"/>
      <c r="D293" s="1"/>
      <c r="E293" s="1"/>
      <c r="F293" s="1"/>
      <c r="G293" s="1"/>
      <c r="H293" s="1"/>
      <c r="I293" s="1"/>
    </row>
    <row r="294" ht="15.75" customHeight="1">
      <c r="A294" s="1" t="s">
        <v>310</v>
      </c>
      <c r="B294" s="1" t="s">
        <v>276</v>
      </c>
      <c r="C294" s="1"/>
      <c r="D294" s="1"/>
      <c r="E294" s="1"/>
      <c r="F294" s="1"/>
      <c r="G294" s="1"/>
      <c r="H294" s="1"/>
      <c r="I294" s="1"/>
    </row>
    <row r="295" ht="15.75" customHeight="1">
      <c r="A295" s="1" t="s">
        <v>311</v>
      </c>
      <c r="B295" s="1" t="s">
        <v>276</v>
      </c>
      <c r="C295" s="1"/>
      <c r="D295" s="1"/>
      <c r="E295" s="1"/>
      <c r="F295" s="1"/>
      <c r="G295" s="1"/>
      <c r="H295" s="1"/>
      <c r="I295" s="1"/>
    </row>
    <row r="296" ht="15.75" customHeight="1">
      <c r="A296" s="1" t="s">
        <v>312</v>
      </c>
      <c r="B296" s="1" t="s">
        <v>276</v>
      </c>
      <c r="C296" s="1"/>
      <c r="D296" s="1"/>
      <c r="E296" s="1"/>
      <c r="F296" s="1"/>
      <c r="G296" s="1"/>
      <c r="H296" s="1"/>
      <c r="I296" s="1"/>
    </row>
    <row r="297" ht="15.75" customHeight="1">
      <c r="A297" s="1" t="s">
        <v>313</v>
      </c>
      <c r="B297" s="1" t="s">
        <v>276</v>
      </c>
      <c r="C297" s="1"/>
      <c r="D297" s="1"/>
      <c r="E297" s="1"/>
      <c r="F297" s="1"/>
      <c r="G297" s="1"/>
      <c r="H297" s="1"/>
      <c r="I297" s="1"/>
    </row>
    <row r="298" ht="15.75" customHeight="1">
      <c r="A298" s="1" t="s">
        <v>314</v>
      </c>
      <c r="B298" s="1" t="s">
        <v>276</v>
      </c>
      <c r="C298" s="1"/>
      <c r="D298" s="1"/>
      <c r="E298" s="1"/>
      <c r="F298" s="1"/>
      <c r="G298" s="1"/>
      <c r="H298" s="1"/>
      <c r="I298" s="1"/>
    </row>
    <row r="299" ht="15.75" customHeight="1">
      <c r="A299" s="1" t="s">
        <v>315</v>
      </c>
      <c r="B299" s="1" t="s">
        <v>276</v>
      </c>
      <c r="C299" s="1"/>
      <c r="D299" s="1"/>
      <c r="E299" s="1"/>
      <c r="F299" s="1"/>
      <c r="G299" s="1"/>
      <c r="H299" s="1"/>
      <c r="I299" s="1"/>
    </row>
    <row r="300" ht="15.75" customHeight="1">
      <c r="A300" s="1" t="s">
        <v>316</v>
      </c>
      <c r="B300" s="1" t="s">
        <v>276</v>
      </c>
      <c r="C300" s="1"/>
      <c r="D300" s="1"/>
      <c r="E300" s="1"/>
      <c r="F300" s="1"/>
      <c r="G300" s="1"/>
      <c r="H300" s="1"/>
      <c r="I300" s="1"/>
    </row>
    <row r="301" ht="15.75" customHeight="1">
      <c r="A301" s="1" t="s">
        <v>317</v>
      </c>
      <c r="B301" s="1" t="s">
        <v>276</v>
      </c>
      <c r="C301" s="1"/>
      <c r="D301" s="1"/>
      <c r="E301" s="1"/>
      <c r="F301" s="1"/>
      <c r="G301" s="1"/>
      <c r="H301" s="1"/>
      <c r="I301" s="1"/>
    </row>
    <row r="302" ht="15.75" customHeight="1">
      <c r="A302" s="1" t="s">
        <v>318</v>
      </c>
      <c r="B302" s="1" t="s">
        <v>276</v>
      </c>
      <c r="C302" s="1"/>
      <c r="D302" s="1"/>
      <c r="E302" s="1"/>
      <c r="F302" s="1"/>
      <c r="G302" s="1"/>
      <c r="H302" s="1"/>
      <c r="I302" s="1"/>
    </row>
    <row r="303" ht="15.75" customHeight="1">
      <c r="A303" s="1" t="s">
        <v>319</v>
      </c>
      <c r="B303" s="1" t="s">
        <v>276</v>
      </c>
      <c r="C303" s="1"/>
      <c r="D303" s="1"/>
      <c r="E303" s="1"/>
      <c r="F303" s="1"/>
      <c r="G303" s="1"/>
      <c r="H303" s="1"/>
      <c r="I303" s="1"/>
    </row>
    <row r="304" ht="15.75" customHeight="1">
      <c r="A304" s="1" t="s">
        <v>320</v>
      </c>
      <c r="B304" s="1" t="s">
        <v>276</v>
      </c>
      <c r="C304" s="1"/>
      <c r="D304" s="1"/>
      <c r="E304" s="1"/>
      <c r="F304" s="1"/>
      <c r="G304" s="1"/>
      <c r="H304" s="1"/>
      <c r="I304" s="1"/>
    </row>
    <row r="305" ht="15.75" customHeight="1">
      <c r="A305" s="1" t="s">
        <v>321</v>
      </c>
      <c r="B305" s="1" t="s">
        <v>276</v>
      </c>
      <c r="C305" s="1"/>
      <c r="D305" s="1"/>
      <c r="E305" s="1"/>
      <c r="F305" s="1"/>
      <c r="G305" s="1"/>
      <c r="H305" s="1"/>
      <c r="I305" s="1"/>
    </row>
    <row r="306" ht="15.75" customHeight="1">
      <c r="A306" s="1" t="s">
        <v>322</v>
      </c>
      <c r="B306" s="1" t="s">
        <v>276</v>
      </c>
      <c r="C306" s="1"/>
      <c r="D306" s="1"/>
      <c r="E306" s="1"/>
      <c r="F306" s="1"/>
      <c r="G306" s="1"/>
      <c r="H306" s="1"/>
      <c r="I306" s="1"/>
    </row>
    <row r="307" ht="15.75" customHeight="1">
      <c r="A307" s="1" t="s">
        <v>323</v>
      </c>
      <c r="B307" s="1" t="s">
        <v>276</v>
      </c>
      <c r="C307" s="1"/>
      <c r="D307" s="1"/>
      <c r="E307" s="1"/>
      <c r="F307" s="1"/>
      <c r="G307" s="1"/>
      <c r="H307" s="1"/>
      <c r="I307" s="1"/>
    </row>
    <row r="308" ht="15.75" customHeight="1">
      <c r="A308" s="1" t="s">
        <v>324</v>
      </c>
      <c r="B308" s="1" t="s">
        <v>276</v>
      </c>
      <c r="C308" s="1"/>
      <c r="D308" s="1"/>
      <c r="E308" s="1"/>
      <c r="F308" s="1"/>
      <c r="G308" s="1"/>
      <c r="H308" s="1"/>
      <c r="I308" s="1"/>
    </row>
    <row r="309" ht="15.75" customHeight="1">
      <c r="A309" s="1" t="s">
        <v>325</v>
      </c>
      <c r="B309" s="1" t="s">
        <v>276</v>
      </c>
      <c r="C309" s="1"/>
      <c r="D309" s="1"/>
      <c r="E309" s="1"/>
      <c r="F309" s="1"/>
      <c r="G309" s="1"/>
      <c r="H309" s="1"/>
      <c r="I309" s="1"/>
    </row>
    <row r="310" ht="15.75" customHeight="1">
      <c r="A310" s="1" t="s">
        <v>326</v>
      </c>
      <c r="B310" s="1" t="s">
        <v>276</v>
      </c>
      <c r="C310" s="1"/>
      <c r="D310" s="1"/>
      <c r="E310" s="1"/>
      <c r="F310" s="1"/>
      <c r="G310" s="1"/>
      <c r="H310" s="1"/>
      <c r="I310" s="1"/>
    </row>
    <row r="311" ht="15.75" customHeight="1">
      <c r="A311" s="1" t="s">
        <v>327</v>
      </c>
      <c r="B311" s="1" t="s">
        <v>276</v>
      </c>
      <c r="C311" s="1"/>
      <c r="D311" s="1"/>
      <c r="E311" s="1"/>
      <c r="F311" s="1"/>
      <c r="G311" s="1"/>
      <c r="H311" s="1"/>
      <c r="I311" s="1"/>
    </row>
    <row r="312" ht="15.75" customHeight="1">
      <c r="A312" s="1" t="s">
        <v>328</v>
      </c>
      <c r="B312" s="1" t="s">
        <v>276</v>
      </c>
      <c r="C312" s="1"/>
      <c r="D312" s="1"/>
      <c r="E312" s="1"/>
      <c r="F312" s="1"/>
      <c r="G312" s="1"/>
      <c r="H312" s="1"/>
      <c r="I312" s="1"/>
    </row>
    <row r="313" ht="15.75" customHeight="1">
      <c r="A313" s="1" t="s">
        <v>329</v>
      </c>
      <c r="B313" s="1" t="s">
        <v>276</v>
      </c>
      <c r="C313" s="1"/>
      <c r="D313" s="1"/>
      <c r="E313" s="1"/>
      <c r="F313" s="1"/>
      <c r="G313" s="1"/>
      <c r="H313" s="1"/>
      <c r="I313" s="1"/>
    </row>
    <row r="314" ht="15.75" customHeight="1">
      <c r="A314" s="1" t="s">
        <v>330</v>
      </c>
      <c r="B314" s="1" t="s">
        <v>276</v>
      </c>
      <c r="C314" s="1"/>
      <c r="D314" s="1"/>
      <c r="E314" s="1"/>
      <c r="F314" s="1"/>
      <c r="G314" s="1"/>
      <c r="H314" s="1"/>
      <c r="I314" s="1"/>
    </row>
    <row r="315" ht="15.75" customHeight="1">
      <c r="A315" s="1" t="s">
        <v>331</v>
      </c>
      <c r="B315" s="1" t="s">
        <v>276</v>
      </c>
      <c r="C315" s="1"/>
      <c r="D315" s="1"/>
      <c r="E315" s="1"/>
      <c r="F315" s="1"/>
      <c r="G315" s="1"/>
      <c r="H315" s="1"/>
      <c r="I315" s="1"/>
    </row>
    <row r="316" ht="15.75" customHeight="1">
      <c r="A316" s="1" t="s">
        <v>332</v>
      </c>
      <c r="B316" s="1" t="s">
        <v>276</v>
      </c>
      <c r="C316" s="1"/>
      <c r="D316" s="1"/>
      <c r="E316" s="1"/>
      <c r="F316" s="1"/>
      <c r="G316" s="1"/>
      <c r="H316" s="1"/>
      <c r="I316" s="1"/>
    </row>
    <row r="317" ht="15.75" customHeight="1">
      <c r="A317" s="1" t="s">
        <v>333</v>
      </c>
      <c r="B317" s="1" t="s">
        <v>276</v>
      </c>
      <c r="C317" s="1"/>
      <c r="D317" s="1"/>
      <c r="E317" s="1"/>
      <c r="F317" s="1"/>
      <c r="G317" s="1"/>
      <c r="H317" s="1"/>
      <c r="I317" s="1"/>
    </row>
    <row r="318" ht="15.75" customHeight="1">
      <c r="A318" s="1" t="s">
        <v>334</v>
      </c>
      <c r="B318" s="1" t="s">
        <v>276</v>
      </c>
      <c r="C318" s="1"/>
      <c r="D318" s="1"/>
      <c r="E318" s="1"/>
      <c r="F318" s="1"/>
      <c r="G318" s="1"/>
      <c r="H318" s="1"/>
      <c r="I318" s="1"/>
    </row>
    <row r="319" ht="15.75" customHeight="1">
      <c r="A319" s="1" t="s">
        <v>335</v>
      </c>
      <c r="B319" s="1" t="s">
        <v>276</v>
      </c>
      <c r="C319" s="1"/>
      <c r="D319" s="1"/>
      <c r="E319" s="1"/>
      <c r="F319" s="1"/>
      <c r="G319" s="1"/>
      <c r="H319" s="1"/>
      <c r="I319" s="1"/>
    </row>
    <row r="320" ht="15.75" customHeight="1">
      <c r="A320" s="1" t="s">
        <v>336</v>
      </c>
      <c r="B320" s="1" t="s">
        <v>276</v>
      </c>
      <c r="C320" s="1"/>
      <c r="D320" s="1"/>
      <c r="E320" s="1"/>
      <c r="F320" s="1"/>
      <c r="G320" s="1"/>
      <c r="H320" s="1"/>
      <c r="I320" s="1"/>
    </row>
    <row r="321" ht="15.75" customHeight="1">
      <c r="A321" s="1" t="s">
        <v>337</v>
      </c>
      <c r="B321" s="1" t="s">
        <v>276</v>
      </c>
      <c r="C321" s="1"/>
      <c r="D321" s="1"/>
      <c r="E321" s="1"/>
      <c r="F321" s="1"/>
      <c r="G321" s="1"/>
      <c r="H321" s="1"/>
      <c r="I321" s="1"/>
    </row>
    <row r="322" ht="15.75" customHeight="1">
      <c r="A322" s="1" t="s">
        <v>338</v>
      </c>
      <c r="B322" s="1" t="s">
        <v>276</v>
      </c>
      <c r="C322" s="1"/>
      <c r="D322" s="1"/>
      <c r="E322" s="1"/>
      <c r="F322" s="1"/>
      <c r="G322" s="1"/>
      <c r="H322" s="1"/>
      <c r="I322" s="1"/>
    </row>
    <row r="323" ht="15.75" customHeight="1">
      <c r="A323" s="1" t="s">
        <v>339</v>
      </c>
      <c r="B323" s="1" t="s">
        <v>276</v>
      </c>
      <c r="C323" s="1"/>
      <c r="D323" s="1"/>
      <c r="E323" s="1"/>
      <c r="F323" s="1"/>
      <c r="G323" s="1"/>
      <c r="H323" s="1"/>
      <c r="I323" s="1"/>
    </row>
    <row r="324" ht="15.75" customHeight="1">
      <c r="A324" s="1" t="s">
        <v>340</v>
      </c>
      <c r="B324" s="1" t="s">
        <v>276</v>
      </c>
      <c r="C324" s="1"/>
      <c r="D324" s="1"/>
      <c r="E324" s="1"/>
      <c r="F324" s="1"/>
      <c r="G324" s="1"/>
      <c r="H324" s="1"/>
      <c r="I324" s="1"/>
    </row>
    <row r="325" ht="15.75" customHeight="1">
      <c r="A325" s="1" t="s">
        <v>341</v>
      </c>
      <c r="B325" s="1" t="s">
        <v>276</v>
      </c>
      <c r="C325" s="1"/>
      <c r="D325" s="1"/>
      <c r="E325" s="1"/>
      <c r="F325" s="1"/>
      <c r="G325" s="1"/>
      <c r="H325" s="1"/>
      <c r="I325" s="1"/>
    </row>
    <row r="326" ht="15.75" customHeight="1">
      <c r="A326" s="1" t="s">
        <v>342</v>
      </c>
      <c r="B326" s="1" t="s">
        <v>276</v>
      </c>
      <c r="C326" s="1"/>
      <c r="D326" s="1"/>
      <c r="E326" s="1"/>
      <c r="F326" s="1"/>
      <c r="G326" s="1"/>
      <c r="H326" s="1"/>
      <c r="I326" s="1"/>
    </row>
    <row r="327" ht="15.75" customHeight="1">
      <c r="A327" s="1" t="s">
        <v>343</v>
      </c>
      <c r="B327" s="1" t="s">
        <v>276</v>
      </c>
      <c r="C327" s="1"/>
      <c r="D327" s="1"/>
      <c r="E327" s="1"/>
      <c r="F327" s="1"/>
      <c r="G327" s="1"/>
      <c r="H327" s="1"/>
      <c r="I327" s="1"/>
    </row>
    <row r="328" ht="15.75" customHeight="1">
      <c r="A328" s="1" t="s">
        <v>344</v>
      </c>
      <c r="B328" s="1" t="s">
        <v>276</v>
      </c>
      <c r="C328" s="1"/>
      <c r="D328" s="1"/>
      <c r="E328" s="1"/>
      <c r="F328" s="1"/>
      <c r="G328" s="1"/>
      <c r="H328" s="1"/>
      <c r="I328" s="1"/>
    </row>
    <row r="329" ht="15.75" customHeight="1">
      <c r="A329" s="1" t="s">
        <v>345</v>
      </c>
      <c r="B329" s="1" t="s">
        <v>276</v>
      </c>
      <c r="C329" s="1"/>
      <c r="D329" s="1"/>
      <c r="E329" s="1"/>
      <c r="F329" s="1"/>
      <c r="G329" s="1"/>
      <c r="H329" s="1"/>
      <c r="I329" s="1"/>
    </row>
    <row r="330" ht="15.75" customHeight="1">
      <c r="A330" s="1" t="s">
        <v>346</v>
      </c>
      <c r="B330" s="1" t="s">
        <v>276</v>
      </c>
      <c r="C330" s="1"/>
      <c r="D330" s="1"/>
      <c r="E330" s="1"/>
      <c r="F330" s="1"/>
      <c r="G330" s="1"/>
      <c r="H330" s="1"/>
      <c r="I330" s="1"/>
    </row>
    <row r="331" ht="15.75" customHeight="1">
      <c r="A331" s="1" t="s">
        <v>347</v>
      </c>
      <c r="B331" s="1" t="s">
        <v>276</v>
      </c>
      <c r="C331" s="1"/>
      <c r="D331" s="1"/>
      <c r="E331" s="1"/>
      <c r="F331" s="1"/>
      <c r="G331" s="1"/>
      <c r="H331" s="1"/>
      <c r="I331" s="1"/>
    </row>
    <row r="332" ht="15.75" customHeight="1">
      <c r="A332" s="1" t="s">
        <v>348</v>
      </c>
      <c r="B332" s="1" t="s">
        <v>276</v>
      </c>
      <c r="C332" s="1"/>
      <c r="D332" s="1"/>
      <c r="E332" s="1"/>
      <c r="F332" s="1"/>
      <c r="G332" s="1"/>
      <c r="H332" s="1"/>
      <c r="I332" s="1"/>
    </row>
    <row r="333" ht="15.75" customHeight="1">
      <c r="A333" s="1" t="s">
        <v>349</v>
      </c>
      <c r="B333" s="1" t="s">
        <v>276</v>
      </c>
      <c r="C333" s="1"/>
      <c r="D333" s="1"/>
      <c r="E333" s="1"/>
      <c r="F333" s="1"/>
      <c r="G333" s="1"/>
      <c r="H333" s="1"/>
      <c r="I333" s="1"/>
    </row>
    <row r="334" ht="15.75" customHeight="1">
      <c r="A334" s="1" t="s">
        <v>350</v>
      </c>
      <c r="B334" s="1" t="s">
        <v>276</v>
      </c>
      <c r="C334" s="1"/>
      <c r="D334" s="1"/>
      <c r="E334" s="1"/>
      <c r="F334" s="1"/>
      <c r="G334" s="1"/>
      <c r="H334" s="1"/>
      <c r="I334" s="1"/>
    </row>
    <row r="335" ht="15.75" customHeight="1">
      <c r="A335" s="1" t="s">
        <v>351</v>
      </c>
      <c r="B335" s="1" t="s">
        <v>276</v>
      </c>
      <c r="C335" s="1"/>
      <c r="D335" s="1"/>
      <c r="E335" s="1"/>
      <c r="F335" s="1"/>
      <c r="G335" s="1"/>
      <c r="H335" s="1"/>
      <c r="I335" s="1"/>
    </row>
    <row r="336" ht="15.75" customHeight="1">
      <c r="A336" s="1" t="s">
        <v>352</v>
      </c>
      <c r="B336" s="1" t="s">
        <v>276</v>
      </c>
      <c r="C336" s="1"/>
      <c r="D336" s="1"/>
      <c r="E336" s="1"/>
      <c r="F336" s="1"/>
      <c r="G336" s="1"/>
      <c r="H336" s="1"/>
      <c r="I336" s="1"/>
    </row>
    <row r="337" ht="15.75" customHeight="1">
      <c r="A337" s="1" t="s">
        <v>353</v>
      </c>
      <c r="B337" s="1" t="s">
        <v>276</v>
      </c>
      <c r="C337" s="1"/>
      <c r="D337" s="1"/>
      <c r="E337" s="1"/>
      <c r="F337" s="1"/>
      <c r="G337" s="1"/>
      <c r="H337" s="1"/>
      <c r="I337" s="1"/>
    </row>
    <row r="338" ht="15.75" customHeight="1">
      <c r="A338" s="1" t="s">
        <v>354</v>
      </c>
      <c r="B338" s="1" t="s">
        <v>276</v>
      </c>
      <c r="C338" s="1"/>
      <c r="D338" s="1"/>
      <c r="E338" s="1"/>
      <c r="F338" s="1"/>
      <c r="G338" s="1"/>
      <c r="H338" s="1"/>
      <c r="I338" s="1"/>
    </row>
    <row r="339" ht="15.75" customHeight="1">
      <c r="A339" s="1" t="s">
        <v>355</v>
      </c>
      <c r="B339" s="1" t="s">
        <v>276</v>
      </c>
      <c r="C339" s="1"/>
      <c r="D339" s="1"/>
      <c r="E339" s="1"/>
      <c r="F339" s="1"/>
      <c r="G339" s="1"/>
      <c r="H339" s="1"/>
      <c r="I339" s="1"/>
    </row>
    <row r="340" ht="15.75" customHeight="1">
      <c r="A340" s="1" t="s">
        <v>356</v>
      </c>
      <c r="B340" s="1" t="s">
        <v>276</v>
      </c>
      <c r="C340" s="1"/>
      <c r="D340" s="1"/>
      <c r="E340" s="1"/>
      <c r="F340" s="1"/>
      <c r="G340" s="1"/>
      <c r="H340" s="1"/>
      <c r="I340" s="1"/>
    </row>
    <row r="341" ht="15.75" customHeight="1">
      <c r="A341" s="1" t="s">
        <v>357</v>
      </c>
      <c r="B341" s="1" t="s">
        <v>276</v>
      </c>
      <c r="C341" s="1"/>
      <c r="D341" s="1"/>
      <c r="E341" s="1"/>
      <c r="F341" s="1"/>
      <c r="G341" s="1"/>
      <c r="H341" s="1"/>
      <c r="I341" s="1"/>
    </row>
    <row r="342" ht="15.75" customHeight="1">
      <c r="A342" s="1" t="s">
        <v>358</v>
      </c>
      <c r="B342" s="1" t="s">
        <v>276</v>
      </c>
      <c r="C342" s="1"/>
      <c r="D342" s="1"/>
      <c r="E342" s="1"/>
      <c r="F342" s="1"/>
      <c r="G342" s="1"/>
      <c r="H342" s="1"/>
      <c r="I342" s="1"/>
    </row>
    <row r="343" ht="15.75" customHeight="1">
      <c r="A343" s="1" t="s">
        <v>359</v>
      </c>
      <c r="B343" s="1" t="s">
        <v>276</v>
      </c>
      <c r="C343" s="1"/>
      <c r="D343" s="1"/>
      <c r="E343" s="1"/>
      <c r="F343" s="1"/>
      <c r="G343" s="1"/>
      <c r="H343" s="1"/>
      <c r="I343" s="1"/>
    </row>
    <row r="344" ht="15.75" customHeight="1">
      <c r="A344" s="1" t="s">
        <v>360</v>
      </c>
      <c r="B344" s="1" t="s">
        <v>276</v>
      </c>
      <c r="C344" s="1"/>
      <c r="D344" s="1"/>
      <c r="E344" s="1"/>
      <c r="F344" s="1"/>
      <c r="G344" s="1"/>
      <c r="H344" s="1"/>
      <c r="I344" s="1"/>
    </row>
    <row r="345" ht="15.75" customHeight="1">
      <c r="A345" s="1" t="s">
        <v>361</v>
      </c>
      <c r="B345" s="1" t="s">
        <v>276</v>
      </c>
      <c r="C345" s="1"/>
      <c r="D345" s="1"/>
      <c r="E345" s="1"/>
      <c r="F345" s="1"/>
      <c r="G345" s="1"/>
      <c r="H345" s="1"/>
      <c r="I345" s="1"/>
    </row>
    <row r="346" ht="15.75" customHeight="1">
      <c r="A346" s="1" t="s">
        <v>362</v>
      </c>
      <c r="B346" s="1" t="s">
        <v>363</v>
      </c>
      <c r="C346" s="1"/>
      <c r="D346" s="1"/>
      <c r="E346" s="1"/>
      <c r="F346" s="1"/>
      <c r="G346" s="1"/>
      <c r="H346" s="1"/>
      <c r="I346" s="1"/>
    </row>
    <row r="347" ht="15.75" customHeight="1">
      <c r="A347" s="1" t="s">
        <v>364</v>
      </c>
      <c r="B347" s="1" t="s">
        <v>363</v>
      </c>
      <c r="C347" s="1"/>
      <c r="D347" s="1"/>
      <c r="E347" s="1"/>
      <c r="F347" s="1"/>
      <c r="G347" s="1"/>
      <c r="H347" s="1"/>
      <c r="I347" s="1"/>
    </row>
    <row r="348" ht="15.75" customHeight="1">
      <c r="A348" s="1" t="s">
        <v>365</v>
      </c>
      <c r="B348" s="1" t="s">
        <v>363</v>
      </c>
      <c r="C348" s="1"/>
      <c r="D348" s="1"/>
      <c r="E348" s="1"/>
      <c r="F348" s="1"/>
      <c r="G348" s="1"/>
      <c r="H348" s="1"/>
      <c r="I348" s="1"/>
    </row>
    <row r="349" ht="15.75" customHeight="1">
      <c r="A349" s="1" t="s">
        <v>366</v>
      </c>
      <c r="B349" s="1" t="s">
        <v>363</v>
      </c>
      <c r="C349" s="1"/>
      <c r="D349" s="1"/>
      <c r="E349" s="1"/>
      <c r="F349" s="1"/>
      <c r="G349" s="1"/>
      <c r="H349" s="1"/>
      <c r="I349" s="1"/>
    </row>
    <row r="350" ht="15.75" customHeight="1">
      <c r="A350" s="1" t="s">
        <v>367</v>
      </c>
      <c r="B350" s="1" t="s">
        <v>363</v>
      </c>
      <c r="C350" s="1"/>
      <c r="D350" s="1"/>
      <c r="E350" s="1"/>
      <c r="F350" s="1"/>
      <c r="G350" s="1"/>
      <c r="H350" s="1"/>
      <c r="I350" s="1"/>
    </row>
    <row r="351" ht="15.75" customHeight="1">
      <c r="A351" s="1" t="s">
        <v>368</v>
      </c>
      <c r="B351" s="1" t="s">
        <v>363</v>
      </c>
      <c r="C351" s="1"/>
      <c r="D351" s="1"/>
      <c r="E351" s="1"/>
      <c r="F351" s="1"/>
      <c r="G351" s="1"/>
      <c r="H351" s="1"/>
      <c r="I351" s="1"/>
    </row>
    <row r="352" ht="15.75" customHeight="1">
      <c r="A352" s="1" t="s">
        <v>369</v>
      </c>
      <c r="B352" s="1" t="s">
        <v>363</v>
      </c>
      <c r="C352" s="1"/>
      <c r="D352" s="1"/>
      <c r="E352" s="1"/>
      <c r="F352" s="1"/>
      <c r="G352" s="1"/>
      <c r="H352" s="1"/>
      <c r="I352" s="1"/>
    </row>
    <row r="353" ht="15.75" customHeight="1">
      <c r="A353" s="1" t="s">
        <v>370</v>
      </c>
      <c r="B353" s="1" t="s">
        <v>363</v>
      </c>
      <c r="C353" s="1"/>
      <c r="D353" s="1"/>
      <c r="E353" s="1"/>
      <c r="F353" s="1"/>
      <c r="G353" s="1"/>
      <c r="H353" s="1"/>
      <c r="I353" s="1"/>
    </row>
    <row r="354" ht="15.75" customHeight="1">
      <c r="A354" s="1" t="s">
        <v>371</v>
      </c>
      <c r="B354" s="1" t="s">
        <v>363</v>
      </c>
      <c r="C354" s="1"/>
      <c r="D354" s="1"/>
      <c r="E354" s="1"/>
      <c r="F354" s="1"/>
      <c r="G354" s="1"/>
      <c r="H354" s="1"/>
      <c r="I354" s="1"/>
    </row>
    <row r="355" ht="15.75" customHeight="1">
      <c r="A355" s="1" t="s">
        <v>372</v>
      </c>
      <c r="B355" s="1" t="s">
        <v>363</v>
      </c>
      <c r="C355" s="1"/>
      <c r="D355" s="1"/>
      <c r="E355" s="1"/>
      <c r="F355" s="1"/>
      <c r="G355" s="1"/>
      <c r="H355" s="1"/>
      <c r="I355" s="1"/>
    </row>
    <row r="356" ht="15.75" customHeight="1">
      <c r="A356" s="1" t="s">
        <v>373</v>
      </c>
      <c r="B356" s="1" t="s">
        <v>363</v>
      </c>
      <c r="C356" s="1"/>
      <c r="D356" s="1"/>
      <c r="E356" s="1"/>
      <c r="F356" s="1"/>
      <c r="G356" s="1"/>
      <c r="H356" s="1"/>
      <c r="I356" s="1"/>
    </row>
    <row r="357" ht="15.75" customHeight="1">
      <c r="A357" s="1" t="s">
        <v>374</v>
      </c>
      <c r="B357" s="1" t="s">
        <v>363</v>
      </c>
      <c r="C357" s="1"/>
      <c r="D357" s="1"/>
      <c r="E357" s="1"/>
      <c r="F357" s="1"/>
      <c r="G357" s="1"/>
      <c r="H357" s="1"/>
      <c r="I357" s="1"/>
    </row>
    <row r="358" ht="15.75" customHeight="1">
      <c r="A358" s="1" t="s">
        <v>375</v>
      </c>
      <c r="B358" s="1" t="s">
        <v>363</v>
      </c>
      <c r="C358" s="1"/>
      <c r="D358" s="1"/>
      <c r="E358" s="1"/>
      <c r="F358" s="1"/>
      <c r="G358" s="1"/>
      <c r="H358" s="1"/>
      <c r="I358" s="1"/>
    </row>
    <row r="359" ht="15.75" customHeight="1">
      <c r="A359" s="1" t="s">
        <v>376</v>
      </c>
      <c r="B359" s="1" t="s">
        <v>363</v>
      </c>
      <c r="C359" s="1"/>
      <c r="D359" s="1"/>
      <c r="E359" s="1"/>
      <c r="F359" s="1"/>
      <c r="G359" s="1"/>
      <c r="H359" s="1"/>
      <c r="I359" s="1"/>
    </row>
    <row r="360" ht="15.75" customHeight="1">
      <c r="A360" s="1" t="s">
        <v>377</v>
      </c>
      <c r="B360" s="1" t="s">
        <v>363</v>
      </c>
      <c r="C360" s="1"/>
      <c r="D360" s="1"/>
      <c r="E360" s="1"/>
      <c r="F360" s="1"/>
      <c r="G360" s="1"/>
      <c r="H360" s="1"/>
      <c r="I360" s="1"/>
    </row>
    <row r="361" ht="15.75" customHeight="1">
      <c r="A361" s="1" t="s">
        <v>378</v>
      </c>
      <c r="B361" s="1" t="s">
        <v>363</v>
      </c>
      <c r="C361" s="1"/>
      <c r="D361" s="1"/>
      <c r="E361" s="1"/>
      <c r="F361" s="1"/>
      <c r="G361" s="1"/>
      <c r="H361" s="1"/>
      <c r="I361" s="1"/>
    </row>
    <row r="362" ht="15.75" customHeight="1">
      <c r="A362" s="1" t="s">
        <v>379</v>
      </c>
      <c r="B362" s="1" t="s">
        <v>363</v>
      </c>
      <c r="C362" s="1"/>
      <c r="D362" s="1"/>
      <c r="E362" s="1"/>
      <c r="F362" s="1"/>
      <c r="G362" s="1"/>
      <c r="H362" s="1"/>
      <c r="I362" s="1"/>
    </row>
    <row r="363" ht="15.75" customHeight="1">
      <c r="A363" s="1" t="s">
        <v>380</v>
      </c>
      <c r="B363" s="1" t="s">
        <v>363</v>
      </c>
      <c r="C363" s="1"/>
      <c r="D363" s="1"/>
      <c r="E363" s="1"/>
      <c r="F363" s="1"/>
      <c r="G363" s="1"/>
      <c r="H363" s="1"/>
      <c r="I363" s="1"/>
    </row>
    <row r="364" ht="15.75" customHeight="1">
      <c r="A364" s="1" t="s">
        <v>381</v>
      </c>
      <c r="B364" s="1" t="s">
        <v>382</v>
      </c>
      <c r="C364" s="1"/>
      <c r="D364" s="1"/>
      <c r="E364" s="1"/>
      <c r="F364" s="1"/>
      <c r="G364" s="1"/>
      <c r="H364" s="1"/>
      <c r="I364" s="1"/>
    </row>
    <row r="365" ht="15.75" customHeight="1">
      <c r="A365" s="1" t="s">
        <v>383</v>
      </c>
      <c r="B365" s="1" t="s">
        <v>382</v>
      </c>
      <c r="C365" s="1"/>
      <c r="D365" s="1"/>
      <c r="E365" s="1"/>
      <c r="F365" s="1"/>
      <c r="G365" s="1"/>
      <c r="H365" s="1"/>
      <c r="I365" s="1"/>
    </row>
    <row r="366" ht="15.75" customHeight="1">
      <c r="A366" s="1" t="s">
        <v>384</v>
      </c>
      <c r="B366" s="1" t="s">
        <v>382</v>
      </c>
      <c r="C366" s="1"/>
      <c r="D366" s="1"/>
      <c r="E366" s="1"/>
      <c r="F366" s="1"/>
      <c r="G366" s="1"/>
      <c r="H366" s="1"/>
      <c r="I366" s="1"/>
    </row>
    <row r="367" ht="15.75" customHeight="1">
      <c r="A367" s="1" t="s">
        <v>385</v>
      </c>
      <c r="B367" s="1" t="s">
        <v>382</v>
      </c>
      <c r="C367" s="1"/>
      <c r="D367" s="1"/>
      <c r="E367" s="1"/>
      <c r="F367" s="1"/>
      <c r="G367" s="1"/>
      <c r="H367" s="1"/>
      <c r="I367" s="1"/>
    </row>
    <row r="368" ht="15.75" customHeight="1">
      <c r="A368" s="1" t="s">
        <v>386</v>
      </c>
      <c r="B368" s="1" t="s">
        <v>382</v>
      </c>
      <c r="C368" s="1"/>
      <c r="D368" s="1"/>
      <c r="E368" s="1"/>
      <c r="F368" s="1"/>
      <c r="G368" s="1"/>
      <c r="H368" s="1"/>
      <c r="I368" s="1"/>
    </row>
    <row r="369" ht="15.75" customHeight="1">
      <c r="A369" s="1" t="s">
        <v>387</v>
      </c>
      <c r="B369" s="1" t="s">
        <v>382</v>
      </c>
      <c r="C369" s="1"/>
      <c r="D369" s="1"/>
      <c r="E369" s="1"/>
      <c r="F369" s="1"/>
      <c r="G369" s="1"/>
      <c r="H369" s="1"/>
      <c r="I369" s="1"/>
    </row>
    <row r="370" ht="15.75" customHeight="1">
      <c r="A370" s="1" t="s">
        <v>388</v>
      </c>
      <c r="B370" s="1" t="s">
        <v>382</v>
      </c>
      <c r="C370" s="1"/>
      <c r="D370" s="1"/>
      <c r="E370" s="1"/>
      <c r="F370" s="1"/>
      <c r="G370" s="1"/>
      <c r="H370" s="1"/>
      <c r="I370" s="1"/>
    </row>
    <row r="371" ht="15.75" customHeight="1">
      <c r="A371" s="1" t="s">
        <v>389</v>
      </c>
      <c r="B371" s="1" t="s">
        <v>382</v>
      </c>
      <c r="C371" s="1"/>
      <c r="D371" s="1"/>
      <c r="E371" s="1"/>
      <c r="F371" s="1"/>
      <c r="G371" s="1"/>
      <c r="H371" s="1"/>
      <c r="I371" s="1"/>
    </row>
    <row r="372" ht="15.75" customHeight="1">
      <c r="A372" s="1" t="s">
        <v>390</v>
      </c>
      <c r="B372" s="1" t="s">
        <v>382</v>
      </c>
      <c r="C372" s="1"/>
      <c r="D372" s="1"/>
      <c r="E372" s="1"/>
      <c r="F372" s="1"/>
      <c r="G372" s="1"/>
      <c r="H372" s="1"/>
      <c r="I372" s="1"/>
    </row>
    <row r="373" ht="15.75" customHeight="1">
      <c r="A373" s="1" t="s">
        <v>391</v>
      </c>
      <c r="B373" s="1" t="s">
        <v>382</v>
      </c>
      <c r="C373" s="1"/>
      <c r="D373" s="1"/>
      <c r="E373" s="1"/>
      <c r="F373" s="1"/>
      <c r="G373" s="1"/>
      <c r="H373" s="1"/>
      <c r="I373" s="1"/>
    </row>
    <row r="374" ht="15.75" customHeight="1">
      <c r="A374" s="1" t="s">
        <v>392</v>
      </c>
      <c r="B374" s="1" t="s">
        <v>382</v>
      </c>
      <c r="C374" s="1"/>
      <c r="D374" s="1"/>
      <c r="E374" s="1"/>
      <c r="F374" s="1"/>
      <c r="G374" s="1"/>
      <c r="H374" s="1"/>
      <c r="I374" s="1"/>
    </row>
    <row r="375" ht="15.75" customHeight="1">
      <c r="A375" s="1" t="s">
        <v>393</v>
      </c>
      <c r="B375" s="1" t="s">
        <v>382</v>
      </c>
      <c r="C375" s="1"/>
      <c r="D375" s="1"/>
      <c r="E375" s="1"/>
      <c r="F375" s="1"/>
      <c r="G375" s="1"/>
      <c r="H375" s="1"/>
      <c r="I375" s="1"/>
    </row>
    <row r="376" ht="15.75" customHeight="1">
      <c r="A376" s="1" t="s">
        <v>394</v>
      </c>
      <c r="B376" s="1" t="s">
        <v>382</v>
      </c>
      <c r="C376" s="1"/>
      <c r="D376" s="1"/>
      <c r="E376" s="1"/>
      <c r="F376" s="1"/>
      <c r="G376" s="1"/>
      <c r="H376" s="1"/>
      <c r="I376" s="1"/>
    </row>
    <row r="377" ht="15.75" customHeight="1">
      <c r="A377" s="1" t="s">
        <v>395</v>
      </c>
      <c r="B377" s="1" t="s">
        <v>382</v>
      </c>
      <c r="C377" s="1"/>
      <c r="D377" s="1"/>
      <c r="E377" s="1"/>
      <c r="F377" s="1"/>
      <c r="G377" s="1"/>
      <c r="H377" s="1"/>
      <c r="I377" s="1"/>
    </row>
    <row r="378" ht="15.75" customHeight="1">
      <c r="A378" s="1" t="s">
        <v>396</v>
      </c>
      <c r="B378" s="1" t="s">
        <v>382</v>
      </c>
      <c r="C378" s="1"/>
      <c r="D378" s="1"/>
      <c r="E378" s="1"/>
      <c r="F378" s="1"/>
      <c r="G378" s="1"/>
      <c r="H378" s="1"/>
      <c r="I378" s="1"/>
    </row>
    <row r="379" ht="15.75" customHeight="1">
      <c r="A379" s="1" t="s">
        <v>397</v>
      </c>
      <c r="B379" s="1" t="s">
        <v>382</v>
      </c>
      <c r="C379" s="1"/>
      <c r="D379" s="1"/>
      <c r="E379" s="1"/>
      <c r="F379" s="1"/>
      <c r="G379" s="1"/>
      <c r="H379" s="1"/>
      <c r="I379" s="1"/>
    </row>
    <row r="380" ht="15.75" customHeight="1">
      <c r="A380" s="1" t="s">
        <v>398</v>
      </c>
      <c r="B380" s="1" t="s">
        <v>382</v>
      </c>
      <c r="C380" s="1"/>
      <c r="D380" s="1"/>
      <c r="E380" s="1"/>
      <c r="F380" s="1"/>
      <c r="G380" s="1"/>
      <c r="H380" s="1"/>
      <c r="I380" s="1"/>
    </row>
    <row r="381" ht="15.75" customHeight="1">
      <c r="A381" s="1" t="s">
        <v>399</v>
      </c>
      <c r="B381" s="1" t="s">
        <v>382</v>
      </c>
      <c r="C381" s="1"/>
      <c r="D381" s="1"/>
      <c r="E381" s="1"/>
      <c r="F381" s="1"/>
      <c r="G381" s="1"/>
      <c r="H381" s="1"/>
      <c r="I381" s="1"/>
    </row>
    <row r="382" ht="15.75" customHeight="1">
      <c r="A382" s="1" t="s">
        <v>400</v>
      </c>
      <c r="B382" s="1" t="s">
        <v>382</v>
      </c>
      <c r="C382" s="1"/>
      <c r="D382" s="1"/>
      <c r="E382" s="1"/>
      <c r="F382" s="1"/>
      <c r="G382" s="1"/>
      <c r="H382" s="1"/>
      <c r="I382" s="1"/>
    </row>
    <row r="383" ht="15.75" customHeight="1">
      <c r="A383" s="1" t="s">
        <v>401</v>
      </c>
      <c r="B383" s="1" t="s">
        <v>382</v>
      </c>
      <c r="C383" s="1"/>
      <c r="D383" s="1"/>
      <c r="E383" s="1"/>
      <c r="F383" s="1"/>
      <c r="G383" s="1"/>
      <c r="H383" s="1"/>
      <c r="I383" s="1"/>
    </row>
    <row r="384" ht="15.75" customHeight="1">
      <c r="A384" s="1" t="s">
        <v>402</v>
      </c>
      <c r="B384" s="1" t="s">
        <v>382</v>
      </c>
      <c r="C384" s="1"/>
      <c r="D384" s="1"/>
      <c r="E384" s="1"/>
      <c r="F384" s="1"/>
      <c r="G384" s="1"/>
      <c r="H384" s="1"/>
      <c r="I384" s="1"/>
    </row>
    <row r="385" ht="15.75" customHeight="1">
      <c r="A385" s="1" t="s">
        <v>403</v>
      </c>
      <c r="B385" s="1" t="s">
        <v>404</v>
      </c>
      <c r="C385" s="1"/>
      <c r="D385" s="1"/>
      <c r="E385" s="1"/>
      <c r="F385" s="1"/>
      <c r="G385" s="1"/>
      <c r="H385" s="1"/>
      <c r="I385" s="1"/>
    </row>
    <row r="386" ht="15.75" customHeight="1">
      <c r="A386" s="1" t="s">
        <v>405</v>
      </c>
      <c r="B386" s="1" t="s">
        <v>404</v>
      </c>
      <c r="C386" s="1"/>
      <c r="D386" s="1"/>
      <c r="E386" s="1"/>
      <c r="F386" s="1"/>
      <c r="G386" s="1"/>
      <c r="H386" s="1"/>
      <c r="I386" s="1"/>
    </row>
    <row r="387" ht="15.75" customHeight="1">
      <c r="A387" s="1" t="s">
        <v>406</v>
      </c>
      <c r="B387" s="1" t="s">
        <v>404</v>
      </c>
      <c r="C387" s="1"/>
      <c r="D387" s="1"/>
      <c r="E387" s="1"/>
      <c r="F387" s="1"/>
      <c r="G387" s="1"/>
      <c r="H387" s="1"/>
      <c r="I387" s="1"/>
    </row>
    <row r="388" ht="15.75" customHeight="1">
      <c r="A388" s="1" t="s">
        <v>407</v>
      </c>
      <c r="B388" s="1" t="s">
        <v>404</v>
      </c>
      <c r="C388" s="1"/>
      <c r="D388" s="1"/>
      <c r="E388" s="1"/>
      <c r="F388" s="1"/>
      <c r="G388" s="1"/>
      <c r="H388" s="1"/>
      <c r="I388" s="1"/>
    </row>
    <row r="389" ht="15.75" customHeight="1">
      <c r="A389" s="1" t="s">
        <v>408</v>
      </c>
      <c r="B389" s="1" t="s">
        <v>404</v>
      </c>
      <c r="C389" s="1"/>
      <c r="D389" s="1"/>
      <c r="E389" s="1"/>
      <c r="F389" s="1"/>
      <c r="G389" s="1"/>
      <c r="H389" s="1"/>
      <c r="I389" s="1"/>
    </row>
    <row r="390" ht="15.75" customHeight="1">
      <c r="A390" s="1" t="s">
        <v>409</v>
      </c>
      <c r="B390" s="1" t="s">
        <v>404</v>
      </c>
      <c r="C390" s="1"/>
      <c r="D390" s="1"/>
      <c r="E390" s="1"/>
      <c r="F390" s="1"/>
      <c r="G390" s="1"/>
      <c r="H390" s="1"/>
      <c r="I390" s="1"/>
    </row>
    <row r="391" ht="15.75" customHeight="1">
      <c r="A391" s="1" t="s">
        <v>410</v>
      </c>
      <c r="B391" s="1" t="s">
        <v>404</v>
      </c>
      <c r="C391" s="1"/>
      <c r="D391" s="1"/>
      <c r="E391" s="1"/>
      <c r="F391" s="1"/>
      <c r="G391" s="1"/>
      <c r="H391" s="1"/>
      <c r="I391" s="1"/>
    </row>
    <row r="392" ht="15.75" customHeight="1">
      <c r="A392" s="1" t="s">
        <v>411</v>
      </c>
      <c r="B392" s="1" t="s">
        <v>404</v>
      </c>
      <c r="C392" s="1"/>
      <c r="D392" s="1"/>
      <c r="E392" s="1"/>
      <c r="F392" s="1"/>
      <c r="G392" s="1"/>
      <c r="H392" s="1"/>
      <c r="I392" s="1"/>
    </row>
    <row r="393" ht="15.75" customHeight="1">
      <c r="A393" s="1" t="s">
        <v>412</v>
      </c>
      <c r="B393" s="1" t="s">
        <v>404</v>
      </c>
      <c r="C393" s="1"/>
      <c r="D393" s="1"/>
      <c r="E393" s="1"/>
      <c r="F393" s="1"/>
      <c r="G393" s="1"/>
      <c r="H393" s="1"/>
      <c r="I393" s="1"/>
    </row>
    <row r="394" ht="15.75" customHeight="1">
      <c r="A394" s="1" t="s">
        <v>413</v>
      </c>
      <c r="B394" s="1" t="s">
        <v>404</v>
      </c>
      <c r="C394" s="1"/>
      <c r="D394" s="1"/>
      <c r="E394" s="1"/>
      <c r="F394" s="1"/>
      <c r="G394" s="1"/>
      <c r="H394" s="1"/>
      <c r="I394" s="1"/>
    </row>
    <row r="395" ht="15.75" customHeight="1">
      <c r="A395" s="1" t="s">
        <v>414</v>
      </c>
      <c r="B395" s="1" t="s">
        <v>404</v>
      </c>
      <c r="C395" s="1"/>
      <c r="D395" s="1"/>
      <c r="E395" s="1"/>
      <c r="F395" s="1"/>
      <c r="G395" s="1"/>
      <c r="H395" s="1"/>
      <c r="I395" s="1"/>
    </row>
    <row r="396" ht="15.75" customHeight="1">
      <c r="A396" s="1" t="s">
        <v>415</v>
      </c>
      <c r="B396" s="1" t="s">
        <v>404</v>
      </c>
      <c r="C396" s="1"/>
      <c r="D396" s="1"/>
      <c r="E396" s="1"/>
      <c r="F396" s="1"/>
      <c r="G396" s="1"/>
      <c r="H396" s="1"/>
      <c r="I396" s="1"/>
    </row>
    <row r="397" ht="15.75" customHeight="1">
      <c r="A397" s="1" t="s">
        <v>416</v>
      </c>
      <c r="B397" s="1" t="s">
        <v>404</v>
      </c>
      <c r="C397" s="1"/>
      <c r="D397" s="1"/>
      <c r="E397" s="1"/>
      <c r="F397" s="1"/>
      <c r="G397" s="1"/>
      <c r="H397" s="1"/>
      <c r="I397" s="1"/>
    </row>
    <row r="398" ht="15.75" customHeight="1">
      <c r="A398" s="1" t="s">
        <v>417</v>
      </c>
      <c r="B398" s="1" t="s">
        <v>404</v>
      </c>
      <c r="C398" s="1"/>
      <c r="D398" s="1"/>
      <c r="E398" s="1"/>
      <c r="F398" s="1"/>
      <c r="G398" s="1"/>
      <c r="H398" s="1"/>
      <c r="I398" s="1"/>
    </row>
    <row r="399" ht="15.75" customHeight="1">
      <c r="A399" s="1" t="s">
        <v>418</v>
      </c>
      <c r="B399" s="1" t="s">
        <v>404</v>
      </c>
      <c r="C399" s="1"/>
      <c r="D399" s="1"/>
      <c r="E399" s="1"/>
      <c r="F399" s="1"/>
      <c r="G399" s="1"/>
      <c r="H399" s="1"/>
      <c r="I399" s="1"/>
    </row>
    <row r="400" ht="15.75" customHeight="1">
      <c r="A400" s="1" t="s">
        <v>419</v>
      </c>
      <c r="B400" s="1" t="s">
        <v>404</v>
      </c>
      <c r="C400" s="1"/>
      <c r="D400" s="1"/>
      <c r="E400" s="1"/>
      <c r="F400" s="1"/>
      <c r="G400" s="1"/>
      <c r="H400" s="1"/>
      <c r="I400" s="1"/>
    </row>
    <row r="401" ht="15.75" customHeight="1">
      <c r="A401" s="1" t="s">
        <v>420</v>
      </c>
      <c r="B401" s="1" t="s">
        <v>404</v>
      </c>
      <c r="C401" s="1"/>
      <c r="D401" s="1"/>
      <c r="E401" s="1"/>
      <c r="F401" s="1"/>
      <c r="G401" s="1"/>
      <c r="H401" s="1"/>
      <c r="I401" s="1"/>
    </row>
    <row r="402" ht="15.75" customHeight="1">
      <c r="A402" s="1" t="s">
        <v>421</v>
      </c>
      <c r="B402" s="1" t="s">
        <v>404</v>
      </c>
      <c r="C402" s="1"/>
      <c r="D402" s="1"/>
      <c r="E402" s="1"/>
      <c r="F402" s="1"/>
      <c r="G402" s="1"/>
      <c r="H402" s="1"/>
      <c r="I402" s="1"/>
    </row>
    <row r="403" ht="15.75" customHeight="1">
      <c r="A403" s="1" t="s">
        <v>422</v>
      </c>
      <c r="B403" s="1" t="s">
        <v>404</v>
      </c>
      <c r="C403" s="1"/>
      <c r="D403" s="1"/>
      <c r="E403" s="1"/>
      <c r="F403" s="1"/>
      <c r="G403" s="1"/>
      <c r="H403" s="1"/>
      <c r="I403" s="1"/>
    </row>
    <row r="404" ht="15.75" customHeight="1">
      <c r="A404" s="1" t="s">
        <v>423</v>
      </c>
      <c r="B404" s="1" t="s">
        <v>404</v>
      </c>
      <c r="C404" s="1"/>
      <c r="D404" s="1"/>
      <c r="E404" s="1"/>
      <c r="F404" s="1"/>
      <c r="G404" s="1"/>
      <c r="H404" s="1"/>
      <c r="I404" s="1"/>
    </row>
    <row r="405" ht="15.75" customHeight="1">
      <c r="A405" s="1" t="s">
        <v>424</v>
      </c>
      <c r="B405" s="1" t="s">
        <v>425</v>
      </c>
      <c r="C405" s="1"/>
      <c r="D405" s="1"/>
      <c r="E405" s="1"/>
      <c r="F405" s="1"/>
      <c r="G405" s="1"/>
      <c r="H405" s="1"/>
      <c r="I405" s="1"/>
    </row>
    <row r="406" ht="15.75" customHeight="1">
      <c r="A406" s="1" t="s">
        <v>426</v>
      </c>
      <c r="B406" s="1" t="s">
        <v>425</v>
      </c>
      <c r="C406" s="1"/>
      <c r="D406" s="1"/>
      <c r="E406" s="1"/>
      <c r="F406" s="1"/>
      <c r="G406" s="1"/>
      <c r="H406" s="1"/>
      <c r="I406" s="1"/>
    </row>
    <row r="407" ht="15.75" customHeight="1">
      <c r="A407" s="1" t="s">
        <v>427</v>
      </c>
      <c r="B407" s="1" t="s">
        <v>425</v>
      </c>
      <c r="C407" s="1"/>
      <c r="D407" s="1"/>
      <c r="E407" s="1"/>
      <c r="F407" s="1"/>
      <c r="G407" s="1"/>
      <c r="H407" s="1"/>
      <c r="I407" s="1"/>
    </row>
    <row r="408" ht="15.75" customHeight="1">
      <c r="A408" s="1" t="s">
        <v>428</v>
      </c>
      <c r="B408" s="1" t="s">
        <v>429</v>
      </c>
      <c r="C408" s="1"/>
      <c r="D408" s="1"/>
      <c r="E408" s="1"/>
      <c r="F408" s="1"/>
      <c r="G408" s="1"/>
      <c r="H408" s="1"/>
      <c r="I408" s="1"/>
    </row>
    <row r="409" ht="15.75" customHeight="1">
      <c r="A409" s="1" t="s">
        <v>430</v>
      </c>
      <c r="B409" s="1" t="s">
        <v>429</v>
      </c>
      <c r="C409" s="1"/>
      <c r="D409" s="1"/>
      <c r="E409" s="1"/>
      <c r="F409" s="1"/>
      <c r="G409" s="1"/>
      <c r="H409" s="1"/>
      <c r="I409" s="1"/>
    </row>
    <row r="410" ht="15.75" customHeight="1">
      <c r="A410" s="1" t="s">
        <v>431</v>
      </c>
      <c r="B410" s="1" t="s">
        <v>429</v>
      </c>
      <c r="C410" s="1"/>
      <c r="D410" s="1"/>
      <c r="E410" s="1"/>
      <c r="F410" s="1"/>
      <c r="G410" s="1"/>
      <c r="H410" s="1"/>
      <c r="I410" s="1"/>
    </row>
    <row r="411" ht="15.75" customHeight="1">
      <c r="A411" s="1" t="s">
        <v>432</v>
      </c>
      <c r="B411" s="1" t="s">
        <v>429</v>
      </c>
      <c r="C411" s="1"/>
      <c r="D411" s="1"/>
      <c r="E411" s="1"/>
      <c r="F411" s="1"/>
      <c r="G411" s="1"/>
      <c r="H411" s="1"/>
      <c r="I411" s="1"/>
    </row>
    <row r="412" ht="15.75" customHeight="1">
      <c r="A412" s="1" t="s">
        <v>433</v>
      </c>
      <c r="B412" s="1" t="s">
        <v>429</v>
      </c>
      <c r="C412" s="1"/>
      <c r="D412" s="1"/>
      <c r="E412" s="1"/>
      <c r="F412" s="1"/>
      <c r="G412" s="1"/>
      <c r="H412" s="1"/>
      <c r="I412" s="1"/>
    </row>
    <row r="413" ht="15.75" customHeight="1">
      <c r="A413" s="1" t="s">
        <v>434</v>
      </c>
      <c r="B413" s="1" t="s">
        <v>429</v>
      </c>
      <c r="C413" s="1"/>
      <c r="D413" s="1"/>
      <c r="E413" s="1"/>
      <c r="F413" s="1"/>
      <c r="G413" s="1"/>
      <c r="H413" s="1"/>
      <c r="I413" s="1"/>
    </row>
    <row r="414" ht="15.75" customHeight="1">
      <c r="A414" s="1" t="s">
        <v>435</v>
      </c>
      <c r="B414" s="1" t="s">
        <v>429</v>
      </c>
      <c r="C414" s="1"/>
      <c r="D414" s="1"/>
      <c r="E414" s="1"/>
      <c r="F414" s="1"/>
      <c r="G414" s="1"/>
      <c r="H414" s="1"/>
      <c r="I414" s="1"/>
    </row>
    <row r="415" ht="15.75" customHeight="1">
      <c r="A415" s="1" t="s">
        <v>436</v>
      </c>
      <c r="B415" s="1" t="s">
        <v>429</v>
      </c>
      <c r="C415" s="1"/>
      <c r="D415" s="1"/>
      <c r="E415" s="1"/>
      <c r="F415" s="1"/>
      <c r="G415" s="1"/>
      <c r="H415" s="1"/>
      <c r="I415" s="1"/>
    </row>
    <row r="416" ht="15.75" customHeight="1">
      <c r="A416" s="1" t="s">
        <v>437</v>
      </c>
      <c r="B416" s="1" t="s">
        <v>429</v>
      </c>
      <c r="C416" s="1"/>
      <c r="D416" s="1"/>
      <c r="E416" s="1"/>
      <c r="F416" s="1"/>
      <c r="G416" s="1"/>
      <c r="H416" s="1"/>
      <c r="I416" s="1"/>
    </row>
    <row r="417" ht="15.75" customHeight="1">
      <c r="A417" s="1" t="s">
        <v>438</v>
      </c>
      <c r="B417" s="1" t="s">
        <v>429</v>
      </c>
      <c r="C417" s="1"/>
      <c r="D417" s="1"/>
      <c r="E417" s="1"/>
      <c r="F417" s="1"/>
      <c r="G417" s="1"/>
      <c r="H417" s="1"/>
      <c r="I417" s="1"/>
    </row>
    <row r="418" ht="15.75" customHeight="1">
      <c r="A418" s="1" t="s">
        <v>439</v>
      </c>
      <c r="B418" s="1" t="s">
        <v>429</v>
      </c>
      <c r="C418" s="1"/>
      <c r="D418" s="1"/>
      <c r="E418" s="1"/>
      <c r="F418" s="1"/>
      <c r="G418" s="1"/>
      <c r="H418" s="1"/>
      <c r="I418" s="1"/>
    </row>
    <row r="419" ht="15.75" customHeight="1">
      <c r="A419" s="1" t="s">
        <v>440</v>
      </c>
      <c r="B419" s="1" t="s">
        <v>429</v>
      </c>
      <c r="C419" s="1"/>
      <c r="D419" s="1"/>
      <c r="E419" s="1"/>
      <c r="F419" s="1"/>
      <c r="G419" s="1"/>
      <c r="H419" s="1"/>
      <c r="I419" s="1"/>
    </row>
    <row r="420" ht="15.75" customHeight="1">
      <c r="A420" s="1" t="s">
        <v>441</v>
      </c>
      <c r="B420" s="1" t="s">
        <v>429</v>
      </c>
      <c r="C420" s="1"/>
      <c r="D420" s="1"/>
      <c r="E420" s="1"/>
      <c r="F420" s="1"/>
      <c r="G420" s="1"/>
      <c r="H420" s="1"/>
      <c r="I420" s="1"/>
    </row>
    <row r="421" ht="15.75" customHeight="1">
      <c r="A421" s="1" t="s">
        <v>442</v>
      </c>
      <c r="B421" s="1" t="s">
        <v>429</v>
      </c>
      <c r="C421" s="1"/>
      <c r="D421" s="1"/>
      <c r="E421" s="1"/>
      <c r="F421" s="1"/>
      <c r="G421" s="1"/>
      <c r="H421" s="1"/>
      <c r="I421" s="1"/>
    </row>
    <row r="422" ht="15.75" customHeight="1">
      <c r="A422" s="1" t="s">
        <v>443</v>
      </c>
      <c r="B422" s="1" t="s">
        <v>429</v>
      </c>
      <c r="C422" s="1"/>
      <c r="D422" s="1"/>
      <c r="E422" s="1"/>
      <c r="F422" s="1"/>
      <c r="G422" s="1"/>
      <c r="H422" s="1"/>
      <c r="I422" s="1"/>
    </row>
    <row r="423" ht="15.75" customHeight="1">
      <c r="A423" s="1" t="s">
        <v>444</v>
      </c>
      <c r="B423" s="1" t="s">
        <v>429</v>
      </c>
      <c r="C423" s="1"/>
      <c r="D423" s="1"/>
      <c r="E423" s="1"/>
      <c r="F423" s="1"/>
      <c r="G423" s="1"/>
      <c r="H423" s="1"/>
      <c r="I423" s="1"/>
    </row>
    <row r="424" ht="15.75" customHeight="1">
      <c r="A424" s="1" t="s">
        <v>445</v>
      </c>
      <c r="B424" s="1" t="s">
        <v>429</v>
      </c>
      <c r="C424" s="1"/>
      <c r="D424" s="1"/>
      <c r="E424" s="1"/>
      <c r="F424" s="1"/>
      <c r="G424" s="1"/>
      <c r="H424" s="1"/>
      <c r="I424" s="1"/>
    </row>
    <row r="425" ht="15.75" customHeight="1">
      <c r="A425" s="1" t="s">
        <v>446</v>
      </c>
      <c r="B425" s="1" t="s">
        <v>447</v>
      </c>
      <c r="C425" s="1"/>
      <c r="D425" s="1"/>
      <c r="E425" s="1"/>
      <c r="F425" s="1"/>
      <c r="G425" s="1"/>
      <c r="H425" s="1"/>
      <c r="I425" s="1"/>
    </row>
    <row r="426" ht="15.75" customHeight="1">
      <c r="A426" s="1" t="s">
        <v>448</v>
      </c>
      <c r="B426" s="1" t="s">
        <v>447</v>
      </c>
      <c r="C426" s="1"/>
      <c r="D426" s="1"/>
      <c r="E426" s="1"/>
      <c r="F426" s="1"/>
      <c r="G426" s="1"/>
      <c r="H426" s="1"/>
      <c r="I426" s="1"/>
    </row>
    <row r="427" ht="15.75" customHeight="1">
      <c r="A427" s="1" t="s">
        <v>449</v>
      </c>
      <c r="B427" s="1" t="s">
        <v>447</v>
      </c>
      <c r="C427" s="1"/>
      <c r="D427" s="1"/>
      <c r="E427" s="1"/>
      <c r="F427" s="1"/>
      <c r="G427" s="1"/>
      <c r="H427" s="1"/>
      <c r="I427" s="1"/>
    </row>
    <row r="428" ht="15.75" customHeight="1">
      <c r="A428" s="1" t="s">
        <v>450</v>
      </c>
      <c r="B428" s="1" t="s">
        <v>447</v>
      </c>
      <c r="C428" s="1"/>
      <c r="D428" s="1"/>
      <c r="E428" s="1"/>
      <c r="F428" s="1"/>
      <c r="G428" s="1"/>
      <c r="H428" s="1"/>
      <c r="I428" s="1"/>
    </row>
    <row r="429" ht="15.75" customHeight="1">
      <c r="A429" s="1" t="s">
        <v>451</v>
      </c>
      <c r="B429" s="1" t="s">
        <v>447</v>
      </c>
      <c r="C429" s="1"/>
      <c r="D429" s="1"/>
      <c r="E429" s="1"/>
      <c r="F429" s="1"/>
      <c r="G429" s="1"/>
      <c r="H429" s="1"/>
      <c r="I429" s="1"/>
    </row>
    <row r="430" ht="15.75" customHeight="1">
      <c r="A430" s="1" t="s">
        <v>452</v>
      </c>
      <c r="B430" s="1" t="s">
        <v>453</v>
      </c>
      <c r="C430" s="1"/>
      <c r="D430" s="1"/>
      <c r="E430" s="1"/>
      <c r="F430" s="1"/>
      <c r="G430" s="1"/>
      <c r="H430" s="1"/>
      <c r="I430" s="1"/>
    </row>
    <row r="431" ht="15.75" customHeight="1">
      <c r="A431" s="1" t="s">
        <v>454</v>
      </c>
      <c r="B431" s="1" t="s">
        <v>453</v>
      </c>
      <c r="C431" s="1"/>
      <c r="D431" s="1"/>
      <c r="E431" s="1"/>
      <c r="F431" s="1"/>
      <c r="G431" s="1"/>
      <c r="H431" s="1"/>
      <c r="I431" s="1"/>
    </row>
    <row r="432" ht="15.75" customHeight="1">
      <c r="A432" s="1" t="s">
        <v>455</v>
      </c>
      <c r="B432" s="1" t="s">
        <v>453</v>
      </c>
      <c r="C432" s="1"/>
      <c r="D432" s="1"/>
      <c r="E432" s="1"/>
      <c r="F432" s="1"/>
      <c r="G432" s="1"/>
      <c r="H432" s="1"/>
      <c r="I432" s="1"/>
    </row>
    <row r="433" ht="15.75" customHeight="1">
      <c r="A433" s="1" t="s">
        <v>456</v>
      </c>
      <c r="B433" s="1" t="s">
        <v>453</v>
      </c>
      <c r="C433" s="1"/>
      <c r="D433" s="1"/>
      <c r="E433" s="1"/>
      <c r="F433" s="1"/>
      <c r="G433" s="1"/>
      <c r="H433" s="1"/>
      <c r="I433" s="1"/>
    </row>
    <row r="434" ht="15.75" customHeight="1">
      <c r="A434" s="1" t="s">
        <v>457</v>
      </c>
      <c r="B434" s="1" t="s">
        <v>453</v>
      </c>
      <c r="C434" s="1"/>
      <c r="D434" s="1"/>
      <c r="E434" s="1"/>
      <c r="F434" s="1"/>
      <c r="G434" s="1"/>
      <c r="H434" s="1"/>
      <c r="I434" s="1"/>
    </row>
    <row r="435" ht="15.75" customHeight="1">
      <c r="A435" s="1" t="s">
        <v>458</v>
      </c>
      <c r="B435" s="1" t="s">
        <v>453</v>
      </c>
      <c r="C435" s="1"/>
      <c r="D435" s="1"/>
      <c r="E435" s="1"/>
      <c r="F435" s="1"/>
      <c r="G435" s="1"/>
      <c r="H435" s="1"/>
      <c r="I435" s="1"/>
    </row>
    <row r="436" ht="15.75" customHeight="1">
      <c r="A436" s="1" t="s">
        <v>459</v>
      </c>
      <c r="B436" s="1" t="s">
        <v>453</v>
      </c>
      <c r="C436" s="1"/>
      <c r="D436" s="1"/>
      <c r="E436" s="1"/>
      <c r="F436" s="1"/>
      <c r="G436" s="1"/>
      <c r="H436" s="1"/>
      <c r="I436" s="1"/>
    </row>
    <row r="437" ht="15.75" customHeight="1">
      <c r="A437" s="1" t="s">
        <v>460</v>
      </c>
      <c r="B437" s="1" t="s">
        <v>453</v>
      </c>
      <c r="C437" s="1"/>
      <c r="D437" s="1"/>
      <c r="E437" s="1"/>
      <c r="F437" s="1"/>
      <c r="G437" s="1"/>
      <c r="H437" s="1"/>
      <c r="I437" s="1"/>
    </row>
    <row r="438" ht="15.75" customHeight="1">
      <c r="A438" s="1" t="s">
        <v>461</v>
      </c>
      <c r="B438" s="1" t="s">
        <v>453</v>
      </c>
      <c r="C438" s="1"/>
      <c r="D438" s="1"/>
      <c r="E438" s="1"/>
      <c r="F438" s="1"/>
      <c r="G438" s="1"/>
      <c r="H438" s="1"/>
      <c r="I438" s="1"/>
    </row>
    <row r="439" ht="15.75" customHeight="1">
      <c r="A439" s="1" t="s">
        <v>462</v>
      </c>
      <c r="B439" s="1" t="s">
        <v>453</v>
      </c>
      <c r="C439" s="1"/>
      <c r="D439" s="1"/>
      <c r="E439" s="1"/>
      <c r="F439" s="1"/>
      <c r="G439" s="1"/>
      <c r="H439" s="1"/>
      <c r="I439" s="1"/>
    </row>
    <row r="440" ht="15.75" customHeight="1">
      <c r="A440" s="1" t="s">
        <v>463</v>
      </c>
      <c r="B440" s="1" t="s">
        <v>453</v>
      </c>
      <c r="C440" s="1"/>
      <c r="D440" s="1"/>
      <c r="E440" s="1"/>
      <c r="F440" s="1"/>
      <c r="G440" s="1"/>
      <c r="H440" s="1"/>
      <c r="I440" s="1"/>
    </row>
    <row r="441" ht="15.75" customHeight="1">
      <c r="A441" s="1" t="s">
        <v>464</v>
      </c>
      <c r="B441" s="1" t="s">
        <v>453</v>
      </c>
      <c r="C441" s="1"/>
      <c r="D441" s="1"/>
      <c r="E441" s="1"/>
      <c r="F441" s="1"/>
      <c r="G441" s="1"/>
      <c r="H441" s="1"/>
      <c r="I441" s="1"/>
    </row>
    <row r="442" ht="15.75" customHeight="1">
      <c r="A442" s="1" t="s">
        <v>465</v>
      </c>
      <c r="B442" s="1" t="s">
        <v>453</v>
      </c>
      <c r="C442" s="1"/>
      <c r="D442" s="1"/>
      <c r="E442" s="1"/>
      <c r="F442" s="1"/>
      <c r="G442" s="1"/>
      <c r="H442" s="1"/>
      <c r="I442" s="1"/>
    </row>
    <row r="443" ht="15.75" customHeight="1">
      <c r="A443" s="1" t="s">
        <v>466</v>
      </c>
      <c r="B443" s="1" t="s">
        <v>453</v>
      </c>
      <c r="C443" s="1"/>
      <c r="D443" s="1"/>
      <c r="E443" s="1"/>
      <c r="F443" s="1"/>
      <c r="G443" s="1"/>
      <c r="H443" s="1"/>
      <c r="I443" s="1"/>
    </row>
    <row r="444" ht="15.75" customHeight="1">
      <c r="A444" s="1" t="s">
        <v>467</v>
      </c>
      <c r="B444" s="1" t="s">
        <v>453</v>
      </c>
      <c r="C444" s="1"/>
      <c r="D444" s="1"/>
      <c r="E444" s="1"/>
      <c r="F444" s="1"/>
      <c r="G444" s="1"/>
      <c r="H444" s="1"/>
      <c r="I444" s="1"/>
    </row>
    <row r="445" ht="15.75" customHeight="1">
      <c r="A445" s="1" t="s">
        <v>468</v>
      </c>
      <c r="B445" s="1" t="s">
        <v>453</v>
      </c>
      <c r="C445" s="1"/>
      <c r="D445" s="1"/>
      <c r="E445" s="1"/>
      <c r="F445" s="1"/>
      <c r="G445" s="1"/>
      <c r="H445" s="1"/>
      <c r="I445" s="1"/>
    </row>
    <row r="446" ht="15.75" customHeight="1">
      <c r="A446" s="1" t="s">
        <v>469</v>
      </c>
      <c r="B446" s="1" t="s">
        <v>453</v>
      </c>
      <c r="C446" s="1"/>
      <c r="D446" s="1"/>
      <c r="E446" s="1"/>
      <c r="F446" s="1"/>
      <c r="G446" s="1"/>
      <c r="H446" s="1"/>
      <c r="I446" s="1"/>
    </row>
    <row r="447" ht="15.75" customHeight="1">
      <c r="A447" s="1" t="s">
        <v>470</v>
      </c>
      <c r="B447" s="1" t="s">
        <v>453</v>
      </c>
      <c r="C447" s="1"/>
      <c r="D447" s="1"/>
      <c r="E447" s="1"/>
      <c r="F447" s="1"/>
      <c r="G447" s="1"/>
      <c r="H447" s="1"/>
      <c r="I447" s="1"/>
    </row>
    <row r="448" ht="15.75" customHeight="1">
      <c r="A448" s="1" t="s">
        <v>471</v>
      </c>
      <c r="B448" s="1" t="s">
        <v>453</v>
      </c>
      <c r="C448" s="1"/>
      <c r="D448" s="1"/>
      <c r="E448" s="1"/>
      <c r="F448" s="1"/>
      <c r="G448" s="1"/>
      <c r="H448" s="1"/>
      <c r="I448" s="1"/>
    </row>
    <row r="449" ht="15.75" customHeight="1">
      <c r="A449" s="1" t="s">
        <v>472</v>
      </c>
      <c r="B449" s="1" t="s">
        <v>453</v>
      </c>
      <c r="C449" s="1"/>
      <c r="D449" s="1"/>
      <c r="E449" s="1"/>
      <c r="F449" s="1"/>
      <c r="G449" s="1"/>
      <c r="H449" s="1"/>
      <c r="I449" s="1"/>
    </row>
    <row r="450" ht="15.75" customHeight="1">
      <c r="A450" s="1" t="s">
        <v>473</v>
      </c>
      <c r="B450" s="1" t="s">
        <v>453</v>
      </c>
      <c r="C450" s="1"/>
      <c r="D450" s="1"/>
      <c r="E450" s="1"/>
      <c r="F450" s="1"/>
      <c r="G450" s="1"/>
      <c r="H450" s="1"/>
      <c r="I450" s="1"/>
    </row>
    <row r="451" ht="15.75" customHeight="1">
      <c r="A451" s="1" t="s">
        <v>474</v>
      </c>
      <c r="B451" s="1" t="s">
        <v>453</v>
      </c>
      <c r="C451" s="1"/>
      <c r="D451" s="1"/>
      <c r="E451" s="1"/>
      <c r="F451" s="1"/>
      <c r="G451" s="1"/>
      <c r="H451" s="1"/>
      <c r="I451" s="1"/>
    </row>
    <row r="452" ht="15.75" customHeight="1">
      <c r="A452" s="1" t="s">
        <v>475</v>
      </c>
      <c r="B452" s="1" t="s">
        <v>453</v>
      </c>
      <c r="C452" s="1"/>
      <c r="D452" s="1"/>
      <c r="E452" s="1"/>
      <c r="F452" s="1"/>
      <c r="G452" s="1"/>
      <c r="H452" s="1"/>
      <c r="I452" s="1"/>
    </row>
    <row r="453" ht="15.75" customHeight="1">
      <c r="A453" s="1" t="s">
        <v>476</v>
      </c>
      <c r="B453" s="1" t="s">
        <v>453</v>
      </c>
      <c r="C453" s="1"/>
      <c r="D453" s="1"/>
      <c r="E453" s="1"/>
      <c r="F453" s="1"/>
      <c r="G453" s="1"/>
      <c r="H453" s="1"/>
      <c r="I453" s="1"/>
    </row>
    <row r="454" ht="15.75" customHeight="1">
      <c r="A454" s="1" t="s">
        <v>477</v>
      </c>
      <c r="B454" s="1" t="s">
        <v>453</v>
      </c>
      <c r="C454" s="1"/>
      <c r="D454" s="1"/>
      <c r="E454" s="1"/>
      <c r="F454" s="1"/>
      <c r="G454" s="1"/>
      <c r="H454" s="1"/>
      <c r="I454" s="1"/>
    </row>
    <row r="455" ht="15.75" customHeight="1">
      <c r="A455" s="1" t="s">
        <v>478</v>
      </c>
      <c r="B455" s="1" t="s">
        <v>453</v>
      </c>
      <c r="C455" s="1"/>
      <c r="D455" s="1"/>
      <c r="E455" s="1"/>
      <c r="F455" s="1"/>
      <c r="G455" s="1"/>
      <c r="H455" s="1"/>
      <c r="I455" s="1"/>
    </row>
    <row r="456" ht="15.75" customHeight="1">
      <c r="A456" s="1" t="s">
        <v>479</v>
      </c>
      <c r="B456" s="1" t="s">
        <v>453</v>
      </c>
      <c r="C456" s="1"/>
      <c r="D456" s="1"/>
      <c r="E456" s="1"/>
      <c r="F456" s="1"/>
      <c r="G456" s="1"/>
      <c r="H456" s="1"/>
      <c r="I456" s="1"/>
    </row>
    <row r="457" ht="15.75" customHeight="1">
      <c r="A457" s="1" t="s">
        <v>480</v>
      </c>
      <c r="B457" s="1" t="s">
        <v>453</v>
      </c>
      <c r="C457" s="1"/>
      <c r="D457" s="1"/>
      <c r="E457" s="1"/>
      <c r="F457" s="1"/>
      <c r="G457" s="1"/>
      <c r="H457" s="1"/>
      <c r="I457" s="1"/>
    </row>
    <row r="458" ht="15.75" customHeight="1">
      <c r="A458" s="1" t="s">
        <v>481</v>
      </c>
      <c r="B458" s="1" t="s">
        <v>453</v>
      </c>
      <c r="C458" s="1"/>
      <c r="D458" s="1"/>
      <c r="E458" s="1"/>
      <c r="F458" s="1"/>
      <c r="G458" s="1"/>
      <c r="H458" s="1"/>
      <c r="I458" s="1"/>
    </row>
    <row r="459" ht="15.75" customHeight="1">
      <c r="A459" s="1" t="s">
        <v>482</v>
      </c>
      <c r="B459" s="1" t="s">
        <v>453</v>
      </c>
      <c r="C459" s="1"/>
      <c r="D459" s="1"/>
      <c r="E459" s="1"/>
      <c r="F459" s="1"/>
      <c r="G459" s="1"/>
      <c r="H459" s="1"/>
      <c r="I459" s="1"/>
    </row>
    <row r="460" ht="15.75" customHeight="1">
      <c r="A460" s="1" t="s">
        <v>483</v>
      </c>
      <c r="B460" s="1" t="s">
        <v>453</v>
      </c>
      <c r="C460" s="1"/>
      <c r="D460" s="1"/>
      <c r="E460" s="1"/>
      <c r="F460" s="1"/>
      <c r="G460" s="1"/>
      <c r="H460" s="1"/>
      <c r="I460" s="1"/>
    </row>
    <row r="461" ht="15.75" customHeight="1">
      <c r="A461" s="1" t="s">
        <v>484</v>
      </c>
      <c r="B461" s="1" t="s">
        <v>453</v>
      </c>
      <c r="C461" s="1"/>
      <c r="D461" s="1"/>
      <c r="E461" s="1"/>
      <c r="F461" s="1"/>
      <c r="G461" s="1"/>
      <c r="H461" s="1"/>
      <c r="I461" s="1"/>
    </row>
    <row r="462" ht="15.75" customHeight="1">
      <c r="A462" s="1" t="s">
        <v>485</v>
      </c>
      <c r="B462" s="1" t="s">
        <v>453</v>
      </c>
      <c r="C462" s="1"/>
      <c r="D462" s="1"/>
      <c r="E462" s="1"/>
      <c r="F462" s="1"/>
      <c r="G462" s="1"/>
      <c r="H462" s="1"/>
      <c r="I462" s="1"/>
    </row>
    <row r="463" ht="15.75" customHeight="1">
      <c r="A463" s="1" t="s">
        <v>486</v>
      </c>
      <c r="B463" s="1" t="s">
        <v>453</v>
      </c>
      <c r="C463" s="1"/>
      <c r="D463" s="1"/>
      <c r="E463" s="1"/>
      <c r="F463" s="1"/>
      <c r="G463" s="1"/>
      <c r="H463" s="1"/>
      <c r="I463" s="1"/>
    </row>
    <row r="464" ht="15.75" customHeight="1">
      <c r="A464" s="1" t="s">
        <v>487</v>
      </c>
      <c r="B464" s="1" t="s">
        <v>453</v>
      </c>
      <c r="C464" s="1"/>
      <c r="D464" s="1"/>
      <c r="E464" s="1"/>
      <c r="F464" s="1"/>
      <c r="G464" s="1"/>
      <c r="H464" s="1"/>
      <c r="I464" s="1"/>
    </row>
    <row r="465" ht="15.75" customHeight="1">
      <c r="A465" s="1" t="s">
        <v>488</v>
      </c>
      <c r="B465" s="1" t="s">
        <v>453</v>
      </c>
      <c r="C465" s="1"/>
      <c r="D465" s="1"/>
      <c r="E465" s="1"/>
      <c r="F465" s="1"/>
      <c r="G465" s="1"/>
      <c r="H465" s="1"/>
      <c r="I465" s="1"/>
    </row>
    <row r="466" ht="15.75" customHeight="1">
      <c r="A466" s="1" t="s">
        <v>489</v>
      </c>
      <c r="B466" s="1" t="s">
        <v>453</v>
      </c>
      <c r="C466" s="1"/>
      <c r="D466" s="1"/>
      <c r="E466" s="1"/>
      <c r="F466" s="1"/>
      <c r="G466" s="1"/>
      <c r="H466" s="1"/>
      <c r="I466" s="1"/>
    </row>
    <row r="467" ht="15.75" customHeight="1">
      <c r="A467" s="1" t="s">
        <v>490</v>
      </c>
      <c r="B467" s="1" t="s">
        <v>453</v>
      </c>
      <c r="C467" s="1"/>
      <c r="D467" s="1"/>
      <c r="E467" s="1"/>
      <c r="F467" s="1"/>
      <c r="G467" s="1"/>
      <c r="H467" s="1"/>
      <c r="I467" s="1"/>
    </row>
    <row r="468" ht="15.75" customHeight="1">
      <c r="A468" s="1" t="s">
        <v>491</v>
      </c>
      <c r="B468" s="1" t="s">
        <v>453</v>
      </c>
      <c r="C468" s="1"/>
      <c r="D468" s="1"/>
      <c r="E468" s="1"/>
      <c r="F468" s="1"/>
      <c r="G468" s="1"/>
      <c r="H468" s="1"/>
      <c r="I468" s="1"/>
    </row>
    <row r="469" ht="15.75" customHeight="1">
      <c r="A469" s="1" t="s">
        <v>492</v>
      </c>
      <c r="B469" s="1" t="s">
        <v>453</v>
      </c>
      <c r="C469" s="1"/>
      <c r="D469" s="1"/>
      <c r="E469" s="1"/>
      <c r="F469" s="1"/>
      <c r="G469" s="1"/>
      <c r="H469" s="1"/>
      <c r="I469" s="1"/>
    </row>
    <row r="470" ht="15.75" customHeight="1">
      <c r="A470" s="1" t="s">
        <v>493</v>
      </c>
      <c r="B470" s="1" t="s">
        <v>453</v>
      </c>
      <c r="C470" s="1"/>
      <c r="D470" s="1"/>
      <c r="E470" s="1"/>
      <c r="F470" s="1"/>
      <c r="G470" s="1"/>
      <c r="H470" s="1"/>
      <c r="I470" s="1"/>
    </row>
    <row r="471" ht="15.75" customHeight="1">
      <c r="A471" s="1" t="s">
        <v>494</v>
      </c>
      <c r="B471" s="1" t="s">
        <v>453</v>
      </c>
      <c r="C471" s="1"/>
      <c r="D471" s="1"/>
      <c r="E471" s="1"/>
      <c r="F471" s="1"/>
      <c r="G471" s="1"/>
      <c r="H471" s="1"/>
      <c r="I471" s="1"/>
    </row>
    <row r="472" ht="15.75" customHeight="1">
      <c r="A472" s="1" t="s">
        <v>495</v>
      </c>
      <c r="B472" s="1" t="s">
        <v>453</v>
      </c>
      <c r="C472" s="1"/>
      <c r="D472" s="1"/>
      <c r="E472" s="1"/>
      <c r="F472" s="1"/>
      <c r="G472" s="1"/>
      <c r="H472" s="1"/>
      <c r="I472" s="1"/>
    </row>
    <row r="473" ht="15.75" customHeight="1">
      <c r="A473" s="1" t="s">
        <v>496</v>
      </c>
      <c r="B473" s="1" t="s">
        <v>453</v>
      </c>
      <c r="C473" s="1"/>
      <c r="D473" s="1"/>
      <c r="E473" s="1"/>
      <c r="F473" s="1"/>
      <c r="G473" s="1"/>
      <c r="H473" s="1"/>
      <c r="I473" s="1"/>
    </row>
    <row r="474" ht="15.75" customHeight="1">
      <c r="A474" s="1" t="s">
        <v>497</v>
      </c>
      <c r="B474" s="1" t="s">
        <v>453</v>
      </c>
      <c r="C474" s="1"/>
      <c r="D474" s="1"/>
      <c r="E474" s="1"/>
      <c r="F474" s="1"/>
      <c r="G474" s="1"/>
      <c r="H474" s="1"/>
      <c r="I474" s="1"/>
    </row>
    <row r="475" ht="15.75" customHeight="1">
      <c r="A475" s="1" t="s">
        <v>498</v>
      </c>
      <c r="B475" s="1" t="s">
        <v>453</v>
      </c>
      <c r="C475" s="1"/>
      <c r="D475" s="1"/>
      <c r="E475" s="1"/>
      <c r="F475" s="1"/>
      <c r="G475" s="1"/>
      <c r="H475" s="1"/>
      <c r="I475" s="1"/>
    </row>
    <row r="476" ht="15.75" customHeight="1">
      <c r="A476" s="1" t="s">
        <v>499</v>
      </c>
      <c r="B476" s="1" t="s">
        <v>453</v>
      </c>
      <c r="C476" s="1"/>
      <c r="D476" s="1"/>
      <c r="E476" s="1"/>
      <c r="F476" s="1"/>
      <c r="G476" s="1"/>
      <c r="H476" s="1"/>
      <c r="I476" s="1"/>
    </row>
    <row r="477" ht="15.75" customHeight="1">
      <c r="A477" s="1" t="s">
        <v>500</v>
      </c>
      <c r="B477" s="1" t="s">
        <v>453</v>
      </c>
      <c r="C477" s="1"/>
      <c r="D477" s="1"/>
      <c r="E477" s="1"/>
      <c r="F477" s="1"/>
      <c r="G477" s="1"/>
      <c r="H477" s="1"/>
      <c r="I477" s="1"/>
    </row>
    <row r="478" ht="15.75" customHeight="1">
      <c r="A478" s="1" t="s">
        <v>501</v>
      </c>
      <c r="B478" s="1" t="s">
        <v>453</v>
      </c>
      <c r="C478" s="1"/>
      <c r="D478" s="1"/>
      <c r="E478" s="1"/>
      <c r="F478" s="1"/>
      <c r="G478" s="1"/>
      <c r="H478" s="1"/>
      <c r="I478" s="1"/>
    </row>
    <row r="479" ht="15.75" customHeight="1">
      <c r="A479" s="1" t="s">
        <v>502</v>
      </c>
      <c r="B479" s="1" t="s">
        <v>453</v>
      </c>
      <c r="C479" s="1"/>
      <c r="D479" s="1"/>
      <c r="E479" s="1"/>
      <c r="F479" s="1"/>
      <c r="G479" s="1"/>
      <c r="H479" s="1"/>
      <c r="I479" s="1"/>
    </row>
    <row r="480" ht="15.75" customHeight="1">
      <c r="A480" s="1" t="s">
        <v>503</v>
      </c>
      <c r="B480" s="1" t="s">
        <v>453</v>
      </c>
      <c r="C480" s="1"/>
      <c r="D480" s="1"/>
      <c r="E480" s="1"/>
      <c r="F480" s="1"/>
      <c r="G480" s="1"/>
      <c r="H480" s="1"/>
      <c r="I480" s="1"/>
    </row>
    <row r="481" ht="15.75" customHeight="1">
      <c r="A481" s="1" t="s">
        <v>504</v>
      </c>
      <c r="B481" s="1" t="s">
        <v>453</v>
      </c>
      <c r="C481" s="1"/>
      <c r="D481" s="1"/>
      <c r="E481" s="1"/>
      <c r="F481" s="1"/>
      <c r="G481" s="1"/>
      <c r="H481" s="1"/>
      <c r="I481" s="1"/>
    </row>
    <row r="482" ht="15.75" customHeight="1">
      <c r="A482" s="1" t="s">
        <v>505</v>
      </c>
      <c r="B482" s="1" t="s">
        <v>453</v>
      </c>
      <c r="C482" s="1"/>
      <c r="D482" s="1"/>
      <c r="E482" s="1"/>
      <c r="F482" s="1"/>
      <c r="G482" s="1"/>
      <c r="H482" s="1"/>
      <c r="I482" s="1"/>
    </row>
    <row r="483" ht="15.75" customHeight="1">
      <c r="A483" s="1" t="s">
        <v>506</v>
      </c>
      <c r="B483" s="1" t="s">
        <v>453</v>
      </c>
      <c r="C483" s="1"/>
      <c r="D483" s="1"/>
      <c r="E483" s="1"/>
      <c r="F483" s="1"/>
      <c r="G483" s="1"/>
      <c r="H483" s="1"/>
      <c r="I483" s="1"/>
    </row>
    <row r="484" ht="15.75" customHeight="1">
      <c r="A484" s="1" t="s">
        <v>507</v>
      </c>
      <c r="B484" s="1" t="s">
        <v>453</v>
      </c>
      <c r="C484" s="1"/>
      <c r="D484" s="1"/>
      <c r="E484" s="1"/>
      <c r="F484" s="1"/>
      <c r="G484" s="1"/>
      <c r="H484" s="1"/>
      <c r="I484" s="1"/>
    </row>
    <row r="485" ht="15.75" customHeight="1">
      <c r="A485" s="1" t="s">
        <v>508</v>
      </c>
      <c r="B485" s="1" t="s">
        <v>453</v>
      </c>
      <c r="C485" s="1"/>
      <c r="D485" s="1"/>
      <c r="E485" s="1"/>
      <c r="F485" s="1"/>
      <c r="G485" s="1"/>
      <c r="H485" s="1"/>
      <c r="I485" s="1"/>
    </row>
    <row r="486" ht="15.75" customHeight="1">
      <c r="A486" s="1" t="s">
        <v>509</v>
      </c>
      <c r="B486" s="1" t="s">
        <v>453</v>
      </c>
      <c r="C486" s="1"/>
      <c r="D486" s="1"/>
      <c r="E486" s="1"/>
      <c r="F486" s="1"/>
      <c r="G486" s="1"/>
      <c r="H486" s="1"/>
      <c r="I486" s="1"/>
    </row>
    <row r="487" ht="15.75" customHeight="1">
      <c r="A487" s="1" t="s">
        <v>510</v>
      </c>
      <c r="B487" s="1" t="s">
        <v>453</v>
      </c>
      <c r="C487" s="1"/>
      <c r="D487" s="1"/>
      <c r="E487" s="1"/>
      <c r="F487" s="1"/>
      <c r="G487" s="1"/>
      <c r="H487" s="1"/>
      <c r="I487" s="1"/>
    </row>
    <row r="488" ht="15.75" customHeight="1">
      <c r="A488" s="1" t="s">
        <v>511</v>
      </c>
      <c r="B488" s="1" t="s">
        <v>453</v>
      </c>
      <c r="C488" s="1"/>
      <c r="D488" s="1"/>
      <c r="E488" s="1"/>
      <c r="F488" s="1"/>
      <c r="G488" s="1"/>
      <c r="H488" s="1"/>
      <c r="I488" s="1"/>
    </row>
    <row r="489" ht="15.75" customHeight="1">
      <c r="A489" s="1" t="s">
        <v>512</v>
      </c>
      <c r="B489" s="1" t="s">
        <v>453</v>
      </c>
      <c r="C489" s="1"/>
      <c r="D489" s="1"/>
      <c r="E489" s="1"/>
      <c r="F489" s="1"/>
      <c r="G489" s="1"/>
      <c r="H489" s="1"/>
      <c r="I489" s="1"/>
    </row>
    <row r="490" ht="15.75" customHeight="1">
      <c r="A490" s="1" t="s">
        <v>513</v>
      </c>
      <c r="B490" s="1" t="s">
        <v>453</v>
      </c>
      <c r="C490" s="1"/>
      <c r="D490" s="1"/>
      <c r="E490" s="1"/>
      <c r="F490" s="1"/>
      <c r="G490" s="1"/>
      <c r="H490" s="1"/>
      <c r="I490" s="1"/>
    </row>
    <row r="491" ht="15.75" customHeight="1">
      <c r="A491" s="1" t="s">
        <v>514</v>
      </c>
      <c r="B491" s="1" t="s">
        <v>453</v>
      </c>
      <c r="C491" s="1"/>
      <c r="D491" s="1"/>
      <c r="E491" s="1"/>
      <c r="F491" s="1"/>
      <c r="G491" s="1"/>
      <c r="H491" s="1"/>
      <c r="I491" s="1"/>
    </row>
    <row r="492" ht="15.75" customHeight="1">
      <c r="A492" s="1" t="s">
        <v>515</v>
      </c>
      <c r="B492" s="1" t="s">
        <v>453</v>
      </c>
      <c r="C492" s="1"/>
      <c r="D492" s="1"/>
      <c r="E492" s="1"/>
      <c r="F492" s="1"/>
      <c r="G492" s="1"/>
      <c r="H492" s="1"/>
      <c r="I492" s="1"/>
    </row>
    <row r="493" ht="15.75" customHeight="1">
      <c r="A493" s="1" t="s">
        <v>516</v>
      </c>
      <c r="B493" s="1" t="s">
        <v>453</v>
      </c>
      <c r="C493" s="1"/>
      <c r="D493" s="1"/>
      <c r="E493" s="1"/>
      <c r="F493" s="1"/>
      <c r="G493" s="1"/>
      <c r="H493" s="1"/>
      <c r="I493" s="1"/>
    </row>
    <row r="494" ht="15.75" customHeight="1">
      <c r="A494" s="1" t="s">
        <v>517</v>
      </c>
      <c r="B494" s="1" t="s">
        <v>453</v>
      </c>
      <c r="C494" s="1"/>
      <c r="D494" s="1"/>
      <c r="E494" s="1"/>
      <c r="F494" s="1"/>
      <c r="G494" s="1"/>
      <c r="H494" s="1"/>
      <c r="I494" s="1"/>
    </row>
    <row r="495" ht="15.75" customHeight="1">
      <c r="A495" s="1" t="s">
        <v>518</v>
      </c>
      <c r="B495" s="1" t="s">
        <v>453</v>
      </c>
      <c r="C495" s="1"/>
      <c r="D495" s="1"/>
      <c r="E495" s="1"/>
      <c r="F495" s="1"/>
      <c r="G495" s="1"/>
      <c r="H495" s="1"/>
      <c r="I495" s="1"/>
    </row>
    <row r="496" ht="15.75" customHeight="1">
      <c r="A496" s="1" t="s">
        <v>519</v>
      </c>
      <c r="B496" s="1" t="s">
        <v>453</v>
      </c>
      <c r="C496" s="1"/>
      <c r="D496" s="1"/>
      <c r="E496" s="1"/>
      <c r="F496" s="1"/>
      <c r="G496" s="1"/>
      <c r="H496" s="1"/>
      <c r="I496" s="1"/>
    </row>
    <row r="497" ht="15.75" customHeight="1">
      <c r="A497" s="1" t="s">
        <v>520</v>
      </c>
      <c r="B497" s="1" t="s">
        <v>453</v>
      </c>
      <c r="C497" s="1"/>
      <c r="D497" s="1"/>
      <c r="E497" s="1"/>
      <c r="F497" s="1"/>
      <c r="G497" s="1"/>
      <c r="H497" s="1"/>
      <c r="I497" s="1"/>
    </row>
    <row r="498" ht="15.75" customHeight="1">
      <c r="A498" s="1" t="s">
        <v>521</v>
      </c>
      <c r="B498" s="1" t="s">
        <v>453</v>
      </c>
      <c r="C498" s="1"/>
      <c r="D498" s="1"/>
      <c r="E498" s="1"/>
      <c r="F498" s="1"/>
      <c r="G498" s="1"/>
      <c r="H498" s="1"/>
      <c r="I498" s="1"/>
    </row>
    <row r="499" ht="15.75" customHeight="1">
      <c r="A499" s="1" t="s">
        <v>522</v>
      </c>
      <c r="B499" s="1" t="s">
        <v>453</v>
      </c>
      <c r="C499" s="1"/>
      <c r="D499" s="1"/>
      <c r="E499" s="1"/>
      <c r="F499" s="1"/>
      <c r="G499" s="1"/>
      <c r="H499" s="1"/>
      <c r="I499" s="1"/>
    </row>
    <row r="500" ht="15.75" customHeight="1">
      <c r="A500" s="1" t="s">
        <v>523</v>
      </c>
      <c r="B500" s="1" t="s">
        <v>453</v>
      </c>
      <c r="C500" s="1"/>
      <c r="D500" s="1"/>
      <c r="E500" s="1"/>
      <c r="F500" s="1"/>
      <c r="G500" s="1"/>
      <c r="H500" s="1"/>
      <c r="I500" s="1"/>
    </row>
    <row r="501" ht="15.75" customHeight="1">
      <c r="A501" s="1" t="s">
        <v>524</v>
      </c>
      <c r="B501" s="1" t="s">
        <v>453</v>
      </c>
      <c r="C501" s="1"/>
      <c r="D501" s="1"/>
      <c r="E501" s="1"/>
      <c r="F501" s="1"/>
      <c r="G501" s="1"/>
      <c r="H501" s="1"/>
      <c r="I501" s="1"/>
    </row>
    <row r="502" ht="15.75" customHeight="1">
      <c r="A502" s="1" t="s">
        <v>525</v>
      </c>
      <c r="B502" s="1" t="s">
        <v>453</v>
      </c>
      <c r="C502" s="1"/>
      <c r="D502" s="1"/>
      <c r="E502" s="1"/>
      <c r="F502" s="1"/>
      <c r="G502" s="1"/>
      <c r="H502" s="1"/>
      <c r="I502" s="1"/>
    </row>
    <row r="503" ht="15.75" customHeight="1">
      <c r="A503" s="1" t="s">
        <v>526</v>
      </c>
      <c r="B503" s="1" t="s">
        <v>453</v>
      </c>
      <c r="C503" s="1"/>
      <c r="D503" s="1"/>
      <c r="E503" s="1"/>
      <c r="F503" s="1"/>
      <c r="G503" s="1"/>
      <c r="H503" s="1"/>
      <c r="I503" s="1"/>
    </row>
    <row r="504" ht="15.75" customHeight="1">
      <c r="A504" s="1" t="s">
        <v>527</v>
      </c>
      <c r="B504" s="1" t="s">
        <v>453</v>
      </c>
      <c r="C504" s="1"/>
      <c r="D504" s="1"/>
      <c r="E504" s="1"/>
      <c r="F504" s="1"/>
      <c r="G504" s="1"/>
      <c r="H504" s="1"/>
      <c r="I504" s="1"/>
    </row>
    <row r="505" ht="15.75" customHeight="1">
      <c r="A505" s="1" t="s">
        <v>528</v>
      </c>
      <c r="B505" s="1" t="s">
        <v>453</v>
      </c>
      <c r="C505" s="1"/>
      <c r="D505" s="1"/>
      <c r="E505" s="1"/>
      <c r="F505" s="1"/>
      <c r="G505" s="1"/>
      <c r="H505" s="1"/>
      <c r="I505" s="1"/>
    </row>
    <row r="506" ht="15.75" customHeight="1">
      <c r="A506" s="1" t="s">
        <v>529</v>
      </c>
      <c r="B506" s="1" t="s">
        <v>453</v>
      </c>
      <c r="C506" s="1"/>
      <c r="D506" s="1"/>
      <c r="E506" s="1"/>
      <c r="F506" s="1"/>
      <c r="G506" s="1"/>
      <c r="H506" s="1"/>
      <c r="I506" s="1"/>
    </row>
    <row r="507" ht="15.75" customHeight="1">
      <c r="A507" s="1" t="s">
        <v>530</v>
      </c>
      <c r="B507" s="1" t="s">
        <v>453</v>
      </c>
      <c r="C507" s="1"/>
      <c r="D507" s="1"/>
      <c r="E507" s="1"/>
      <c r="F507" s="1"/>
      <c r="G507" s="1"/>
      <c r="H507" s="1"/>
      <c r="I507" s="1"/>
    </row>
    <row r="508" ht="15.75" customHeight="1">
      <c r="A508" s="1" t="s">
        <v>531</v>
      </c>
      <c r="B508" s="1" t="s">
        <v>453</v>
      </c>
      <c r="C508" s="1"/>
      <c r="D508" s="1"/>
      <c r="E508" s="1"/>
      <c r="F508" s="1"/>
      <c r="G508" s="1"/>
      <c r="H508" s="1"/>
      <c r="I508" s="1"/>
    </row>
    <row r="509" ht="15.75" customHeight="1">
      <c r="A509" s="1" t="s">
        <v>532</v>
      </c>
      <c r="B509" s="1" t="s">
        <v>453</v>
      </c>
      <c r="C509" s="1"/>
      <c r="D509" s="1"/>
      <c r="E509" s="1"/>
      <c r="F509" s="1"/>
      <c r="G509" s="1"/>
      <c r="H509" s="1"/>
      <c r="I509" s="1"/>
    </row>
    <row r="510" ht="15.75" customHeight="1">
      <c r="A510" s="1" t="s">
        <v>533</v>
      </c>
      <c r="B510" s="1" t="s">
        <v>453</v>
      </c>
      <c r="C510" s="1"/>
      <c r="D510" s="1"/>
      <c r="E510" s="1"/>
      <c r="F510" s="1"/>
      <c r="G510" s="1"/>
      <c r="H510" s="1"/>
      <c r="I510" s="1"/>
    </row>
    <row r="511" ht="15.75" customHeight="1">
      <c r="A511" s="1" t="s">
        <v>534</v>
      </c>
      <c r="B511" s="1" t="s">
        <v>453</v>
      </c>
      <c r="C511" s="1"/>
      <c r="D511" s="1"/>
      <c r="E511" s="1"/>
      <c r="F511" s="1"/>
      <c r="G511" s="1"/>
      <c r="H511" s="1"/>
      <c r="I511" s="1"/>
    </row>
    <row r="512" ht="15.75" customHeight="1">
      <c r="A512" s="1" t="s">
        <v>535</v>
      </c>
      <c r="B512" s="1" t="s">
        <v>453</v>
      </c>
      <c r="C512" s="1"/>
      <c r="D512" s="1"/>
      <c r="E512" s="1"/>
      <c r="F512" s="1"/>
      <c r="G512" s="1"/>
      <c r="H512" s="1"/>
      <c r="I512" s="1"/>
    </row>
    <row r="513" ht="15.75" customHeight="1">
      <c r="A513" s="1" t="s">
        <v>536</v>
      </c>
      <c r="B513" s="1" t="s">
        <v>453</v>
      </c>
      <c r="C513" s="1"/>
      <c r="D513" s="1"/>
      <c r="E513" s="1"/>
      <c r="F513" s="1"/>
      <c r="G513" s="1"/>
      <c r="H513" s="1"/>
      <c r="I513" s="1"/>
    </row>
    <row r="514" ht="15.75" customHeight="1">
      <c r="A514" s="1" t="s">
        <v>537</v>
      </c>
      <c r="B514" s="1" t="s">
        <v>453</v>
      </c>
      <c r="C514" s="1"/>
      <c r="D514" s="1"/>
      <c r="E514" s="1"/>
      <c r="F514" s="1"/>
      <c r="G514" s="1"/>
      <c r="H514" s="1"/>
      <c r="I514" s="1"/>
    </row>
    <row r="515" ht="15.75" customHeight="1">
      <c r="A515" s="1" t="s">
        <v>538</v>
      </c>
      <c r="B515" s="1" t="s">
        <v>453</v>
      </c>
      <c r="C515" s="1"/>
      <c r="D515" s="1"/>
      <c r="E515" s="1"/>
      <c r="F515" s="1"/>
      <c r="G515" s="1"/>
      <c r="H515" s="1"/>
      <c r="I515" s="1"/>
    </row>
    <row r="516" ht="15.75" customHeight="1">
      <c r="A516" s="1" t="s">
        <v>539</v>
      </c>
      <c r="B516" s="1" t="s">
        <v>453</v>
      </c>
      <c r="C516" s="1"/>
      <c r="D516" s="1"/>
      <c r="E516" s="1"/>
      <c r="F516" s="1"/>
      <c r="G516" s="1"/>
      <c r="H516" s="1"/>
      <c r="I516" s="1"/>
    </row>
    <row r="517" ht="15.75" customHeight="1">
      <c r="A517" s="1" t="s">
        <v>540</v>
      </c>
      <c r="B517" s="1" t="s">
        <v>453</v>
      </c>
      <c r="C517" s="1"/>
      <c r="D517" s="1"/>
      <c r="E517" s="1"/>
      <c r="F517" s="1"/>
      <c r="G517" s="1"/>
      <c r="H517" s="1"/>
      <c r="I517" s="1"/>
    </row>
    <row r="518" ht="15.75" customHeight="1">
      <c r="A518" s="1" t="s">
        <v>541</v>
      </c>
      <c r="B518" s="1" t="s">
        <v>453</v>
      </c>
      <c r="C518" s="1"/>
      <c r="D518" s="1"/>
      <c r="E518" s="1"/>
      <c r="F518" s="1"/>
      <c r="G518" s="1"/>
      <c r="H518" s="1"/>
      <c r="I518" s="1"/>
    </row>
    <row r="519" ht="15.75" customHeight="1">
      <c r="A519" s="1" t="s">
        <v>542</v>
      </c>
      <c r="B519" s="1" t="s">
        <v>453</v>
      </c>
      <c r="C519" s="1"/>
      <c r="D519" s="1"/>
      <c r="E519" s="1"/>
      <c r="F519" s="1"/>
      <c r="G519" s="1"/>
      <c r="H519" s="1"/>
      <c r="I519" s="1"/>
    </row>
    <row r="520" ht="15.75" customHeight="1">
      <c r="A520" s="1" t="s">
        <v>543</v>
      </c>
      <c r="B520" s="1" t="s">
        <v>453</v>
      </c>
      <c r="C520" s="1"/>
      <c r="D520" s="1"/>
      <c r="E520" s="1"/>
      <c r="F520" s="1"/>
      <c r="G520" s="1"/>
      <c r="H520" s="1"/>
      <c r="I520" s="1"/>
    </row>
    <row r="521" ht="15.75" customHeight="1">
      <c r="A521" s="1" t="s">
        <v>544</v>
      </c>
      <c r="B521" s="1" t="s">
        <v>453</v>
      </c>
      <c r="C521" s="1"/>
      <c r="D521" s="1"/>
      <c r="E521" s="1"/>
      <c r="F521" s="1"/>
      <c r="G521" s="1"/>
      <c r="H521" s="1"/>
      <c r="I521" s="1"/>
    </row>
    <row r="522" ht="15.75" customHeight="1">
      <c r="A522" s="1" t="s">
        <v>545</v>
      </c>
      <c r="B522" s="1" t="s">
        <v>453</v>
      </c>
      <c r="C522" s="1"/>
      <c r="D522" s="1"/>
      <c r="E522" s="1"/>
      <c r="F522" s="1"/>
      <c r="G522" s="1"/>
      <c r="H522" s="1"/>
      <c r="I522" s="1"/>
    </row>
    <row r="523" ht="15.75" customHeight="1">
      <c r="A523" s="1" t="s">
        <v>546</v>
      </c>
      <c r="B523" s="1" t="s">
        <v>453</v>
      </c>
      <c r="C523" s="1"/>
      <c r="D523" s="1"/>
      <c r="E523" s="1"/>
      <c r="F523" s="1"/>
      <c r="G523" s="1"/>
      <c r="H523" s="1"/>
      <c r="I523" s="1"/>
    </row>
    <row r="524" ht="15.75" customHeight="1">
      <c r="A524" s="1" t="s">
        <v>547</v>
      </c>
      <c r="B524" s="1" t="s">
        <v>453</v>
      </c>
      <c r="C524" s="1"/>
      <c r="D524" s="1"/>
      <c r="E524" s="1"/>
      <c r="F524" s="1"/>
      <c r="G524" s="1"/>
      <c r="H524" s="1"/>
      <c r="I524" s="1"/>
    </row>
    <row r="525" ht="15.75" customHeight="1">
      <c r="A525" s="1" t="s">
        <v>548</v>
      </c>
      <c r="B525" s="1" t="s">
        <v>453</v>
      </c>
      <c r="C525" s="1"/>
      <c r="D525" s="1"/>
      <c r="E525" s="1"/>
      <c r="F525" s="1"/>
      <c r="G525" s="1"/>
      <c r="H525" s="1"/>
      <c r="I525" s="1"/>
    </row>
    <row r="526" ht="15.75" customHeight="1">
      <c r="A526" s="1" t="s">
        <v>549</v>
      </c>
      <c r="B526" s="1" t="s">
        <v>453</v>
      </c>
      <c r="C526" s="1"/>
      <c r="D526" s="1"/>
      <c r="E526" s="1"/>
      <c r="F526" s="1"/>
      <c r="G526" s="1"/>
      <c r="H526" s="1"/>
      <c r="I526" s="1"/>
    </row>
    <row r="527" ht="15.75" customHeight="1">
      <c r="A527" s="1" t="s">
        <v>550</v>
      </c>
      <c r="B527" s="1" t="s">
        <v>453</v>
      </c>
      <c r="C527" s="1"/>
      <c r="D527" s="1"/>
      <c r="E527" s="1"/>
      <c r="F527" s="1"/>
      <c r="G527" s="1"/>
      <c r="H527" s="1"/>
      <c r="I527" s="1"/>
    </row>
    <row r="528" ht="15.75" customHeight="1">
      <c r="A528" s="1" t="s">
        <v>551</v>
      </c>
      <c r="B528" s="1" t="s">
        <v>453</v>
      </c>
      <c r="C528" s="1"/>
      <c r="D528" s="1"/>
      <c r="E528" s="1"/>
      <c r="F528" s="1"/>
      <c r="G528" s="1"/>
      <c r="H528" s="1"/>
      <c r="I528" s="1"/>
    </row>
    <row r="529" ht="15.75" customHeight="1">
      <c r="A529" s="1" t="s">
        <v>552</v>
      </c>
      <c r="B529" s="1" t="s">
        <v>453</v>
      </c>
      <c r="C529" s="1"/>
      <c r="D529" s="1"/>
      <c r="E529" s="1"/>
      <c r="F529" s="1"/>
      <c r="G529" s="1"/>
      <c r="H529" s="1"/>
      <c r="I529" s="1"/>
    </row>
    <row r="530" ht="15.75" customHeight="1">
      <c r="A530" s="1" t="s">
        <v>553</v>
      </c>
      <c r="B530" s="1" t="s">
        <v>453</v>
      </c>
      <c r="C530" s="1"/>
      <c r="D530" s="1"/>
      <c r="E530" s="1"/>
      <c r="F530" s="1"/>
      <c r="G530" s="1"/>
      <c r="H530" s="1"/>
      <c r="I530" s="1"/>
    </row>
    <row r="531" ht="15.75" customHeight="1">
      <c r="A531" s="1" t="s">
        <v>554</v>
      </c>
      <c r="B531" s="1" t="s">
        <v>453</v>
      </c>
      <c r="C531" s="1"/>
      <c r="D531" s="1"/>
      <c r="E531" s="1"/>
      <c r="F531" s="1"/>
      <c r="G531" s="1"/>
      <c r="H531" s="1"/>
      <c r="I531" s="1"/>
    </row>
    <row r="532" ht="15.75" customHeight="1">
      <c r="A532" s="1" t="s">
        <v>555</v>
      </c>
      <c r="B532" s="1" t="s">
        <v>453</v>
      </c>
      <c r="C532" s="1"/>
      <c r="D532" s="1"/>
      <c r="E532" s="1"/>
      <c r="F532" s="1"/>
      <c r="G532" s="1"/>
      <c r="H532" s="1"/>
      <c r="I532" s="1"/>
    </row>
    <row r="533" ht="15.75" customHeight="1">
      <c r="A533" s="1" t="s">
        <v>556</v>
      </c>
      <c r="B533" s="1" t="s">
        <v>453</v>
      </c>
      <c r="C533" s="1"/>
      <c r="D533" s="1"/>
      <c r="E533" s="1"/>
      <c r="F533" s="1"/>
      <c r="G533" s="1"/>
      <c r="H533" s="1"/>
      <c r="I533" s="1"/>
    </row>
    <row r="534" ht="15.75" customHeight="1">
      <c r="A534" s="1" t="s">
        <v>557</v>
      </c>
      <c r="B534" s="1" t="s">
        <v>453</v>
      </c>
      <c r="C534" s="1"/>
      <c r="D534" s="1"/>
      <c r="E534" s="1"/>
      <c r="F534" s="1"/>
      <c r="G534" s="1"/>
      <c r="H534" s="1"/>
      <c r="I534" s="1"/>
    </row>
    <row r="535" ht="15.75" customHeight="1">
      <c r="A535" s="1" t="s">
        <v>558</v>
      </c>
      <c r="B535" s="1" t="s">
        <v>453</v>
      </c>
      <c r="C535" s="1"/>
      <c r="D535" s="1"/>
      <c r="E535" s="1"/>
      <c r="F535" s="1"/>
      <c r="G535" s="1"/>
      <c r="H535" s="1"/>
      <c r="I535" s="1"/>
    </row>
    <row r="536" ht="15.75" customHeight="1">
      <c r="A536" s="1" t="s">
        <v>559</v>
      </c>
      <c r="B536" s="1" t="s">
        <v>453</v>
      </c>
      <c r="C536" s="1"/>
      <c r="D536" s="1"/>
      <c r="E536" s="1"/>
      <c r="F536" s="1"/>
      <c r="G536" s="1"/>
      <c r="H536" s="1"/>
      <c r="I536" s="1"/>
    </row>
    <row r="537" ht="15.75" customHeight="1">
      <c r="A537" s="1" t="s">
        <v>560</v>
      </c>
      <c r="B537" s="1" t="s">
        <v>453</v>
      </c>
      <c r="C537" s="1"/>
      <c r="D537" s="1"/>
      <c r="E537" s="1"/>
      <c r="F537" s="1"/>
      <c r="G537" s="1"/>
      <c r="H537" s="1"/>
      <c r="I537" s="1"/>
    </row>
    <row r="538" ht="15.75" customHeight="1">
      <c r="A538" s="1" t="s">
        <v>561</v>
      </c>
      <c r="B538" s="1" t="s">
        <v>453</v>
      </c>
      <c r="C538" s="1"/>
      <c r="D538" s="1"/>
      <c r="E538" s="1"/>
      <c r="F538" s="1"/>
      <c r="G538" s="1"/>
      <c r="H538" s="1"/>
      <c r="I538" s="1"/>
    </row>
    <row r="539" ht="15.75" customHeight="1">
      <c r="A539" s="1" t="s">
        <v>562</v>
      </c>
      <c r="B539" s="1" t="s">
        <v>453</v>
      </c>
      <c r="C539" s="1"/>
      <c r="D539" s="1"/>
      <c r="E539" s="1"/>
      <c r="F539" s="1"/>
      <c r="G539" s="1"/>
      <c r="H539" s="1"/>
      <c r="I539" s="1"/>
    </row>
    <row r="540" ht="15.75" customHeight="1">
      <c r="A540" s="1" t="s">
        <v>563</v>
      </c>
      <c r="B540" s="1" t="s">
        <v>453</v>
      </c>
      <c r="C540" s="1"/>
      <c r="D540" s="1"/>
      <c r="E540" s="1"/>
      <c r="F540" s="1"/>
      <c r="G540" s="1"/>
      <c r="H540" s="1"/>
      <c r="I540" s="1"/>
    </row>
    <row r="541" ht="15.75" customHeight="1">
      <c r="A541" s="1" t="s">
        <v>564</v>
      </c>
      <c r="B541" s="1" t="s">
        <v>453</v>
      </c>
      <c r="C541" s="1"/>
      <c r="D541" s="1"/>
      <c r="E541" s="1"/>
      <c r="F541" s="1"/>
      <c r="G541" s="1"/>
      <c r="H541" s="1"/>
      <c r="I541" s="1"/>
    </row>
    <row r="542" ht="15.75" customHeight="1">
      <c r="A542" s="1" t="s">
        <v>565</v>
      </c>
      <c r="B542" s="1" t="s">
        <v>453</v>
      </c>
      <c r="C542" s="1"/>
      <c r="D542" s="1"/>
      <c r="E542" s="1"/>
      <c r="F542" s="1"/>
      <c r="G542" s="1"/>
      <c r="H542" s="1"/>
      <c r="I542" s="1"/>
    </row>
    <row r="543" ht="15.75" customHeight="1">
      <c r="A543" s="1" t="s">
        <v>566</v>
      </c>
      <c r="B543" s="1" t="s">
        <v>453</v>
      </c>
      <c r="C543" s="1"/>
      <c r="D543" s="1"/>
      <c r="E543" s="1"/>
      <c r="F543" s="1"/>
      <c r="G543" s="1"/>
      <c r="H543" s="1"/>
      <c r="I543" s="1"/>
    </row>
    <row r="544" ht="15.75" customHeight="1">
      <c r="A544" s="1" t="s">
        <v>567</v>
      </c>
      <c r="B544" s="1" t="s">
        <v>453</v>
      </c>
      <c r="C544" s="1"/>
      <c r="D544" s="1"/>
      <c r="E544" s="1"/>
      <c r="F544" s="1"/>
      <c r="G544" s="1"/>
      <c r="H544" s="1"/>
      <c r="I544" s="1"/>
    </row>
    <row r="545" ht="15.75" customHeight="1">
      <c r="A545" s="1" t="s">
        <v>568</v>
      </c>
      <c r="B545" s="1" t="s">
        <v>453</v>
      </c>
      <c r="C545" s="1"/>
      <c r="D545" s="1"/>
      <c r="E545" s="1"/>
      <c r="F545" s="1"/>
      <c r="G545" s="1"/>
      <c r="H545" s="1"/>
      <c r="I545" s="1"/>
    </row>
    <row r="546" ht="15.75" customHeight="1">
      <c r="A546" s="1" t="s">
        <v>569</v>
      </c>
      <c r="B546" s="1" t="s">
        <v>453</v>
      </c>
      <c r="C546" s="1"/>
      <c r="D546" s="1"/>
      <c r="E546" s="1"/>
      <c r="F546" s="1"/>
      <c r="G546" s="1"/>
      <c r="H546" s="1"/>
      <c r="I546" s="1"/>
    </row>
    <row r="547" ht="15.75" customHeight="1">
      <c r="A547" s="1" t="s">
        <v>570</v>
      </c>
      <c r="B547" s="1" t="s">
        <v>453</v>
      </c>
      <c r="C547" s="1"/>
      <c r="D547" s="1"/>
      <c r="E547" s="1"/>
      <c r="F547" s="1"/>
      <c r="G547" s="1"/>
      <c r="H547" s="1"/>
      <c r="I547" s="1"/>
    </row>
    <row r="548" ht="15.75" customHeight="1">
      <c r="A548" s="1" t="s">
        <v>571</v>
      </c>
      <c r="B548" s="1" t="s">
        <v>453</v>
      </c>
      <c r="C548" s="1"/>
      <c r="D548" s="1"/>
      <c r="E548" s="1"/>
      <c r="F548" s="1"/>
      <c r="G548" s="1"/>
      <c r="H548" s="1"/>
      <c r="I548" s="1"/>
    </row>
    <row r="549" ht="15.75" customHeight="1">
      <c r="A549" s="1" t="s">
        <v>572</v>
      </c>
      <c r="B549" s="1" t="s">
        <v>453</v>
      </c>
      <c r="C549" s="1"/>
      <c r="D549" s="1"/>
      <c r="E549" s="1"/>
      <c r="F549" s="1"/>
      <c r="G549" s="1"/>
      <c r="H549" s="1"/>
      <c r="I549" s="1"/>
    </row>
    <row r="550" ht="15.75" customHeight="1">
      <c r="A550" s="1" t="s">
        <v>573</v>
      </c>
      <c r="B550" s="1" t="s">
        <v>453</v>
      </c>
      <c r="C550" s="1"/>
      <c r="D550" s="1"/>
      <c r="E550" s="1"/>
      <c r="F550" s="1"/>
      <c r="G550" s="1"/>
      <c r="H550" s="1"/>
      <c r="I550" s="1"/>
    </row>
    <row r="551" ht="15.75" customHeight="1">
      <c r="A551" s="1" t="s">
        <v>574</v>
      </c>
      <c r="B551" s="1" t="s">
        <v>453</v>
      </c>
      <c r="C551" s="1"/>
      <c r="D551" s="1"/>
      <c r="E551" s="1"/>
      <c r="F551" s="1"/>
      <c r="G551" s="1"/>
      <c r="H551" s="1"/>
      <c r="I551" s="1"/>
    </row>
    <row r="552" ht="15.75" customHeight="1">
      <c r="A552" s="1" t="s">
        <v>575</v>
      </c>
      <c r="B552" s="1" t="s">
        <v>453</v>
      </c>
      <c r="C552" s="1"/>
      <c r="D552" s="1"/>
      <c r="E552" s="1"/>
      <c r="F552" s="1"/>
      <c r="G552" s="1"/>
      <c r="H552" s="1"/>
      <c r="I552" s="1"/>
    </row>
    <row r="553" ht="15.75" customHeight="1">
      <c r="A553" s="1" t="s">
        <v>576</v>
      </c>
      <c r="B553" s="1" t="s">
        <v>453</v>
      </c>
      <c r="C553" s="1"/>
      <c r="D553" s="1"/>
      <c r="E553" s="1"/>
      <c r="F553" s="1"/>
      <c r="G553" s="1"/>
      <c r="H553" s="1"/>
      <c r="I553" s="1"/>
    </row>
    <row r="554" ht="15.75" customHeight="1">
      <c r="A554" s="1" t="s">
        <v>577</v>
      </c>
      <c r="B554" s="1" t="s">
        <v>453</v>
      </c>
      <c r="C554" s="1"/>
      <c r="D554" s="1"/>
      <c r="E554" s="1"/>
      <c r="F554" s="1"/>
      <c r="G554" s="1"/>
      <c r="H554" s="1"/>
      <c r="I554" s="1"/>
    </row>
    <row r="555" ht="15.75" customHeight="1">
      <c r="A555" s="1" t="s">
        <v>578</v>
      </c>
      <c r="B555" s="1" t="s">
        <v>453</v>
      </c>
      <c r="C555" s="1"/>
      <c r="D555" s="1"/>
      <c r="E555" s="1"/>
      <c r="F555" s="1"/>
      <c r="G555" s="1"/>
      <c r="H555" s="1"/>
      <c r="I555" s="1"/>
    </row>
    <row r="556" ht="15.75" customHeight="1">
      <c r="A556" s="1" t="s">
        <v>579</v>
      </c>
      <c r="B556" s="1" t="s">
        <v>453</v>
      </c>
      <c r="C556" s="1"/>
      <c r="D556" s="1"/>
      <c r="E556" s="1"/>
      <c r="F556" s="1"/>
      <c r="G556" s="1"/>
      <c r="H556" s="1"/>
      <c r="I556" s="1"/>
    </row>
    <row r="557" ht="15.75" customHeight="1">
      <c r="A557" s="1" t="s">
        <v>580</v>
      </c>
      <c r="B557" s="1" t="s">
        <v>453</v>
      </c>
      <c r="C557" s="1"/>
      <c r="D557" s="1"/>
      <c r="E557" s="1"/>
      <c r="F557" s="1"/>
      <c r="G557" s="1"/>
      <c r="H557" s="1"/>
      <c r="I557" s="1"/>
    </row>
    <row r="558" ht="15.75" customHeight="1">
      <c r="A558" s="1" t="s">
        <v>581</v>
      </c>
      <c r="B558" s="1" t="s">
        <v>453</v>
      </c>
      <c r="C558" s="1"/>
      <c r="D558" s="1"/>
      <c r="E558" s="1"/>
      <c r="F558" s="1"/>
      <c r="G558" s="1"/>
      <c r="H558" s="1"/>
      <c r="I558" s="1"/>
    </row>
    <row r="559" ht="15.75" customHeight="1">
      <c r="A559" s="1" t="s">
        <v>582</v>
      </c>
      <c r="B559" s="1" t="s">
        <v>453</v>
      </c>
      <c r="C559" s="1"/>
      <c r="D559" s="1"/>
      <c r="E559" s="1"/>
      <c r="F559" s="1"/>
      <c r="G559" s="1"/>
      <c r="H559" s="1"/>
      <c r="I559" s="1"/>
    </row>
    <row r="560" ht="15.75" customHeight="1">
      <c r="A560" s="1" t="s">
        <v>583</v>
      </c>
      <c r="B560" s="1" t="s">
        <v>453</v>
      </c>
      <c r="C560" s="1"/>
      <c r="D560" s="1"/>
      <c r="E560" s="1"/>
      <c r="F560" s="1"/>
      <c r="G560" s="1"/>
      <c r="H560" s="1"/>
      <c r="I560" s="1"/>
    </row>
    <row r="561" ht="15.75" customHeight="1">
      <c r="A561" s="1" t="s">
        <v>584</v>
      </c>
      <c r="B561" s="1" t="s">
        <v>453</v>
      </c>
      <c r="C561" s="1"/>
      <c r="D561" s="1"/>
      <c r="E561" s="1"/>
      <c r="F561" s="1"/>
      <c r="G561" s="1"/>
      <c r="H561" s="1"/>
      <c r="I561" s="1"/>
    </row>
    <row r="562" ht="15.75" customHeight="1">
      <c r="A562" s="1" t="s">
        <v>585</v>
      </c>
      <c r="B562" s="1" t="s">
        <v>453</v>
      </c>
      <c r="C562" s="1"/>
      <c r="D562" s="1"/>
      <c r="E562" s="1"/>
      <c r="F562" s="1"/>
      <c r="G562" s="1"/>
      <c r="H562" s="1"/>
      <c r="I562" s="1"/>
    </row>
    <row r="563" ht="15.75" customHeight="1">
      <c r="A563" s="1" t="s">
        <v>586</v>
      </c>
      <c r="B563" s="1" t="s">
        <v>453</v>
      </c>
      <c r="C563" s="1"/>
      <c r="D563" s="1"/>
      <c r="E563" s="1"/>
      <c r="F563" s="1"/>
      <c r="G563" s="1"/>
      <c r="H563" s="1"/>
      <c r="I563" s="1"/>
    </row>
    <row r="564" ht="15.75" customHeight="1">
      <c r="A564" s="1" t="s">
        <v>587</v>
      </c>
      <c r="B564" s="1" t="s">
        <v>453</v>
      </c>
      <c r="C564" s="1"/>
      <c r="D564" s="1"/>
      <c r="E564" s="1"/>
      <c r="F564" s="1"/>
      <c r="G564" s="1"/>
      <c r="H564" s="1"/>
      <c r="I564" s="1"/>
    </row>
    <row r="565" ht="15.75" customHeight="1">
      <c r="A565" s="1" t="s">
        <v>588</v>
      </c>
      <c r="B565" s="1" t="s">
        <v>453</v>
      </c>
      <c r="C565" s="1"/>
      <c r="D565" s="1"/>
      <c r="E565" s="1"/>
      <c r="F565" s="1"/>
      <c r="G565" s="1"/>
      <c r="H565" s="1"/>
      <c r="I565" s="1"/>
    </row>
    <row r="566" ht="15.75" customHeight="1">
      <c r="A566" s="1" t="s">
        <v>589</v>
      </c>
      <c r="B566" s="1" t="s">
        <v>453</v>
      </c>
      <c r="C566" s="1"/>
      <c r="D566" s="1"/>
      <c r="E566" s="1"/>
      <c r="F566" s="1"/>
      <c r="G566" s="1"/>
      <c r="H566" s="1"/>
      <c r="I566" s="1"/>
    </row>
    <row r="567" ht="15.75" customHeight="1">
      <c r="A567" s="1" t="s">
        <v>590</v>
      </c>
      <c r="B567" s="1" t="s">
        <v>453</v>
      </c>
      <c r="C567" s="1"/>
      <c r="D567" s="1"/>
      <c r="E567" s="1"/>
      <c r="F567" s="1"/>
      <c r="G567" s="1"/>
      <c r="H567" s="1"/>
      <c r="I567" s="1"/>
    </row>
    <row r="568" ht="15.75" customHeight="1">
      <c r="A568" s="1" t="s">
        <v>591</v>
      </c>
      <c r="B568" s="1" t="s">
        <v>453</v>
      </c>
      <c r="C568" s="1"/>
      <c r="D568" s="1"/>
      <c r="E568" s="1"/>
      <c r="F568" s="1"/>
      <c r="G568" s="1"/>
      <c r="H568" s="1"/>
      <c r="I568" s="1"/>
    </row>
    <row r="569" ht="15.75" customHeight="1">
      <c r="A569" s="1" t="s">
        <v>592</v>
      </c>
      <c r="B569" s="1" t="s">
        <v>453</v>
      </c>
      <c r="C569" s="1"/>
      <c r="D569" s="1"/>
      <c r="E569" s="1"/>
      <c r="F569" s="1"/>
      <c r="G569" s="1"/>
      <c r="H569" s="1"/>
      <c r="I569" s="1"/>
    </row>
    <row r="570" ht="15.75" customHeight="1">
      <c r="A570" s="1" t="s">
        <v>593</v>
      </c>
      <c r="B570" s="1" t="s">
        <v>453</v>
      </c>
      <c r="C570" s="1"/>
      <c r="D570" s="1"/>
      <c r="E570" s="1"/>
      <c r="F570" s="1"/>
      <c r="G570" s="1"/>
      <c r="H570" s="1"/>
      <c r="I570" s="1"/>
    </row>
    <row r="571" ht="15.75" customHeight="1">
      <c r="A571" s="1" t="s">
        <v>594</v>
      </c>
      <c r="B571" s="1" t="s">
        <v>453</v>
      </c>
      <c r="C571" s="1"/>
      <c r="D571" s="1"/>
      <c r="E571" s="1"/>
      <c r="F571" s="1"/>
      <c r="G571" s="1"/>
      <c r="H571" s="1"/>
      <c r="I571" s="1"/>
    </row>
    <row r="572" ht="15.75" customHeight="1">
      <c r="A572" s="1" t="s">
        <v>595</v>
      </c>
      <c r="B572" s="1" t="s">
        <v>453</v>
      </c>
      <c r="C572" s="1"/>
      <c r="D572" s="1"/>
      <c r="E572" s="1"/>
      <c r="F572" s="1"/>
      <c r="G572" s="1"/>
      <c r="H572" s="1"/>
      <c r="I572" s="1"/>
    </row>
    <row r="573" ht="15.75" customHeight="1">
      <c r="A573" s="1" t="s">
        <v>596</v>
      </c>
      <c r="B573" s="1" t="s">
        <v>453</v>
      </c>
      <c r="C573" s="1"/>
      <c r="D573" s="1"/>
      <c r="E573" s="1"/>
      <c r="F573" s="1"/>
      <c r="G573" s="1"/>
      <c r="H573" s="1"/>
      <c r="I573" s="1"/>
    </row>
    <row r="574" ht="15.75" customHeight="1">
      <c r="A574" s="1" t="s">
        <v>597</v>
      </c>
      <c r="B574" s="1" t="s">
        <v>453</v>
      </c>
      <c r="C574" s="1"/>
      <c r="D574" s="1"/>
      <c r="E574" s="1"/>
      <c r="F574" s="1"/>
      <c r="G574" s="1"/>
      <c r="H574" s="1"/>
      <c r="I574" s="1"/>
    </row>
    <row r="575" ht="15.75" customHeight="1">
      <c r="A575" s="1" t="s">
        <v>598</v>
      </c>
      <c r="B575" s="1" t="s">
        <v>453</v>
      </c>
      <c r="C575" s="1"/>
      <c r="D575" s="1"/>
      <c r="E575" s="1"/>
      <c r="F575" s="1"/>
      <c r="G575" s="1"/>
      <c r="H575" s="1"/>
      <c r="I575" s="1"/>
    </row>
    <row r="576" ht="15.75" customHeight="1">
      <c r="A576" s="1" t="s">
        <v>599</v>
      </c>
      <c r="B576" s="1" t="s">
        <v>453</v>
      </c>
      <c r="C576" s="1"/>
      <c r="D576" s="1"/>
      <c r="E576" s="1"/>
      <c r="F576" s="1"/>
      <c r="G576" s="1"/>
      <c r="H576" s="1"/>
      <c r="I576" s="1"/>
    </row>
    <row r="577" ht="15.75" customHeight="1">
      <c r="A577" s="1" t="s">
        <v>600</v>
      </c>
      <c r="B577" s="1" t="s">
        <v>453</v>
      </c>
      <c r="C577" s="1"/>
      <c r="D577" s="1"/>
      <c r="E577" s="1"/>
      <c r="F577" s="1"/>
      <c r="G577" s="1"/>
      <c r="H577" s="1"/>
      <c r="I577" s="1"/>
    </row>
    <row r="578" ht="15.75" customHeight="1">
      <c r="A578" s="1" t="s">
        <v>601</v>
      </c>
      <c r="B578" s="1" t="s">
        <v>453</v>
      </c>
      <c r="C578" s="1"/>
      <c r="D578" s="1"/>
      <c r="E578" s="1"/>
      <c r="F578" s="1"/>
      <c r="G578" s="1"/>
      <c r="H578" s="1"/>
      <c r="I578" s="1"/>
    </row>
    <row r="579" ht="15.75" customHeight="1">
      <c r="A579" s="1" t="s">
        <v>602</v>
      </c>
      <c r="B579" s="1" t="s">
        <v>603</v>
      </c>
      <c r="C579" s="1"/>
      <c r="D579" s="1"/>
      <c r="E579" s="1"/>
      <c r="F579" s="1"/>
      <c r="G579" s="1"/>
      <c r="H579" s="1"/>
      <c r="I579" s="1"/>
    </row>
    <row r="580" ht="15.75" customHeight="1">
      <c r="A580" s="1" t="s">
        <v>604</v>
      </c>
      <c r="B580" s="1" t="s">
        <v>603</v>
      </c>
      <c r="C580" s="1"/>
      <c r="D580" s="1"/>
      <c r="E580" s="1"/>
      <c r="F580" s="1"/>
      <c r="G580" s="1"/>
      <c r="H580" s="1"/>
      <c r="I580" s="1"/>
    </row>
    <row r="581" ht="15.75" customHeight="1">
      <c r="A581" s="1" t="s">
        <v>605</v>
      </c>
      <c r="B581" s="1" t="s">
        <v>603</v>
      </c>
      <c r="C581" s="1"/>
      <c r="D581" s="1"/>
      <c r="E581" s="1"/>
      <c r="F581" s="1"/>
      <c r="G581" s="1"/>
      <c r="H581" s="1"/>
      <c r="I581" s="1"/>
    </row>
    <row r="582" ht="15.75" customHeight="1">
      <c r="A582" s="1" t="s">
        <v>606</v>
      </c>
      <c r="B582" s="1" t="s">
        <v>603</v>
      </c>
      <c r="C582" s="1"/>
      <c r="D582" s="1"/>
      <c r="E582" s="1"/>
      <c r="F582" s="1"/>
      <c r="G582" s="1"/>
      <c r="H582" s="1"/>
      <c r="I582" s="1"/>
    </row>
    <row r="583" ht="15.75" customHeight="1">
      <c r="A583" s="1" t="s">
        <v>607</v>
      </c>
      <c r="B583" s="1" t="s">
        <v>603</v>
      </c>
      <c r="C583" s="1"/>
      <c r="D583" s="1"/>
      <c r="E583" s="1"/>
      <c r="F583" s="1"/>
      <c r="G583" s="1"/>
      <c r="H583" s="1"/>
      <c r="I583" s="1"/>
    </row>
    <row r="584" ht="15.75" customHeight="1">
      <c r="A584" s="1" t="s">
        <v>608</v>
      </c>
      <c r="B584" s="1" t="s">
        <v>603</v>
      </c>
      <c r="C584" s="1"/>
      <c r="D584" s="1"/>
      <c r="E584" s="1"/>
      <c r="F584" s="1"/>
      <c r="G584" s="1"/>
      <c r="H584" s="1"/>
      <c r="I584" s="1"/>
    </row>
    <row r="585" ht="15.75" customHeight="1">
      <c r="A585" s="1" t="s">
        <v>609</v>
      </c>
      <c r="B585" s="1" t="s">
        <v>603</v>
      </c>
      <c r="C585" s="1"/>
      <c r="D585" s="1"/>
      <c r="E585" s="1"/>
      <c r="F585" s="1"/>
      <c r="G585" s="1"/>
      <c r="H585" s="1"/>
      <c r="I585" s="1"/>
    </row>
    <row r="586" ht="15.75" customHeight="1">
      <c r="A586" s="1" t="s">
        <v>610</v>
      </c>
      <c r="B586" s="1" t="s">
        <v>603</v>
      </c>
      <c r="C586" s="1"/>
      <c r="D586" s="1"/>
      <c r="E586" s="1"/>
      <c r="F586" s="1"/>
      <c r="G586" s="1"/>
      <c r="H586" s="1"/>
      <c r="I586" s="1"/>
    </row>
    <row r="587" ht="15.75" customHeight="1">
      <c r="A587" s="1" t="s">
        <v>611</v>
      </c>
      <c r="B587" s="1" t="s">
        <v>603</v>
      </c>
      <c r="C587" s="1"/>
      <c r="D587" s="1"/>
      <c r="E587" s="1"/>
      <c r="F587" s="1"/>
      <c r="G587" s="1"/>
      <c r="H587" s="1"/>
      <c r="I587" s="1"/>
    </row>
    <row r="588" ht="15.75" customHeight="1">
      <c r="A588" s="1" t="s">
        <v>612</v>
      </c>
      <c r="B588" s="1" t="s">
        <v>603</v>
      </c>
      <c r="C588" s="1"/>
      <c r="D588" s="1"/>
      <c r="E588" s="1"/>
      <c r="F588" s="1"/>
      <c r="G588" s="1"/>
      <c r="H588" s="1"/>
      <c r="I588" s="1"/>
    </row>
    <row r="589" ht="15.75" customHeight="1">
      <c r="A589" s="1" t="s">
        <v>613</v>
      </c>
      <c r="B589" s="1" t="s">
        <v>603</v>
      </c>
      <c r="C589" s="1"/>
      <c r="D589" s="1"/>
      <c r="E589" s="1"/>
      <c r="F589" s="1"/>
      <c r="G589" s="1"/>
      <c r="H589" s="1"/>
      <c r="I589" s="1"/>
    </row>
    <row r="590" ht="15.75" customHeight="1">
      <c r="A590" s="1" t="s">
        <v>614</v>
      </c>
      <c r="B590" s="1" t="s">
        <v>603</v>
      </c>
      <c r="C590" s="1"/>
      <c r="D590" s="1"/>
      <c r="E590" s="1"/>
      <c r="F590" s="1"/>
      <c r="G590" s="1"/>
      <c r="H590" s="1"/>
      <c r="I590" s="1"/>
    </row>
    <row r="591" ht="15.75" customHeight="1">
      <c r="A591" s="1" t="s">
        <v>615</v>
      </c>
      <c r="B591" s="1" t="s">
        <v>603</v>
      </c>
      <c r="C591" s="1"/>
      <c r="D591" s="1"/>
      <c r="E591" s="1"/>
      <c r="F591" s="1"/>
      <c r="G591" s="1"/>
      <c r="H591" s="1"/>
      <c r="I591" s="1"/>
    </row>
    <row r="592" ht="15.75" customHeight="1">
      <c r="A592" s="1" t="s">
        <v>616</v>
      </c>
      <c r="B592" s="1" t="s">
        <v>603</v>
      </c>
      <c r="C592" s="1"/>
      <c r="D592" s="1"/>
      <c r="E592" s="1"/>
      <c r="F592" s="1"/>
      <c r="G592" s="1"/>
      <c r="H592" s="1"/>
      <c r="I592" s="1"/>
    </row>
    <row r="593" ht="15.75" customHeight="1">
      <c r="A593" s="1" t="s">
        <v>617</v>
      </c>
      <c r="B593" s="1" t="s">
        <v>603</v>
      </c>
      <c r="C593" s="1"/>
      <c r="D593" s="1"/>
      <c r="E593" s="1"/>
      <c r="F593" s="1"/>
      <c r="G593" s="1"/>
      <c r="H593" s="1"/>
      <c r="I593" s="1"/>
    </row>
    <row r="594" ht="15.75" customHeight="1">
      <c r="A594" s="1" t="s">
        <v>618</v>
      </c>
      <c r="B594" s="1" t="s">
        <v>603</v>
      </c>
      <c r="C594" s="1"/>
      <c r="D594" s="1"/>
      <c r="E594" s="1"/>
      <c r="F594" s="1"/>
      <c r="G594" s="1"/>
      <c r="H594" s="1"/>
      <c r="I594" s="1"/>
    </row>
    <row r="595" ht="15.75" customHeight="1">
      <c r="A595" s="1" t="s">
        <v>619</v>
      </c>
      <c r="B595" s="1" t="s">
        <v>603</v>
      </c>
      <c r="C595" s="1"/>
      <c r="D595" s="1"/>
      <c r="E595" s="1"/>
      <c r="F595" s="1"/>
      <c r="G595" s="1"/>
      <c r="H595" s="1"/>
      <c r="I595" s="1"/>
    </row>
    <row r="596" ht="15.75" customHeight="1">
      <c r="A596" s="1" t="s">
        <v>620</v>
      </c>
      <c r="B596" s="1" t="s">
        <v>603</v>
      </c>
      <c r="C596" s="1"/>
      <c r="D596" s="1"/>
      <c r="E596" s="1"/>
      <c r="F596" s="1"/>
      <c r="G596" s="1"/>
      <c r="H596" s="1"/>
      <c r="I596" s="1"/>
    </row>
    <row r="597" ht="15.75" customHeight="1">
      <c r="A597" s="1" t="s">
        <v>621</v>
      </c>
      <c r="B597" s="1" t="s">
        <v>603</v>
      </c>
      <c r="C597" s="1"/>
      <c r="D597" s="1"/>
      <c r="E597" s="1"/>
      <c r="F597" s="1"/>
      <c r="G597" s="1"/>
      <c r="H597" s="1"/>
      <c r="I597" s="1"/>
    </row>
    <row r="598" ht="15.75" customHeight="1">
      <c r="A598" s="1" t="s">
        <v>622</v>
      </c>
      <c r="B598" s="1" t="s">
        <v>603</v>
      </c>
      <c r="C598" s="1"/>
      <c r="D598" s="1"/>
      <c r="E598" s="1"/>
      <c r="F598" s="1"/>
      <c r="G598" s="1"/>
      <c r="H598" s="1"/>
      <c r="I598" s="1"/>
    </row>
    <row r="599" ht="15.75" customHeight="1">
      <c r="A599" s="1" t="s">
        <v>623</v>
      </c>
      <c r="B599" s="1" t="s">
        <v>603</v>
      </c>
      <c r="C599" s="1"/>
      <c r="D599" s="1"/>
      <c r="E599" s="1"/>
      <c r="F599" s="1"/>
      <c r="G599" s="1"/>
      <c r="H599" s="1"/>
      <c r="I599" s="1"/>
    </row>
    <row r="600" ht="15.75" customHeight="1">
      <c r="A600" s="1" t="s">
        <v>624</v>
      </c>
      <c r="B600" s="1" t="s">
        <v>603</v>
      </c>
      <c r="C600" s="1"/>
      <c r="D600" s="1"/>
      <c r="E600" s="1"/>
      <c r="F600" s="1"/>
      <c r="G600" s="1"/>
      <c r="H600" s="1"/>
      <c r="I600" s="1"/>
    </row>
    <row r="601" ht="15.75" customHeight="1">
      <c r="A601" s="1" t="s">
        <v>625</v>
      </c>
      <c r="B601" s="1" t="s">
        <v>603</v>
      </c>
      <c r="C601" s="1"/>
      <c r="D601" s="1"/>
      <c r="E601" s="1"/>
      <c r="F601" s="1"/>
      <c r="G601" s="1"/>
      <c r="H601" s="1"/>
      <c r="I601" s="1"/>
    </row>
    <row r="602" ht="15.75" customHeight="1">
      <c r="A602" s="1" t="s">
        <v>626</v>
      </c>
      <c r="B602" s="1" t="s">
        <v>603</v>
      </c>
      <c r="C602" s="1"/>
      <c r="D602" s="1"/>
      <c r="E602" s="1"/>
      <c r="F602" s="1"/>
      <c r="G602" s="1"/>
      <c r="H602" s="1"/>
      <c r="I602" s="1"/>
    </row>
    <row r="603" ht="15.75" customHeight="1">
      <c r="A603" s="1" t="s">
        <v>627</v>
      </c>
      <c r="B603" s="1" t="s">
        <v>603</v>
      </c>
      <c r="C603" s="1"/>
      <c r="D603" s="1"/>
      <c r="E603" s="1"/>
      <c r="F603" s="1"/>
      <c r="G603" s="1"/>
      <c r="H603" s="1"/>
      <c r="I603" s="1"/>
    </row>
    <row r="604" ht="15.75" customHeight="1">
      <c r="A604" s="1" t="s">
        <v>628</v>
      </c>
      <c r="B604" s="1" t="s">
        <v>603</v>
      </c>
      <c r="C604" s="1"/>
      <c r="D604" s="1"/>
      <c r="E604" s="1"/>
      <c r="F604" s="1"/>
      <c r="G604" s="1"/>
      <c r="H604" s="1"/>
      <c r="I604" s="1"/>
    </row>
    <row r="605" ht="15.75" customHeight="1">
      <c r="A605" s="1" t="s">
        <v>629</v>
      </c>
      <c r="B605" s="1" t="s">
        <v>630</v>
      </c>
      <c r="C605" s="1"/>
      <c r="D605" s="1"/>
      <c r="E605" s="1"/>
      <c r="F605" s="1"/>
      <c r="G605" s="1"/>
      <c r="H605" s="1"/>
      <c r="I605" s="1"/>
    </row>
    <row r="606" ht="15.75" customHeight="1">
      <c r="A606" s="1" t="s">
        <v>631</v>
      </c>
      <c r="B606" s="1" t="s">
        <v>630</v>
      </c>
      <c r="C606" s="1"/>
      <c r="D606" s="1"/>
      <c r="E606" s="1"/>
      <c r="F606" s="1"/>
      <c r="G606" s="1"/>
      <c r="H606" s="1"/>
      <c r="I606" s="1"/>
    </row>
    <row r="607" ht="15.75" customHeight="1">
      <c r="A607" s="1" t="s">
        <v>632</v>
      </c>
      <c r="B607" s="1" t="s">
        <v>630</v>
      </c>
      <c r="C607" s="1"/>
      <c r="D607" s="1"/>
      <c r="E607" s="1"/>
      <c r="F607" s="1"/>
      <c r="G607" s="1"/>
      <c r="H607" s="1"/>
      <c r="I607" s="1"/>
    </row>
    <row r="608" ht="15.75" customHeight="1">
      <c r="A608" s="1" t="s">
        <v>633</v>
      </c>
      <c r="B608" s="1" t="s">
        <v>630</v>
      </c>
      <c r="C608" s="1"/>
      <c r="D608" s="1"/>
      <c r="E608" s="1"/>
      <c r="F608" s="1"/>
      <c r="G608" s="1"/>
      <c r="H608" s="1"/>
      <c r="I608" s="1"/>
    </row>
    <row r="609" ht="15.75" customHeight="1">
      <c r="A609" s="1" t="s">
        <v>634</v>
      </c>
      <c r="B609" s="1" t="s">
        <v>630</v>
      </c>
      <c r="C609" s="1"/>
      <c r="D609" s="1"/>
      <c r="E609" s="1"/>
      <c r="F609" s="1"/>
      <c r="G609" s="1"/>
      <c r="H609" s="1"/>
      <c r="I609" s="1"/>
    </row>
    <row r="610" ht="15.75" customHeight="1">
      <c r="A610" s="1" t="s">
        <v>635</v>
      </c>
      <c r="B610" s="1" t="s">
        <v>630</v>
      </c>
      <c r="C610" s="1"/>
      <c r="D610" s="1"/>
      <c r="E610" s="1"/>
      <c r="F610" s="1"/>
      <c r="G610" s="1"/>
      <c r="H610" s="1"/>
      <c r="I610" s="1"/>
    </row>
    <row r="611" ht="15.75" customHeight="1">
      <c r="A611" s="1" t="s">
        <v>636</v>
      </c>
      <c r="B611" s="1" t="s">
        <v>630</v>
      </c>
      <c r="C611" s="1"/>
      <c r="D611" s="1"/>
      <c r="E611" s="1"/>
      <c r="F611" s="1"/>
      <c r="G611" s="1"/>
      <c r="H611" s="1"/>
      <c r="I611" s="1"/>
    </row>
    <row r="612" ht="15.75" customHeight="1">
      <c r="A612" s="1" t="s">
        <v>637</v>
      </c>
      <c r="B612" s="1" t="s">
        <v>630</v>
      </c>
      <c r="C612" s="1"/>
      <c r="D612" s="1"/>
      <c r="E612" s="1"/>
      <c r="F612" s="1"/>
      <c r="G612" s="1"/>
      <c r="H612" s="1"/>
      <c r="I612" s="1"/>
    </row>
    <row r="613" ht="15.75" customHeight="1">
      <c r="A613" s="1" t="s">
        <v>638</v>
      </c>
      <c r="B613" s="1" t="s">
        <v>630</v>
      </c>
      <c r="C613" s="1"/>
      <c r="D613" s="1"/>
      <c r="E613" s="1"/>
      <c r="F613" s="1"/>
      <c r="G613" s="1"/>
      <c r="H613" s="1"/>
      <c r="I613" s="1"/>
    </row>
    <row r="614" ht="15.75" customHeight="1">
      <c r="A614" s="1" t="s">
        <v>639</v>
      </c>
      <c r="B614" s="1" t="s">
        <v>630</v>
      </c>
      <c r="C614" s="1"/>
      <c r="D614" s="1"/>
      <c r="E614" s="1"/>
      <c r="F614" s="1"/>
      <c r="G614" s="1"/>
      <c r="H614" s="1"/>
      <c r="I614" s="1"/>
    </row>
    <row r="615" ht="15.75" customHeight="1">
      <c r="A615" s="1" t="s">
        <v>640</v>
      </c>
      <c r="B615" s="1" t="s">
        <v>630</v>
      </c>
      <c r="C615" s="1"/>
      <c r="D615" s="1"/>
      <c r="E615" s="1"/>
      <c r="F615" s="1"/>
      <c r="G615" s="1"/>
      <c r="H615" s="1"/>
      <c r="I615" s="1"/>
    </row>
    <row r="616" ht="15.75" customHeight="1">
      <c r="A616" s="1" t="s">
        <v>641</v>
      </c>
      <c r="B616" s="1" t="s">
        <v>630</v>
      </c>
      <c r="C616" s="1"/>
      <c r="D616" s="1"/>
      <c r="E616" s="1"/>
      <c r="F616" s="1"/>
      <c r="G616" s="1"/>
      <c r="H616" s="1"/>
      <c r="I616" s="1"/>
    </row>
    <row r="617" ht="15.75" customHeight="1">
      <c r="A617" s="1" t="s">
        <v>642</v>
      </c>
      <c r="B617" s="1" t="s">
        <v>630</v>
      </c>
      <c r="C617" s="1"/>
      <c r="D617" s="1"/>
      <c r="E617" s="1"/>
      <c r="F617" s="1"/>
      <c r="G617" s="1"/>
      <c r="H617" s="1"/>
      <c r="I617" s="1"/>
    </row>
    <row r="618" ht="15.75" customHeight="1">
      <c r="A618" s="1" t="s">
        <v>643</v>
      </c>
      <c r="B618" s="1" t="s">
        <v>630</v>
      </c>
      <c r="C618" s="1"/>
      <c r="D618" s="1"/>
      <c r="E618" s="1"/>
      <c r="F618" s="1"/>
      <c r="G618" s="1"/>
      <c r="H618" s="1"/>
      <c r="I618" s="1"/>
    </row>
    <row r="619" ht="15.75" customHeight="1">
      <c r="A619" s="1" t="s">
        <v>644</v>
      </c>
      <c r="B619" s="1" t="s">
        <v>630</v>
      </c>
      <c r="C619" s="1"/>
      <c r="D619" s="1"/>
      <c r="E619" s="1"/>
      <c r="F619" s="1"/>
      <c r="G619" s="1"/>
      <c r="H619" s="1"/>
      <c r="I619" s="1"/>
    </row>
    <row r="620" ht="15.75" customHeight="1">
      <c r="A620" s="1" t="s">
        <v>645</v>
      </c>
      <c r="B620" s="1" t="s">
        <v>630</v>
      </c>
      <c r="C620" s="1"/>
      <c r="D620" s="1"/>
      <c r="E620" s="1"/>
      <c r="F620" s="1"/>
      <c r="G620" s="1"/>
      <c r="H620" s="1"/>
      <c r="I620" s="1"/>
    </row>
    <row r="621" ht="15.75" customHeight="1">
      <c r="A621" s="1" t="s">
        <v>646</v>
      </c>
      <c r="B621" s="1" t="s">
        <v>630</v>
      </c>
      <c r="C621" s="1"/>
      <c r="D621" s="1"/>
      <c r="E621" s="1"/>
      <c r="F621" s="1"/>
      <c r="G621" s="1"/>
      <c r="H621" s="1"/>
      <c r="I621" s="1"/>
    </row>
    <row r="622" ht="15.75" customHeight="1">
      <c r="A622" s="1" t="s">
        <v>647</v>
      </c>
      <c r="B622" s="1" t="s">
        <v>630</v>
      </c>
      <c r="C622" s="1"/>
      <c r="D622" s="1"/>
      <c r="E622" s="1"/>
      <c r="F622" s="1"/>
      <c r="G622" s="1"/>
      <c r="H622" s="1"/>
      <c r="I622" s="1"/>
    </row>
    <row r="623" ht="15.75" customHeight="1">
      <c r="A623" s="1" t="s">
        <v>648</v>
      </c>
      <c r="B623" s="1" t="s">
        <v>630</v>
      </c>
      <c r="C623" s="1"/>
      <c r="D623" s="1"/>
      <c r="E623" s="1"/>
      <c r="F623" s="1"/>
      <c r="G623" s="1"/>
      <c r="H623" s="1"/>
      <c r="I623" s="1"/>
    </row>
    <row r="624" ht="15.75" customHeight="1">
      <c r="A624" s="1" t="s">
        <v>649</v>
      </c>
      <c r="B624" s="1" t="s">
        <v>630</v>
      </c>
      <c r="C624" s="1"/>
      <c r="D624" s="1"/>
      <c r="E624" s="1"/>
      <c r="F624" s="1"/>
      <c r="G624" s="1"/>
      <c r="H624" s="1"/>
      <c r="I624" s="1"/>
    </row>
    <row r="625" ht="15.75" customHeight="1">
      <c r="A625" s="1" t="s">
        <v>650</v>
      </c>
      <c r="B625" s="1" t="s">
        <v>630</v>
      </c>
      <c r="C625" s="1"/>
      <c r="D625" s="1"/>
      <c r="E625" s="1"/>
      <c r="F625" s="1"/>
      <c r="G625" s="1"/>
      <c r="H625" s="1"/>
      <c r="I625" s="1"/>
    </row>
    <row r="626" ht="15.75" customHeight="1">
      <c r="A626" s="1" t="s">
        <v>651</v>
      </c>
      <c r="B626" s="1" t="s">
        <v>630</v>
      </c>
      <c r="C626" s="1"/>
      <c r="D626" s="1"/>
      <c r="E626" s="1"/>
      <c r="F626" s="1"/>
      <c r="G626" s="1"/>
      <c r="H626" s="1"/>
      <c r="I626" s="1"/>
    </row>
    <row r="627" ht="15.75" customHeight="1">
      <c r="A627" s="1" t="s">
        <v>652</v>
      </c>
      <c r="B627" s="1" t="s">
        <v>630</v>
      </c>
      <c r="C627" s="1"/>
      <c r="D627" s="1"/>
      <c r="E627" s="1"/>
      <c r="F627" s="1"/>
      <c r="G627" s="1"/>
      <c r="H627" s="1"/>
      <c r="I627" s="1"/>
    </row>
    <row r="628" ht="15.75" customHeight="1">
      <c r="A628" s="1" t="s">
        <v>653</v>
      </c>
      <c r="B628" s="1" t="s">
        <v>630</v>
      </c>
      <c r="C628" s="1"/>
      <c r="D628" s="1"/>
      <c r="E628" s="1"/>
      <c r="F628" s="1"/>
      <c r="G628" s="1"/>
      <c r="H628" s="1"/>
      <c r="I628" s="1"/>
    </row>
    <row r="629" ht="15.75" customHeight="1">
      <c r="A629" s="1" t="s">
        <v>654</v>
      </c>
      <c r="B629" s="1" t="s">
        <v>630</v>
      </c>
      <c r="C629" s="1"/>
      <c r="D629" s="1"/>
      <c r="E629" s="1"/>
      <c r="F629" s="1"/>
      <c r="G629" s="1"/>
      <c r="H629" s="1"/>
      <c r="I629" s="1"/>
    </row>
    <row r="630" ht="15.75" customHeight="1">
      <c r="A630" s="1" t="s">
        <v>655</v>
      </c>
      <c r="B630" s="1" t="s">
        <v>630</v>
      </c>
      <c r="C630" s="1"/>
      <c r="D630" s="1"/>
      <c r="E630" s="1"/>
      <c r="F630" s="1"/>
      <c r="G630" s="1"/>
      <c r="H630" s="1"/>
      <c r="I630" s="1"/>
    </row>
    <row r="631" ht="15.75" customHeight="1">
      <c r="A631" s="1" t="s">
        <v>656</v>
      </c>
      <c r="B631" s="1" t="s">
        <v>630</v>
      </c>
      <c r="C631" s="1"/>
      <c r="D631" s="1"/>
      <c r="E631" s="1"/>
      <c r="F631" s="1"/>
      <c r="G631" s="1"/>
      <c r="H631" s="1"/>
      <c r="I631" s="1"/>
    </row>
    <row r="632" ht="15.75" customHeight="1">
      <c r="A632" s="1" t="s">
        <v>657</v>
      </c>
      <c r="B632" s="1" t="s">
        <v>630</v>
      </c>
      <c r="C632" s="1"/>
      <c r="D632" s="1"/>
      <c r="E632" s="1"/>
      <c r="F632" s="1"/>
      <c r="G632" s="1"/>
      <c r="H632" s="1"/>
      <c r="I632" s="1"/>
    </row>
    <row r="633" ht="15.75" customHeight="1">
      <c r="A633" s="1" t="s">
        <v>658</v>
      </c>
      <c r="B633" s="1" t="s">
        <v>630</v>
      </c>
      <c r="C633" s="1"/>
      <c r="D633" s="1"/>
      <c r="E633" s="1"/>
      <c r="F633" s="1"/>
      <c r="G633" s="1"/>
      <c r="H633" s="1"/>
      <c r="I633" s="1"/>
    </row>
    <row r="634" ht="15.75" customHeight="1">
      <c r="A634" s="1" t="s">
        <v>659</v>
      </c>
      <c r="B634" s="1" t="s">
        <v>630</v>
      </c>
      <c r="C634" s="1"/>
      <c r="D634" s="1"/>
      <c r="E634" s="1"/>
      <c r="F634" s="1"/>
      <c r="G634" s="1"/>
      <c r="H634" s="1"/>
      <c r="I634" s="1"/>
    </row>
    <row r="635" ht="15.75" customHeight="1">
      <c r="A635" s="1" t="s">
        <v>660</v>
      </c>
      <c r="B635" s="1" t="s">
        <v>630</v>
      </c>
      <c r="C635" s="1"/>
      <c r="D635" s="1"/>
      <c r="E635" s="1"/>
      <c r="F635" s="1"/>
      <c r="G635" s="1"/>
      <c r="H635" s="1"/>
      <c r="I635" s="1"/>
    </row>
    <row r="636" ht="15.75" customHeight="1">
      <c r="A636" s="1" t="s">
        <v>661</v>
      </c>
      <c r="B636" s="1" t="s">
        <v>630</v>
      </c>
      <c r="C636" s="1"/>
      <c r="D636" s="1"/>
      <c r="E636" s="1"/>
      <c r="F636" s="1"/>
      <c r="G636" s="1"/>
      <c r="H636" s="1"/>
      <c r="I636" s="1"/>
    </row>
    <row r="637" ht="15.75" customHeight="1">
      <c r="A637" s="1" t="s">
        <v>662</v>
      </c>
      <c r="B637" s="1" t="s">
        <v>630</v>
      </c>
      <c r="C637" s="1"/>
      <c r="D637" s="1"/>
      <c r="E637" s="1"/>
      <c r="F637" s="1"/>
      <c r="G637" s="1"/>
      <c r="H637" s="1"/>
      <c r="I637" s="1"/>
    </row>
    <row r="638" ht="15.75" customHeight="1">
      <c r="A638" s="1" t="s">
        <v>663</v>
      </c>
      <c r="B638" s="1" t="s">
        <v>630</v>
      </c>
      <c r="C638" s="1"/>
      <c r="D638" s="1"/>
      <c r="E638" s="1"/>
      <c r="F638" s="1"/>
      <c r="G638" s="1"/>
      <c r="H638" s="1"/>
      <c r="I638" s="1"/>
    </row>
    <row r="639" ht="15.75" customHeight="1">
      <c r="A639" s="1" t="s">
        <v>664</v>
      </c>
      <c r="B639" s="1" t="s">
        <v>630</v>
      </c>
      <c r="C639" s="1"/>
      <c r="D639" s="1"/>
      <c r="E639" s="1"/>
      <c r="F639" s="1"/>
      <c r="G639" s="1"/>
      <c r="H639" s="1"/>
      <c r="I639" s="1"/>
    </row>
    <row r="640" ht="15.75" customHeight="1">
      <c r="A640" s="1" t="s">
        <v>665</v>
      </c>
      <c r="B640" s="1" t="s">
        <v>630</v>
      </c>
      <c r="C640" s="1"/>
      <c r="D640" s="1"/>
      <c r="E640" s="1"/>
      <c r="F640" s="1"/>
      <c r="G640" s="1"/>
      <c r="H640" s="1"/>
      <c r="I640" s="1"/>
    </row>
    <row r="641" ht="15.75" customHeight="1">
      <c r="A641" s="1" t="s">
        <v>666</v>
      </c>
      <c r="B641" s="1" t="s">
        <v>630</v>
      </c>
      <c r="C641" s="1"/>
      <c r="D641" s="1"/>
      <c r="E641" s="1"/>
      <c r="F641" s="1"/>
      <c r="G641" s="1"/>
      <c r="H641" s="1"/>
      <c r="I641" s="1"/>
    </row>
    <row r="642" ht="15.75" customHeight="1">
      <c r="A642" s="1" t="s">
        <v>667</v>
      </c>
      <c r="B642" s="1" t="s">
        <v>630</v>
      </c>
      <c r="C642" s="1"/>
      <c r="D642" s="1"/>
      <c r="E642" s="1"/>
      <c r="F642" s="1"/>
      <c r="G642" s="1"/>
      <c r="H642" s="1"/>
      <c r="I642" s="1"/>
    </row>
    <row r="643" ht="15.75" customHeight="1">
      <c r="A643" s="1" t="s">
        <v>668</v>
      </c>
      <c r="B643" s="1" t="s">
        <v>630</v>
      </c>
      <c r="C643" s="1"/>
      <c r="D643" s="1"/>
      <c r="E643" s="1"/>
      <c r="F643" s="1"/>
      <c r="G643" s="1"/>
      <c r="H643" s="1"/>
      <c r="I643" s="1"/>
    </row>
    <row r="644" ht="15.75" customHeight="1">
      <c r="A644" s="1" t="s">
        <v>669</v>
      </c>
      <c r="B644" s="1" t="s">
        <v>630</v>
      </c>
      <c r="C644" s="1"/>
      <c r="D644" s="1"/>
      <c r="E644" s="1"/>
      <c r="F644" s="1"/>
      <c r="G644" s="1"/>
      <c r="H644" s="1"/>
      <c r="I644" s="1"/>
    </row>
    <row r="645" ht="15.75" customHeight="1">
      <c r="A645" s="1" t="s">
        <v>670</v>
      </c>
      <c r="B645" s="1" t="s">
        <v>630</v>
      </c>
      <c r="C645" s="1"/>
      <c r="D645" s="1"/>
      <c r="E645" s="1"/>
      <c r="F645" s="1"/>
      <c r="G645" s="1"/>
      <c r="H645" s="1"/>
      <c r="I645" s="1"/>
    </row>
    <row r="646" ht="15.75" customHeight="1">
      <c r="A646" s="1" t="s">
        <v>671</v>
      </c>
      <c r="B646" s="1" t="s">
        <v>630</v>
      </c>
      <c r="C646" s="1"/>
      <c r="D646" s="1"/>
      <c r="E646" s="1"/>
      <c r="F646" s="1"/>
      <c r="G646" s="1"/>
      <c r="H646" s="1"/>
      <c r="I646" s="1"/>
    </row>
    <row r="647" ht="15.75" customHeight="1">
      <c r="A647" s="1" t="s">
        <v>672</v>
      </c>
      <c r="B647" s="1" t="s">
        <v>630</v>
      </c>
      <c r="C647" s="1"/>
      <c r="D647" s="1"/>
      <c r="E647" s="1"/>
      <c r="F647" s="1"/>
      <c r="G647" s="1"/>
      <c r="H647" s="1"/>
      <c r="I647" s="1"/>
    </row>
    <row r="648" ht="15.75" customHeight="1">
      <c r="A648" s="1" t="s">
        <v>673</v>
      </c>
      <c r="B648" s="1" t="s">
        <v>630</v>
      </c>
      <c r="C648" s="1"/>
      <c r="D648" s="1"/>
      <c r="E648" s="1"/>
      <c r="F648" s="1"/>
      <c r="G648" s="1"/>
      <c r="H648" s="1"/>
      <c r="I648" s="1"/>
    </row>
    <row r="649" ht="15.75" customHeight="1">
      <c r="A649" s="1" t="s">
        <v>674</v>
      </c>
      <c r="B649" s="1" t="s">
        <v>630</v>
      </c>
      <c r="C649" s="1"/>
      <c r="D649" s="1"/>
      <c r="E649" s="1"/>
      <c r="F649" s="1"/>
      <c r="G649" s="1"/>
      <c r="H649" s="1"/>
      <c r="I649" s="1"/>
    </row>
    <row r="650" ht="15.75" customHeight="1">
      <c r="A650" s="1" t="s">
        <v>675</v>
      </c>
      <c r="B650" s="1" t="s">
        <v>630</v>
      </c>
      <c r="C650" s="1"/>
      <c r="D650" s="1"/>
      <c r="E650" s="1"/>
      <c r="F650" s="1"/>
      <c r="G650" s="1"/>
      <c r="H650" s="1"/>
      <c r="I650" s="1"/>
    </row>
    <row r="651" ht="15.75" customHeight="1">
      <c r="A651" s="1" t="s">
        <v>676</v>
      </c>
      <c r="B651" s="1" t="s">
        <v>630</v>
      </c>
      <c r="C651" s="1"/>
      <c r="D651" s="1"/>
      <c r="E651" s="1"/>
      <c r="F651" s="1"/>
      <c r="G651" s="1"/>
      <c r="H651" s="1"/>
      <c r="I651" s="1"/>
    </row>
    <row r="652" ht="15.75" customHeight="1">
      <c r="A652" s="1" t="s">
        <v>677</v>
      </c>
      <c r="B652" s="1" t="s">
        <v>630</v>
      </c>
      <c r="C652" s="1"/>
      <c r="D652" s="1"/>
      <c r="E652" s="1"/>
      <c r="F652" s="1"/>
      <c r="G652" s="1"/>
      <c r="H652" s="1"/>
      <c r="I652" s="1"/>
    </row>
    <row r="653" ht="15.75" customHeight="1">
      <c r="A653" s="1" t="s">
        <v>678</v>
      </c>
      <c r="B653" s="1" t="s">
        <v>630</v>
      </c>
      <c r="C653" s="1"/>
      <c r="D653" s="1"/>
      <c r="E653" s="1"/>
      <c r="F653" s="1"/>
      <c r="G653" s="1"/>
      <c r="H653" s="1"/>
      <c r="I653" s="1"/>
    </row>
    <row r="654" ht="15.75" customHeight="1">
      <c r="A654" s="1" t="s">
        <v>679</v>
      </c>
      <c r="B654" s="1" t="s">
        <v>630</v>
      </c>
      <c r="C654" s="1"/>
      <c r="D654" s="1"/>
      <c r="E654" s="1"/>
      <c r="F654" s="1"/>
      <c r="G654" s="1"/>
      <c r="H654" s="1"/>
      <c r="I654" s="1"/>
    </row>
    <row r="655" ht="15.75" customHeight="1">
      <c r="A655" s="1" t="s">
        <v>680</v>
      </c>
      <c r="B655" s="1" t="s">
        <v>630</v>
      </c>
      <c r="C655" s="1"/>
      <c r="D655" s="1"/>
      <c r="E655" s="1"/>
      <c r="F655" s="1"/>
      <c r="G655" s="1"/>
      <c r="H655" s="1"/>
      <c r="I655" s="1"/>
    </row>
    <row r="656" ht="15.75" customHeight="1">
      <c r="A656" s="1" t="s">
        <v>681</v>
      </c>
      <c r="B656" s="1" t="s">
        <v>630</v>
      </c>
      <c r="C656" s="1"/>
      <c r="D656" s="1"/>
      <c r="E656" s="1"/>
      <c r="F656" s="1"/>
      <c r="G656" s="1"/>
      <c r="H656" s="1"/>
      <c r="I656" s="1"/>
    </row>
    <row r="657" ht="15.75" customHeight="1">
      <c r="A657" s="1" t="s">
        <v>682</v>
      </c>
      <c r="B657" s="1" t="s">
        <v>630</v>
      </c>
      <c r="C657" s="1"/>
      <c r="D657" s="1"/>
      <c r="E657" s="1"/>
      <c r="F657" s="1"/>
      <c r="G657" s="1"/>
      <c r="H657" s="1"/>
      <c r="I657" s="1"/>
    </row>
    <row r="658" ht="15.75" customHeight="1">
      <c r="A658" s="1" t="s">
        <v>683</v>
      </c>
      <c r="B658" s="1" t="s">
        <v>630</v>
      </c>
      <c r="C658" s="1"/>
      <c r="D658" s="1"/>
      <c r="E658" s="1"/>
      <c r="F658" s="1"/>
      <c r="G658" s="1"/>
      <c r="H658" s="1"/>
      <c r="I658" s="1"/>
    </row>
    <row r="659" ht="15.75" customHeight="1">
      <c r="A659" s="1" t="s">
        <v>684</v>
      </c>
      <c r="B659" s="1" t="s">
        <v>630</v>
      </c>
      <c r="C659" s="1"/>
      <c r="D659" s="1"/>
      <c r="E659" s="1"/>
      <c r="F659" s="1"/>
      <c r="G659" s="1"/>
      <c r="H659" s="1"/>
      <c r="I659" s="1"/>
    </row>
    <row r="660" ht="15.75" customHeight="1">
      <c r="A660" s="1" t="s">
        <v>685</v>
      </c>
      <c r="B660" s="1" t="s">
        <v>630</v>
      </c>
      <c r="C660" s="1"/>
      <c r="D660" s="1"/>
      <c r="E660" s="1"/>
      <c r="F660" s="1"/>
      <c r="G660" s="1"/>
      <c r="H660" s="1"/>
      <c r="I660" s="1"/>
    </row>
    <row r="661" ht="15.75" customHeight="1">
      <c r="A661" s="1" t="s">
        <v>686</v>
      </c>
      <c r="B661" s="1" t="s">
        <v>630</v>
      </c>
      <c r="C661" s="1"/>
      <c r="D661" s="1"/>
      <c r="E661" s="1"/>
      <c r="F661" s="1"/>
      <c r="G661" s="1"/>
      <c r="H661" s="1"/>
      <c r="I661" s="1"/>
    </row>
    <row r="662" ht="15.75" customHeight="1">
      <c r="A662" s="1" t="s">
        <v>687</v>
      </c>
      <c r="B662" s="1" t="s">
        <v>630</v>
      </c>
      <c r="C662" s="1"/>
      <c r="D662" s="1"/>
      <c r="E662" s="1"/>
      <c r="F662" s="1"/>
      <c r="G662" s="1"/>
      <c r="H662" s="1"/>
      <c r="I662" s="1"/>
    </row>
    <row r="663" ht="15.75" customHeight="1">
      <c r="A663" s="1" t="s">
        <v>688</v>
      </c>
      <c r="B663" s="1" t="s">
        <v>630</v>
      </c>
      <c r="C663" s="1"/>
      <c r="D663" s="1"/>
      <c r="E663" s="1"/>
      <c r="F663" s="1"/>
      <c r="G663" s="1"/>
      <c r="H663" s="1"/>
      <c r="I663" s="1"/>
    </row>
    <row r="664" ht="15.75" customHeight="1">
      <c r="A664" s="1" t="s">
        <v>689</v>
      </c>
      <c r="B664" s="1" t="s">
        <v>630</v>
      </c>
      <c r="C664" s="1"/>
      <c r="D664" s="1"/>
      <c r="E664" s="1"/>
      <c r="F664" s="1"/>
      <c r="G664" s="1"/>
      <c r="H664" s="1"/>
      <c r="I664" s="1"/>
    </row>
    <row r="665" ht="15.75" customHeight="1">
      <c r="A665" s="1" t="s">
        <v>690</v>
      </c>
      <c r="B665" s="1" t="s">
        <v>630</v>
      </c>
      <c r="C665" s="1"/>
      <c r="D665" s="1"/>
      <c r="E665" s="1"/>
      <c r="F665" s="1"/>
      <c r="G665" s="1"/>
      <c r="H665" s="1"/>
      <c r="I665" s="1"/>
    </row>
    <row r="666" ht="15.75" customHeight="1">
      <c r="A666" s="1" t="s">
        <v>691</v>
      </c>
      <c r="B666" s="1" t="s">
        <v>630</v>
      </c>
      <c r="C666" s="1"/>
      <c r="D666" s="1"/>
      <c r="E666" s="1"/>
      <c r="F666" s="1"/>
      <c r="G666" s="1"/>
      <c r="H666" s="1"/>
      <c r="I666" s="1"/>
    </row>
    <row r="667" ht="15.75" customHeight="1">
      <c r="A667" s="1" t="s">
        <v>692</v>
      </c>
      <c r="B667" s="1" t="s">
        <v>630</v>
      </c>
      <c r="C667" s="1"/>
      <c r="D667" s="1"/>
      <c r="E667" s="1"/>
      <c r="F667" s="1"/>
      <c r="G667" s="1"/>
      <c r="H667" s="1"/>
      <c r="I667" s="1"/>
    </row>
    <row r="668" ht="15.75" customHeight="1">
      <c r="A668" s="1" t="s">
        <v>693</v>
      </c>
      <c r="B668" s="1" t="s">
        <v>630</v>
      </c>
      <c r="C668" s="1"/>
      <c r="D668" s="1"/>
      <c r="E668" s="1"/>
      <c r="F668" s="1"/>
      <c r="G668" s="1"/>
      <c r="H668" s="1"/>
      <c r="I668" s="1"/>
    </row>
    <row r="669" ht="15.75" customHeight="1">
      <c r="A669" s="1" t="s">
        <v>694</v>
      </c>
      <c r="B669" s="1" t="s">
        <v>630</v>
      </c>
      <c r="C669" s="1"/>
      <c r="D669" s="1"/>
      <c r="E669" s="1"/>
      <c r="F669" s="1"/>
      <c r="G669" s="1"/>
      <c r="H669" s="1"/>
      <c r="I669" s="1"/>
    </row>
    <row r="670" ht="15.75" customHeight="1">
      <c r="A670" s="1" t="s">
        <v>695</v>
      </c>
      <c r="B670" s="1" t="s">
        <v>630</v>
      </c>
      <c r="C670" s="1"/>
      <c r="D670" s="1"/>
      <c r="E670" s="1"/>
      <c r="F670" s="1"/>
      <c r="G670" s="1"/>
      <c r="H670" s="1"/>
      <c r="I670" s="1"/>
    </row>
    <row r="671" ht="15.75" customHeight="1">
      <c r="A671" s="1" t="s">
        <v>696</v>
      </c>
      <c r="B671" s="1" t="s">
        <v>630</v>
      </c>
      <c r="C671" s="1"/>
      <c r="D671" s="1"/>
      <c r="E671" s="1"/>
      <c r="F671" s="1"/>
      <c r="G671" s="1"/>
      <c r="H671" s="1"/>
      <c r="I671" s="1"/>
    </row>
    <row r="672" ht="15.75" customHeight="1">
      <c r="A672" s="1" t="s">
        <v>697</v>
      </c>
      <c r="B672" s="1" t="s">
        <v>630</v>
      </c>
      <c r="C672" s="1"/>
      <c r="D672" s="1"/>
      <c r="E672" s="1"/>
      <c r="F672" s="1"/>
      <c r="G672" s="1"/>
      <c r="H672" s="1"/>
      <c r="I672" s="1"/>
    </row>
    <row r="673" ht="15.75" customHeight="1">
      <c r="A673" s="1" t="s">
        <v>698</v>
      </c>
      <c r="B673" s="1" t="s">
        <v>630</v>
      </c>
      <c r="C673" s="1"/>
      <c r="D673" s="1"/>
      <c r="E673" s="1"/>
      <c r="F673" s="1"/>
      <c r="G673" s="1"/>
      <c r="H673" s="1"/>
      <c r="I673" s="1"/>
    </row>
    <row r="674" ht="15.75" customHeight="1">
      <c r="A674" s="1" t="s">
        <v>699</v>
      </c>
      <c r="B674" s="1" t="s">
        <v>630</v>
      </c>
      <c r="C674" s="1"/>
      <c r="D674" s="1"/>
      <c r="E674" s="1"/>
      <c r="F674" s="1"/>
      <c r="G674" s="1"/>
      <c r="H674" s="1"/>
      <c r="I674" s="1"/>
    </row>
    <row r="675" ht="15.75" customHeight="1">
      <c r="A675" s="1" t="s">
        <v>700</v>
      </c>
      <c r="B675" s="1" t="s">
        <v>630</v>
      </c>
      <c r="C675" s="1"/>
      <c r="D675" s="1"/>
      <c r="E675" s="1"/>
      <c r="F675" s="1"/>
      <c r="G675" s="1"/>
      <c r="H675" s="1"/>
      <c r="I675" s="1"/>
    </row>
    <row r="676" ht="15.75" customHeight="1">
      <c r="A676" s="1" t="s">
        <v>701</v>
      </c>
      <c r="B676" s="1" t="s">
        <v>630</v>
      </c>
      <c r="C676" s="1"/>
      <c r="D676" s="1"/>
      <c r="E676" s="1"/>
      <c r="F676" s="1"/>
      <c r="G676" s="1"/>
      <c r="H676" s="1"/>
      <c r="I676" s="1"/>
    </row>
    <row r="677" ht="15.75" customHeight="1">
      <c r="A677" s="1" t="s">
        <v>702</v>
      </c>
      <c r="B677" s="1" t="s">
        <v>630</v>
      </c>
      <c r="C677" s="1"/>
      <c r="D677" s="1"/>
      <c r="E677" s="1"/>
      <c r="F677" s="1"/>
      <c r="G677" s="1"/>
      <c r="H677" s="1"/>
      <c r="I677" s="1"/>
    </row>
    <row r="678" ht="15.75" customHeight="1">
      <c r="A678" s="1" t="s">
        <v>703</v>
      </c>
      <c r="B678" s="1" t="s">
        <v>630</v>
      </c>
      <c r="C678" s="1"/>
      <c r="D678" s="1"/>
      <c r="E678" s="1"/>
      <c r="F678" s="1"/>
      <c r="G678" s="1"/>
      <c r="H678" s="1"/>
      <c r="I678" s="1"/>
    </row>
    <row r="679" ht="15.75" customHeight="1">
      <c r="A679" s="1" t="s">
        <v>704</v>
      </c>
      <c r="B679" s="1" t="s">
        <v>630</v>
      </c>
      <c r="C679" s="1"/>
      <c r="D679" s="1"/>
      <c r="E679" s="1"/>
      <c r="F679" s="1"/>
      <c r="G679" s="1"/>
      <c r="H679" s="1"/>
      <c r="I679" s="1"/>
    </row>
    <row r="680" ht="15.75" customHeight="1">
      <c r="A680" s="1" t="s">
        <v>705</v>
      </c>
      <c r="B680" s="1" t="s">
        <v>630</v>
      </c>
      <c r="C680" s="1"/>
      <c r="D680" s="1"/>
      <c r="E680" s="1"/>
      <c r="F680" s="1"/>
      <c r="G680" s="1"/>
      <c r="H680" s="1"/>
      <c r="I680" s="1"/>
    </row>
    <row r="681" ht="15.75" customHeight="1">
      <c r="A681" s="1" t="s">
        <v>706</v>
      </c>
      <c r="B681" s="1" t="s">
        <v>630</v>
      </c>
      <c r="C681" s="1"/>
      <c r="D681" s="1"/>
      <c r="E681" s="1"/>
      <c r="F681" s="1"/>
      <c r="G681" s="1"/>
      <c r="H681" s="1"/>
      <c r="I681" s="1"/>
    </row>
    <row r="682" ht="15.75" customHeight="1">
      <c r="A682" s="1" t="s">
        <v>707</v>
      </c>
      <c r="B682" s="1" t="s">
        <v>630</v>
      </c>
      <c r="C682" s="1"/>
      <c r="D682" s="1"/>
      <c r="E682" s="1"/>
      <c r="F682" s="1"/>
      <c r="G682" s="1"/>
      <c r="H682" s="1"/>
      <c r="I682" s="1"/>
    </row>
    <row r="683" ht="15.75" customHeight="1">
      <c r="A683" s="1" t="s">
        <v>708</v>
      </c>
      <c r="B683" s="1" t="s">
        <v>630</v>
      </c>
      <c r="C683" s="1"/>
      <c r="D683" s="1"/>
      <c r="E683" s="1"/>
      <c r="F683" s="1"/>
      <c r="G683" s="1"/>
      <c r="H683" s="1"/>
      <c r="I683" s="1"/>
    </row>
    <row r="684" ht="15.75" customHeight="1">
      <c r="A684" s="1" t="s">
        <v>709</v>
      </c>
      <c r="B684" s="1" t="s">
        <v>630</v>
      </c>
      <c r="C684" s="1"/>
      <c r="D684" s="1"/>
      <c r="E684" s="1"/>
      <c r="F684" s="1"/>
      <c r="G684" s="1"/>
      <c r="H684" s="1"/>
      <c r="I684" s="1"/>
    </row>
    <row r="685" ht="15.75" customHeight="1">
      <c r="A685" s="1" t="s">
        <v>710</v>
      </c>
      <c r="B685" s="1" t="s">
        <v>630</v>
      </c>
      <c r="C685" s="1"/>
      <c r="D685" s="1"/>
      <c r="E685" s="1"/>
      <c r="F685" s="1"/>
      <c r="G685" s="1"/>
      <c r="H685" s="1"/>
      <c r="I685" s="1"/>
    </row>
    <row r="686" ht="15.75" customHeight="1">
      <c r="A686" s="1" t="s">
        <v>711</v>
      </c>
      <c r="B686" s="1" t="s">
        <v>630</v>
      </c>
      <c r="C686" s="1"/>
      <c r="D686" s="1"/>
      <c r="E686" s="1"/>
      <c r="F686" s="1"/>
      <c r="G686" s="1"/>
      <c r="H686" s="1"/>
      <c r="I686" s="1"/>
    </row>
    <row r="687" ht="15.75" customHeight="1">
      <c r="A687" s="1" t="s">
        <v>712</v>
      </c>
      <c r="B687" s="1" t="s">
        <v>630</v>
      </c>
      <c r="C687" s="1"/>
      <c r="D687" s="1"/>
      <c r="E687" s="1"/>
      <c r="F687" s="1"/>
      <c r="G687" s="1"/>
      <c r="H687" s="1"/>
      <c r="I687" s="1"/>
    </row>
    <row r="688" ht="15.75" customHeight="1">
      <c r="A688" s="1" t="s">
        <v>713</v>
      </c>
      <c r="B688" s="1" t="s">
        <v>630</v>
      </c>
      <c r="C688" s="1"/>
      <c r="D688" s="1"/>
      <c r="E688" s="1"/>
      <c r="F688" s="1"/>
      <c r="G688" s="1"/>
      <c r="H688" s="1"/>
      <c r="I688" s="1"/>
    </row>
    <row r="689" ht="15.75" customHeight="1">
      <c r="A689" s="1" t="s">
        <v>714</v>
      </c>
      <c r="B689" s="1" t="s">
        <v>630</v>
      </c>
      <c r="C689" s="1"/>
      <c r="D689" s="1"/>
      <c r="E689" s="1"/>
      <c r="F689" s="1"/>
      <c r="G689" s="1"/>
      <c r="H689" s="1"/>
      <c r="I689" s="1"/>
    </row>
    <row r="690" ht="15.75" customHeight="1">
      <c r="A690" s="1" t="s">
        <v>715</v>
      </c>
      <c r="B690" s="1" t="s">
        <v>630</v>
      </c>
      <c r="C690" s="1"/>
      <c r="D690" s="1"/>
      <c r="E690" s="1"/>
      <c r="F690" s="1"/>
      <c r="G690" s="1"/>
      <c r="H690" s="1"/>
      <c r="I690" s="1"/>
    </row>
    <row r="691" ht="15.75" customHeight="1">
      <c r="A691" s="1" t="s">
        <v>716</v>
      </c>
      <c r="B691" s="1" t="s">
        <v>630</v>
      </c>
      <c r="C691" s="1"/>
      <c r="D691" s="1"/>
      <c r="E691" s="1"/>
      <c r="F691" s="1"/>
      <c r="G691" s="1"/>
      <c r="H691" s="1"/>
      <c r="I691" s="1"/>
    </row>
    <row r="692" ht="15.75" customHeight="1">
      <c r="A692" s="1" t="s">
        <v>717</v>
      </c>
      <c r="B692" s="1" t="s">
        <v>630</v>
      </c>
      <c r="C692" s="1"/>
      <c r="D692" s="1"/>
      <c r="E692" s="1"/>
      <c r="F692" s="1"/>
      <c r="G692" s="1"/>
      <c r="H692" s="1"/>
      <c r="I692" s="1"/>
    </row>
    <row r="693" ht="15.75" customHeight="1">
      <c r="A693" s="1" t="s">
        <v>718</v>
      </c>
      <c r="B693" s="1" t="s">
        <v>630</v>
      </c>
      <c r="C693" s="1"/>
      <c r="D693" s="1"/>
      <c r="E693" s="1"/>
      <c r="F693" s="1"/>
      <c r="G693" s="1"/>
      <c r="H693" s="1"/>
      <c r="I693" s="1"/>
    </row>
    <row r="694" ht="15.75" customHeight="1">
      <c r="A694" s="1" t="s">
        <v>719</v>
      </c>
      <c r="B694" s="1" t="s">
        <v>630</v>
      </c>
      <c r="C694" s="1"/>
      <c r="D694" s="1"/>
      <c r="E694" s="1"/>
      <c r="F694" s="1"/>
      <c r="G694" s="1"/>
      <c r="H694" s="1"/>
      <c r="I694" s="1"/>
    </row>
    <row r="695" ht="15.75" customHeight="1">
      <c r="A695" s="1" t="s">
        <v>720</v>
      </c>
      <c r="B695" s="1" t="s">
        <v>721</v>
      </c>
      <c r="C695" s="1"/>
      <c r="D695" s="1"/>
      <c r="E695" s="1"/>
      <c r="F695" s="1"/>
      <c r="G695" s="1"/>
      <c r="H695" s="1"/>
      <c r="I695" s="1"/>
    </row>
    <row r="696" ht="15.75" customHeight="1">
      <c r="A696" s="1" t="s">
        <v>722</v>
      </c>
      <c r="B696" s="1" t="s">
        <v>721</v>
      </c>
      <c r="C696" s="1"/>
      <c r="D696" s="1"/>
      <c r="E696" s="1"/>
      <c r="F696" s="1"/>
      <c r="G696" s="1"/>
      <c r="H696" s="1"/>
      <c r="I696" s="1"/>
    </row>
    <row r="697" ht="15.75" customHeight="1">
      <c r="A697" s="1" t="s">
        <v>723</v>
      </c>
      <c r="B697" s="1" t="s">
        <v>721</v>
      </c>
      <c r="C697" s="1"/>
      <c r="D697" s="1"/>
      <c r="E697" s="1"/>
      <c r="F697" s="1"/>
      <c r="G697" s="1"/>
      <c r="H697" s="1"/>
      <c r="I697" s="1"/>
    </row>
    <row r="698" ht="15.75" customHeight="1">
      <c r="A698" s="1" t="s">
        <v>724</v>
      </c>
      <c r="B698" s="1" t="s">
        <v>721</v>
      </c>
      <c r="C698" s="1"/>
      <c r="D698" s="1"/>
      <c r="E698" s="1"/>
      <c r="F698" s="1"/>
      <c r="G698" s="1"/>
      <c r="H698" s="1"/>
      <c r="I698" s="1"/>
    </row>
    <row r="699" ht="15.75" customHeight="1">
      <c r="A699" s="1" t="s">
        <v>725</v>
      </c>
      <c r="B699" s="1" t="s">
        <v>721</v>
      </c>
      <c r="C699" s="1"/>
      <c r="D699" s="1"/>
      <c r="E699" s="1"/>
      <c r="F699" s="1"/>
      <c r="G699" s="1"/>
      <c r="H699" s="1"/>
      <c r="I699" s="1"/>
    </row>
    <row r="700" ht="15.75" customHeight="1">
      <c r="A700" s="1" t="s">
        <v>726</v>
      </c>
      <c r="B700" s="1" t="s">
        <v>721</v>
      </c>
      <c r="C700" s="1"/>
      <c r="D700" s="1"/>
      <c r="E700" s="1"/>
      <c r="F700" s="1"/>
      <c r="G700" s="1"/>
      <c r="H700" s="1"/>
      <c r="I700" s="1"/>
    </row>
    <row r="701" ht="15.75" customHeight="1">
      <c r="A701" s="1" t="s">
        <v>727</v>
      </c>
      <c r="B701" s="1" t="s">
        <v>721</v>
      </c>
      <c r="C701" s="1"/>
      <c r="D701" s="1"/>
      <c r="E701" s="1"/>
      <c r="F701" s="1"/>
      <c r="G701" s="1"/>
      <c r="H701" s="1"/>
      <c r="I701" s="1"/>
    </row>
    <row r="702" ht="15.75" customHeight="1">
      <c r="A702" s="1" t="s">
        <v>728</v>
      </c>
      <c r="B702" s="1" t="s">
        <v>721</v>
      </c>
      <c r="C702" s="1"/>
      <c r="D702" s="1"/>
      <c r="E702" s="1"/>
      <c r="F702" s="1"/>
      <c r="G702" s="1"/>
      <c r="H702" s="1"/>
      <c r="I702" s="1"/>
    </row>
    <row r="703" ht="15.75" customHeight="1">
      <c r="A703" s="1" t="s">
        <v>729</v>
      </c>
      <c r="B703" s="1" t="s">
        <v>721</v>
      </c>
      <c r="C703" s="1"/>
      <c r="D703" s="1"/>
      <c r="E703" s="1"/>
      <c r="F703" s="1"/>
      <c r="G703" s="1"/>
      <c r="H703" s="1"/>
      <c r="I703" s="1"/>
    </row>
    <row r="704" ht="15.75" customHeight="1">
      <c r="A704" s="1" t="s">
        <v>730</v>
      </c>
      <c r="B704" s="1" t="s">
        <v>721</v>
      </c>
      <c r="C704" s="1"/>
      <c r="D704" s="1"/>
      <c r="E704" s="1"/>
      <c r="F704" s="1"/>
      <c r="G704" s="1"/>
      <c r="H704" s="1"/>
      <c r="I704" s="1"/>
    </row>
    <row r="705" ht="15.75" customHeight="1">
      <c r="A705" s="1" t="s">
        <v>731</v>
      </c>
      <c r="B705" s="1" t="s">
        <v>721</v>
      </c>
      <c r="C705" s="1"/>
      <c r="D705" s="1"/>
      <c r="E705" s="1"/>
      <c r="F705" s="1"/>
      <c r="G705" s="1"/>
      <c r="H705" s="1"/>
      <c r="I705" s="1"/>
    </row>
    <row r="706" ht="15.75" customHeight="1">
      <c r="A706" s="1" t="s">
        <v>732</v>
      </c>
      <c r="B706" s="1" t="s">
        <v>721</v>
      </c>
      <c r="C706" s="1"/>
      <c r="D706" s="1"/>
      <c r="E706" s="1"/>
      <c r="F706" s="1"/>
      <c r="G706" s="1"/>
      <c r="H706" s="1"/>
      <c r="I706" s="1"/>
    </row>
    <row r="707" ht="15.75" customHeight="1">
      <c r="A707" s="1" t="s">
        <v>733</v>
      </c>
      <c r="B707" s="1" t="s">
        <v>721</v>
      </c>
      <c r="C707" s="1"/>
      <c r="D707" s="1"/>
      <c r="E707" s="1"/>
      <c r="F707" s="1"/>
      <c r="G707" s="1"/>
      <c r="H707" s="1"/>
      <c r="I707" s="1"/>
    </row>
    <row r="708" ht="15.75" customHeight="1">
      <c r="A708" s="1" t="s">
        <v>734</v>
      </c>
      <c r="B708" s="1" t="s">
        <v>735</v>
      </c>
      <c r="C708" s="1"/>
      <c r="D708" s="1"/>
      <c r="E708" s="1"/>
      <c r="F708" s="1"/>
      <c r="G708" s="1"/>
      <c r="H708" s="1"/>
      <c r="I708" s="1"/>
    </row>
    <row r="709" ht="15.75" customHeight="1">
      <c r="A709" s="1" t="s">
        <v>736</v>
      </c>
      <c r="B709" s="1" t="s">
        <v>735</v>
      </c>
      <c r="C709" s="1"/>
      <c r="D709" s="1"/>
      <c r="E709" s="1"/>
      <c r="F709" s="1"/>
      <c r="G709" s="1"/>
      <c r="H709" s="1"/>
      <c r="I709" s="1"/>
    </row>
    <row r="710" ht="15.75" customHeight="1">
      <c r="A710" s="1" t="s">
        <v>737</v>
      </c>
      <c r="B710" s="1" t="s">
        <v>735</v>
      </c>
      <c r="C710" s="1"/>
      <c r="D710" s="1"/>
      <c r="E710" s="1"/>
      <c r="F710" s="1"/>
      <c r="G710" s="1"/>
      <c r="H710" s="1"/>
      <c r="I710" s="1"/>
    </row>
    <row r="711" ht="15.75" customHeight="1">
      <c r="A711" s="1" t="s">
        <v>738</v>
      </c>
      <c r="B711" s="1" t="s">
        <v>735</v>
      </c>
      <c r="C711" s="1"/>
      <c r="D711" s="1"/>
      <c r="E711" s="1"/>
      <c r="F711" s="1"/>
      <c r="G711" s="1"/>
      <c r="H711" s="1"/>
      <c r="I711" s="1"/>
    </row>
    <row r="712" ht="15.75" customHeight="1">
      <c r="A712" s="1" t="s">
        <v>739</v>
      </c>
      <c r="B712" s="1" t="s">
        <v>735</v>
      </c>
      <c r="C712" s="1"/>
      <c r="D712" s="1"/>
      <c r="E712" s="1"/>
      <c r="F712" s="1"/>
      <c r="G712" s="1"/>
      <c r="H712" s="1"/>
      <c r="I712" s="1"/>
    </row>
    <row r="713" ht="15.75" customHeight="1">
      <c r="A713" s="1" t="s">
        <v>740</v>
      </c>
      <c r="B713" s="1" t="s">
        <v>735</v>
      </c>
      <c r="C713" s="1"/>
      <c r="D713" s="1"/>
      <c r="E713" s="1"/>
      <c r="F713" s="1"/>
      <c r="G713" s="1"/>
      <c r="H713" s="1"/>
      <c r="I713" s="1"/>
    </row>
    <row r="714" ht="15.75" customHeight="1">
      <c r="A714" s="1" t="s">
        <v>741</v>
      </c>
      <c r="B714" s="1" t="s">
        <v>735</v>
      </c>
      <c r="C714" s="1"/>
      <c r="D714" s="1"/>
      <c r="E714" s="1"/>
      <c r="F714" s="1"/>
      <c r="G714" s="1"/>
      <c r="H714" s="1"/>
      <c r="I714" s="1"/>
    </row>
    <row r="715" ht="15.75" customHeight="1">
      <c r="A715" s="1" t="s">
        <v>742</v>
      </c>
      <c r="B715" s="1" t="s">
        <v>735</v>
      </c>
      <c r="C715" s="1"/>
      <c r="D715" s="1"/>
      <c r="E715" s="1"/>
      <c r="F715" s="1"/>
      <c r="G715" s="1"/>
      <c r="H715" s="1"/>
      <c r="I715" s="1"/>
    </row>
    <row r="716" ht="15.75" customHeight="1">
      <c r="A716" s="1" t="s">
        <v>743</v>
      </c>
      <c r="B716" s="1" t="s">
        <v>735</v>
      </c>
      <c r="C716" s="1"/>
      <c r="D716" s="1"/>
      <c r="E716" s="1"/>
      <c r="F716" s="1"/>
      <c r="G716" s="1"/>
      <c r="H716" s="1"/>
      <c r="I716" s="1"/>
    </row>
    <row r="717" ht="15.75" customHeight="1">
      <c r="A717" s="1" t="s">
        <v>744</v>
      </c>
      <c r="B717" s="1" t="s">
        <v>735</v>
      </c>
      <c r="C717" s="1"/>
      <c r="D717" s="1"/>
      <c r="E717" s="1"/>
      <c r="F717" s="1"/>
      <c r="G717" s="1"/>
      <c r="H717" s="1"/>
      <c r="I717" s="1"/>
    </row>
    <row r="718" ht="15.75" customHeight="1">
      <c r="A718" s="1" t="s">
        <v>745</v>
      </c>
      <c r="B718" s="1" t="s">
        <v>746</v>
      </c>
      <c r="C718" s="1"/>
      <c r="D718" s="1"/>
      <c r="E718" s="1"/>
      <c r="F718" s="1"/>
      <c r="G718" s="1"/>
      <c r="H718" s="1"/>
      <c r="I718" s="1"/>
    </row>
    <row r="719" ht="15.75" customHeight="1">
      <c r="A719" s="1" t="s">
        <v>747</v>
      </c>
      <c r="B719" s="1" t="s">
        <v>746</v>
      </c>
      <c r="C719" s="1"/>
      <c r="D719" s="1"/>
      <c r="E719" s="1"/>
      <c r="F719" s="1"/>
      <c r="G719" s="1"/>
      <c r="H719" s="1"/>
      <c r="I719" s="1"/>
    </row>
    <row r="720" ht="15.75" customHeight="1">
      <c r="A720" s="1" t="s">
        <v>748</v>
      </c>
      <c r="B720" s="1" t="s">
        <v>746</v>
      </c>
      <c r="C720" s="1"/>
      <c r="D720" s="1"/>
      <c r="E720" s="1"/>
      <c r="F720" s="1"/>
      <c r="G720" s="1"/>
      <c r="H720" s="1"/>
      <c r="I720" s="1"/>
    </row>
    <row r="721" ht="15.75" customHeight="1">
      <c r="A721" s="1" t="s">
        <v>749</v>
      </c>
      <c r="B721" s="1" t="s">
        <v>746</v>
      </c>
      <c r="C721" s="1"/>
      <c r="D721" s="1"/>
      <c r="E721" s="1"/>
      <c r="F721" s="1"/>
      <c r="G721" s="1"/>
      <c r="H721" s="1"/>
      <c r="I721" s="1"/>
    </row>
    <row r="722" ht="15.75" customHeight="1">
      <c r="A722" s="1" t="s">
        <v>750</v>
      </c>
      <c r="B722" s="1" t="s">
        <v>746</v>
      </c>
      <c r="C722" s="1"/>
      <c r="D722" s="1"/>
      <c r="E722" s="1"/>
      <c r="F722" s="1"/>
      <c r="G722" s="1"/>
      <c r="H722" s="1"/>
      <c r="I722" s="1"/>
    </row>
    <row r="723" ht="15.75" customHeight="1">
      <c r="A723" s="1" t="s">
        <v>751</v>
      </c>
      <c r="B723" s="1" t="s">
        <v>746</v>
      </c>
      <c r="C723" s="1"/>
      <c r="D723" s="1"/>
      <c r="E723" s="1"/>
      <c r="F723" s="1"/>
      <c r="G723" s="1"/>
      <c r="H723" s="1"/>
      <c r="I723" s="1"/>
    </row>
    <row r="724" ht="15.75" customHeight="1">
      <c r="A724" s="1" t="s">
        <v>752</v>
      </c>
      <c r="B724" s="1" t="s">
        <v>746</v>
      </c>
      <c r="C724" s="1"/>
      <c r="D724" s="1"/>
      <c r="E724" s="1"/>
      <c r="F724" s="1"/>
      <c r="G724" s="1"/>
      <c r="H724" s="1"/>
      <c r="I724" s="1"/>
    </row>
    <row r="725" ht="15.75" customHeight="1">
      <c r="A725" s="1" t="s">
        <v>753</v>
      </c>
      <c r="B725" s="1" t="s">
        <v>746</v>
      </c>
      <c r="C725" s="1"/>
      <c r="D725" s="1"/>
      <c r="E725" s="1"/>
      <c r="F725" s="1"/>
      <c r="G725" s="1"/>
      <c r="H725" s="1"/>
      <c r="I725" s="1"/>
    </row>
    <row r="726" ht="15.75" customHeight="1">
      <c r="A726" s="1" t="s">
        <v>754</v>
      </c>
      <c r="B726" s="1" t="s">
        <v>746</v>
      </c>
      <c r="C726" s="1"/>
      <c r="D726" s="1"/>
      <c r="E726" s="1"/>
      <c r="F726" s="1"/>
      <c r="G726" s="1"/>
      <c r="H726" s="1"/>
      <c r="I726" s="1"/>
    </row>
    <row r="727" ht="15.75" customHeight="1">
      <c r="A727" s="1" t="s">
        <v>755</v>
      </c>
      <c r="B727" s="1" t="s">
        <v>746</v>
      </c>
      <c r="C727" s="1"/>
      <c r="D727" s="1"/>
      <c r="E727" s="1"/>
      <c r="F727" s="1"/>
      <c r="G727" s="1"/>
      <c r="H727" s="1"/>
      <c r="I727" s="1"/>
    </row>
    <row r="728" ht="15.75" customHeight="1">
      <c r="A728" s="1" t="s">
        <v>756</v>
      </c>
      <c r="B728" s="1" t="s">
        <v>746</v>
      </c>
      <c r="C728" s="1"/>
      <c r="D728" s="1"/>
      <c r="E728" s="1"/>
      <c r="F728" s="1"/>
      <c r="G728" s="1"/>
      <c r="H728" s="1"/>
      <c r="I728" s="1"/>
    </row>
    <row r="729" ht="15.75" customHeight="1">
      <c r="A729" s="1" t="s">
        <v>757</v>
      </c>
      <c r="B729" s="1" t="s">
        <v>746</v>
      </c>
      <c r="C729" s="1"/>
      <c r="D729" s="1"/>
      <c r="E729" s="1"/>
      <c r="F729" s="1"/>
      <c r="G729" s="1"/>
      <c r="H729" s="1"/>
      <c r="I729" s="1"/>
    </row>
    <row r="730" ht="15.75" customHeight="1">
      <c r="A730" s="1" t="s">
        <v>758</v>
      </c>
      <c r="B730" s="1" t="s">
        <v>746</v>
      </c>
      <c r="C730" s="1"/>
      <c r="D730" s="1"/>
      <c r="E730" s="1"/>
      <c r="F730" s="1"/>
      <c r="G730" s="1"/>
      <c r="H730" s="1"/>
      <c r="I730" s="1"/>
    </row>
    <row r="731" ht="15.75" customHeight="1">
      <c r="A731" s="1" t="s">
        <v>759</v>
      </c>
      <c r="B731" s="1" t="s">
        <v>746</v>
      </c>
      <c r="C731" s="1"/>
      <c r="D731" s="1"/>
      <c r="E731" s="1"/>
      <c r="F731" s="1"/>
      <c r="G731" s="1"/>
      <c r="H731" s="1"/>
      <c r="I731" s="1"/>
    </row>
    <row r="732" ht="15.75" customHeight="1">
      <c r="A732" s="1" t="s">
        <v>760</v>
      </c>
      <c r="B732" s="1" t="s">
        <v>746</v>
      </c>
      <c r="C732" s="1"/>
      <c r="D732" s="1"/>
      <c r="E732" s="1"/>
      <c r="F732" s="1"/>
      <c r="G732" s="1"/>
      <c r="H732" s="1"/>
      <c r="I732" s="1"/>
    </row>
    <row r="733" ht="15.75" customHeight="1">
      <c r="A733" s="1" t="s">
        <v>761</v>
      </c>
      <c r="B733" s="1" t="s">
        <v>746</v>
      </c>
      <c r="C733" s="1"/>
      <c r="D733" s="1"/>
      <c r="E733" s="1"/>
      <c r="F733" s="1"/>
      <c r="G733" s="1"/>
      <c r="H733" s="1"/>
      <c r="I733" s="1"/>
    </row>
    <row r="734" ht="15.75" customHeight="1">
      <c r="A734" s="1" t="s">
        <v>762</v>
      </c>
      <c r="B734" s="1" t="s">
        <v>746</v>
      </c>
      <c r="C734" s="1"/>
      <c r="D734" s="1"/>
      <c r="E734" s="1"/>
      <c r="F734" s="1"/>
      <c r="G734" s="1"/>
      <c r="H734" s="1"/>
      <c r="I734" s="1"/>
    </row>
    <row r="735" ht="15.75" customHeight="1">
      <c r="A735" s="1" t="s">
        <v>763</v>
      </c>
      <c r="B735" s="1" t="s">
        <v>746</v>
      </c>
      <c r="C735" s="1"/>
      <c r="D735" s="1"/>
      <c r="E735" s="1"/>
      <c r="F735" s="1"/>
      <c r="G735" s="1"/>
      <c r="H735" s="1"/>
      <c r="I735" s="1"/>
    </row>
    <row r="736" ht="15.75" customHeight="1">
      <c r="A736" s="1" t="s">
        <v>764</v>
      </c>
      <c r="B736" s="1" t="s">
        <v>746</v>
      </c>
      <c r="C736" s="1"/>
      <c r="D736" s="1"/>
      <c r="E736" s="1"/>
      <c r="F736" s="1"/>
      <c r="G736" s="1"/>
      <c r="H736" s="1"/>
      <c r="I736" s="1"/>
    </row>
    <row r="737" ht="15.75" customHeight="1">
      <c r="A737" s="1" t="s">
        <v>765</v>
      </c>
      <c r="B737" s="1" t="s">
        <v>746</v>
      </c>
      <c r="C737" s="1"/>
      <c r="D737" s="1"/>
      <c r="E737" s="1"/>
      <c r="F737" s="1"/>
      <c r="G737" s="1"/>
      <c r="H737" s="1"/>
      <c r="I737" s="1"/>
    </row>
    <row r="738" ht="15.75" customHeight="1">
      <c r="A738" s="1" t="s">
        <v>766</v>
      </c>
      <c r="B738" s="1" t="s">
        <v>746</v>
      </c>
      <c r="C738" s="1"/>
      <c r="D738" s="1"/>
      <c r="E738" s="1"/>
      <c r="F738" s="1"/>
      <c r="G738" s="1"/>
      <c r="H738" s="1"/>
      <c r="I738" s="1"/>
    </row>
    <row r="739" ht="15.75" customHeight="1">
      <c r="A739" s="1" t="s">
        <v>767</v>
      </c>
      <c r="B739" s="1" t="s">
        <v>746</v>
      </c>
      <c r="C739" s="1"/>
      <c r="D739" s="1"/>
      <c r="E739" s="1"/>
      <c r="F739" s="1"/>
      <c r="G739" s="1"/>
      <c r="H739" s="1"/>
      <c r="I739" s="1"/>
    </row>
    <row r="740" ht="15.75" customHeight="1">
      <c r="A740" s="1" t="s">
        <v>768</v>
      </c>
      <c r="B740" s="1" t="s">
        <v>746</v>
      </c>
      <c r="C740" s="1"/>
      <c r="D740" s="1"/>
      <c r="E740" s="1"/>
      <c r="F740" s="1"/>
      <c r="G740" s="1"/>
      <c r="H740" s="1"/>
      <c r="I740" s="1"/>
    </row>
    <row r="741" ht="15.75" customHeight="1">
      <c r="A741" s="1" t="s">
        <v>769</v>
      </c>
      <c r="B741" s="1" t="s">
        <v>770</v>
      </c>
      <c r="C741" s="1"/>
      <c r="D741" s="1"/>
      <c r="E741" s="1"/>
      <c r="F741" s="1"/>
      <c r="G741" s="1"/>
      <c r="H741" s="1"/>
      <c r="I741" s="1"/>
    </row>
    <row r="742" ht="15.75" customHeight="1">
      <c r="A742" s="1" t="s">
        <v>771</v>
      </c>
      <c r="B742" s="1" t="s">
        <v>770</v>
      </c>
      <c r="C742" s="1"/>
      <c r="D742" s="1"/>
      <c r="E742" s="1"/>
      <c r="F742" s="1"/>
      <c r="G742" s="1"/>
      <c r="H742" s="1"/>
      <c r="I742" s="1"/>
    </row>
    <row r="743" ht="15.75" customHeight="1">
      <c r="A743" s="1" t="s">
        <v>772</v>
      </c>
      <c r="B743" s="1" t="s">
        <v>770</v>
      </c>
      <c r="C743" s="1"/>
      <c r="D743" s="1"/>
      <c r="E743" s="1"/>
      <c r="F743" s="1"/>
      <c r="G743" s="1"/>
      <c r="H743" s="1"/>
      <c r="I743" s="1"/>
    </row>
    <row r="744" ht="15.75" customHeight="1">
      <c r="A744" s="1" t="s">
        <v>773</v>
      </c>
      <c r="B744" s="1" t="s">
        <v>770</v>
      </c>
      <c r="C744" s="1"/>
      <c r="D744" s="1"/>
      <c r="E744" s="1"/>
      <c r="F744" s="1"/>
      <c r="G744" s="1"/>
      <c r="H744" s="1"/>
      <c r="I744" s="1"/>
    </row>
    <row r="745" ht="15.75" customHeight="1">
      <c r="A745" s="1" t="s">
        <v>774</v>
      </c>
      <c r="B745" s="1" t="s">
        <v>770</v>
      </c>
      <c r="C745" s="1"/>
      <c r="D745" s="1"/>
      <c r="E745" s="1"/>
      <c r="F745" s="1"/>
      <c r="G745" s="1"/>
      <c r="H745" s="1"/>
      <c r="I745" s="1"/>
    </row>
    <row r="746" ht="15.75" customHeight="1">
      <c r="A746" s="1" t="s">
        <v>775</v>
      </c>
      <c r="B746" s="1" t="s">
        <v>770</v>
      </c>
      <c r="C746" s="1"/>
      <c r="D746" s="1"/>
      <c r="E746" s="1"/>
      <c r="F746" s="1"/>
      <c r="G746" s="1"/>
      <c r="H746" s="1"/>
      <c r="I746" s="1"/>
    </row>
    <row r="747" ht="15.75" customHeight="1">
      <c r="A747" s="1" t="s">
        <v>776</v>
      </c>
      <c r="B747" s="1" t="s">
        <v>770</v>
      </c>
      <c r="C747" s="1"/>
      <c r="D747" s="1"/>
      <c r="E747" s="1"/>
      <c r="F747" s="1"/>
      <c r="G747" s="1"/>
      <c r="H747" s="1"/>
      <c r="I747" s="1"/>
    </row>
    <row r="748" ht="15.75" customHeight="1">
      <c r="A748" s="1" t="s">
        <v>777</v>
      </c>
      <c r="B748" s="1" t="s">
        <v>770</v>
      </c>
      <c r="C748" s="1"/>
      <c r="D748" s="1"/>
      <c r="E748" s="1"/>
      <c r="F748" s="1"/>
      <c r="G748" s="1"/>
      <c r="H748" s="1"/>
      <c r="I748" s="1"/>
    </row>
    <row r="749" ht="15.75" customHeight="1">
      <c r="A749" s="1" t="s">
        <v>778</v>
      </c>
      <c r="B749" s="1" t="s">
        <v>770</v>
      </c>
      <c r="C749" s="1"/>
      <c r="D749" s="1"/>
      <c r="E749" s="1"/>
      <c r="F749" s="1"/>
      <c r="G749" s="1"/>
      <c r="H749" s="1"/>
      <c r="I749" s="1"/>
    </row>
    <row r="750" ht="15.75" customHeight="1">
      <c r="A750" s="1" t="s">
        <v>779</v>
      </c>
      <c r="B750" s="1" t="s">
        <v>770</v>
      </c>
      <c r="C750" s="1"/>
      <c r="D750" s="1"/>
      <c r="E750" s="1"/>
      <c r="F750" s="1"/>
      <c r="G750" s="1"/>
      <c r="H750" s="1"/>
      <c r="I750" s="1"/>
    </row>
    <row r="751" ht="15.75" customHeight="1">
      <c r="A751" s="1" t="s">
        <v>780</v>
      </c>
      <c r="B751" s="1" t="s">
        <v>781</v>
      </c>
      <c r="C751" s="1"/>
      <c r="D751" s="1"/>
      <c r="E751" s="1"/>
      <c r="F751" s="1"/>
      <c r="G751" s="1"/>
      <c r="H751" s="1"/>
      <c r="I751" s="1"/>
    </row>
    <row r="752" ht="15.75" customHeight="1">
      <c r="A752" s="1" t="s">
        <v>782</v>
      </c>
      <c r="B752" s="1" t="s">
        <v>781</v>
      </c>
      <c r="C752" s="1"/>
      <c r="D752" s="1"/>
      <c r="E752" s="1"/>
      <c r="F752" s="1"/>
      <c r="G752" s="1"/>
      <c r="H752" s="1"/>
      <c r="I752" s="1"/>
    </row>
    <row r="753" ht="15.75" customHeight="1">
      <c r="A753" s="1" t="s">
        <v>783</v>
      </c>
      <c r="B753" s="1" t="s">
        <v>781</v>
      </c>
      <c r="C753" s="1"/>
      <c r="D753" s="1"/>
      <c r="E753" s="1"/>
      <c r="F753" s="1"/>
      <c r="G753" s="1"/>
      <c r="H753" s="1"/>
      <c r="I753" s="1"/>
    </row>
    <row r="754" ht="15.75" customHeight="1">
      <c r="A754" s="1" t="s">
        <v>784</v>
      </c>
      <c r="B754" s="1" t="s">
        <v>781</v>
      </c>
      <c r="C754" s="1"/>
      <c r="D754" s="1"/>
      <c r="E754" s="1"/>
      <c r="F754" s="1"/>
      <c r="G754" s="1"/>
      <c r="H754" s="1"/>
      <c r="I754" s="1"/>
    </row>
    <row r="755" ht="15.75" customHeight="1">
      <c r="A755" s="1" t="s">
        <v>785</v>
      </c>
      <c r="B755" s="1" t="s">
        <v>781</v>
      </c>
      <c r="C755" s="1"/>
      <c r="D755" s="1"/>
      <c r="E755" s="1"/>
      <c r="F755" s="1"/>
      <c r="G755" s="1"/>
      <c r="H755" s="1"/>
      <c r="I755" s="1"/>
    </row>
    <row r="756" ht="15.75" customHeight="1">
      <c r="A756" s="1" t="s">
        <v>786</v>
      </c>
      <c r="B756" s="1" t="s">
        <v>781</v>
      </c>
      <c r="C756" s="1"/>
      <c r="D756" s="1"/>
      <c r="E756" s="1"/>
      <c r="F756" s="1"/>
      <c r="G756" s="1"/>
      <c r="H756" s="1"/>
      <c r="I756" s="1"/>
    </row>
    <row r="757" ht="15.75" customHeight="1">
      <c r="A757" s="1" t="s">
        <v>787</v>
      </c>
      <c r="B757" s="1" t="s">
        <v>781</v>
      </c>
      <c r="C757" s="1"/>
      <c r="D757" s="1"/>
      <c r="E757" s="1"/>
      <c r="F757" s="1"/>
      <c r="G757" s="1"/>
      <c r="H757" s="1"/>
      <c r="I757" s="1"/>
    </row>
    <row r="758" ht="15.75" customHeight="1">
      <c r="A758" s="1" t="s">
        <v>788</v>
      </c>
      <c r="B758" s="1" t="s">
        <v>781</v>
      </c>
      <c r="C758" s="1"/>
      <c r="D758" s="1"/>
      <c r="E758" s="1"/>
      <c r="F758" s="1"/>
      <c r="G758" s="1"/>
      <c r="H758" s="1"/>
      <c r="I758" s="1"/>
    </row>
    <row r="759" ht="15.75" customHeight="1">
      <c r="A759" s="1" t="s">
        <v>789</v>
      </c>
      <c r="B759" s="1" t="s">
        <v>781</v>
      </c>
      <c r="C759" s="1"/>
      <c r="D759" s="1"/>
      <c r="E759" s="1"/>
      <c r="F759" s="1"/>
      <c r="G759" s="1"/>
      <c r="H759" s="1"/>
      <c r="I759" s="1"/>
    </row>
    <row r="760" ht="15.75" customHeight="1">
      <c r="A760" s="1" t="s">
        <v>790</v>
      </c>
      <c r="B760" s="1" t="s">
        <v>781</v>
      </c>
      <c r="C760" s="1"/>
      <c r="D760" s="1"/>
      <c r="E760" s="1"/>
      <c r="F760" s="1"/>
      <c r="G760" s="1"/>
      <c r="H760" s="1"/>
      <c r="I760" s="1"/>
    </row>
    <row r="761" ht="15.75" customHeight="1">
      <c r="A761" s="1" t="s">
        <v>791</v>
      </c>
      <c r="B761" s="1" t="s">
        <v>781</v>
      </c>
      <c r="C761" s="1"/>
      <c r="D761" s="1"/>
      <c r="E761" s="1"/>
      <c r="F761" s="1"/>
      <c r="G761" s="1"/>
      <c r="H761" s="1"/>
      <c r="I761" s="1"/>
    </row>
    <row r="762" ht="15.75" customHeight="1">
      <c r="A762" s="1" t="s">
        <v>792</v>
      </c>
      <c r="B762" s="1" t="s">
        <v>781</v>
      </c>
      <c r="C762" s="1"/>
      <c r="D762" s="1"/>
      <c r="E762" s="1"/>
      <c r="F762" s="1"/>
      <c r="G762" s="1"/>
      <c r="H762" s="1"/>
      <c r="I762" s="1"/>
    </row>
    <row r="763" ht="15.75" customHeight="1">
      <c r="A763" s="1" t="s">
        <v>793</v>
      </c>
      <c r="B763" s="1" t="s">
        <v>781</v>
      </c>
      <c r="C763" s="1"/>
      <c r="D763" s="1"/>
      <c r="E763" s="1"/>
      <c r="F763" s="1"/>
      <c r="G763" s="1"/>
      <c r="H763" s="1"/>
      <c r="I763" s="1"/>
    </row>
    <row r="764" ht="15.75" customHeight="1">
      <c r="A764" s="1" t="s">
        <v>794</v>
      </c>
      <c r="B764" s="1" t="s">
        <v>795</v>
      </c>
      <c r="C764" s="1"/>
      <c r="D764" s="1"/>
      <c r="E764" s="1"/>
      <c r="F764" s="1"/>
      <c r="G764" s="1"/>
      <c r="H764" s="1"/>
      <c r="I764" s="1"/>
    </row>
    <row r="765" ht="15.75" customHeight="1">
      <c r="A765" s="1" t="s">
        <v>796</v>
      </c>
      <c r="B765" s="1" t="s">
        <v>795</v>
      </c>
      <c r="C765" s="1"/>
      <c r="D765" s="1"/>
      <c r="E765" s="1"/>
      <c r="F765" s="1"/>
      <c r="G765" s="1"/>
      <c r="H765" s="1"/>
      <c r="I765" s="1"/>
    </row>
    <row r="766" ht="15.75" customHeight="1">
      <c r="A766" s="1" t="s">
        <v>797</v>
      </c>
      <c r="B766" s="1" t="s">
        <v>795</v>
      </c>
      <c r="C766" s="1"/>
      <c r="D766" s="1"/>
      <c r="E766" s="1"/>
      <c r="F766" s="1"/>
      <c r="G766" s="1"/>
      <c r="H766" s="1"/>
      <c r="I766" s="1"/>
    </row>
    <row r="767" ht="15.75" customHeight="1">
      <c r="A767" s="1" t="s">
        <v>798</v>
      </c>
      <c r="B767" s="1" t="s">
        <v>795</v>
      </c>
      <c r="C767" s="1"/>
      <c r="D767" s="1"/>
      <c r="E767" s="1"/>
      <c r="F767" s="1"/>
      <c r="G767" s="1"/>
      <c r="H767" s="1"/>
      <c r="I767" s="1"/>
    </row>
    <row r="768" ht="15.75" customHeight="1">
      <c r="A768" s="1" t="s">
        <v>799</v>
      </c>
      <c r="B768" s="1" t="s">
        <v>795</v>
      </c>
      <c r="C768" s="1"/>
      <c r="D768" s="1"/>
      <c r="E768" s="1"/>
      <c r="F768" s="1"/>
      <c r="G768" s="1"/>
      <c r="H768" s="1"/>
      <c r="I768" s="1"/>
    </row>
    <row r="769" ht="15.75" customHeight="1">
      <c r="A769" s="1" t="s">
        <v>800</v>
      </c>
      <c r="B769" s="1" t="s">
        <v>795</v>
      </c>
      <c r="C769" s="1"/>
      <c r="D769" s="1"/>
      <c r="E769" s="1"/>
      <c r="F769" s="1"/>
      <c r="G769" s="1"/>
      <c r="H769" s="1"/>
      <c r="I769" s="1"/>
    </row>
    <row r="770" ht="15.75" customHeight="1">
      <c r="A770" s="1" t="s">
        <v>801</v>
      </c>
      <c r="B770" s="1" t="s">
        <v>802</v>
      </c>
      <c r="C770" s="1"/>
      <c r="D770" s="1"/>
      <c r="E770" s="1"/>
      <c r="F770" s="1"/>
      <c r="G770" s="1"/>
      <c r="H770" s="1"/>
      <c r="I770" s="1"/>
    </row>
    <row r="771" ht="15.75" customHeight="1">
      <c r="A771" s="1" t="s">
        <v>803</v>
      </c>
      <c r="B771" s="1" t="s">
        <v>802</v>
      </c>
      <c r="C771" s="1"/>
      <c r="D771" s="1"/>
      <c r="E771" s="1"/>
      <c r="F771" s="1"/>
      <c r="G771" s="1"/>
      <c r="H771" s="1"/>
      <c r="I771" s="1"/>
    </row>
    <row r="772" ht="15.75" customHeight="1">
      <c r="A772" s="1" t="s">
        <v>804</v>
      </c>
      <c r="B772" s="1" t="s">
        <v>802</v>
      </c>
      <c r="C772" s="1"/>
      <c r="D772" s="1"/>
      <c r="E772" s="1"/>
      <c r="F772" s="1"/>
      <c r="G772" s="1"/>
      <c r="H772" s="1"/>
      <c r="I772" s="1"/>
    </row>
    <row r="773" ht="15.75" customHeight="1">
      <c r="A773" s="1" t="s">
        <v>805</v>
      </c>
      <c r="B773" s="1" t="s">
        <v>802</v>
      </c>
      <c r="C773" s="1"/>
      <c r="D773" s="1"/>
      <c r="E773" s="1"/>
      <c r="F773" s="1"/>
      <c r="G773" s="1"/>
      <c r="H773" s="1"/>
      <c r="I773" s="1"/>
    </row>
    <row r="774" ht="15.75" customHeight="1">
      <c r="A774" s="1" t="s">
        <v>806</v>
      </c>
      <c r="B774" s="1" t="s">
        <v>802</v>
      </c>
      <c r="C774" s="1"/>
      <c r="D774" s="1"/>
      <c r="E774" s="1"/>
      <c r="F774" s="1"/>
      <c r="G774" s="1"/>
      <c r="H774" s="1"/>
      <c r="I774" s="1"/>
    </row>
    <row r="775" ht="15.75" customHeight="1">
      <c r="A775" s="1" t="s">
        <v>807</v>
      </c>
      <c r="B775" s="1" t="s">
        <v>802</v>
      </c>
      <c r="C775" s="1"/>
      <c r="D775" s="1"/>
      <c r="E775" s="1"/>
      <c r="F775" s="1"/>
      <c r="G775" s="1"/>
      <c r="H775" s="1"/>
      <c r="I775" s="1"/>
    </row>
    <row r="776" ht="15.75" customHeight="1">
      <c r="A776" s="1" t="s">
        <v>808</v>
      </c>
      <c r="B776" s="1" t="s">
        <v>802</v>
      </c>
      <c r="C776" s="1"/>
      <c r="D776" s="1"/>
      <c r="E776" s="1"/>
      <c r="F776" s="1"/>
      <c r="G776" s="1"/>
      <c r="H776" s="1"/>
      <c r="I776" s="1"/>
    </row>
    <row r="777" ht="15.75" customHeight="1">
      <c r="A777" s="1" t="s">
        <v>809</v>
      </c>
      <c r="B777" s="1" t="s">
        <v>802</v>
      </c>
      <c r="C777" s="1"/>
      <c r="D777" s="1"/>
      <c r="E777" s="1"/>
      <c r="F777" s="1"/>
      <c r="G777" s="1"/>
      <c r="H777" s="1"/>
      <c r="I777" s="1"/>
    </row>
    <row r="778" ht="15.75" customHeight="1">
      <c r="A778" s="1" t="s">
        <v>810</v>
      </c>
      <c r="B778" s="1" t="s">
        <v>802</v>
      </c>
      <c r="C778" s="1"/>
      <c r="D778" s="1"/>
      <c r="E778" s="1"/>
      <c r="F778" s="1"/>
      <c r="G778" s="1"/>
      <c r="H778" s="1"/>
      <c r="I778" s="1"/>
    </row>
    <row r="779" ht="15.75" customHeight="1">
      <c r="A779" s="1" t="s">
        <v>811</v>
      </c>
      <c r="B779" s="1" t="s">
        <v>802</v>
      </c>
      <c r="C779" s="1"/>
      <c r="D779" s="1"/>
      <c r="E779" s="1"/>
      <c r="F779" s="1"/>
      <c r="G779" s="1"/>
      <c r="H779" s="1"/>
      <c r="I779" s="1"/>
    </row>
    <row r="780" ht="15.75" customHeight="1">
      <c r="A780" s="1" t="s">
        <v>812</v>
      </c>
      <c r="B780" s="1" t="s">
        <v>802</v>
      </c>
      <c r="C780" s="1"/>
      <c r="D780" s="1"/>
      <c r="E780" s="1"/>
      <c r="F780" s="1"/>
      <c r="G780" s="1"/>
      <c r="H780" s="1"/>
      <c r="I780" s="1"/>
    </row>
    <row r="781" ht="15.75" customHeight="1">
      <c r="A781" s="1" t="s">
        <v>813</v>
      </c>
      <c r="B781" s="1" t="s">
        <v>802</v>
      </c>
      <c r="C781" s="1"/>
      <c r="D781" s="1"/>
      <c r="E781" s="1"/>
      <c r="F781" s="1"/>
      <c r="G781" s="1"/>
      <c r="H781" s="1"/>
      <c r="I781" s="1"/>
    </row>
    <row r="782" ht="15.75" customHeight="1">
      <c r="A782" s="1" t="s">
        <v>814</v>
      </c>
      <c r="B782" s="1" t="s">
        <v>802</v>
      </c>
      <c r="C782" s="1"/>
      <c r="D782" s="1"/>
      <c r="E782" s="1"/>
      <c r="F782" s="1"/>
      <c r="G782" s="1"/>
      <c r="H782" s="1"/>
      <c r="I782" s="1"/>
    </row>
    <row r="783" ht="15.75" customHeight="1">
      <c r="A783" s="1" t="s">
        <v>815</v>
      </c>
      <c r="B783" s="1" t="s">
        <v>802</v>
      </c>
      <c r="C783" s="1"/>
      <c r="D783" s="1"/>
      <c r="E783" s="1"/>
      <c r="F783" s="1"/>
      <c r="G783" s="1"/>
      <c r="H783" s="1"/>
      <c r="I783" s="1"/>
    </row>
    <row r="784" ht="15.75" customHeight="1">
      <c r="A784" s="1" t="s">
        <v>816</v>
      </c>
      <c r="B784" s="1" t="s">
        <v>802</v>
      </c>
      <c r="C784" s="1"/>
      <c r="D784" s="1"/>
      <c r="E784" s="1"/>
      <c r="F784" s="1"/>
      <c r="G784" s="1"/>
      <c r="H784" s="1"/>
      <c r="I784" s="1"/>
    </row>
    <row r="785" ht="15.75" customHeight="1">
      <c r="A785" s="1" t="s">
        <v>817</v>
      </c>
      <c r="B785" s="1" t="s">
        <v>802</v>
      </c>
      <c r="C785" s="1"/>
      <c r="D785" s="1"/>
      <c r="E785" s="1"/>
      <c r="F785" s="1"/>
      <c r="G785" s="1"/>
      <c r="H785" s="1"/>
      <c r="I785" s="1"/>
    </row>
    <row r="786" ht="15.75" customHeight="1">
      <c r="A786" s="1" t="s">
        <v>818</v>
      </c>
      <c r="B786" s="1" t="s">
        <v>819</v>
      </c>
      <c r="C786" s="1"/>
      <c r="D786" s="1"/>
      <c r="E786" s="1"/>
      <c r="F786" s="1"/>
      <c r="G786" s="1"/>
      <c r="H786" s="1"/>
      <c r="I786" s="1"/>
    </row>
    <row r="787" ht="15.75" customHeight="1">
      <c r="A787" s="1" t="s">
        <v>820</v>
      </c>
      <c r="B787" s="1" t="s">
        <v>819</v>
      </c>
      <c r="C787" s="1"/>
      <c r="D787" s="1"/>
      <c r="E787" s="1"/>
      <c r="F787" s="1"/>
      <c r="G787" s="1"/>
      <c r="H787" s="1"/>
      <c r="I787" s="1"/>
    </row>
    <row r="788" ht="15.75" customHeight="1">
      <c r="A788" s="1" t="s">
        <v>821</v>
      </c>
      <c r="B788" s="1" t="s">
        <v>819</v>
      </c>
      <c r="C788" s="1"/>
      <c r="D788" s="1"/>
      <c r="E788" s="1"/>
      <c r="F788" s="1"/>
      <c r="G788" s="1"/>
      <c r="H788" s="1"/>
      <c r="I788" s="1"/>
    </row>
    <row r="789" ht="15.75" customHeight="1">
      <c r="A789" s="1" t="s">
        <v>822</v>
      </c>
      <c r="B789" s="1" t="s">
        <v>819</v>
      </c>
      <c r="C789" s="1"/>
      <c r="D789" s="1"/>
      <c r="E789" s="1"/>
      <c r="F789" s="1"/>
      <c r="G789" s="1"/>
      <c r="H789" s="1"/>
      <c r="I789" s="1"/>
    </row>
    <row r="790" ht="15.75" customHeight="1">
      <c r="A790" s="1" t="s">
        <v>823</v>
      </c>
      <c r="B790" s="1" t="s">
        <v>819</v>
      </c>
      <c r="C790" s="1"/>
      <c r="D790" s="1"/>
      <c r="E790" s="1"/>
      <c r="F790" s="1"/>
      <c r="G790" s="1"/>
      <c r="H790" s="1"/>
      <c r="I790" s="1"/>
    </row>
    <row r="791" ht="15.75" customHeight="1">
      <c r="A791" s="1" t="s">
        <v>824</v>
      </c>
      <c r="B791" s="1" t="s">
        <v>819</v>
      </c>
      <c r="C791" s="1"/>
      <c r="D791" s="1"/>
      <c r="E791" s="1"/>
      <c r="F791" s="1"/>
      <c r="G791" s="1"/>
      <c r="H791" s="1"/>
      <c r="I791" s="1"/>
    </row>
    <row r="792" ht="15.75" customHeight="1">
      <c r="A792" s="1" t="s">
        <v>825</v>
      </c>
      <c r="B792" s="1" t="s">
        <v>819</v>
      </c>
      <c r="C792" s="1"/>
      <c r="D792" s="1"/>
      <c r="E792" s="1"/>
      <c r="F792" s="1"/>
      <c r="G792" s="1"/>
      <c r="H792" s="1"/>
      <c r="I792" s="1"/>
    </row>
    <row r="793" ht="15.75" customHeight="1">
      <c r="A793" s="1" t="s">
        <v>826</v>
      </c>
      <c r="B793" s="1" t="s">
        <v>819</v>
      </c>
      <c r="C793" s="1"/>
      <c r="D793" s="1"/>
      <c r="E793" s="1"/>
      <c r="F793" s="1"/>
      <c r="G793" s="1"/>
      <c r="H793" s="1"/>
      <c r="I793" s="1"/>
    </row>
    <row r="794" ht="15.75" customHeight="1">
      <c r="A794" s="1" t="s">
        <v>827</v>
      </c>
      <c r="B794" s="1" t="s">
        <v>819</v>
      </c>
      <c r="C794" s="1"/>
      <c r="D794" s="1"/>
      <c r="E794" s="1"/>
      <c r="F794" s="1"/>
      <c r="G794" s="1"/>
      <c r="H794" s="1"/>
      <c r="I794" s="1"/>
    </row>
    <row r="795" ht="15.75" customHeight="1">
      <c r="A795" s="1" t="s">
        <v>828</v>
      </c>
      <c r="B795" s="1" t="s">
        <v>819</v>
      </c>
      <c r="C795" s="1"/>
      <c r="D795" s="1"/>
      <c r="E795" s="1"/>
      <c r="F795" s="1"/>
      <c r="G795" s="1"/>
      <c r="H795" s="1"/>
      <c r="I795" s="1"/>
    </row>
    <row r="796" ht="15.75" customHeight="1">
      <c r="A796" s="1" t="s">
        <v>829</v>
      </c>
      <c r="B796" s="1" t="s">
        <v>819</v>
      </c>
      <c r="C796" s="1"/>
      <c r="D796" s="1"/>
      <c r="E796" s="1"/>
      <c r="F796" s="1"/>
      <c r="G796" s="1"/>
      <c r="H796" s="1"/>
      <c r="I796" s="1"/>
    </row>
    <row r="797" ht="15.75" customHeight="1">
      <c r="A797" s="1" t="s">
        <v>830</v>
      </c>
      <c r="B797" s="1" t="s">
        <v>819</v>
      </c>
      <c r="C797" s="1"/>
      <c r="D797" s="1"/>
      <c r="E797" s="1"/>
      <c r="F797" s="1"/>
      <c r="G797" s="1"/>
      <c r="H797" s="1"/>
      <c r="I797" s="1"/>
    </row>
    <row r="798" ht="15.75" customHeight="1">
      <c r="A798" s="1" t="s">
        <v>831</v>
      </c>
      <c r="B798" s="1" t="s">
        <v>819</v>
      </c>
      <c r="C798" s="1"/>
      <c r="D798" s="1"/>
      <c r="E798" s="1"/>
      <c r="F798" s="1"/>
      <c r="G798" s="1"/>
      <c r="H798" s="1"/>
      <c r="I798" s="1"/>
    </row>
    <row r="799" ht="15.75" customHeight="1">
      <c r="A799" s="1" t="s">
        <v>832</v>
      </c>
      <c r="B799" s="1" t="s">
        <v>819</v>
      </c>
      <c r="C799" s="1"/>
      <c r="D799" s="1"/>
      <c r="E799" s="1"/>
      <c r="F799" s="1"/>
      <c r="G799" s="1"/>
      <c r="H799" s="1"/>
      <c r="I799" s="1"/>
    </row>
    <row r="800" ht="15.75" customHeight="1">
      <c r="A800" s="1" t="s">
        <v>833</v>
      </c>
      <c r="B800" s="1" t="s">
        <v>819</v>
      </c>
      <c r="C800" s="1"/>
      <c r="D800" s="1"/>
      <c r="E800" s="1"/>
      <c r="F800" s="1"/>
      <c r="G800" s="1"/>
      <c r="H800" s="1"/>
      <c r="I800" s="1"/>
    </row>
    <row r="801" ht="15.75" customHeight="1">
      <c r="A801" s="1" t="s">
        <v>834</v>
      </c>
      <c r="B801" s="1" t="s">
        <v>819</v>
      </c>
      <c r="C801" s="1"/>
      <c r="D801" s="1"/>
      <c r="E801" s="1"/>
      <c r="F801" s="1"/>
      <c r="G801" s="1"/>
      <c r="H801" s="1"/>
      <c r="I801" s="1"/>
    </row>
    <row r="802" ht="15.75" customHeight="1">
      <c r="A802" s="1" t="s">
        <v>835</v>
      </c>
      <c r="B802" s="1" t="s">
        <v>819</v>
      </c>
      <c r="C802" s="1"/>
      <c r="D802" s="1"/>
      <c r="E802" s="1"/>
      <c r="F802" s="1"/>
      <c r="G802" s="1"/>
      <c r="H802" s="1"/>
      <c r="I802" s="1"/>
    </row>
    <row r="803" ht="15.75" customHeight="1">
      <c r="A803" s="1" t="s">
        <v>836</v>
      </c>
      <c r="B803" s="1" t="s">
        <v>819</v>
      </c>
      <c r="C803" s="1"/>
      <c r="D803" s="1"/>
      <c r="E803" s="1"/>
      <c r="F803" s="1"/>
      <c r="G803" s="1"/>
      <c r="H803" s="1"/>
      <c r="I803" s="1"/>
    </row>
    <row r="804" ht="15.75" customHeight="1">
      <c r="A804" s="1" t="s">
        <v>837</v>
      </c>
      <c r="B804" s="1" t="s">
        <v>819</v>
      </c>
      <c r="C804" s="1"/>
      <c r="D804" s="1"/>
      <c r="E804" s="1"/>
      <c r="F804" s="1"/>
      <c r="G804" s="1"/>
      <c r="H804" s="1"/>
      <c r="I804" s="1"/>
    </row>
    <row r="805" ht="15.75" customHeight="1">
      <c r="A805" s="1" t="s">
        <v>838</v>
      </c>
      <c r="B805" s="1" t="s">
        <v>819</v>
      </c>
      <c r="C805" s="1"/>
      <c r="D805" s="1"/>
      <c r="E805" s="1"/>
      <c r="F805" s="1"/>
      <c r="G805" s="1"/>
      <c r="H805" s="1"/>
      <c r="I805" s="1"/>
    </row>
    <row r="806" ht="15.75" customHeight="1">
      <c r="A806" s="1" t="s">
        <v>839</v>
      </c>
      <c r="B806" s="1" t="s">
        <v>819</v>
      </c>
      <c r="C806" s="1"/>
      <c r="D806" s="1"/>
      <c r="E806" s="1"/>
      <c r="F806" s="1"/>
      <c r="G806" s="1"/>
      <c r="H806" s="1"/>
      <c r="I806" s="1"/>
    </row>
    <row r="807" ht="15.75" customHeight="1">
      <c r="A807" s="1" t="s">
        <v>840</v>
      </c>
      <c r="B807" s="1" t="s">
        <v>819</v>
      </c>
      <c r="C807" s="1"/>
      <c r="D807" s="1"/>
      <c r="E807" s="1"/>
      <c r="F807" s="1"/>
      <c r="G807" s="1"/>
      <c r="H807" s="1"/>
      <c r="I807" s="1"/>
    </row>
    <row r="808" ht="15.75" customHeight="1">
      <c r="A808" s="1" t="s">
        <v>841</v>
      </c>
      <c r="B808" s="1" t="s">
        <v>819</v>
      </c>
      <c r="C808" s="1"/>
      <c r="D808" s="1"/>
      <c r="E808" s="1"/>
      <c r="F808" s="1"/>
      <c r="G808" s="1"/>
      <c r="H808" s="1"/>
      <c r="I808" s="1"/>
    </row>
    <row r="809" ht="15.75" customHeight="1">
      <c r="A809" s="1" t="s">
        <v>842</v>
      </c>
      <c r="B809" s="1" t="s">
        <v>819</v>
      </c>
      <c r="C809" s="1"/>
      <c r="D809" s="1"/>
      <c r="E809" s="1"/>
      <c r="F809" s="1"/>
      <c r="G809" s="1"/>
      <c r="H809" s="1"/>
      <c r="I809" s="1"/>
    </row>
    <row r="810" ht="15.75" customHeight="1">
      <c r="A810" s="1" t="s">
        <v>843</v>
      </c>
      <c r="B810" s="1" t="s">
        <v>819</v>
      </c>
      <c r="C810" s="1"/>
      <c r="D810" s="1"/>
      <c r="E810" s="1"/>
      <c r="F810" s="1"/>
      <c r="G810" s="1"/>
      <c r="H810" s="1"/>
      <c r="I810" s="1"/>
    </row>
    <row r="811" ht="15.75" customHeight="1">
      <c r="A811" s="1" t="s">
        <v>844</v>
      </c>
      <c r="B811" s="1" t="s">
        <v>819</v>
      </c>
      <c r="C811" s="1"/>
      <c r="D811" s="1"/>
      <c r="E811" s="1"/>
      <c r="F811" s="1"/>
      <c r="G811" s="1"/>
      <c r="H811" s="1"/>
      <c r="I811" s="1"/>
    </row>
    <row r="812" ht="15.75" customHeight="1">
      <c r="A812" s="1" t="s">
        <v>845</v>
      </c>
      <c r="B812" s="1" t="s">
        <v>819</v>
      </c>
      <c r="C812" s="1"/>
      <c r="D812" s="1"/>
      <c r="E812" s="1"/>
      <c r="F812" s="1"/>
      <c r="G812" s="1"/>
      <c r="H812" s="1"/>
      <c r="I812" s="1"/>
    </row>
    <row r="813" ht="15.75" customHeight="1">
      <c r="A813" s="1" t="s">
        <v>846</v>
      </c>
      <c r="B813" s="1" t="s">
        <v>819</v>
      </c>
      <c r="C813" s="1"/>
      <c r="D813" s="1"/>
      <c r="E813" s="1"/>
      <c r="F813" s="1"/>
      <c r="G813" s="1"/>
      <c r="H813" s="1"/>
      <c r="I813" s="1"/>
    </row>
    <row r="814" ht="15.75" customHeight="1">
      <c r="A814" s="1" t="s">
        <v>847</v>
      </c>
      <c r="B814" s="1" t="s">
        <v>819</v>
      </c>
      <c r="C814" s="1"/>
      <c r="D814" s="1"/>
      <c r="E814" s="1"/>
      <c r="F814" s="1"/>
      <c r="G814" s="1"/>
      <c r="H814" s="1"/>
      <c r="I814" s="1"/>
    </row>
    <row r="815" ht="15.75" customHeight="1">
      <c r="A815" s="1" t="s">
        <v>848</v>
      </c>
      <c r="B815" s="1" t="s">
        <v>819</v>
      </c>
      <c r="C815" s="1"/>
      <c r="D815" s="1"/>
      <c r="E815" s="1"/>
      <c r="F815" s="1"/>
      <c r="G815" s="1"/>
      <c r="H815" s="1"/>
      <c r="I815" s="1"/>
    </row>
    <row r="816" ht="15.75" customHeight="1">
      <c r="A816" s="1" t="s">
        <v>849</v>
      </c>
      <c r="B816" s="1" t="s">
        <v>819</v>
      </c>
      <c r="C816" s="1"/>
      <c r="D816" s="1"/>
      <c r="E816" s="1"/>
      <c r="F816" s="1"/>
      <c r="G816" s="1"/>
      <c r="H816" s="1"/>
      <c r="I816" s="1"/>
    </row>
    <row r="817" ht="15.75" customHeight="1">
      <c r="A817" s="1" t="s">
        <v>850</v>
      </c>
      <c r="B817" s="1" t="s">
        <v>819</v>
      </c>
      <c r="C817" s="1"/>
      <c r="D817" s="1"/>
      <c r="E817" s="1"/>
      <c r="F817" s="1"/>
      <c r="G817" s="1"/>
      <c r="H817" s="1"/>
      <c r="I817" s="1"/>
    </row>
    <row r="818" ht="15.75" customHeight="1">
      <c r="A818" s="1" t="s">
        <v>851</v>
      </c>
      <c r="B818" s="1" t="s">
        <v>819</v>
      </c>
      <c r="C818" s="1"/>
      <c r="D818" s="1"/>
      <c r="E818" s="1"/>
      <c r="F818" s="1"/>
      <c r="G818" s="1"/>
      <c r="H818" s="1"/>
      <c r="I818" s="1"/>
    </row>
    <row r="819" ht="15.75" customHeight="1">
      <c r="A819" s="1" t="s">
        <v>852</v>
      </c>
      <c r="B819" s="1" t="s">
        <v>819</v>
      </c>
      <c r="C819" s="1"/>
      <c r="D819" s="1"/>
      <c r="E819" s="1"/>
      <c r="F819" s="1"/>
      <c r="G819" s="1"/>
      <c r="H819" s="1"/>
      <c r="I819" s="1"/>
    </row>
    <row r="820" ht="15.75" customHeight="1">
      <c r="A820" s="1" t="s">
        <v>853</v>
      </c>
      <c r="B820" s="1" t="s">
        <v>819</v>
      </c>
      <c r="C820" s="1"/>
      <c r="D820" s="1"/>
      <c r="E820" s="1"/>
      <c r="F820" s="1"/>
      <c r="G820" s="1"/>
      <c r="H820" s="1"/>
      <c r="I820" s="1"/>
    </row>
    <row r="821" ht="15.75" customHeight="1">
      <c r="A821" s="1" t="s">
        <v>854</v>
      </c>
      <c r="B821" s="1" t="s">
        <v>819</v>
      </c>
      <c r="C821" s="1"/>
      <c r="D821" s="1"/>
      <c r="E821" s="1"/>
      <c r="F821" s="1"/>
      <c r="G821" s="1"/>
      <c r="H821" s="1"/>
      <c r="I821" s="1"/>
    </row>
    <row r="822" ht="15.75" customHeight="1">
      <c r="A822" s="1" t="s">
        <v>855</v>
      </c>
      <c r="B822" s="1" t="s">
        <v>819</v>
      </c>
      <c r="C822" s="1"/>
      <c r="D822" s="1"/>
      <c r="E822" s="1"/>
      <c r="F822" s="1"/>
      <c r="G822" s="1"/>
      <c r="H822" s="1"/>
      <c r="I822" s="1"/>
    </row>
    <row r="823" ht="15.75" customHeight="1">
      <c r="A823" s="1" t="s">
        <v>856</v>
      </c>
      <c r="B823" s="1" t="s">
        <v>819</v>
      </c>
      <c r="C823" s="1"/>
      <c r="D823" s="1"/>
      <c r="E823" s="1"/>
      <c r="F823" s="1"/>
      <c r="G823" s="1"/>
      <c r="H823" s="1"/>
      <c r="I823" s="1"/>
    </row>
    <row r="824" ht="15.75" customHeight="1">
      <c r="A824" s="1" t="s">
        <v>857</v>
      </c>
      <c r="B824" s="1" t="s">
        <v>819</v>
      </c>
      <c r="C824" s="1"/>
      <c r="D824" s="1"/>
      <c r="E824" s="1"/>
      <c r="F824" s="1"/>
      <c r="G824" s="1"/>
      <c r="H824" s="1"/>
      <c r="I824" s="1"/>
    </row>
    <row r="825" ht="15.75" customHeight="1">
      <c r="A825" s="1" t="s">
        <v>858</v>
      </c>
      <c r="B825" s="1" t="s">
        <v>819</v>
      </c>
      <c r="C825" s="1"/>
      <c r="D825" s="1"/>
      <c r="E825" s="1"/>
      <c r="F825" s="1"/>
      <c r="G825" s="1"/>
      <c r="H825" s="1"/>
      <c r="I825" s="1"/>
    </row>
    <row r="826" ht="15.75" customHeight="1">
      <c r="A826" s="1" t="s">
        <v>859</v>
      </c>
      <c r="B826" s="1" t="s">
        <v>819</v>
      </c>
      <c r="C826" s="1"/>
      <c r="D826" s="1"/>
      <c r="E826" s="1"/>
      <c r="F826" s="1"/>
      <c r="G826" s="1"/>
      <c r="H826" s="1"/>
      <c r="I826" s="1"/>
    </row>
    <row r="827" ht="15.75" customHeight="1">
      <c r="A827" s="1" t="s">
        <v>860</v>
      </c>
      <c r="B827" s="1" t="s">
        <v>819</v>
      </c>
      <c r="C827" s="1"/>
      <c r="D827" s="1"/>
      <c r="E827" s="1"/>
      <c r="F827" s="1"/>
      <c r="G827" s="1"/>
      <c r="H827" s="1"/>
      <c r="I827" s="1"/>
    </row>
    <row r="828" ht="15.75" customHeight="1">
      <c r="A828" s="1" t="s">
        <v>861</v>
      </c>
      <c r="B828" s="1" t="s">
        <v>819</v>
      </c>
      <c r="C828" s="1"/>
      <c r="D828" s="1"/>
      <c r="E828" s="1"/>
      <c r="F828" s="1"/>
      <c r="G828" s="1"/>
      <c r="H828" s="1"/>
      <c r="I828" s="1"/>
    </row>
    <row r="829" ht="15.75" customHeight="1">
      <c r="A829" s="1" t="s">
        <v>862</v>
      </c>
      <c r="B829" s="1" t="s">
        <v>819</v>
      </c>
      <c r="C829" s="1"/>
      <c r="D829" s="1"/>
      <c r="E829" s="1"/>
      <c r="F829" s="1"/>
      <c r="G829" s="1"/>
      <c r="H829" s="1"/>
      <c r="I829" s="1"/>
    </row>
    <row r="830" ht="15.75" customHeight="1">
      <c r="A830" s="1" t="s">
        <v>863</v>
      </c>
      <c r="B830" s="1" t="s">
        <v>819</v>
      </c>
      <c r="C830" s="1"/>
      <c r="D830" s="1"/>
      <c r="E830" s="1"/>
      <c r="F830" s="1"/>
      <c r="G830" s="1"/>
      <c r="H830" s="1"/>
      <c r="I830" s="1"/>
    </row>
    <row r="831" ht="15.75" customHeight="1">
      <c r="A831" s="1" t="s">
        <v>864</v>
      </c>
      <c r="B831" s="1" t="s">
        <v>819</v>
      </c>
      <c r="C831" s="1"/>
      <c r="D831" s="1"/>
      <c r="E831" s="1"/>
      <c r="F831" s="1"/>
      <c r="G831" s="1"/>
      <c r="H831" s="1"/>
      <c r="I831" s="1"/>
    </row>
    <row r="832" ht="15.75" customHeight="1">
      <c r="A832" s="1" t="s">
        <v>865</v>
      </c>
      <c r="B832" s="1" t="s">
        <v>819</v>
      </c>
      <c r="C832" s="1"/>
      <c r="D832" s="1"/>
      <c r="E832" s="1"/>
      <c r="F832" s="1"/>
      <c r="G832" s="1"/>
      <c r="H832" s="1"/>
      <c r="I832" s="1"/>
    </row>
    <row r="833" ht="15.75" customHeight="1">
      <c r="A833" s="1" t="s">
        <v>866</v>
      </c>
      <c r="B833" s="1" t="s">
        <v>819</v>
      </c>
      <c r="C833" s="1"/>
      <c r="D833" s="1"/>
      <c r="E833" s="1"/>
      <c r="F833" s="1"/>
      <c r="G833" s="1"/>
      <c r="H833" s="1"/>
      <c r="I833" s="1"/>
    </row>
    <row r="834" ht="15.75" customHeight="1">
      <c r="A834" s="1" t="s">
        <v>867</v>
      </c>
      <c r="B834" s="1" t="s">
        <v>819</v>
      </c>
      <c r="C834" s="1"/>
      <c r="D834" s="1"/>
      <c r="E834" s="1"/>
      <c r="F834" s="1"/>
      <c r="G834" s="1"/>
      <c r="H834" s="1"/>
      <c r="I834" s="1"/>
    </row>
    <row r="835" ht="15.75" customHeight="1">
      <c r="A835" s="1" t="s">
        <v>868</v>
      </c>
      <c r="B835" s="1" t="s">
        <v>819</v>
      </c>
      <c r="C835" s="1"/>
      <c r="D835" s="1"/>
      <c r="E835" s="1"/>
      <c r="F835" s="1"/>
      <c r="G835" s="1"/>
      <c r="H835" s="1"/>
      <c r="I835" s="1"/>
    </row>
    <row r="836" ht="15.75" customHeight="1">
      <c r="A836" s="1" t="s">
        <v>869</v>
      </c>
      <c r="B836" s="1" t="s">
        <v>819</v>
      </c>
      <c r="C836" s="1"/>
      <c r="D836" s="1"/>
      <c r="E836" s="1"/>
      <c r="F836" s="1"/>
      <c r="G836" s="1"/>
      <c r="H836" s="1"/>
      <c r="I836" s="1"/>
    </row>
    <row r="837" ht="15.75" customHeight="1">
      <c r="A837" s="1" t="s">
        <v>870</v>
      </c>
      <c r="B837" s="1" t="s">
        <v>819</v>
      </c>
      <c r="C837" s="1"/>
      <c r="D837" s="1"/>
      <c r="E837" s="1"/>
      <c r="F837" s="1"/>
      <c r="G837" s="1"/>
      <c r="H837" s="1"/>
      <c r="I837" s="1"/>
    </row>
    <row r="838" ht="15.75" customHeight="1">
      <c r="A838" s="1" t="s">
        <v>871</v>
      </c>
      <c r="B838" s="1" t="s">
        <v>819</v>
      </c>
      <c r="C838" s="1"/>
      <c r="D838" s="1"/>
      <c r="E838" s="1"/>
      <c r="F838" s="1"/>
      <c r="G838" s="1"/>
      <c r="H838" s="1"/>
      <c r="I838" s="1"/>
    </row>
    <row r="839" ht="15.75" customHeight="1">
      <c r="A839" s="1" t="s">
        <v>872</v>
      </c>
      <c r="B839" s="1" t="s">
        <v>819</v>
      </c>
      <c r="C839" s="1"/>
      <c r="D839" s="1"/>
      <c r="E839" s="1"/>
      <c r="F839" s="1"/>
      <c r="G839" s="1"/>
      <c r="H839" s="1"/>
      <c r="I839" s="1"/>
    </row>
    <row r="840" ht="15.75" customHeight="1">
      <c r="A840" s="1" t="s">
        <v>873</v>
      </c>
      <c r="B840" s="1" t="s">
        <v>819</v>
      </c>
      <c r="C840" s="1"/>
      <c r="D840" s="1"/>
      <c r="E840" s="1"/>
      <c r="F840" s="1"/>
      <c r="G840" s="1"/>
      <c r="H840" s="1"/>
      <c r="I840" s="1"/>
    </row>
    <row r="841" ht="15.75" customHeight="1">
      <c r="A841" s="1" t="s">
        <v>874</v>
      </c>
      <c r="B841" s="1" t="s">
        <v>819</v>
      </c>
      <c r="C841" s="1"/>
      <c r="D841" s="1"/>
      <c r="E841" s="1"/>
      <c r="F841" s="1"/>
      <c r="G841" s="1"/>
      <c r="H841" s="1"/>
      <c r="I841" s="1"/>
    </row>
    <row r="842" ht="15.75" customHeight="1">
      <c r="A842" s="1" t="s">
        <v>875</v>
      </c>
      <c r="B842" s="1" t="s">
        <v>819</v>
      </c>
      <c r="C842" s="1"/>
      <c r="D842" s="1"/>
      <c r="E842" s="1"/>
      <c r="F842" s="1"/>
      <c r="G842" s="1"/>
      <c r="H842" s="1"/>
      <c r="I842" s="1"/>
    </row>
    <row r="843" ht="15.75" customHeight="1">
      <c r="A843" s="1" t="s">
        <v>876</v>
      </c>
      <c r="B843" s="1" t="s">
        <v>819</v>
      </c>
      <c r="C843" s="1"/>
      <c r="D843" s="1"/>
      <c r="E843" s="1"/>
      <c r="F843" s="1"/>
      <c r="G843" s="1"/>
      <c r="H843" s="1"/>
      <c r="I843" s="1"/>
    </row>
    <row r="844" ht="15.75" customHeight="1">
      <c r="A844" s="1" t="s">
        <v>877</v>
      </c>
      <c r="B844" s="1" t="s">
        <v>819</v>
      </c>
      <c r="C844" s="1"/>
      <c r="D844" s="1"/>
      <c r="E844" s="1"/>
      <c r="F844" s="1"/>
      <c r="G844" s="1"/>
      <c r="H844" s="1"/>
      <c r="I844" s="1"/>
    </row>
    <row r="845" ht="15.75" customHeight="1">
      <c r="A845" s="1" t="s">
        <v>878</v>
      </c>
      <c r="B845" s="1" t="s">
        <v>819</v>
      </c>
      <c r="C845" s="1"/>
      <c r="D845" s="1"/>
      <c r="E845" s="1"/>
      <c r="F845" s="1"/>
      <c r="G845" s="1"/>
      <c r="H845" s="1"/>
      <c r="I845" s="1"/>
    </row>
    <row r="846" ht="15.75" customHeight="1">
      <c r="A846" s="1" t="s">
        <v>879</v>
      </c>
      <c r="B846" s="1" t="s">
        <v>819</v>
      </c>
      <c r="C846" s="1"/>
      <c r="D846" s="1"/>
      <c r="E846" s="1"/>
      <c r="F846" s="1"/>
      <c r="G846" s="1"/>
      <c r="H846" s="1"/>
      <c r="I846" s="1"/>
    </row>
    <row r="847" ht="15.75" customHeight="1">
      <c r="A847" s="1" t="s">
        <v>880</v>
      </c>
      <c r="B847" s="1" t="s">
        <v>819</v>
      </c>
      <c r="C847" s="1"/>
      <c r="D847" s="1"/>
      <c r="E847" s="1"/>
      <c r="F847" s="1"/>
      <c r="G847" s="1"/>
      <c r="H847" s="1"/>
      <c r="I847" s="1"/>
    </row>
    <row r="848" ht="15.75" customHeight="1">
      <c r="A848" s="1" t="s">
        <v>881</v>
      </c>
      <c r="B848" s="1" t="s">
        <v>819</v>
      </c>
      <c r="C848" s="1"/>
      <c r="D848" s="1"/>
      <c r="E848" s="1"/>
      <c r="F848" s="1"/>
      <c r="G848" s="1"/>
      <c r="H848" s="1"/>
      <c r="I848" s="1"/>
    </row>
    <row r="849" ht="15.75" customHeight="1">
      <c r="A849" s="1" t="s">
        <v>882</v>
      </c>
      <c r="B849" s="1" t="s">
        <v>819</v>
      </c>
      <c r="C849" s="1"/>
      <c r="D849" s="1"/>
      <c r="E849" s="1"/>
      <c r="F849" s="1"/>
      <c r="G849" s="1"/>
      <c r="H849" s="1"/>
      <c r="I849" s="1"/>
    </row>
    <row r="850" ht="15.75" customHeight="1">
      <c r="A850" s="1" t="s">
        <v>883</v>
      </c>
      <c r="B850" s="1" t="s">
        <v>819</v>
      </c>
      <c r="C850" s="1"/>
      <c r="D850" s="1"/>
      <c r="E850" s="1"/>
      <c r="F850" s="1"/>
      <c r="G850" s="1"/>
      <c r="H850" s="1"/>
      <c r="I850" s="1"/>
    </row>
    <row r="851" ht="15.75" customHeight="1">
      <c r="A851" s="1" t="s">
        <v>884</v>
      </c>
      <c r="B851" s="1" t="s">
        <v>819</v>
      </c>
      <c r="C851" s="1"/>
      <c r="D851" s="1"/>
      <c r="E851" s="1"/>
      <c r="F851" s="1"/>
      <c r="G851" s="1"/>
      <c r="H851" s="1"/>
      <c r="I851" s="1"/>
    </row>
    <row r="852" ht="15.75" customHeight="1">
      <c r="A852" s="1" t="s">
        <v>885</v>
      </c>
      <c r="B852" s="1" t="s">
        <v>819</v>
      </c>
      <c r="C852" s="1"/>
      <c r="D852" s="1"/>
      <c r="E852" s="1"/>
      <c r="F852" s="1"/>
      <c r="G852" s="1"/>
      <c r="H852" s="1"/>
      <c r="I852" s="1"/>
    </row>
    <row r="853" ht="15.75" customHeight="1">
      <c r="A853" s="1" t="s">
        <v>886</v>
      </c>
      <c r="B853" s="1" t="s">
        <v>887</v>
      </c>
      <c r="C853" s="1"/>
      <c r="D853" s="1"/>
      <c r="E853" s="1"/>
      <c r="F853" s="1"/>
      <c r="G853" s="1"/>
      <c r="H853" s="1"/>
      <c r="I853" s="1"/>
    </row>
    <row r="854" ht="15.75" customHeight="1">
      <c r="A854" s="1" t="s">
        <v>888</v>
      </c>
      <c r="B854" s="1" t="s">
        <v>887</v>
      </c>
      <c r="C854" s="1"/>
      <c r="D854" s="1"/>
      <c r="E854" s="1"/>
      <c r="F854" s="1"/>
      <c r="G854" s="1"/>
      <c r="H854" s="1"/>
      <c r="I854" s="1"/>
    </row>
    <row r="855" ht="15.75" customHeight="1">
      <c r="A855" s="1" t="s">
        <v>889</v>
      </c>
      <c r="B855" s="1" t="s">
        <v>887</v>
      </c>
      <c r="C855" s="1"/>
      <c r="D855" s="1"/>
      <c r="E855" s="1"/>
      <c r="F855" s="1"/>
      <c r="G855" s="1"/>
      <c r="H855" s="1"/>
      <c r="I855" s="1"/>
    </row>
    <row r="856" ht="15.75" customHeight="1">
      <c r="A856" s="1" t="s">
        <v>890</v>
      </c>
      <c r="B856" s="1" t="s">
        <v>887</v>
      </c>
      <c r="C856" s="1"/>
      <c r="D856" s="1"/>
      <c r="E856" s="1"/>
      <c r="F856" s="1"/>
      <c r="G856" s="1"/>
      <c r="H856" s="1"/>
      <c r="I856" s="1"/>
    </row>
    <row r="857" ht="15.75" customHeight="1">
      <c r="A857" s="1" t="s">
        <v>891</v>
      </c>
      <c r="B857" s="1" t="s">
        <v>887</v>
      </c>
      <c r="C857" s="1"/>
      <c r="D857" s="1"/>
      <c r="E857" s="1"/>
      <c r="F857" s="1"/>
      <c r="G857" s="1"/>
      <c r="H857" s="1"/>
      <c r="I857" s="1"/>
    </row>
    <row r="858" ht="15.75" customHeight="1">
      <c r="A858" s="1" t="s">
        <v>892</v>
      </c>
      <c r="B858" s="1" t="s">
        <v>887</v>
      </c>
      <c r="C858" s="1"/>
      <c r="D858" s="1"/>
      <c r="E858" s="1"/>
      <c r="F858" s="1"/>
      <c r="G858" s="1"/>
      <c r="H858" s="1"/>
      <c r="I858" s="1"/>
    </row>
    <row r="859" ht="15.75" customHeight="1">
      <c r="A859" s="1" t="s">
        <v>893</v>
      </c>
      <c r="B859" s="1" t="s">
        <v>887</v>
      </c>
      <c r="C859" s="1"/>
      <c r="D859" s="1"/>
      <c r="E859" s="1"/>
      <c r="F859" s="1"/>
      <c r="G859" s="1"/>
      <c r="H859" s="1"/>
      <c r="I859" s="1"/>
    </row>
    <row r="860" ht="15.75" customHeight="1">
      <c r="A860" s="1" t="s">
        <v>894</v>
      </c>
      <c r="B860" s="1" t="s">
        <v>887</v>
      </c>
      <c r="C860" s="1"/>
      <c r="D860" s="1"/>
      <c r="E860" s="1"/>
      <c r="F860" s="1"/>
      <c r="G860" s="1"/>
      <c r="H860" s="1"/>
      <c r="I860" s="1"/>
    </row>
    <row r="861" ht="15.75" customHeight="1">
      <c r="A861" s="1" t="s">
        <v>895</v>
      </c>
      <c r="B861" s="1" t="s">
        <v>887</v>
      </c>
      <c r="C861" s="1"/>
      <c r="D861" s="1"/>
      <c r="E861" s="1"/>
      <c r="F861" s="1"/>
      <c r="G861" s="1"/>
      <c r="H861" s="1"/>
      <c r="I861" s="1"/>
    </row>
    <row r="862" ht="15.75" customHeight="1">
      <c r="A862" s="1" t="s">
        <v>896</v>
      </c>
      <c r="B862" s="1" t="s">
        <v>897</v>
      </c>
      <c r="C862" s="1"/>
      <c r="D862" s="1"/>
      <c r="E862" s="1"/>
      <c r="F862" s="1"/>
      <c r="G862" s="1"/>
      <c r="H862" s="1"/>
      <c r="I862" s="1"/>
    </row>
    <row r="863" ht="15.75" customHeight="1">
      <c r="A863" s="1" t="s">
        <v>898</v>
      </c>
      <c r="B863" s="1" t="s">
        <v>897</v>
      </c>
      <c r="C863" s="1"/>
      <c r="D863" s="1"/>
      <c r="E863" s="1"/>
      <c r="F863" s="1"/>
      <c r="G863" s="1"/>
      <c r="H863" s="1"/>
      <c r="I863" s="1"/>
    </row>
    <row r="864" ht="15.75" customHeight="1">
      <c r="A864" s="1" t="s">
        <v>899</v>
      </c>
      <c r="B864" s="1" t="s">
        <v>897</v>
      </c>
      <c r="C864" s="1"/>
      <c r="D864" s="1"/>
      <c r="E864" s="1"/>
      <c r="F864" s="1"/>
      <c r="G864" s="1"/>
      <c r="H864" s="1"/>
      <c r="I864" s="1"/>
    </row>
    <row r="865" ht="15.75" customHeight="1">
      <c r="A865" s="1" t="s">
        <v>900</v>
      </c>
      <c r="B865" s="1" t="s">
        <v>897</v>
      </c>
      <c r="C865" s="1"/>
      <c r="D865" s="1"/>
      <c r="E865" s="1"/>
      <c r="F865" s="1"/>
      <c r="G865" s="1"/>
      <c r="H865" s="1"/>
      <c r="I865" s="1"/>
    </row>
    <row r="866" ht="15.75" customHeight="1">
      <c r="A866" s="1" t="s">
        <v>901</v>
      </c>
      <c r="B866" s="1" t="s">
        <v>897</v>
      </c>
      <c r="C866" s="1"/>
      <c r="D866" s="1"/>
      <c r="E866" s="1"/>
      <c r="F866" s="1"/>
      <c r="G866" s="1"/>
      <c r="H866" s="1"/>
      <c r="I866" s="1"/>
    </row>
    <row r="867" ht="15.75" customHeight="1">
      <c r="A867" s="1" t="s">
        <v>902</v>
      </c>
      <c r="B867" s="1" t="s">
        <v>897</v>
      </c>
      <c r="C867" s="1"/>
      <c r="D867" s="1"/>
      <c r="E867" s="1"/>
      <c r="F867" s="1"/>
      <c r="G867" s="1"/>
      <c r="H867" s="1"/>
      <c r="I867" s="1"/>
    </row>
    <row r="868" ht="15.75" customHeight="1">
      <c r="A868" s="1" t="s">
        <v>903</v>
      </c>
      <c r="B868" s="1" t="s">
        <v>897</v>
      </c>
      <c r="C868" s="1"/>
      <c r="D868" s="1"/>
      <c r="E868" s="1"/>
      <c r="F868" s="1"/>
      <c r="G868" s="1"/>
      <c r="H868" s="1"/>
      <c r="I868" s="1"/>
    </row>
    <row r="869" ht="15.75" customHeight="1">
      <c r="A869" s="1" t="s">
        <v>904</v>
      </c>
      <c r="B869" s="1" t="s">
        <v>897</v>
      </c>
      <c r="C869" s="1"/>
      <c r="D869" s="1"/>
      <c r="E869" s="1"/>
      <c r="F869" s="1"/>
      <c r="G869" s="1"/>
      <c r="H869" s="1"/>
      <c r="I869" s="1"/>
    </row>
    <row r="870" ht="15.75" customHeight="1">
      <c r="A870" s="1" t="s">
        <v>905</v>
      </c>
      <c r="B870" s="1" t="s">
        <v>897</v>
      </c>
      <c r="C870" s="1"/>
      <c r="D870" s="1"/>
      <c r="E870" s="1"/>
      <c r="F870" s="1"/>
      <c r="G870" s="1"/>
      <c r="H870" s="1"/>
      <c r="I870" s="1"/>
    </row>
    <row r="871" ht="15.75" customHeight="1">
      <c r="A871" s="1" t="s">
        <v>906</v>
      </c>
      <c r="B871" s="1" t="s">
        <v>897</v>
      </c>
      <c r="C871" s="1"/>
      <c r="D871" s="1"/>
      <c r="E871" s="1"/>
      <c r="F871" s="1"/>
      <c r="G871" s="1"/>
      <c r="H871" s="1"/>
      <c r="I871" s="1"/>
    </row>
    <row r="872" ht="15.75" customHeight="1">
      <c r="A872" s="1" t="s">
        <v>907</v>
      </c>
      <c r="B872" s="1" t="s">
        <v>897</v>
      </c>
      <c r="C872" s="1"/>
      <c r="D872" s="1"/>
      <c r="E872" s="1"/>
      <c r="F872" s="1"/>
      <c r="G872" s="1"/>
      <c r="H872" s="1"/>
      <c r="I872" s="1"/>
    </row>
    <row r="873" ht="15.75" customHeight="1">
      <c r="A873" s="1" t="s">
        <v>908</v>
      </c>
      <c r="B873" s="1" t="s">
        <v>897</v>
      </c>
      <c r="C873" s="1"/>
      <c r="D873" s="1"/>
      <c r="E873" s="1"/>
      <c r="F873" s="1"/>
      <c r="G873" s="1"/>
      <c r="H873" s="1"/>
      <c r="I873" s="1"/>
    </row>
    <row r="874" ht="15.75" customHeight="1">
      <c r="A874" s="1" t="s">
        <v>909</v>
      </c>
      <c r="B874" s="1" t="s">
        <v>897</v>
      </c>
      <c r="C874" s="1"/>
      <c r="D874" s="1"/>
      <c r="E874" s="1"/>
      <c r="F874" s="1"/>
      <c r="G874" s="1"/>
      <c r="H874" s="1"/>
      <c r="I874" s="1"/>
    </row>
    <row r="875" ht="15.75" customHeight="1">
      <c r="A875" s="1" t="s">
        <v>910</v>
      </c>
      <c r="B875" s="1" t="s">
        <v>897</v>
      </c>
      <c r="C875" s="1"/>
      <c r="D875" s="1"/>
      <c r="E875" s="1"/>
      <c r="F875" s="1"/>
      <c r="G875" s="1"/>
      <c r="H875" s="1"/>
      <c r="I875" s="1"/>
    </row>
    <row r="876" ht="15.75" customHeight="1">
      <c r="A876" s="1" t="s">
        <v>911</v>
      </c>
      <c r="B876" s="1" t="s">
        <v>897</v>
      </c>
      <c r="C876" s="1"/>
      <c r="D876" s="1"/>
      <c r="E876" s="1"/>
      <c r="F876" s="1"/>
      <c r="G876" s="1"/>
      <c r="H876" s="1"/>
      <c r="I876" s="1"/>
    </row>
    <row r="877" ht="15.75" customHeight="1">
      <c r="A877" s="1" t="s">
        <v>912</v>
      </c>
      <c r="B877" s="1" t="s">
        <v>897</v>
      </c>
      <c r="C877" s="1"/>
      <c r="D877" s="1"/>
      <c r="E877" s="1"/>
      <c r="F877" s="1"/>
      <c r="G877" s="1"/>
      <c r="H877" s="1"/>
      <c r="I877" s="1"/>
    </row>
    <row r="878" ht="15.75" customHeight="1">
      <c r="A878" s="1" t="s">
        <v>913</v>
      </c>
      <c r="B878" s="1" t="s">
        <v>897</v>
      </c>
      <c r="C878" s="1"/>
      <c r="D878" s="1"/>
      <c r="E878" s="1"/>
      <c r="F878" s="1"/>
      <c r="G878" s="1"/>
      <c r="H878" s="1"/>
      <c r="I878" s="1"/>
    </row>
    <row r="879" ht="15.75" customHeight="1">
      <c r="A879" s="1" t="s">
        <v>914</v>
      </c>
      <c r="B879" s="1" t="s">
        <v>897</v>
      </c>
      <c r="C879" s="1"/>
      <c r="D879" s="1"/>
      <c r="E879" s="1"/>
      <c r="F879" s="1"/>
      <c r="G879" s="1"/>
      <c r="H879" s="1"/>
      <c r="I879" s="1"/>
    </row>
    <row r="880" ht="15.75" customHeight="1">
      <c r="A880" s="1" t="s">
        <v>915</v>
      </c>
      <c r="B880" s="1" t="s">
        <v>897</v>
      </c>
      <c r="C880" s="1"/>
      <c r="D880" s="1"/>
      <c r="E880" s="1"/>
      <c r="F880" s="1"/>
      <c r="G880" s="1"/>
      <c r="H880" s="1"/>
      <c r="I880" s="1"/>
    </row>
    <row r="881" ht="15.75" customHeight="1">
      <c r="A881" s="1" t="s">
        <v>916</v>
      </c>
      <c r="B881" s="1" t="s">
        <v>897</v>
      </c>
      <c r="C881" s="1"/>
      <c r="D881" s="1"/>
      <c r="E881" s="1"/>
      <c r="F881" s="1"/>
      <c r="G881" s="1"/>
      <c r="H881" s="1"/>
      <c r="I881" s="1"/>
    </row>
    <row r="882" ht="15.75" customHeight="1">
      <c r="A882" s="1" t="s">
        <v>917</v>
      </c>
      <c r="B882" s="1" t="s">
        <v>897</v>
      </c>
      <c r="C882" s="1"/>
      <c r="D882" s="1"/>
      <c r="E882" s="1"/>
      <c r="F882" s="1"/>
      <c r="G882" s="1"/>
      <c r="H882" s="1"/>
      <c r="I882" s="1"/>
    </row>
    <row r="883" ht="15.75" customHeight="1">
      <c r="A883" s="1" t="s">
        <v>918</v>
      </c>
      <c r="B883" s="1" t="s">
        <v>897</v>
      </c>
      <c r="C883" s="1"/>
      <c r="D883" s="1"/>
      <c r="E883" s="1"/>
      <c r="F883" s="1"/>
      <c r="G883" s="1"/>
      <c r="H883" s="1"/>
      <c r="I883" s="1"/>
    </row>
    <row r="884" ht="15.75" customHeight="1">
      <c r="A884" s="1" t="s">
        <v>919</v>
      </c>
      <c r="B884" s="1" t="s">
        <v>897</v>
      </c>
      <c r="C884" s="1"/>
      <c r="D884" s="1"/>
      <c r="E884" s="1"/>
      <c r="F884" s="1"/>
      <c r="G884" s="1"/>
      <c r="H884" s="1"/>
      <c r="I884" s="1"/>
    </row>
    <row r="885" ht="15.75" customHeight="1">
      <c r="A885" s="1" t="s">
        <v>920</v>
      </c>
      <c r="B885" s="1" t="s">
        <v>897</v>
      </c>
      <c r="C885" s="1"/>
      <c r="D885" s="1"/>
      <c r="E885" s="1"/>
      <c r="F885" s="1"/>
      <c r="G885" s="1"/>
      <c r="H885" s="1"/>
      <c r="I885" s="1"/>
    </row>
    <row r="886" ht="15.75" customHeight="1">
      <c r="A886" s="1" t="s">
        <v>921</v>
      </c>
      <c r="B886" s="1" t="s">
        <v>897</v>
      </c>
      <c r="C886" s="1"/>
      <c r="D886" s="1"/>
      <c r="E886" s="1"/>
      <c r="F886" s="1"/>
      <c r="G886" s="1"/>
      <c r="H886" s="1"/>
      <c r="I886" s="1"/>
    </row>
    <row r="887" ht="15.75" customHeight="1">
      <c r="A887" s="1" t="s">
        <v>922</v>
      </c>
      <c r="B887" s="1" t="s">
        <v>923</v>
      </c>
      <c r="C887" s="1"/>
      <c r="D887" s="1"/>
      <c r="E887" s="1"/>
      <c r="F887" s="1"/>
      <c r="G887" s="1"/>
      <c r="H887" s="1"/>
      <c r="I887" s="1"/>
    </row>
    <row r="888" ht="15.75" customHeight="1">
      <c r="A888" s="1" t="s">
        <v>924</v>
      </c>
      <c r="B888" s="1" t="s">
        <v>923</v>
      </c>
      <c r="C888" s="1"/>
      <c r="D888" s="1"/>
      <c r="E888" s="1"/>
      <c r="F888" s="1"/>
      <c r="G888" s="1"/>
      <c r="H888" s="1"/>
      <c r="I888" s="1"/>
    </row>
    <row r="889" ht="15.75" customHeight="1">
      <c r="A889" s="1" t="s">
        <v>925</v>
      </c>
      <c r="B889" s="1" t="s">
        <v>923</v>
      </c>
      <c r="C889" s="1"/>
      <c r="D889" s="1"/>
      <c r="E889" s="1"/>
      <c r="F889" s="1"/>
      <c r="G889" s="1"/>
      <c r="H889" s="1"/>
      <c r="I889" s="1"/>
    </row>
    <row r="890" ht="15.75" customHeight="1">
      <c r="A890" s="1" t="s">
        <v>926</v>
      </c>
      <c r="B890" s="1" t="s">
        <v>923</v>
      </c>
      <c r="C890" s="1"/>
      <c r="D890" s="1"/>
      <c r="E890" s="1"/>
      <c r="F890" s="1"/>
      <c r="G890" s="1"/>
      <c r="H890" s="1"/>
      <c r="I890" s="1"/>
    </row>
    <row r="891" ht="15.75" customHeight="1">
      <c r="A891" s="1" t="s">
        <v>927</v>
      </c>
      <c r="B891" s="1" t="s">
        <v>923</v>
      </c>
      <c r="C891" s="1"/>
      <c r="D891" s="1"/>
      <c r="E891" s="1"/>
      <c r="F891" s="1"/>
      <c r="G891" s="1"/>
      <c r="H891" s="1"/>
      <c r="I891" s="1"/>
    </row>
    <row r="892" ht="15.75" customHeight="1">
      <c r="A892" s="1" t="s">
        <v>928</v>
      </c>
      <c r="B892" s="1" t="s">
        <v>923</v>
      </c>
      <c r="C892" s="1"/>
      <c r="D892" s="1"/>
      <c r="E892" s="1"/>
      <c r="F892" s="1"/>
      <c r="G892" s="1"/>
      <c r="H892" s="1"/>
      <c r="I892" s="1"/>
    </row>
    <row r="893" ht="15.75" customHeight="1">
      <c r="A893" s="1" t="s">
        <v>929</v>
      </c>
      <c r="B893" s="1" t="s">
        <v>923</v>
      </c>
      <c r="C893" s="1"/>
      <c r="D893" s="1"/>
      <c r="E893" s="1"/>
      <c r="F893" s="1"/>
      <c r="G893" s="1"/>
      <c r="H893" s="1"/>
      <c r="I893" s="1"/>
    </row>
    <row r="894" ht="15.75" customHeight="1">
      <c r="A894" s="1" t="s">
        <v>930</v>
      </c>
      <c r="B894" s="1" t="s">
        <v>923</v>
      </c>
      <c r="C894" s="1"/>
      <c r="D894" s="1"/>
      <c r="E894" s="1"/>
      <c r="F894" s="1"/>
      <c r="G894" s="1"/>
      <c r="H894" s="1"/>
      <c r="I894" s="1"/>
    </row>
    <row r="895" ht="15.75" customHeight="1">
      <c r="A895" s="1" t="s">
        <v>931</v>
      </c>
      <c r="B895" s="1" t="s">
        <v>923</v>
      </c>
      <c r="C895" s="1"/>
      <c r="D895" s="1"/>
      <c r="E895" s="1"/>
      <c r="F895" s="1"/>
      <c r="G895" s="1"/>
      <c r="H895" s="1"/>
      <c r="I895" s="1"/>
    </row>
    <row r="896" ht="15.75" customHeight="1">
      <c r="A896" s="1" t="s">
        <v>932</v>
      </c>
      <c r="B896" s="1" t="s">
        <v>923</v>
      </c>
      <c r="C896" s="1"/>
      <c r="D896" s="1"/>
      <c r="E896" s="1"/>
      <c r="F896" s="1"/>
      <c r="G896" s="1"/>
      <c r="H896" s="1"/>
      <c r="I896" s="1"/>
    </row>
    <row r="897" ht="15.75" customHeight="1">
      <c r="A897" s="1" t="s">
        <v>933</v>
      </c>
      <c r="B897" s="1" t="s">
        <v>923</v>
      </c>
      <c r="C897" s="1"/>
      <c r="D897" s="1"/>
      <c r="E897" s="1"/>
      <c r="F897" s="1"/>
      <c r="G897" s="1"/>
      <c r="H897" s="1"/>
      <c r="I897" s="1"/>
    </row>
    <row r="898" ht="15.75" customHeight="1">
      <c r="A898" s="1" t="s">
        <v>934</v>
      </c>
      <c r="B898" s="1" t="s">
        <v>923</v>
      </c>
      <c r="C898" s="1"/>
      <c r="D898" s="1"/>
      <c r="E898" s="1"/>
      <c r="F898" s="1"/>
      <c r="G898" s="1"/>
      <c r="H898" s="1"/>
      <c r="I898" s="1"/>
    </row>
    <row r="899" ht="15.75" customHeight="1">
      <c r="A899" s="1" t="s">
        <v>935</v>
      </c>
      <c r="B899" s="1" t="s">
        <v>923</v>
      </c>
      <c r="C899" s="1"/>
      <c r="D899" s="1"/>
      <c r="E899" s="1"/>
      <c r="F899" s="1"/>
      <c r="G899" s="1"/>
      <c r="H899" s="1"/>
      <c r="I899" s="1"/>
    </row>
    <row r="900" ht="15.75" customHeight="1">
      <c r="A900" s="1" t="s">
        <v>936</v>
      </c>
      <c r="B900" s="1" t="s">
        <v>923</v>
      </c>
      <c r="C900" s="1"/>
      <c r="D900" s="1"/>
      <c r="E900" s="1"/>
      <c r="F900" s="1"/>
      <c r="G900" s="1"/>
      <c r="H900" s="1"/>
      <c r="I900" s="1"/>
    </row>
    <row r="901" ht="15.75" customHeight="1">
      <c r="A901" s="1" t="s">
        <v>937</v>
      </c>
      <c r="B901" s="1" t="s">
        <v>923</v>
      </c>
      <c r="C901" s="1"/>
      <c r="D901" s="1"/>
      <c r="E901" s="1"/>
      <c r="F901" s="1"/>
      <c r="G901" s="1"/>
      <c r="H901" s="1"/>
      <c r="I901" s="1"/>
    </row>
    <row r="902" ht="15.75" customHeight="1">
      <c r="A902" s="1" t="s">
        <v>938</v>
      </c>
      <c r="B902" s="1" t="s">
        <v>923</v>
      </c>
      <c r="C902" s="1"/>
      <c r="D902" s="1"/>
      <c r="E902" s="1"/>
      <c r="F902" s="1"/>
      <c r="G902" s="1"/>
      <c r="H902" s="1"/>
      <c r="I902" s="1"/>
    </row>
    <row r="903" ht="15.75" customHeight="1">
      <c r="A903" s="1" t="s">
        <v>939</v>
      </c>
      <c r="B903" s="1" t="s">
        <v>940</v>
      </c>
      <c r="C903" s="1"/>
      <c r="D903" s="1"/>
      <c r="E903" s="1"/>
      <c r="F903" s="1"/>
      <c r="G903" s="1"/>
      <c r="H903" s="1"/>
      <c r="I903" s="1"/>
    </row>
    <row r="904" ht="15.75" customHeight="1">
      <c r="A904" s="1" t="s">
        <v>941</v>
      </c>
      <c r="B904" s="1" t="s">
        <v>940</v>
      </c>
      <c r="C904" s="1"/>
      <c r="D904" s="1"/>
      <c r="E904" s="1"/>
      <c r="F904" s="1"/>
      <c r="G904" s="1"/>
      <c r="H904" s="1"/>
      <c r="I904" s="1"/>
    </row>
    <row r="905" ht="15.75" customHeight="1">
      <c r="A905" s="1" t="s">
        <v>942</v>
      </c>
      <c r="B905" s="1" t="s">
        <v>940</v>
      </c>
      <c r="C905" s="1"/>
      <c r="D905" s="1"/>
      <c r="E905" s="1"/>
      <c r="F905" s="1"/>
      <c r="G905" s="1"/>
      <c r="H905" s="1"/>
      <c r="I905" s="1"/>
    </row>
    <row r="906" ht="15.75" customHeight="1">
      <c r="A906" s="1" t="s">
        <v>943</v>
      </c>
      <c r="B906" s="1" t="s">
        <v>940</v>
      </c>
      <c r="C906" s="1"/>
      <c r="D906" s="1"/>
      <c r="E906" s="1"/>
      <c r="F906" s="1"/>
      <c r="G906" s="1"/>
      <c r="H906" s="1"/>
      <c r="I906" s="1"/>
    </row>
    <row r="907" ht="15.75" customHeight="1">
      <c r="A907" s="1" t="s">
        <v>944</v>
      </c>
      <c r="B907" s="1" t="s">
        <v>945</v>
      </c>
      <c r="C907" s="1"/>
      <c r="D907" s="1"/>
      <c r="E907" s="1"/>
      <c r="F907" s="1"/>
      <c r="G907" s="1"/>
      <c r="H907" s="1"/>
      <c r="I907" s="1"/>
    </row>
    <row r="908" ht="15.75" customHeight="1">
      <c r="A908" s="1" t="s">
        <v>946</v>
      </c>
      <c r="B908" s="1" t="s">
        <v>945</v>
      </c>
      <c r="C908" s="1"/>
      <c r="D908" s="1"/>
      <c r="E908" s="1"/>
      <c r="F908" s="1"/>
      <c r="G908" s="1"/>
      <c r="H908" s="1"/>
      <c r="I908" s="1"/>
    </row>
    <row r="909" ht="15.75" customHeight="1">
      <c r="A909" s="1" t="s">
        <v>947</v>
      </c>
      <c r="B909" s="1" t="s">
        <v>945</v>
      </c>
      <c r="C909" s="1"/>
      <c r="D909" s="1"/>
      <c r="E909" s="1"/>
      <c r="F909" s="1"/>
      <c r="G909" s="1"/>
      <c r="H909" s="1"/>
      <c r="I909" s="1"/>
    </row>
    <row r="910" ht="15.75" customHeight="1">
      <c r="A910" s="1" t="s">
        <v>948</v>
      </c>
      <c r="B910" s="1" t="s">
        <v>945</v>
      </c>
      <c r="C910" s="1"/>
      <c r="D910" s="1"/>
      <c r="E910" s="1"/>
      <c r="F910" s="1"/>
      <c r="G910" s="1"/>
      <c r="H910" s="1"/>
      <c r="I910" s="1"/>
    </row>
    <row r="911" ht="15.75" customHeight="1">
      <c r="A911" s="1" t="s">
        <v>949</v>
      </c>
      <c r="B911" s="1" t="s">
        <v>945</v>
      </c>
      <c r="C911" s="1"/>
      <c r="D911" s="1"/>
      <c r="E911" s="1"/>
      <c r="F911" s="1"/>
      <c r="G911" s="1"/>
      <c r="H911" s="1"/>
      <c r="I911" s="1"/>
    </row>
    <row r="912" ht="15.75" customHeight="1">
      <c r="A912" s="1" t="s">
        <v>950</v>
      </c>
      <c r="B912" s="1" t="s">
        <v>945</v>
      </c>
      <c r="C912" s="1"/>
      <c r="D912" s="1"/>
      <c r="E912" s="1"/>
      <c r="F912" s="1"/>
      <c r="G912" s="1"/>
      <c r="H912" s="1"/>
      <c r="I912" s="1"/>
    </row>
    <row r="913" ht="15.75" customHeight="1">
      <c r="A913" s="1" t="s">
        <v>951</v>
      </c>
      <c r="B913" s="1" t="s">
        <v>945</v>
      </c>
      <c r="C913" s="1"/>
      <c r="D913" s="1"/>
      <c r="E913" s="1"/>
      <c r="F913" s="1"/>
      <c r="G913" s="1"/>
      <c r="H913" s="1"/>
      <c r="I913" s="1"/>
    </row>
    <row r="914" ht="15.75" customHeight="1">
      <c r="A914" s="1" t="s">
        <v>952</v>
      </c>
      <c r="B914" s="1" t="s">
        <v>945</v>
      </c>
      <c r="C914" s="1"/>
      <c r="D914" s="1"/>
      <c r="E914" s="1"/>
      <c r="F914" s="1"/>
      <c r="G914" s="1"/>
      <c r="H914" s="1"/>
      <c r="I914" s="1"/>
    </row>
    <row r="915" ht="15.75" customHeight="1">
      <c r="A915" s="1" t="s">
        <v>953</v>
      </c>
      <c r="B915" s="1" t="s">
        <v>945</v>
      </c>
      <c r="C915" s="1"/>
      <c r="D915" s="1"/>
      <c r="E915" s="1"/>
      <c r="F915" s="1"/>
      <c r="G915" s="1"/>
      <c r="H915" s="1"/>
      <c r="I915" s="1"/>
    </row>
    <row r="916" ht="15.75" customHeight="1">
      <c r="A916" s="1" t="s">
        <v>954</v>
      </c>
      <c r="B916" s="1" t="s">
        <v>945</v>
      </c>
      <c r="C916" s="1"/>
      <c r="D916" s="1"/>
      <c r="E916" s="1"/>
      <c r="F916" s="1"/>
      <c r="G916" s="1"/>
      <c r="H916" s="1"/>
      <c r="I916" s="1"/>
    </row>
    <row r="917" ht="15.75" customHeight="1">
      <c r="A917" s="1" t="s">
        <v>955</v>
      </c>
      <c r="B917" s="1" t="s">
        <v>945</v>
      </c>
      <c r="C917" s="1"/>
      <c r="D917" s="1"/>
      <c r="E917" s="1"/>
      <c r="F917" s="1"/>
      <c r="G917" s="1"/>
      <c r="H917" s="1"/>
      <c r="I917" s="1"/>
    </row>
    <row r="918" ht="15.75" customHeight="1">
      <c r="A918" s="1" t="s">
        <v>956</v>
      </c>
      <c r="B918" s="1" t="s">
        <v>945</v>
      </c>
      <c r="C918" s="1"/>
      <c r="D918" s="1"/>
      <c r="E918" s="1"/>
      <c r="F918" s="1"/>
      <c r="G918" s="1"/>
      <c r="H918" s="1"/>
      <c r="I918" s="1"/>
    </row>
    <row r="919" ht="15.75" customHeight="1">
      <c r="A919" s="1" t="s">
        <v>957</v>
      </c>
      <c r="B919" s="1" t="s">
        <v>945</v>
      </c>
      <c r="C919" s="1"/>
      <c r="D919" s="1"/>
      <c r="E919" s="1"/>
      <c r="F919" s="1"/>
      <c r="G919" s="1"/>
      <c r="H919" s="1"/>
      <c r="I919" s="1"/>
    </row>
    <row r="920" ht="15.75" customHeight="1">
      <c r="A920" s="1" t="s">
        <v>958</v>
      </c>
      <c r="B920" s="1" t="s">
        <v>945</v>
      </c>
      <c r="C920" s="1"/>
      <c r="D920" s="1"/>
      <c r="E920" s="1"/>
      <c r="F920" s="1"/>
      <c r="G920" s="1"/>
      <c r="H920" s="1"/>
      <c r="I920" s="1"/>
    </row>
    <row r="921" ht="15.75" customHeight="1">
      <c r="A921" s="1" t="s">
        <v>959</v>
      </c>
      <c r="B921" s="1" t="s">
        <v>945</v>
      </c>
      <c r="C921" s="1"/>
      <c r="D921" s="1"/>
      <c r="E921" s="1"/>
      <c r="F921" s="1"/>
      <c r="G921" s="1"/>
      <c r="H921" s="1"/>
      <c r="I921" s="1"/>
    </row>
    <row r="922" ht="15.75" customHeight="1">
      <c r="A922" s="1" t="s">
        <v>960</v>
      </c>
      <c r="B922" s="1" t="s">
        <v>945</v>
      </c>
      <c r="C922" s="1"/>
      <c r="D922" s="1"/>
      <c r="E922" s="1"/>
      <c r="F922" s="1"/>
      <c r="G922" s="1"/>
      <c r="H922" s="1"/>
      <c r="I922" s="1"/>
    </row>
    <row r="923" ht="15.75" customHeight="1">
      <c r="A923" s="1" t="s">
        <v>961</v>
      </c>
      <c r="B923" s="1" t="s">
        <v>945</v>
      </c>
      <c r="C923" s="1"/>
      <c r="D923" s="1"/>
      <c r="E923" s="1"/>
      <c r="F923" s="1"/>
      <c r="G923" s="1"/>
      <c r="H923" s="1"/>
      <c r="I923" s="1"/>
    </row>
    <row r="924" ht="15.75" customHeight="1">
      <c r="A924" s="1" t="s">
        <v>962</v>
      </c>
      <c r="B924" s="1" t="s">
        <v>945</v>
      </c>
      <c r="C924" s="1"/>
      <c r="D924" s="1"/>
      <c r="E924" s="1"/>
      <c r="F924" s="1"/>
      <c r="G924" s="1"/>
      <c r="H924" s="1"/>
      <c r="I924" s="1"/>
    </row>
    <row r="925" ht="15.75" customHeight="1">
      <c r="A925" s="1" t="s">
        <v>963</v>
      </c>
      <c r="B925" s="1" t="s">
        <v>945</v>
      </c>
      <c r="C925" s="1"/>
      <c r="D925" s="1"/>
      <c r="E925" s="1"/>
      <c r="F925" s="1"/>
      <c r="G925" s="1"/>
      <c r="H925" s="1"/>
      <c r="I925" s="1"/>
    </row>
    <row r="926" ht="15.75" customHeight="1">
      <c r="A926" s="1" t="s">
        <v>964</v>
      </c>
      <c r="B926" s="1" t="s">
        <v>945</v>
      </c>
      <c r="C926" s="1"/>
      <c r="D926" s="1"/>
      <c r="E926" s="1"/>
      <c r="F926" s="1"/>
      <c r="G926" s="1"/>
      <c r="H926" s="1"/>
      <c r="I926" s="1"/>
    </row>
    <row r="927" ht="15.75" customHeight="1">
      <c r="A927" s="1" t="s">
        <v>965</v>
      </c>
      <c r="B927" s="1" t="s">
        <v>945</v>
      </c>
      <c r="C927" s="1"/>
      <c r="D927" s="1"/>
      <c r="E927" s="1"/>
      <c r="F927" s="1"/>
      <c r="G927" s="1"/>
      <c r="H927" s="1"/>
      <c r="I927" s="1"/>
    </row>
    <row r="928" ht="15.75" customHeight="1">
      <c r="A928" s="1" t="s">
        <v>966</v>
      </c>
      <c r="B928" s="1" t="s">
        <v>945</v>
      </c>
      <c r="C928" s="1"/>
      <c r="D928" s="1"/>
      <c r="E928" s="1"/>
      <c r="F928" s="1"/>
      <c r="G928" s="1"/>
      <c r="H928" s="1"/>
      <c r="I928" s="1"/>
    </row>
    <row r="929" ht="15.75" customHeight="1">
      <c r="A929" s="1" t="s">
        <v>967</v>
      </c>
      <c r="B929" s="1" t="s">
        <v>945</v>
      </c>
      <c r="C929" s="1"/>
      <c r="D929" s="1"/>
      <c r="E929" s="1"/>
      <c r="F929" s="1"/>
      <c r="G929" s="1"/>
      <c r="H929" s="1"/>
      <c r="I929" s="1"/>
    </row>
    <row r="930" ht="15.75" customHeight="1">
      <c r="A930" s="1" t="s">
        <v>968</v>
      </c>
      <c r="B930" s="1" t="s">
        <v>945</v>
      </c>
      <c r="C930" s="1"/>
      <c r="D930" s="1"/>
      <c r="E930" s="1"/>
      <c r="F930" s="1"/>
      <c r="G930" s="1"/>
      <c r="H930" s="1"/>
      <c r="I930" s="1"/>
    </row>
    <row r="931" ht="15.75" customHeight="1">
      <c r="A931" s="1" t="s">
        <v>969</v>
      </c>
      <c r="B931" s="1" t="s">
        <v>945</v>
      </c>
      <c r="C931" s="1"/>
      <c r="D931" s="1"/>
      <c r="E931" s="1"/>
      <c r="F931" s="1"/>
      <c r="G931" s="1"/>
      <c r="H931" s="1"/>
      <c r="I931" s="1"/>
    </row>
    <row r="932" ht="15.75" customHeight="1">
      <c r="A932" s="1" t="s">
        <v>970</v>
      </c>
      <c r="B932" s="1" t="s">
        <v>945</v>
      </c>
      <c r="C932" s="1"/>
      <c r="D932" s="1"/>
      <c r="E932" s="1"/>
      <c r="F932" s="1"/>
      <c r="G932" s="1"/>
      <c r="H932" s="1"/>
      <c r="I932" s="1"/>
    </row>
    <row r="933" ht="15.75" customHeight="1">
      <c r="A933" s="1" t="s">
        <v>971</v>
      </c>
      <c r="B933" s="1" t="s">
        <v>945</v>
      </c>
      <c r="C933" s="1"/>
      <c r="D933" s="1"/>
      <c r="E933" s="1"/>
      <c r="F933" s="1"/>
      <c r="G933" s="1"/>
      <c r="H933" s="1"/>
      <c r="I933" s="1"/>
    </row>
    <row r="934" ht="15.75" customHeight="1">
      <c r="A934" s="1" t="s">
        <v>972</v>
      </c>
      <c r="B934" s="1" t="s">
        <v>945</v>
      </c>
      <c r="C934" s="1"/>
      <c r="D934" s="1"/>
      <c r="E934" s="1"/>
      <c r="F934" s="1"/>
      <c r="G934" s="1"/>
      <c r="H934" s="1"/>
      <c r="I934" s="1"/>
    </row>
    <row r="935" ht="15.75" customHeight="1">
      <c r="A935" s="1" t="s">
        <v>973</v>
      </c>
      <c r="B935" s="1" t="s">
        <v>945</v>
      </c>
      <c r="C935" s="1"/>
      <c r="D935" s="1"/>
      <c r="E935" s="1"/>
      <c r="F935" s="1"/>
      <c r="G935" s="1"/>
      <c r="H935" s="1"/>
      <c r="I935" s="1"/>
    </row>
    <row r="936" ht="15.75" customHeight="1">
      <c r="A936" s="1" t="s">
        <v>974</v>
      </c>
      <c r="B936" s="1" t="s">
        <v>945</v>
      </c>
      <c r="C936" s="1"/>
      <c r="D936" s="1"/>
      <c r="E936" s="1"/>
      <c r="F936" s="1"/>
      <c r="G936" s="1"/>
      <c r="H936" s="1"/>
      <c r="I936" s="1"/>
    </row>
    <row r="937" ht="15.75" customHeight="1">
      <c r="A937" s="1" t="s">
        <v>975</v>
      </c>
      <c r="B937" s="1" t="s">
        <v>945</v>
      </c>
      <c r="C937" s="1"/>
      <c r="D937" s="1"/>
      <c r="E937" s="1"/>
      <c r="F937" s="1"/>
      <c r="G937" s="1"/>
      <c r="H937" s="1"/>
      <c r="I937" s="1"/>
    </row>
    <row r="938" ht="15.75" customHeight="1">
      <c r="A938" s="1" t="s">
        <v>976</v>
      </c>
      <c r="B938" s="1" t="s">
        <v>945</v>
      </c>
      <c r="C938" s="1"/>
      <c r="D938" s="1"/>
      <c r="E938" s="1"/>
      <c r="F938" s="1"/>
      <c r="G938" s="1"/>
      <c r="H938" s="1"/>
      <c r="I938" s="1"/>
    </row>
    <row r="939" ht="15.75" customHeight="1">
      <c r="A939" s="1" t="s">
        <v>977</v>
      </c>
      <c r="B939" s="1" t="s">
        <v>945</v>
      </c>
      <c r="C939" s="1"/>
      <c r="D939" s="1"/>
      <c r="E939" s="1"/>
      <c r="F939" s="1"/>
      <c r="G939" s="1"/>
      <c r="H939" s="1"/>
      <c r="I939" s="1"/>
    </row>
    <row r="940" ht="15.75" customHeight="1">
      <c r="A940" s="1" t="s">
        <v>978</v>
      </c>
      <c r="B940" s="1" t="s">
        <v>945</v>
      </c>
      <c r="C940" s="1"/>
      <c r="D940" s="1"/>
      <c r="E940" s="1"/>
      <c r="F940" s="1"/>
      <c r="G940" s="1"/>
      <c r="H940" s="1"/>
      <c r="I940" s="1"/>
    </row>
    <row r="941" ht="15.75" customHeight="1">
      <c r="A941" s="1" t="s">
        <v>979</v>
      </c>
      <c r="B941" s="1" t="s">
        <v>945</v>
      </c>
      <c r="C941" s="1"/>
      <c r="D941" s="1"/>
      <c r="E941" s="1"/>
      <c r="F941" s="1"/>
      <c r="G941" s="1"/>
      <c r="H941" s="1"/>
      <c r="I941" s="1"/>
    </row>
    <row r="942" ht="15.75" customHeight="1">
      <c r="A942" s="1" t="s">
        <v>980</v>
      </c>
      <c r="B942" s="1" t="s">
        <v>945</v>
      </c>
      <c r="C942" s="1"/>
      <c r="D942" s="1"/>
      <c r="E942" s="1"/>
      <c r="F942" s="1"/>
      <c r="G942" s="1"/>
      <c r="H942" s="1"/>
      <c r="I942" s="1"/>
    </row>
    <row r="943" ht="15.75" customHeight="1">
      <c r="A943" s="1" t="s">
        <v>981</v>
      </c>
      <c r="B943" s="1" t="s">
        <v>945</v>
      </c>
      <c r="C943" s="1"/>
      <c r="D943" s="1"/>
      <c r="E943" s="1"/>
      <c r="F943" s="1"/>
      <c r="G943" s="1"/>
      <c r="H943" s="1"/>
      <c r="I943" s="1"/>
    </row>
    <row r="944" ht="15.75" customHeight="1">
      <c r="A944" s="1" t="s">
        <v>982</v>
      </c>
      <c r="B944" s="1" t="s">
        <v>945</v>
      </c>
      <c r="C944" s="1"/>
      <c r="D944" s="1"/>
      <c r="E944" s="1"/>
      <c r="F944" s="1"/>
      <c r="G944" s="1"/>
      <c r="H944" s="1"/>
      <c r="I944" s="1"/>
    </row>
    <row r="945" ht="15.75" customHeight="1">
      <c r="A945" s="1" t="s">
        <v>983</v>
      </c>
      <c r="B945" s="1" t="s">
        <v>945</v>
      </c>
      <c r="C945" s="1"/>
      <c r="D945" s="1"/>
      <c r="E945" s="1"/>
      <c r="F945" s="1"/>
      <c r="G945" s="1"/>
      <c r="H945" s="1"/>
      <c r="I945" s="1"/>
    </row>
    <row r="946" ht="15.75" customHeight="1">
      <c r="A946" s="1" t="s">
        <v>984</v>
      </c>
      <c r="B946" s="1" t="s">
        <v>945</v>
      </c>
      <c r="C946" s="1"/>
      <c r="D946" s="1"/>
      <c r="E946" s="1"/>
      <c r="F946" s="1"/>
      <c r="G946" s="1"/>
      <c r="H946" s="1"/>
      <c r="I946" s="1"/>
    </row>
    <row r="947" ht="15.75" customHeight="1">
      <c r="A947" s="1" t="s">
        <v>985</v>
      </c>
      <c r="B947" s="1" t="s">
        <v>945</v>
      </c>
      <c r="C947" s="1"/>
      <c r="D947" s="1"/>
      <c r="E947" s="1"/>
      <c r="F947" s="1"/>
      <c r="G947" s="1"/>
      <c r="H947" s="1"/>
      <c r="I947" s="1"/>
    </row>
    <row r="948" ht="15.75" customHeight="1">
      <c r="A948" s="1" t="s">
        <v>986</v>
      </c>
      <c r="B948" s="1" t="s">
        <v>945</v>
      </c>
      <c r="C948" s="1"/>
      <c r="D948" s="1"/>
      <c r="E948" s="1"/>
      <c r="F948" s="1"/>
      <c r="G948" s="1"/>
      <c r="H948" s="1"/>
      <c r="I948" s="1"/>
    </row>
    <row r="949" ht="15.75" customHeight="1">
      <c r="A949" s="1" t="s">
        <v>987</v>
      </c>
      <c r="B949" s="1" t="s">
        <v>945</v>
      </c>
      <c r="C949" s="1"/>
      <c r="D949" s="1"/>
      <c r="E949" s="1"/>
      <c r="F949" s="1"/>
      <c r="G949" s="1"/>
      <c r="H949" s="1"/>
      <c r="I949" s="1"/>
    </row>
    <row r="950" ht="15.75" customHeight="1">
      <c r="A950" s="1" t="s">
        <v>988</v>
      </c>
      <c r="B950" s="1" t="s">
        <v>945</v>
      </c>
      <c r="C950" s="1"/>
      <c r="D950" s="1"/>
      <c r="E950" s="1"/>
      <c r="F950" s="1"/>
      <c r="G950" s="1"/>
      <c r="H950" s="1"/>
      <c r="I950" s="1"/>
    </row>
    <row r="951" ht="15.75" customHeight="1">
      <c r="A951" s="1" t="s">
        <v>989</v>
      </c>
      <c r="B951" s="1" t="s">
        <v>945</v>
      </c>
      <c r="C951" s="1"/>
      <c r="D951" s="1"/>
      <c r="E951" s="1"/>
      <c r="F951" s="1"/>
      <c r="G951" s="1"/>
      <c r="H951" s="1"/>
      <c r="I951" s="1"/>
    </row>
    <row r="952" ht="15.75" customHeight="1">
      <c r="A952" s="1" t="s">
        <v>990</v>
      </c>
      <c r="B952" s="1" t="s">
        <v>945</v>
      </c>
      <c r="C952" s="1"/>
      <c r="D952" s="1"/>
      <c r="E952" s="1"/>
      <c r="F952" s="1"/>
      <c r="G952" s="1"/>
      <c r="H952" s="1"/>
      <c r="I952" s="1"/>
    </row>
    <row r="953" ht="15.75" customHeight="1">
      <c r="A953" s="1" t="s">
        <v>991</v>
      </c>
      <c r="B953" s="1" t="s">
        <v>945</v>
      </c>
      <c r="C953" s="1"/>
      <c r="D953" s="1"/>
      <c r="E953" s="1"/>
      <c r="F953" s="1"/>
      <c r="G953" s="1"/>
      <c r="H953" s="1"/>
      <c r="I953" s="1"/>
    </row>
    <row r="954" ht="15.75" customHeight="1">
      <c r="A954" s="1" t="s">
        <v>992</v>
      </c>
      <c r="B954" s="1" t="s">
        <v>945</v>
      </c>
      <c r="C954" s="1"/>
      <c r="D954" s="1"/>
      <c r="E954" s="1"/>
      <c r="F954" s="1"/>
      <c r="G954" s="1"/>
      <c r="H954" s="1"/>
      <c r="I954" s="1"/>
    </row>
    <row r="955" ht="15.75" customHeight="1">
      <c r="A955" s="1" t="s">
        <v>993</v>
      </c>
      <c r="B955" s="1" t="s">
        <v>945</v>
      </c>
      <c r="C955" s="1"/>
      <c r="D955" s="1"/>
      <c r="E955" s="1"/>
      <c r="F955" s="1"/>
      <c r="G955" s="1"/>
      <c r="H955" s="1"/>
      <c r="I955" s="1"/>
    </row>
    <row r="956" ht="15.75" customHeight="1">
      <c r="A956" s="1" t="s">
        <v>994</v>
      </c>
      <c r="B956" s="1" t="s">
        <v>945</v>
      </c>
      <c r="C956" s="1"/>
      <c r="D956" s="1"/>
      <c r="E956" s="1"/>
      <c r="F956" s="1"/>
      <c r="G956" s="1"/>
      <c r="H956" s="1"/>
      <c r="I956" s="1"/>
    </row>
    <row r="957" ht="15.75" customHeight="1">
      <c r="A957" s="1" t="s">
        <v>995</v>
      </c>
      <c r="B957" s="1" t="s">
        <v>945</v>
      </c>
      <c r="C957" s="1"/>
      <c r="D957" s="1"/>
      <c r="E957" s="1"/>
      <c r="F957" s="1"/>
      <c r="G957" s="1"/>
      <c r="H957" s="1"/>
      <c r="I957" s="1"/>
    </row>
    <row r="958" ht="15.75" customHeight="1">
      <c r="A958" s="1" t="s">
        <v>996</v>
      </c>
      <c r="B958" s="1" t="s">
        <v>945</v>
      </c>
      <c r="C958" s="1"/>
      <c r="D958" s="1"/>
      <c r="E958" s="1"/>
      <c r="F958" s="1"/>
      <c r="G958" s="1"/>
      <c r="H958" s="1"/>
      <c r="I958" s="1"/>
    </row>
    <row r="959" ht="15.75" customHeight="1">
      <c r="A959" s="1" t="s">
        <v>997</v>
      </c>
      <c r="B959" s="1" t="s">
        <v>945</v>
      </c>
      <c r="C959" s="1"/>
      <c r="D959" s="1"/>
      <c r="E959" s="1"/>
      <c r="F959" s="1"/>
      <c r="G959" s="1"/>
      <c r="H959" s="1"/>
      <c r="I959" s="1"/>
    </row>
    <row r="960" ht="15.75" customHeight="1">
      <c r="A960" s="1" t="s">
        <v>998</v>
      </c>
      <c r="B960" s="1" t="s">
        <v>945</v>
      </c>
      <c r="C960" s="1"/>
      <c r="D960" s="1"/>
      <c r="E960" s="1"/>
      <c r="F960" s="1"/>
      <c r="G960" s="1"/>
      <c r="H960" s="1"/>
      <c r="I960" s="1"/>
    </row>
    <row r="961" ht="15.75" customHeight="1">
      <c r="A961" s="1" t="s">
        <v>999</v>
      </c>
      <c r="B961" s="1" t="s">
        <v>945</v>
      </c>
      <c r="C961" s="1"/>
      <c r="D961" s="1"/>
      <c r="E961" s="1"/>
      <c r="F961" s="1"/>
      <c r="G961" s="1"/>
      <c r="H961" s="1"/>
      <c r="I961" s="1"/>
    </row>
    <row r="962" ht="15.75" customHeight="1">
      <c r="A962" s="1" t="s">
        <v>1000</v>
      </c>
      <c r="B962" s="1" t="s">
        <v>945</v>
      </c>
      <c r="C962" s="1"/>
      <c r="D962" s="1"/>
      <c r="E962" s="1"/>
      <c r="F962" s="1"/>
      <c r="G962" s="1"/>
      <c r="H962" s="1"/>
      <c r="I962" s="1"/>
    </row>
    <row r="963" ht="15.75" customHeight="1">
      <c r="A963" s="1" t="s">
        <v>1001</v>
      </c>
      <c r="B963" s="1" t="s">
        <v>945</v>
      </c>
      <c r="C963" s="1"/>
      <c r="D963" s="1"/>
      <c r="E963" s="1"/>
      <c r="F963" s="1"/>
      <c r="G963" s="1"/>
      <c r="H963" s="1"/>
      <c r="I963" s="1"/>
    </row>
    <row r="964" ht="15.75" customHeight="1">
      <c r="A964" s="1" t="s">
        <v>1002</v>
      </c>
      <c r="B964" s="1" t="s">
        <v>945</v>
      </c>
      <c r="C964" s="1"/>
      <c r="D964" s="1"/>
      <c r="E964" s="1"/>
      <c r="F964" s="1"/>
      <c r="G964" s="1"/>
      <c r="H964" s="1"/>
      <c r="I964" s="1"/>
    </row>
    <row r="965" ht="15.75" customHeight="1">
      <c r="A965" s="1" t="s">
        <v>1003</v>
      </c>
      <c r="B965" s="1" t="s">
        <v>945</v>
      </c>
      <c r="C965" s="1"/>
      <c r="D965" s="1"/>
      <c r="E965" s="1"/>
      <c r="F965" s="1"/>
      <c r="G965" s="1"/>
      <c r="H965" s="1"/>
      <c r="I965" s="1"/>
    </row>
    <row r="966" ht="15.75" customHeight="1">
      <c r="A966" s="1" t="s">
        <v>1004</v>
      </c>
      <c r="B966" s="1" t="s">
        <v>945</v>
      </c>
      <c r="C966" s="1"/>
      <c r="D966" s="1"/>
      <c r="E966" s="1"/>
      <c r="F966" s="1"/>
      <c r="G966" s="1"/>
      <c r="H966" s="1"/>
      <c r="I966" s="1"/>
    </row>
    <row r="967" ht="15.75" customHeight="1">
      <c r="A967" s="1" t="s">
        <v>1005</v>
      </c>
      <c r="B967" s="1" t="s">
        <v>945</v>
      </c>
      <c r="C967" s="1"/>
      <c r="D967" s="1"/>
      <c r="E967" s="1"/>
      <c r="F967" s="1"/>
      <c r="G967" s="1"/>
      <c r="H967" s="1"/>
      <c r="I967" s="1"/>
    </row>
    <row r="968" ht="15.75" customHeight="1">
      <c r="A968" s="1" t="s">
        <v>1006</v>
      </c>
      <c r="B968" s="1" t="s">
        <v>945</v>
      </c>
      <c r="C968" s="1"/>
      <c r="D968" s="1"/>
      <c r="E968" s="1"/>
      <c r="F968" s="1"/>
      <c r="G968" s="1"/>
      <c r="H968" s="1"/>
      <c r="I968" s="1"/>
    </row>
    <row r="969" ht="15.75" customHeight="1">
      <c r="A969" s="1" t="s">
        <v>1007</v>
      </c>
      <c r="B969" s="1" t="s">
        <v>945</v>
      </c>
      <c r="C969" s="1"/>
      <c r="D969" s="1"/>
      <c r="E969" s="1"/>
      <c r="F969" s="1"/>
      <c r="G969" s="1"/>
      <c r="H969" s="1"/>
      <c r="I969" s="1"/>
    </row>
    <row r="970" ht="15.75" customHeight="1">
      <c r="A970" s="1" t="s">
        <v>1008</v>
      </c>
      <c r="B970" s="1" t="s">
        <v>945</v>
      </c>
      <c r="C970" s="1"/>
      <c r="D970" s="1"/>
      <c r="E970" s="1"/>
      <c r="F970" s="1"/>
      <c r="G970" s="1"/>
      <c r="H970" s="1"/>
      <c r="I970" s="1"/>
    </row>
    <row r="971" ht="15.75" customHeight="1">
      <c r="A971" s="1" t="s">
        <v>1009</v>
      </c>
      <c r="B971" s="1" t="s">
        <v>945</v>
      </c>
      <c r="C971" s="1"/>
      <c r="D971" s="1"/>
      <c r="E971" s="1"/>
      <c r="F971" s="1"/>
      <c r="G971" s="1"/>
      <c r="H971" s="1"/>
      <c r="I971" s="1"/>
    </row>
    <row r="972" ht="15.75" customHeight="1">
      <c r="A972" s="1" t="s">
        <v>1010</v>
      </c>
      <c r="B972" s="1" t="s">
        <v>945</v>
      </c>
      <c r="C972" s="1"/>
      <c r="D972" s="1"/>
      <c r="E972" s="1"/>
      <c r="F972" s="1"/>
      <c r="G972" s="1"/>
      <c r="H972" s="1"/>
      <c r="I972" s="1"/>
    </row>
    <row r="973" ht="15.75" customHeight="1">
      <c r="A973" s="1" t="s">
        <v>1011</v>
      </c>
      <c r="B973" s="1" t="s">
        <v>945</v>
      </c>
      <c r="C973" s="1"/>
      <c r="D973" s="1"/>
      <c r="E973" s="1"/>
      <c r="F973" s="1"/>
      <c r="G973" s="1"/>
      <c r="H973" s="1"/>
      <c r="I973" s="1"/>
    </row>
    <row r="974" ht="15.75" customHeight="1">
      <c r="A974" s="1" t="s">
        <v>1012</v>
      </c>
      <c r="B974" s="1" t="s">
        <v>945</v>
      </c>
      <c r="C974" s="1"/>
      <c r="D974" s="1"/>
      <c r="E974" s="1"/>
      <c r="F974" s="1"/>
      <c r="G974" s="1"/>
      <c r="H974" s="1"/>
      <c r="I974" s="1"/>
    </row>
    <row r="975" ht="15.75" customHeight="1">
      <c r="A975" s="1" t="s">
        <v>1013</v>
      </c>
      <c r="B975" s="1" t="s">
        <v>945</v>
      </c>
      <c r="C975" s="1"/>
      <c r="D975" s="1"/>
      <c r="E975" s="1"/>
      <c r="F975" s="1"/>
      <c r="G975" s="1"/>
      <c r="H975" s="1"/>
      <c r="I975" s="1"/>
    </row>
    <row r="976" ht="15.75" customHeight="1">
      <c r="A976" s="1" t="s">
        <v>1014</v>
      </c>
      <c r="B976" s="1" t="s">
        <v>945</v>
      </c>
      <c r="C976" s="1"/>
      <c r="D976" s="1"/>
      <c r="E976" s="1"/>
      <c r="F976" s="1"/>
      <c r="G976" s="1"/>
      <c r="H976" s="1"/>
      <c r="I976" s="1"/>
    </row>
    <row r="977" ht="15.75" customHeight="1">
      <c r="A977" s="1" t="s">
        <v>1015</v>
      </c>
      <c r="B977" s="1" t="s">
        <v>945</v>
      </c>
      <c r="C977" s="1"/>
      <c r="D977" s="1"/>
      <c r="E977" s="1"/>
      <c r="F977" s="1"/>
      <c r="G977" s="1"/>
      <c r="H977" s="1"/>
      <c r="I977" s="1"/>
    </row>
    <row r="978" ht="15.75" customHeight="1">
      <c r="A978" s="1" t="s">
        <v>1016</v>
      </c>
      <c r="B978" s="1" t="s">
        <v>945</v>
      </c>
      <c r="C978" s="1"/>
      <c r="D978" s="1"/>
      <c r="E978" s="1"/>
      <c r="F978" s="1"/>
      <c r="G978" s="1"/>
      <c r="H978" s="1"/>
      <c r="I978" s="1"/>
    </row>
    <row r="979" ht="15.75" customHeight="1">
      <c r="A979" s="1" t="s">
        <v>1017</v>
      </c>
      <c r="B979" s="1" t="s">
        <v>945</v>
      </c>
      <c r="C979" s="1"/>
      <c r="D979" s="1"/>
      <c r="E979" s="1"/>
      <c r="F979" s="1"/>
      <c r="G979" s="1"/>
      <c r="H979" s="1"/>
      <c r="I979" s="1"/>
    </row>
    <row r="980" ht="15.75" customHeight="1">
      <c r="A980" s="1" t="s">
        <v>1018</v>
      </c>
      <c r="B980" s="1" t="s">
        <v>945</v>
      </c>
      <c r="C980" s="1"/>
      <c r="D980" s="1"/>
      <c r="E980" s="1"/>
      <c r="F980" s="1"/>
      <c r="G980" s="1"/>
      <c r="H980" s="1"/>
      <c r="I980" s="1"/>
    </row>
    <row r="981" ht="15.75" customHeight="1">
      <c r="A981" s="1" t="s">
        <v>1019</v>
      </c>
      <c r="B981" s="1" t="s">
        <v>945</v>
      </c>
      <c r="C981" s="1"/>
      <c r="D981" s="1"/>
      <c r="E981" s="1"/>
      <c r="F981" s="1"/>
      <c r="G981" s="1"/>
      <c r="H981" s="1"/>
      <c r="I981" s="1"/>
    </row>
    <row r="982" ht="15.75" customHeight="1">
      <c r="A982" s="1" t="s">
        <v>1020</v>
      </c>
      <c r="B982" s="1" t="s">
        <v>945</v>
      </c>
      <c r="C982" s="1"/>
      <c r="D982" s="1"/>
      <c r="E982" s="1"/>
      <c r="F982" s="1"/>
      <c r="G982" s="1"/>
      <c r="H982" s="1"/>
      <c r="I982" s="1"/>
    </row>
    <row r="983" ht="15.75" customHeight="1">
      <c r="A983" s="1" t="s">
        <v>1021</v>
      </c>
      <c r="B983" s="1" t="s">
        <v>945</v>
      </c>
      <c r="C983" s="1"/>
      <c r="D983" s="1"/>
      <c r="E983" s="1"/>
      <c r="F983" s="1"/>
      <c r="G983" s="1"/>
      <c r="H983" s="1"/>
      <c r="I983" s="1"/>
    </row>
    <row r="984" ht="15.75" customHeight="1">
      <c r="A984" s="1" t="s">
        <v>1022</v>
      </c>
      <c r="B984" s="1" t="s">
        <v>945</v>
      </c>
      <c r="C984" s="1"/>
      <c r="D984" s="1"/>
      <c r="E984" s="1"/>
      <c r="F984" s="1"/>
      <c r="G984" s="1"/>
      <c r="H984" s="1"/>
      <c r="I984" s="1"/>
    </row>
    <row r="985" ht="15.75" customHeight="1">
      <c r="A985" s="1" t="s">
        <v>1023</v>
      </c>
      <c r="B985" s="1" t="s">
        <v>945</v>
      </c>
      <c r="C985" s="1"/>
      <c r="D985" s="1"/>
      <c r="E985" s="1"/>
      <c r="F985" s="1"/>
      <c r="G985" s="1"/>
      <c r="H985" s="1"/>
      <c r="I985" s="1"/>
    </row>
    <row r="986" ht="15.75" customHeight="1">
      <c r="A986" s="1" t="s">
        <v>1024</v>
      </c>
      <c r="B986" s="1" t="s">
        <v>945</v>
      </c>
      <c r="C986" s="1"/>
      <c r="D986" s="1"/>
      <c r="E986" s="1"/>
      <c r="F986" s="1"/>
      <c r="G986" s="1"/>
      <c r="H986" s="1"/>
      <c r="I986" s="1"/>
    </row>
    <row r="987" ht="15.75" customHeight="1">
      <c r="A987" s="1" t="s">
        <v>1025</v>
      </c>
      <c r="B987" s="1" t="s">
        <v>945</v>
      </c>
      <c r="C987" s="1"/>
      <c r="D987" s="1"/>
      <c r="E987" s="1"/>
      <c r="F987" s="1"/>
      <c r="G987" s="1"/>
      <c r="H987" s="1"/>
      <c r="I987" s="1"/>
    </row>
    <row r="988" ht="15.75" customHeight="1">
      <c r="A988" s="1" t="s">
        <v>1026</v>
      </c>
      <c r="B988" s="1" t="s">
        <v>945</v>
      </c>
      <c r="C988" s="1"/>
      <c r="D988" s="1"/>
      <c r="E988" s="1"/>
      <c r="F988" s="1"/>
      <c r="G988" s="1"/>
      <c r="H988" s="1"/>
      <c r="I988" s="1"/>
    </row>
    <row r="989" ht="15.75" customHeight="1">
      <c r="A989" s="1" t="s">
        <v>1027</v>
      </c>
      <c r="B989" s="1" t="s">
        <v>945</v>
      </c>
      <c r="C989" s="1"/>
      <c r="D989" s="1"/>
      <c r="E989" s="1"/>
      <c r="F989" s="1"/>
      <c r="G989" s="1"/>
      <c r="H989" s="1"/>
      <c r="I989" s="1"/>
    </row>
    <row r="990" ht="15.75" customHeight="1">
      <c r="A990" s="1" t="s">
        <v>1028</v>
      </c>
      <c r="B990" s="1" t="s">
        <v>945</v>
      </c>
      <c r="C990" s="1"/>
      <c r="D990" s="1"/>
      <c r="E990" s="1"/>
      <c r="F990" s="1"/>
      <c r="G990" s="1"/>
      <c r="H990" s="1"/>
      <c r="I990" s="1"/>
    </row>
    <row r="991" ht="15.75" customHeight="1">
      <c r="A991" s="1" t="s">
        <v>1029</v>
      </c>
      <c r="B991" s="1" t="s">
        <v>945</v>
      </c>
      <c r="C991" s="1"/>
      <c r="D991" s="1"/>
      <c r="E991" s="1"/>
      <c r="F991" s="1"/>
      <c r="G991" s="1"/>
      <c r="H991" s="1"/>
      <c r="I991" s="1"/>
    </row>
    <row r="992" ht="15.75" customHeight="1">
      <c r="A992" s="1" t="s">
        <v>1030</v>
      </c>
      <c r="B992" s="1" t="s">
        <v>945</v>
      </c>
      <c r="C992" s="1"/>
      <c r="D992" s="1"/>
      <c r="E992" s="1"/>
      <c r="F992" s="1"/>
      <c r="G992" s="1"/>
      <c r="H992" s="1"/>
      <c r="I992" s="1"/>
    </row>
    <row r="993" ht="15.75" customHeight="1">
      <c r="A993" s="1" t="s">
        <v>1031</v>
      </c>
      <c r="B993" s="1" t="s">
        <v>945</v>
      </c>
      <c r="C993" s="1"/>
      <c r="D993" s="1"/>
      <c r="E993" s="1"/>
      <c r="F993" s="1"/>
      <c r="G993" s="1"/>
      <c r="H993" s="1"/>
      <c r="I993" s="1"/>
    </row>
    <row r="994" ht="15.75" customHeight="1">
      <c r="A994" s="1" t="s">
        <v>1032</v>
      </c>
      <c r="B994" s="1" t="s">
        <v>945</v>
      </c>
      <c r="C994" s="1"/>
      <c r="D994" s="1"/>
      <c r="E994" s="1"/>
      <c r="F994" s="1"/>
      <c r="G994" s="1"/>
      <c r="H994" s="1"/>
      <c r="I994" s="1"/>
    </row>
    <row r="995" ht="15.75" customHeight="1">
      <c r="A995" s="1" t="s">
        <v>1033</v>
      </c>
      <c r="B995" s="1" t="s">
        <v>945</v>
      </c>
      <c r="C995" s="1"/>
      <c r="D995" s="1"/>
      <c r="E995" s="1"/>
      <c r="F995" s="1"/>
      <c r="G995" s="1"/>
      <c r="H995" s="1"/>
      <c r="I995" s="1"/>
    </row>
    <row r="996" ht="15.75" customHeight="1">
      <c r="A996" s="1" t="s">
        <v>1034</v>
      </c>
      <c r="B996" s="1" t="s">
        <v>945</v>
      </c>
      <c r="C996" s="1"/>
      <c r="D996" s="1"/>
      <c r="E996" s="1"/>
      <c r="F996" s="1"/>
      <c r="G996" s="1"/>
      <c r="H996" s="1"/>
      <c r="I996" s="1"/>
    </row>
    <row r="997" ht="15.75" customHeight="1">
      <c r="A997" s="1" t="s">
        <v>1035</v>
      </c>
      <c r="B997" s="1" t="s">
        <v>945</v>
      </c>
      <c r="C997" s="1"/>
      <c r="D997" s="1"/>
      <c r="E997" s="1"/>
      <c r="F997" s="1"/>
      <c r="G997" s="1"/>
      <c r="H997" s="1"/>
      <c r="I997" s="1"/>
    </row>
    <row r="998" ht="15.75" customHeight="1">
      <c r="A998" s="1" t="s">
        <v>1036</v>
      </c>
      <c r="B998" s="1" t="s">
        <v>945</v>
      </c>
      <c r="C998" s="1"/>
      <c r="D998" s="1"/>
      <c r="E998" s="1"/>
      <c r="F998" s="1"/>
      <c r="G998" s="1"/>
      <c r="H998" s="1"/>
      <c r="I998" s="1"/>
    </row>
    <row r="999" ht="15.75" customHeight="1">
      <c r="A999" s="1" t="s">
        <v>1037</v>
      </c>
      <c r="B999" s="1" t="s">
        <v>945</v>
      </c>
      <c r="C999" s="1"/>
      <c r="D999" s="1"/>
      <c r="E999" s="1"/>
      <c r="F999" s="1"/>
      <c r="G999" s="1"/>
      <c r="H999" s="1"/>
      <c r="I999" s="1"/>
    </row>
    <row r="1000" ht="15.75" customHeight="1">
      <c r="A1000" s="1" t="s">
        <v>1038</v>
      </c>
      <c r="B1000" s="1" t="s">
        <v>945</v>
      </c>
      <c r="C1000" s="1"/>
      <c r="D1000" s="1"/>
      <c r="E1000" s="1"/>
      <c r="F1000" s="1"/>
      <c r="G1000" s="1"/>
      <c r="H1000" s="1"/>
      <c r="I1000" s="1"/>
    </row>
    <row r="1001" ht="15.75" customHeight="1">
      <c r="A1001" s="1" t="s">
        <v>1039</v>
      </c>
      <c r="B1001" s="1" t="s">
        <v>945</v>
      </c>
      <c r="C1001" s="1"/>
      <c r="D1001" s="1"/>
      <c r="E1001" s="1"/>
      <c r="F1001" s="1"/>
      <c r="G1001" s="1"/>
      <c r="H1001" s="1"/>
      <c r="I1001" s="1"/>
    </row>
    <row r="1002" ht="15.75" customHeight="1">
      <c r="A1002" s="1" t="s">
        <v>1040</v>
      </c>
      <c r="B1002" s="1" t="s">
        <v>945</v>
      </c>
      <c r="C1002" s="1"/>
      <c r="D1002" s="1"/>
      <c r="E1002" s="1"/>
      <c r="F1002" s="1"/>
      <c r="G1002" s="1"/>
      <c r="H1002" s="1"/>
      <c r="I1002" s="1"/>
    </row>
    <row r="1003" ht="15.75" customHeight="1">
      <c r="A1003" s="1" t="s">
        <v>1041</v>
      </c>
      <c r="B1003" s="1" t="s">
        <v>945</v>
      </c>
      <c r="C1003" s="1"/>
      <c r="D1003" s="1"/>
      <c r="E1003" s="1"/>
      <c r="F1003" s="1"/>
      <c r="G1003" s="1"/>
      <c r="H1003" s="1"/>
      <c r="I1003" s="1"/>
    </row>
    <row r="1004" ht="15.75" customHeight="1">
      <c r="A1004" s="1" t="s">
        <v>1042</v>
      </c>
      <c r="B1004" s="1" t="s">
        <v>945</v>
      </c>
      <c r="C1004" s="1"/>
      <c r="D1004" s="1"/>
      <c r="E1004" s="1"/>
      <c r="F1004" s="1"/>
      <c r="G1004" s="1"/>
      <c r="H1004" s="1"/>
      <c r="I1004" s="1"/>
    </row>
    <row r="1005" ht="15.75" customHeight="1">
      <c r="A1005" s="1" t="s">
        <v>1043</v>
      </c>
      <c r="B1005" s="1" t="s">
        <v>945</v>
      </c>
      <c r="C1005" s="1"/>
      <c r="D1005" s="1"/>
      <c r="E1005" s="1"/>
      <c r="F1005" s="1"/>
      <c r="G1005" s="1"/>
      <c r="H1005" s="1"/>
      <c r="I1005" s="1"/>
    </row>
    <row r="1006" ht="15.75" customHeight="1">
      <c r="A1006" s="1" t="s">
        <v>1044</v>
      </c>
      <c r="B1006" s="1" t="s">
        <v>945</v>
      </c>
      <c r="C1006" s="1"/>
      <c r="D1006" s="1"/>
      <c r="E1006" s="1"/>
      <c r="F1006" s="1"/>
      <c r="G1006" s="1"/>
      <c r="H1006" s="1"/>
      <c r="I1006" s="1"/>
    </row>
    <row r="1007" ht="15.75" customHeight="1">
      <c r="A1007" s="1" t="s">
        <v>1045</v>
      </c>
      <c r="B1007" s="1" t="s">
        <v>945</v>
      </c>
      <c r="C1007" s="1"/>
      <c r="D1007" s="1"/>
      <c r="E1007" s="1"/>
      <c r="F1007" s="1"/>
      <c r="G1007" s="1"/>
      <c r="H1007" s="1"/>
      <c r="I1007" s="1"/>
    </row>
    <row r="1008" ht="15.75" customHeight="1">
      <c r="A1008" s="1" t="s">
        <v>1046</v>
      </c>
      <c r="B1008" s="1" t="s">
        <v>945</v>
      </c>
      <c r="C1008" s="1"/>
      <c r="D1008" s="1"/>
      <c r="E1008" s="1"/>
      <c r="F1008" s="1"/>
      <c r="G1008" s="1"/>
      <c r="H1008" s="1"/>
      <c r="I1008" s="1"/>
    </row>
    <row r="1009" ht="15.75" customHeight="1">
      <c r="A1009" s="1" t="s">
        <v>1047</v>
      </c>
      <c r="B1009" s="1" t="s">
        <v>945</v>
      </c>
      <c r="C1009" s="1"/>
      <c r="D1009" s="1"/>
      <c r="E1009" s="1"/>
      <c r="F1009" s="1"/>
      <c r="G1009" s="1"/>
      <c r="H1009" s="1"/>
      <c r="I1009" s="1"/>
    </row>
    <row r="1010" ht="15.75" customHeight="1">
      <c r="A1010" s="1" t="s">
        <v>1048</v>
      </c>
      <c r="B1010" s="1" t="s">
        <v>945</v>
      </c>
      <c r="C1010" s="1"/>
      <c r="D1010" s="1"/>
      <c r="E1010" s="1"/>
      <c r="F1010" s="1"/>
      <c r="G1010" s="1"/>
      <c r="H1010" s="1"/>
      <c r="I1010" s="1"/>
    </row>
    <row r="1011" ht="15.75" customHeight="1">
      <c r="A1011" s="1" t="s">
        <v>1049</v>
      </c>
      <c r="B1011" s="1" t="s">
        <v>945</v>
      </c>
      <c r="C1011" s="1"/>
      <c r="D1011" s="1"/>
      <c r="E1011" s="1"/>
      <c r="F1011" s="1"/>
      <c r="G1011" s="1"/>
      <c r="H1011" s="1"/>
      <c r="I1011" s="1"/>
    </row>
    <row r="1012" ht="15.75" customHeight="1">
      <c r="A1012" s="1" t="s">
        <v>1050</v>
      </c>
      <c r="B1012" s="1" t="s">
        <v>945</v>
      </c>
      <c r="C1012" s="1"/>
      <c r="D1012" s="1"/>
      <c r="E1012" s="1"/>
      <c r="F1012" s="1"/>
      <c r="G1012" s="1"/>
      <c r="H1012" s="1"/>
      <c r="I1012" s="1"/>
    </row>
    <row r="1013" ht="15.75" customHeight="1">
      <c r="A1013" s="1" t="s">
        <v>1051</v>
      </c>
      <c r="B1013" s="1" t="s">
        <v>945</v>
      </c>
      <c r="C1013" s="1"/>
      <c r="D1013" s="1"/>
      <c r="E1013" s="1"/>
      <c r="F1013" s="1"/>
      <c r="G1013" s="1"/>
      <c r="H1013" s="1"/>
      <c r="I1013" s="1"/>
    </row>
    <row r="1014" ht="15.75" customHeight="1">
      <c r="A1014" s="1" t="s">
        <v>1052</v>
      </c>
      <c r="B1014" s="1" t="s">
        <v>945</v>
      </c>
      <c r="C1014" s="1"/>
      <c r="D1014" s="1"/>
      <c r="E1014" s="1"/>
      <c r="F1014" s="1"/>
      <c r="G1014" s="1"/>
      <c r="H1014" s="1"/>
      <c r="I1014" s="1"/>
    </row>
    <row r="1015" ht="15.75" customHeight="1">
      <c r="A1015" s="1" t="s">
        <v>1053</v>
      </c>
      <c r="B1015" s="1" t="s">
        <v>945</v>
      </c>
      <c r="C1015" s="1"/>
      <c r="D1015" s="1"/>
      <c r="E1015" s="1"/>
      <c r="F1015" s="1"/>
      <c r="G1015" s="1"/>
      <c r="H1015" s="1"/>
      <c r="I1015" s="1"/>
    </row>
    <row r="1016" ht="15.75" customHeight="1">
      <c r="A1016" s="1" t="s">
        <v>1054</v>
      </c>
      <c r="B1016" s="1" t="s">
        <v>945</v>
      </c>
      <c r="C1016" s="1"/>
      <c r="D1016" s="1"/>
      <c r="E1016" s="1"/>
      <c r="F1016" s="1"/>
      <c r="G1016" s="1"/>
      <c r="H1016" s="1"/>
      <c r="I1016" s="1"/>
    </row>
    <row r="1017" ht="15.75" customHeight="1">
      <c r="A1017" s="1" t="s">
        <v>1055</v>
      </c>
      <c r="B1017" s="1" t="s">
        <v>945</v>
      </c>
      <c r="C1017" s="1"/>
      <c r="D1017" s="1"/>
      <c r="E1017" s="1"/>
      <c r="F1017" s="1"/>
      <c r="G1017" s="1"/>
      <c r="H1017" s="1"/>
      <c r="I1017" s="1"/>
    </row>
    <row r="1018" ht="15.75" customHeight="1">
      <c r="A1018" s="1" t="s">
        <v>1056</v>
      </c>
      <c r="B1018" s="1" t="s">
        <v>945</v>
      </c>
      <c r="C1018" s="1"/>
      <c r="D1018" s="1"/>
      <c r="E1018" s="1"/>
      <c r="F1018" s="1"/>
      <c r="G1018" s="1"/>
      <c r="H1018" s="1"/>
      <c r="I1018" s="1"/>
    </row>
    <row r="1019" ht="15.75" customHeight="1">
      <c r="A1019" s="1" t="s">
        <v>1057</v>
      </c>
      <c r="B1019" s="1" t="s">
        <v>945</v>
      </c>
      <c r="C1019" s="1"/>
      <c r="D1019" s="1"/>
      <c r="E1019" s="1"/>
      <c r="F1019" s="1"/>
      <c r="G1019" s="1"/>
      <c r="H1019" s="1"/>
      <c r="I1019" s="1"/>
    </row>
    <row r="1020" ht="15.75" customHeight="1">
      <c r="A1020" s="1" t="s">
        <v>1058</v>
      </c>
      <c r="B1020" s="1" t="s">
        <v>945</v>
      </c>
      <c r="C1020" s="1"/>
      <c r="D1020" s="1"/>
      <c r="E1020" s="1"/>
      <c r="F1020" s="1"/>
      <c r="G1020" s="1"/>
      <c r="H1020" s="1"/>
      <c r="I1020" s="1"/>
    </row>
    <row r="1021" ht="15.75" customHeight="1">
      <c r="A1021" s="1" t="s">
        <v>1059</v>
      </c>
      <c r="B1021" s="1" t="s">
        <v>945</v>
      </c>
      <c r="C1021" s="1"/>
      <c r="D1021" s="1"/>
      <c r="E1021" s="1"/>
      <c r="F1021" s="1"/>
      <c r="G1021" s="1"/>
      <c r="H1021" s="1"/>
      <c r="I1021" s="1"/>
    </row>
    <row r="1022" ht="15.75" customHeight="1">
      <c r="A1022" s="1" t="s">
        <v>1060</v>
      </c>
      <c r="B1022" s="1" t="s">
        <v>945</v>
      </c>
      <c r="C1022" s="1"/>
      <c r="D1022" s="1"/>
      <c r="E1022" s="1"/>
      <c r="F1022" s="1"/>
      <c r="G1022" s="1"/>
      <c r="H1022" s="1"/>
      <c r="I1022" s="1"/>
    </row>
    <row r="1023" ht="15.75" customHeight="1">
      <c r="A1023" s="1" t="s">
        <v>1061</v>
      </c>
      <c r="B1023" s="1" t="s">
        <v>945</v>
      </c>
      <c r="C1023" s="1"/>
      <c r="D1023" s="1"/>
      <c r="E1023" s="1"/>
      <c r="F1023" s="1"/>
      <c r="G1023" s="1"/>
      <c r="H1023" s="1"/>
      <c r="I1023" s="1"/>
    </row>
    <row r="1024" ht="15.75" customHeight="1">
      <c r="A1024" s="1" t="s">
        <v>1062</v>
      </c>
      <c r="B1024" s="1" t="s">
        <v>945</v>
      </c>
      <c r="C1024" s="1"/>
      <c r="D1024" s="1"/>
      <c r="E1024" s="1"/>
      <c r="F1024" s="1"/>
      <c r="G1024" s="1"/>
      <c r="H1024" s="1"/>
      <c r="I1024" s="1"/>
    </row>
    <row r="1025" ht="15.75" customHeight="1">
      <c r="A1025" s="1" t="s">
        <v>1063</v>
      </c>
      <c r="B1025" s="1" t="s">
        <v>945</v>
      </c>
      <c r="C1025" s="1"/>
      <c r="D1025" s="1"/>
      <c r="E1025" s="1"/>
      <c r="F1025" s="1"/>
      <c r="G1025" s="1"/>
      <c r="H1025" s="1"/>
      <c r="I1025" s="1"/>
    </row>
    <row r="1026" ht="15.75" customHeight="1">
      <c r="A1026" s="1" t="s">
        <v>1064</v>
      </c>
      <c r="B1026" s="1" t="s">
        <v>945</v>
      </c>
      <c r="C1026" s="1"/>
      <c r="D1026" s="1"/>
      <c r="E1026" s="1"/>
      <c r="F1026" s="1"/>
      <c r="G1026" s="1"/>
      <c r="H1026" s="1"/>
      <c r="I1026" s="1"/>
    </row>
    <row r="1027" ht="15.75" customHeight="1">
      <c r="A1027" s="1" t="s">
        <v>1065</v>
      </c>
      <c r="B1027" s="1" t="s">
        <v>945</v>
      </c>
      <c r="C1027" s="1"/>
      <c r="D1027" s="1"/>
      <c r="E1027" s="1"/>
      <c r="F1027" s="1"/>
      <c r="G1027" s="1"/>
      <c r="H1027" s="1"/>
      <c r="I1027" s="1"/>
    </row>
    <row r="1028" ht="15.75" customHeight="1">
      <c r="A1028" s="1" t="s">
        <v>1066</v>
      </c>
      <c r="B1028" s="1" t="s">
        <v>945</v>
      </c>
      <c r="C1028" s="1"/>
      <c r="D1028" s="1"/>
      <c r="E1028" s="1"/>
      <c r="F1028" s="1"/>
      <c r="G1028" s="1"/>
      <c r="H1028" s="1"/>
      <c r="I1028" s="1"/>
    </row>
    <row r="1029" ht="15.75" customHeight="1">
      <c r="A1029" s="1" t="s">
        <v>1067</v>
      </c>
      <c r="B1029" s="1" t="s">
        <v>945</v>
      </c>
      <c r="C1029" s="1"/>
      <c r="D1029" s="1"/>
      <c r="E1029" s="1"/>
      <c r="F1029" s="1"/>
      <c r="G1029" s="1"/>
      <c r="H1029" s="1"/>
      <c r="I1029" s="1"/>
    </row>
    <row r="1030" ht="15.75" customHeight="1">
      <c r="A1030" s="1" t="s">
        <v>1068</v>
      </c>
      <c r="B1030" s="1" t="s">
        <v>945</v>
      </c>
      <c r="C1030" s="1"/>
      <c r="D1030" s="1"/>
      <c r="E1030" s="1"/>
      <c r="F1030" s="1"/>
      <c r="G1030" s="1"/>
      <c r="H1030" s="1"/>
      <c r="I1030" s="1"/>
    </row>
    <row r="1031" ht="15.75" customHeight="1">
      <c r="A1031" s="1" t="s">
        <v>1069</v>
      </c>
      <c r="B1031" s="1" t="s">
        <v>945</v>
      </c>
      <c r="C1031" s="1"/>
      <c r="D1031" s="1"/>
      <c r="E1031" s="1"/>
      <c r="F1031" s="1"/>
      <c r="G1031" s="1"/>
      <c r="H1031" s="1"/>
      <c r="I1031" s="1"/>
    </row>
    <row r="1032" ht="15.75" customHeight="1">
      <c r="A1032" s="1" t="s">
        <v>1070</v>
      </c>
      <c r="B1032" s="1" t="s">
        <v>945</v>
      </c>
      <c r="C1032" s="1"/>
      <c r="D1032" s="1"/>
      <c r="E1032" s="1"/>
      <c r="F1032" s="1"/>
      <c r="G1032" s="1"/>
      <c r="H1032" s="1"/>
      <c r="I1032" s="1"/>
    </row>
    <row r="1033" ht="15.75" customHeight="1">
      <c r="A1033" s="1" t="s">
        <v>1071</v>
      </c>
      <c r="B1033" s="1" t="s">
        <v>945</v>
      </c>
      <c r="C1033" s="1"/>
      <c r="D1033" s="1"/>
      <c r="E1033" s="1"/>
      <c r="F1033" s="1"/>
      <c r="G1033" s="1"/>
      <c r="H1033" s="1"/>
      <c r="I1033" s="1"/>
    </row>
    <row r="1034" ht="15.75" customHeight="1">
      <c r="A1034" s="1" t="s">
        <v>1072</v>
      </c>
      <c r="B1034" s="1" t="s">
        <v>945</v>
      </c>
      <c r="C1034" s="1"/>
      <c r="D1034" s="1"/>
      <c r="E1034" s="1"/>
      <c r="F1034" s="1"/>
      <c r="G1034" s="1"/>
      <c r="H1034" s="1"/>
      <c r="I1034" s="1"/>
    </row>
    <row r="1035" ht="15.75" customHeight="1">
      <c r="A1035" s="1" t="s">
        <v>1073</v>
      </c>
      <c r="B1035" s="1" t="s">
        <v>1074</v>
      </c>
      <c r="C1035" s="1"/>
      <c r="D1035" s="1"/>
      <c r="E1035" s="1"/>
      <c r="F1035" s="1"/>
      <c r="G1035" s="1"/>
      <c r="H1035" s="1"/>
      <c r="I1035" s="1"/>
    </row>
    <row r="1036" ht="15.75" customHeight="1">
      <c r="A1036" s="1" t="s">
        <v>1075</v>
      </c>
      <c r="B1036" s="1" t="s">
        <v>1076</v>
      </c>
      <c r="C1036" s="1"/>
      <c r="D1036" s="1"/>
      <c r="E1036" s="1"/>
      <c r="F1036" s="1"/>
      <c r="G1036" s="1"/>
      <c r="H1036" s="1"/>
      <c r="I1036" s="1"/>
    </row>
    <row r="1037" ht="15.75" customHeight="1">
      <c r="A1037" s="1" t="s">
        <v>1077</v>
      </c>
      <c r="B1037" s="1" t="s">
        <v>1076</v>
      </c>
      <c r="C1037" s="1"/>
      <c r="D1037" s="1"/>
      <c r="E1037" s="1"/>
      <c r="F1037" s="1"/>
      <c r="G1037" s="1"/>
      <c r="H1037" s="1"/>
      <c r="I1037" s="1"/>
    </row>
    <row r="1038" ht="15.75" customHeight="1">
      <c r="A1038" s="1" t="s">
        <v>1078</v>
      </c>
      <c r="B1038" s="1" t="s">
        <v>1076</v>
      </c>
      <c r="C1038" s="1"/>
      <c r="D1038" s="1"/>
      <c r="E1038" s="1"/>
      <c r="F1038" s="1"/>
      <c r="G1038" s="1"/>
      <c r="H1038" s="1"/>
      <c r="I1038" s="1"/>
    </row>
    <row r="1039" ht="15.75" customHeight="1">
      <c r="A1039" s="1" t="s">
        <v>1079</v>
      </c>
      <c r="B1039" s="1" t="s">
        <v>1076</v>
      </c>
      <c r="C1039" s="1"/>
      <c r="D1039" s="1"/>
      <c r="E1039" s="1"/>
      <c r="F1039" s="1"/>
      <c r="G1039" s="1"/>
      <c r="H1039" s="1"/>
      <c r="I1039" s="1"/>
    </row>
    <row r="1040" ht="15.75" customHeight="1">
      <c r="A1040" s="1" t="s">
        <v>1080</v>
      </c>
      <c r="B1040" s="1" t="s">
        <v>1076</v>
      </c>
      <c r="C1040" s="1"/>
      <c r="D1040" s="1"/>
      <c r="E1040" s="1"/>
      <c r="F1040" s="1"/>
      <c r="G1040" s="1"/>
      <c r="H1040" s="1"/>
      <c r="I1040" s="1"/>
    </row>
    <row r="1041" ht="15.75" customHeight="1">
      <c r="A1041" s="1" t="s">
        <v>1081</v>
      </c>
      <c r="B1041" s="1" t="s">
        <v>1076</v>
      </c>
      <c r="C1041" s="1"/>
      <c r="D1041" s="1"/>
      <c r="E1041" s="1"/>
      <c r="F1041" s="1"/>
      <c r="G1041" s="1"/>
      <c r="H1041" s="1"/>
      <c r="I1041" s="1"/>
    </row>
    <row r="1042" ht="15.75" customHeight="1">
      <c r="A1042" s="1" t="s">
        <v>1082</v>
      </c>
      <c r="B1042" s="1" t="s">
        <v>1076</v>
      </c>
      <c r="C1042" s="1"/>
      <c r="D1042" s="1"/>
      <c r="E1042" s="1"/>
      <c r="F1042" s="1"/>
      <c r="G1042" s="1"/>
      <c r="H1042" s="1"/>
      <c r="I1042" s="1"/>
    </row>
    <row r="1043" ht="15.75" customHeight="1">
      <c r="A1043" s="1" t="s">
        <v>1083</v>
      </c>
      <c r="B1043" s="1" t="s">
        <v>1076</v>
      </c>
      <c r="C1043" s="1"/>
      <c r="D1043" s="1"/>
      <c r="E1043" s="1"/>
      <c r="F1043" s="1"/>
      <c r="G1043" s="1"/>
      <c r="H1043" s="1"/>
      <c r="I1043" s="1"/>
    </row>
    <row r="1044" ht="15.75" customHeight="1">
      <c r="A1044" s="1" t="s">
        <v>1084</v>
      </c>
      <c r="B1044" s="1" t="s">
        <v>1076</v>
      </c>
      <c r="C1044" s="1"/>
      <c r="D1044" s="1"/>
      <c r="E1044" s="1"/>
      <c r="F1044" s="1"/>
      <c r="G1044" s="1"/>
      <c r="H1044" s="1"/>
      <c r="I1044" s="1"/>
    </row>
    <row r="1045" ht="15.75" customHeight="1">
      <c r="A1045" s="1" t="s">
        <v>1085</v>
      </c>
      <c r="B1045" s="1" t="s">
        <v>1076</v>
      </c>
      <c r="C1045" s="1"/>
      <c r="D1045" s="1"/>
      <c r="E1045" s="1"/>
      <c r="F1045" s="1"/>
      <c r="G1045" s="1"/>
      <c r="H1045" s="1"/>
      <c r="I1045" s="1"/>
    </row>
    <row r="1046" ht="15.75" customHeight="1">
      <c r="A1046" s="1" t="s">
        <v>1086</v>
      </c>
      <c r="B1046" s="1" t="s">
        <v>1076</v>
      </c>
      <c r="C1046" s="1"/>
      <c r="D1046" s="1"/>
      <c r="E1046" s="1"/>
      <c r="F1046" s="1"/>
      <c r="G1046" s="1"/>
      <c r="H1046" s="1"/>
      <c r="I1046" s="1"/>
    </row>
    <row r="1047" ht="15.75" customHeight="1">
      <c r="A1047" s="1" t="s">
        <v>1087</v>
      </c>
      <c r="B1047" s="1" t="s">
        <v>1076</v>
      </c>
      <c r="C1047" s="1"/>
      <c r="D1047" s="1"/>
      <c r="E1047" s="1"/>
      <c r="F1047" s="1"/>
      <c r="G1047" s="1"/>
      <c r="H1047" s="1"/>
      <c r="I1047" s="1"/>
    </row>
    <row r="1048" ht="15.75" customHeight="1">
      <c r="A1048" s="1" t="s">
        <v>1088</v>
      </c>
      <c r="B1048" s="1" t="s">
        <v>1076</v>
      </c>
      <c r="C1048" s="1"/>
      <c r="D1048" s="1"/>
      <c r="E1048" s="1"/>
      <c r="F1048" s="1"/>
      <c r="G1048" s="1"/>
      <c r="H1048" s="1"/>
      <c r="I1048" s="1"/>
    </row>
    <row r="1049" ht="15.75" customHeight="1">
      <c r="A1049" s="1" t="s">
        <v>1089</v>
      </c>
      <c r="B1049" s="1" t="s">
        <v>1076</v>
      </c>
      <c r="C1049" s="1"/>
      <c r="D1049" s="1"/>
      <c r="E1049" s="1"/>
      <c r="F1049" s="1"/>
      <c r="G1049" s="1"/>
      <c r="H1049" s="1"/>
      <c r="I1049" s="1"/>
    </row>
    <row r="1050" ht="15.75" customHeight="1">
      <c r="A1050" s="1" t="s">
        <v>1090</v>
      </c>
      <c r="B1050" s="1" t="s">
        <v>1076</v>
      </c>
      <c r="C1050" s="1"/>
      <c r="D1050" s="1"/>
      <c r="E1050" s="1"/>
      <c r="F1050" s="1"/>
      <c r="G1050" s="1"/>
      <c r="H1050" s="1"/>
      <c r="I1050" s="1"/>
    </row>
    <row r="1051" ht="15.75" customHeight="1">
      <c r="A1051" s="1" t="s">
        <v>1091</v>
      </c>
      <c r="B1051" s="1" t="s">
        <v>1076</v>
      </c>
      <c r="C1051" s="1"/>
      <c r="D1051" s="1"/>
      <c r="E1051" s="1"/>
      <c r="F1051" s="1"/>
      <c r="G1051" s="1"/>
      <c r="H1051" s="1"/>
      <c r="I1051" s="1"/>
    </row>
    <row r="1052" ht="15.75" customHeight="1">
      <c r="A1052" s="1" t="s">
        <v>1092</v>
      </c>
      <c r="B1052" s="1" t="s">
        <v>1076</v>
      </c>
      <c r="C1052" s="1"/>
      <c r="D1052" s="1"/>
      <c r="E1052" s="1"/>
      <c r="F1052" s="1"/>
      <c r="G1052" s="1"/>
      <c r="H1052" s="1"/>
      <c r="I1052" s="1"/>
    </row>
    <row r="1053" ht="15.75" customHeight="1">
      <c r="A1053" s="1" t="s">
        <v>1093</v>
      </c>
      <c r="B1053" s="1" t="s">
        <v>1076</v>
      </c>
      <c r="C1053" s="1"/>
      <c r="D1053" s="1"/>
      <c r="E1053" s="1"/>
      <c r="F1053" s="1"/>
      <c r="G1053" s="1"/>
      <c r="H1053" s="1"/>
      <c r="I1053" s="1"/>
    </row>
    <row r="1054" ht="15.75" customHeight="1">
      <c r="A1054" s="1" t="s">
        <v>1094</v>
      </c>
      <c r="B1054" s="1" t="s">
        <v>1076</v>
      </c>
      <c r="C1054" s="1"/>
      <c r="D1054" s="1"/>
      <c r="E1054" s="1"/>
      <c r="F1054" s="1"/>
      <c r="G1054" s="1"/>
      <c r="H1054" s="1"/>
      <c r="I1054" s="1"/>
    </row>
    <row r="1055" ht="15.75" customHeight="1">
      <c r="A1055" s="1" t="s">
        <v>1095</v>
      </c>
      <c r="B1055" s="1" t="s">
        <v>1076</v>
      </c>
      <c r="C1055" s="1"/>
      <c r="D1055" s="1"/>
      <c r="E1055" s="1"/>
      <c r="F1055" s="1"/>
      <c r="G1055" s="1"/>
      <c r="H1055" s="1"/>
      <c r="I1055" s="1"/>
    </row>
    <row r="1056" ht="15.75" customHeight="1">
      <c r="A1056" s="1" t="s">
        <v>1096</v>
      </c>
      <c r="B1056" s="1" t="s">
        <v>1076</v>
      </c>
      <c r="C1056" s="1"/>
      <c r="D1056" s="1"/>
      <c r="E1056" s="1"/>
      <c r="F1056" s="1"/>
      <c r="G1056" s="1"/>
      <c r="H1056" s="1"/>
      <c r="I1056" s="1"/>
    </row>
    <row r="1057" ht="15.75" customHeight="1">
      <c r="A1057" s="1" t="s">
        <v>1097</v>
      </c>
      <c r="B1057" s="1" t="s">
        <v>1076</v>
      </c>
      <c r="C1057" s="1"/>
      <c r="D1057" s="1"/>
      <c r="E1057" s="1"/>
      <c r="F1057" s="1"/>
      <c r="G1057" s="1"/>
      <c r="H1057" s="1"/>
      <c r="I1057" s="1"/>
    </row>
    <row r="1058" ht="15.75" customHeight="1">
      <c r="A1058" s="1" t="s">
        <v>1098</v>
      </c>
      <c r="B1058" s="1" t="s">
        <v>1076</v>
      </c>
      <c r="C1058" s="1"/>
      <c r="D1058" s="1"/>
      <c r="E1058" s="1"/>
      <c r="F1058" s="1"/>
      <c r="G1058" s="1"/>
      <c r="H1058" s="1"/>
      <c r="I1058" s="1"/>
    </row>
    <row r="1059" ht="15.75" customHeight="1">
      <c r="A1059" s="1" t="s">
        <v>1099</v>
      </c>
      <c r="B1059" s="1" t="s">
        <v>1076</v>
      </c>
      <c r="C1059" s="1"/>
      <c r="D1059" s="1"/>
      <c r="E1059" s="1"/>
      <c r="F1059" s="1"/>
      <c r="G1059" s="1"/>
      <c r="H1059" s="1"/>
      <c r="I1059" s="1"/>
    </row>
    <row r="1060" ht="15.75" customHeight="1">
      <c r="A1060" s="1" t="s">
        <v>1100</v>
      </c>
      <c r="B1060" s="1" t="s">
        <v>1076</v>
      </c>
      <c r="C1060" s="1"/>
      <c r="D1060" s="1"/>
      <c r="E1060" s="1"/>
      <c r="F1060" s="1"/>
      <c r="G1060" s="1"/>
      <c r="H1060" s="1"/>
      <c r="I1060" s="1"/>
    </row>
    <row r="1061" ht="15.75" customHeight="1">
      <c r="A1061" s="1" t="s">
        <v>1101</v>
      </c>
      <c r="B1061" s="1" t="s">
        <v>1076</v>
      </c>
      <c r="C1061" s="1"/>
      <c r="D1061" s="1"/>
      <c r="E1061" s="1"/>
      <c r="F1061" s="1"/>
      <c r="G1061" s="1"/>
      <c r="H1061" s="1"/>
      <c r="I1061" s="1"/>
    </row>
    <row r="1062" ht="15.75" customHeight="1">
      <c r="A1062" s="1" t="s">
        <v>1102</v>
      </c>
      <c r="B1062" s="1" t="s">
        <v>1076</v>
      </c>
      <c r="C1062" s="1"/>
      <c r="D1062" s="1"/>
      <c r="E1062" s="1"/>
      <c r="F1062" s="1"/>
      <c r="G1062" s="1"/>
      <c r="H1062" s="1"/>
      <c r="I1062" s="1"/>
    </row>
    <row r="1063" ht="15.75" customHeight="1">
      <c r="A1063" s="1" t="s">
        <v>1103</v>
      </c>
      <c r="B1063" s="1" t="s">
        <v>1076</v>
      </c>
      <c r="C1063" s="1"/>
      <c r="D1063" s="1"/>
      <c r="E1063" s="1"/>
      <c r="F1063" s="1"/>
      <c r="G1063" s="1"/>
      <c r="H1063" s="1"/>
      <c r="I1063" s="1"/>
    </row>
    <row r="1064" ht="15.75" customHeight="1">
      <c r="A1064" s="1" t="s">
        <v>1104</v>
      </c>
      <c r="B1064" s="1" t="s">
        <v>1076</v>
      </c>
      <c r="C1064" s="1"/>
      <c r="D1064" s="1"/>
      <c r="E1064" s="1"/>
      <c r="F1064" s="1"/>
      <c r="G1064" s="1"/>
      <c r="H1064" s="1"/>
      <c r="I1064" s="1"/>
    </row>
    <row r="1065" ht="15.75" customHeight="1">
      <c r="A1065" s="1" t="s">
        <v>1105</v>
      </c>
      <c r="B1065" s="1" t="s">
        <v>1076</v>
      </c>
      <c r="C1065" s="1"/>
      <c r="D1065" s="1"/>
      <c r="E1065" s="1"/>
      <c r="F1065" s="1"/>
      <c r="G1065" s="1"/>
      <c r="H1065" s="1"/>
      <c r="I1065" s="1"/>
    </row>
    <row r="1066" ht="15.75" customHeight="1">
      <c r="A1066" s="1" t="s">
        <v>1106</v>
      </c>
      <c r="B1066" s="1" t="s">
        <v>1076</v>
      </c>
      <c r="C1066" s="1"/>
      <c r="D1066" s="1"/>
      <c r="E1066" s="1"/>
      <c r="F1066" s="1"/>
      <c r="G1066" s="1"/>
      <c r="H1066" s="1"/>
      <c r="I1066" s="1"/>
    </row>
    <row r="1067" ht="15.75" customHeight="1">
      <c r="A1067" s="1" t="s">
        <v>1107</v>
      </c>
      <c r="B1067" s="1" t="s">
        <v>1076</v>
      </c>
      <c r="C1067" s="1"/>
      <c r="D1067" s="1"/>
      <c r="E1067" s="1"/>
      <c r="F1067" s="1"/>
      <c r="G1067" s="1"/>
      <c r="H1067" s="1"/>
      <c r="I1067" s="1"/>
    </row>
    <row r="1068" ht="15.75" customHeight="1">
      <c r="A1068" s="1" t="s">
        <v>1108</v>
      </c>
      <c r="B1068" s="1" t="s">
        <v>1076</v>
      </c>
      <c r="C1068" s="1"/>
      <c r="D1068" s="1"/>
      <c r="E1068" s="1"/>
      <c r="F1068" s="1"/>
      <c r="G1068" s="1"/>
      <c r="H1068" s="1"/>
      <c r="I1068" s="1"/>
    </row>
    <row r="1069" ht="15.75" customHeight="1">
      <c r="A1069" s="1" t="s">
        <v>1109</v>
      </c>
      <c r="B1069" s="1" t="s">
        <v>1076</v>
      </c>
      <c r="C1069" s="1"/>
      <c r="D1069" s="1"/>
      <c r="E1069" s="1"/>
      <c r="F1069" s="1"/>
      <c r="G1069" s="1"/>
      <c r="H1069" s="1"/>
      <c r="I1069" s="1"/>
    </row>
    <row r="1070" ht="15.75" customHeight="1">
      <c r="A1070" s="1" t="s">
        <v>1110</v>
      </c>
      <c r="B1070" s="1" t="s">
        <v>1076</v>
      </c>
      <c r="C1070" s="1"/>
      <c r="D1070" s="1"/>
      <c r="E1070" s="1"/>
      <c r="F1070" s="1"/>
      <c r="G1070" s="1"/>
      <c r="H1070" s="1"/>
      <c r="I1070" s="1"/>
    </row>
    <row r="1071" ht="15.75" customHeight="1">
      <c r="A1071" s="1" t="s">
        <v>1111</v>
      </c>
      <c r="B1071" s="1" t="s">
        <v>1076</v>
      </c>
      <c r="C1071" s="1"/>
      <c r="D1071" s="1"/>
      <c r="E1071" s="1"/>
      <c r="F1071" s="1"/>
      <c r="G1071" s="1"/>
      <c r="H1071" s="1"/>
      <c r="I1071" s="1"/>
    </row>
    <row r="1072" ht="15.75" customHeight="1">
      <c r="A1072" s="1" t="s">
        <v>1112</v>
      </c>
      <c r="B1072" s="1" t="s">
        <v>1076</v>
      </c>
      <c r="C1072" s="1"/>
      <c r="D1072" s="1"/>
      <c r="E1072" s="1"/>
      <c r="F1072" s="1"/>
      <c r="G1072" s="1"/>
      <c r="H1072" s="1"/>
      <c r="I1072" s="1"/>
    </row>
    <row r="1073" ht="15.75" customHeight="1">
      <c r="A1073" s="1" t="s">
        <v>1113</v>
      </c>
      <c r="B1073" s="1" t="s">
        <v>1076</v>
      </c>
      <c r="C1073" s="1"/>
      <c r="D1073" s="1"/>
      <c r="E1073" s="1"/>
      <c r="F1073" s="1"/>
      <c r="G1073" s="1"/>
      <c r="H1073" s="1"/>
      <c r="I1073" s="1"/>
    </row>
    <row r="1074" ht="15.75" customHeight="1">
      <c r="A1074" s="1" t="s">
        <v>1114</v>
      </c>
      <c r="B1074" s="1" t="s">
        <v>1076</v>
      </c>
      <c r="C1074" s="1"/>
      <c r="D1074" s="1"/>
      <c r="E1074" s="1"/>
      <c r="F1074" s="1"/>
      <c r="G1074" s="1"/>
      <c r="H1074" s="1"/>
      <c r="I1074" s="1"/>
    </row>
    <row r="1075" ht="15.75" customHeight="1">
      <c r="A1075" s="1" t="s">
        <v>1115</v>
      </c>
      <c r="B1075" s="1" t="s">
        <v>1076</v>
      </c>
      <c r="C1075" s="1"/>
      <c r="D1075" s="1"/>
      <c r="E1075" s="1"/>
      <c r="F1075" s="1"/>
      <c r="G1075" s="1"/>
      <c r="H1075" s="1"/>
      <c r="I1075" s="1"/>
    </row>
    <row r="1076" ht="15.75" customHeight="1">
      <c r="A1076" s="1" t="s">
        <v>1116</v>
      </c>
      <c r="B1076" s="1" t="s">
        <v>1076</v>
      </c>
      <c r="C1076" s="1"/>
      <c r="D1076" s="1"/>
      <c r="E1076" s="1"/>
      <c r="F1076" s="1"/>
      <c r="G1076" s="1"/>
      <c r="H1076" s="1"/>
      <c r="I1076" s="1"/>
    </row>
    <row r="1077" ht="15.75" customHeight="1">
      <c r="A1077" s="1" t="s">
        <v>1117</v>
      </c>
      <c r="B1077" s="1" t="s">
        <v>1118</v>
      </c>
      <c r="C1077" s="1"/>
      <c r="D1077" s="1"/>
      <c r="E1077" s="1"/>
      <c r="F1077" s="1"/>
      <c r="G1077" s="1"/>
      <c r="H1077" s="1"/>
      <c r="I1077" s="1"/>
    </row>
    <row r="1078" ht="15.75" customHeight="1">
      <c r="A1078" s="1" t="s">
        <v>1119</v>
      </c>
      <c r="B1078" s="1" t="s">
        <v>1118</v>
      </c>
      <c r="C1078" s="1"/>
      <c r="D1078" s="1"/>
      <c r="E1078" s="1"/>
      <c r="F1078" s="1"/>
      <c r="G1078" s="1"/>
      <c r="H1078" s="1"/>
      <c r="I1078" s="1"/>
    </row>
    <row r="1079" ht="15.75" customHeight="1">
      <c r="A1079" s="1" t="s">
        <v>1120</v>
      </c>
      <c r="B1079" s="1" t="s">
        <v>1118</v>
      </c>
      <c r="C1079" s="1"/>
      <c r="D1079" s="1"/>
      <c r="E1079" s="1"/>
      <c r="F1079" s="1"/>
      <c r="G1079" s="1"/>
      <c r="H1079" s="1"/>
      <c r="I1079" s="1"/>
    </row>
    <row r="1080" ht="15.75" customHeight="1">
      <c r="A1080" s="1" t="s">
        <v>1121</v>
      </c>
      <c r="B1080" s="1" t="s">
        <v>1118</v>
      </c>
      <c r="C1080" s="1"/>
      <c r="D1080" s="1"/>
      <c r="E1080" s="1"/>
      <c r="F1080" s="1"/>
      <c r="G1080" s="1"/>
      <c r="H1080" s="1"/>
      <c r="I1080" s="1"/>
    </row>
    <row r="1081" ht="15.75" customHeight="1">
      <c r="A1081" s="1" t="s">
        <v>1122</v>
      </c>
      <c r="B1081" s="1" t="s">
        <v>1118</v>
      </c>
      <c r="C1081" s="1"/>
      <c r="D1081" s="1"/>
      <c r="E1081" s="1"/>
      <c r="F1081" s="1"/>
      <c r="G1081" s="1"/>
      <c r="H1081" s="1"/>
      <c r="I1081" s="1"/>
    </row>
    <row r="1082" ht="15.75" customHeight="1">
      <c r="A1082" s="1" t="s">
        <v>1123</v>
      </c>
      <c r="B1082" s="1" t="s">
        <v>1118</v>
      </c>
      <c r="C1082" s="1"/>
      <c r="D1082" s="1"/>
      <c r="E1082" s="1"/>
      <c r="F1082" s="1"/>
      <c r="G1082" s="1"/>
      <c r="H1082" s="1"/>
      <c r="I1082" s="1"/>
    </row>
    <row r="1083" ht="15.75" customHeight="1">
      <c r="A1083" s="1" t="s">
        <v>1124</v>
      </c>
      <c r="B1083" s="1" t="s">
        <v>1118</v>
      </c>
      <c r="C1083" s="1"/>
      <c r="D1083" s="1"/>
      <c r="E1083" s="1"/>
      <c r="F1083" s="1"/>
      <c r="G1083" s="1"/>
      <c r="H1083" s="1"/>
      <c r="I1083" s="1"/>
    </row>
    <row r="1084" ht="15.75" customHeight="1">
      <c r="A1084" s="1" t="s">
        <v>1125</v>
      </c>
      <c r="B1084" s="1" t="s">
        <v>1118</v>
      </c>
      <c r="C1084" s="1"/>
      <c r="D1084" s="1"/>
      <c r="E1084" s="1"/>
      <c r="F1084" s="1"/>
      <c r="G1084" s="1"/>
      <c r="H1084" s="1"/>
      <c r="I1084" s="1"/>
    </row>
    <row r="1085" ht="15.75" customHeight="1">
      <c r="A1085" s="1" t="s">
        <v>1126</v>
      </c>
      <c r="B1085" s="1" t="s">
        <v>1118</v>
      </c>
      <c r="C1085" s="1"/>
      <c r="D1085" s="1"/>
      <c r="E1085" s="1"/>
      <c r="F1085" s="1"/>
      <c r="G1085" s="1"/>
      <c r="H1085" s="1"/>
      <c r="I1085" s="1"/>
    </row>
    <row r="1086" ht="15.75" customHeight="1">
      <c r="A1086" s="1" t="s">
        <v>1127</v>
      </c>
      <c r="B1086" s="1" t="s">
        <v>1118</v>
      </c>
      <c r="C1086" s="1"/>
      <c r="D1086" s="1"/>
      <c r="E1086" s="1"/>
      <c r="F1086" s="1"/>
      <c r="G1086" s="1"/>
      <c r="H1086" s="1"/>
      <c r="I1086" s="1"/>
    </row>
    <row r="1087" ht="15.75" customHeight="1">
      <c r="A1087" s="1" t="s">
        <v>1128</v>
      </c>
      <c r="B1087" s="1" t="s">
        <v>1118</v>
      </c>
      <c r="C1087" s="1"/>
      <c r="D1087" s="1"/>
      <c r="E1087" s="1"/>
      <c r="F1087" s="1"/>
      <c r="G1087" s="1"/>
      <c r="H1087" s="1"/>
      <c r="I1087" s="1"/>
    </row>
    <row r="1088" ht="15.75" customHeight="1">
      <c r="A1088" s="1" t="s">
        <v>1129</v>
      </c>
      <c r="B1088" s="1" t="s">
        <v>1118</v>
      </c>
      <c r="C1088" s="1"/>
      <c r="D1088" s="1"/>
      <c r="E1088" s="1"/>
      <c r="F1088" s="1"/>
      <c r="G1088" s="1"/>
      <c r="H1088" s="1"/>
      <c r="I1088" s="1"/>
    </row>
    <row r="1089" ht="15.75" customHeight="1">
      <c r="A1089" s="1" t="s">
        <v>1130</v>
      </c>
      <c r="B1089" s="1" t="s">
        <v>1118</v>
      </c>
      <c r="C1089" s="1"/>
      <c r="D1089" s="1"/>
      <c r="E1089" s="1"/>
      <c r="F1089" s="1"/>
      <c r="G1089" s="1"/>
      <c r="H1089" s="1"/>
      <c r="I1089" s="1"/>
    </row>
    <row r="1090" ht="15.75" customHeight="1">
      <c r="A1090" s="1" t="s">
        <v>1131</v>
      </c>
      <c r="B1090" s="1" t="s">
        <v>1118</v>
      </c>
      <c r="C1090" s="1"/>
      <c r="D1090" s="1"/>
      <c r="E1090" s="1"/>
      <c r="F1090" s="1"/>
      <c r="G1090" s="1"/>
      <c r="H1090" s="1"/>
      <c r="I1090" s="1"/>
    </row>
    <row r="1091" ht="15.75" customHeight="1">
      <c r="A1091" s="1" t="s">
        <v>1132</v>
      </c>
      <c r="B1091" s="1" t="s">
        <v>1118</v>
      </c>
      <c r="C1091" s="1"/>
      <c r="D1091" s="1"/>
      <c r="E1091" s="1"/>
      <c r="F1091" s="1"/>
      <c r="G1091" s="1"/>
      <c r="H1091" s="1"/>
      <c r="I1091" s="1"/>
    </row>
    <row r="1092" ht="15.75" customHeight="1">
      <c r="A1092" s="1" t="s">
        <v>1133</v>
      </c>
      <c r="B1092" s="1" t="s">
        <v>1118</v>
      </c>
      <c r="C1092" s="1"/>
      <c r="D1092" s="1"/>
      <c r="E1092" s="1"/>
      <c r="F1092" s="1"/>
      <c r="G1092" s="1"/>
      <c r="H1092" s="1"/>
      <c r="I1092" s="1"/>
    </row>
    <row r="1093" ht="15.75" customHeight="1">
      <c r="A1093" s="1" t="s">
        <v>1134</v>
      </c>
      <c r="B1093" s="1" t="s">
        <v>1118</v>
      </c>
      <c r="C1093" s="1"/>
      <c r="D1093" s="1"/>
      <c r="E1093" s="1"/>
      <c r="F1093" s="1"/>
      <c r="G1093" s="1"/>
      <c r="H1093" s="1"/>
      <c r="I1093" s="1"/>
    </row>
    <row r="1094" ht="15.75" customHeight="1">
      <c r="A1094" s="1" t="s">
        <v>1135</v>
      </c>
      <c r="B1094" s="1" t="s">
        <v>1118</v>
      </c>
      <c r="C1094" s="1"/>
      <c r="D1094" s="1"/>
      <c r="E1094" s="1"/>
      <c r="F1094" s="1"/>
      <c r="G1094" s="1"/>
      <c r="H1094" s="1"/>
      <c r="I1094" s="1"/>
    </row>
    <row r="1095" ht="15.75" customHeight="1">
      <c r="A1095" s="1" t="s">
        <v>1136</v>
      </c>
      <c r="B1095" s="1" t="s">
        <v>1118</v>
      </c>
      <c r="C1095" s="1"/>
      <c r="D1095" s="1"/>
      <c r="E1095" s="1"/>
      <c r="F1095" s="1"/>
      <c r="G1095" s="1"/>
      <c r="H1095" s="1"/>
      <c r="I1095" s="1"/>
    </row>
    <row r="1096" ht="15.75" customHeight="1">
      <c r="A1096" s="1" t="s">
        <v>1137</v>
      </c>
      <c r="B1096" s="1" t="s">
        <v>1118</v>
      </c>
      <c r="C1096" s="1"/>
      <c r="D1096" s="1"/>
      <c r="E1096" s="1"/>
      <c r="F1096" s="1"/>
      <c r="G1096" s="1"/>
      <c r="H1096" s="1"/>
      <c r="I1096" s="1"/>
    </row>
    <row r="1097" ht="15.75" customHeight="1">
      <c r="A1097" s="1" t="s">
        <v>1138</v>
      </c>
      <c r="B1097" s="1" t="s">
        <v>1118</v>
      </c>
      <c r="C1097" s="1"/>
      <c r="D1097" s="1"/>
      <c r="E1097" s="1"/>
      <c r="F1097" s="1"/>
      <c r="G1097" s="1"/>
      <c r="H1097" s="1"/>
      <c r="I1097" s="1"/>
    </row>
    <row r="1098" ht="15.75" customHeight="1">
      <c r="A1098" s="1" t="s">
        <v>1139</v>
      </c>
      <c r="B1098" s="1" t="s">
        <v>1140</v>
      </c>
      <c r="C1098" s="1"/>
      <c r="D1098" s="1"/>
      <c r="E1098" s="1"/>
      <c r="F1098" s="1"/>
      <c r="G1098" s="1"/>
      <c r="H1098" s="1"/>
      <c r="I1098" s="1"/>
    </row>
    <row r="1099" ht="15.75" customHeight="1">
      <c r="A1099" s="1" t="s">
        <v>1141</v>
      </c>
      <c r="B1099" s="1" t="s">
        <v>1140</v>
      </c>
      <c r="C1099" s="1"/>
      <c r="D1099" s="1"/>
      <c r="E1099" s="1"/>
      <c r="F1099" s="1"/>
      <c r="G1099" s="1"/>
      <c r="H1099" s="1"/>
      <c r="I1099" s="1"/>
    </row>
    <row r="1100" ht="15.75" customHeight="1">
      <c r="A1100" s="1" t="s">
        <v>1142</v>
      </c>
      <c r="B1100" s="1" t="s">
        <v>1140</v>
      </c>
      <c r="C1100" s="1"/>
      <c r="D1100" s="1"/>
      <c r="E1100" s="1"/>
      <c r="F1100" s="1"/>
      <c r="G1100" s="1"/>
      <c r="H1100" s="1"/>
      <c r="I1100" s="1"/>
    </row>
    <row r="1101" ht="15.75" customHeight="1">
      <c r="A1101" s="1" t="s">
        <v>1143</v>
      </c>
      <c r="B1101" s="1" t="s">
        <v>1140</v>
      </c>
      <c r="C1101" s="1"/>
      <c r="D1101" s="1"/>
      <c r="E1101" s="1"/>
      <c r="F1101" s="1"/>
      <c r="G1101" s="1"/>
      <c r="H1101" s="1"/>
      <c r="I1101" s="1"/>
    </row>
    <row r="1102" ht="15.75" customHeight="1">
      <c r="A1102" s="1" t="s">
        <v>1144</v>
      </c>
      <c r="B1102" s="1" t="s">
        <v>1140</v>
      </c>
      <c r="C1102" s="1"/>
      <c r="D1102" s="1"/>
      <c r="E1102" s="1"/>
      <c r="F1102" s="1"/>
      <c r="G1102" s="1"/>
      <c r="H1102" s="1"/>
      <c r="I1102" s="1"/>
    </row>
    <row r="1103" ht="15.75" customHeight="1">
      <c r="A1103" s="1" t="s">
        <v>1145</v>
      </c>
      <c r="B1103" s="1" t="s">
        <v>1140</v>
      </c>
      <c r="C1103" s="1"/>
      <c r="D1103" s="1"/>
      <c r="E1103" s="1"/>
      <c r="F1103" s="1"/>
      <c r="G1103" s="1"/>
      <c r="H1103" s="1"/>
      <c r="I1103" s="1"/>
    </row>
    <row r="1104" ht="15.75" customHeight="1">
      <c r="A1104" s="1" t="s">
        <v>1146</v>
      </c>
      <c r="B1104" s="1" t="s">
        <v>1140</v>
      </c>
      <c r="C1104" s="1"/>
      <c r="D1104" s="1"/>
      <c r="E1104" s="1"/>
      <c r="F1104" s="1"/>
      <c r="G1104" s="1"/>
      <c r="H1104" s="1"/>
      <c r="I1104" s="1"/>
    </row>
    <row r="1105" ht="15.75" customHeight="1">
      <c r="A1105" s="1" t="s">
        <v>1147</v>
      </c>
      <c r="B1105" s="1" t="s">
        <v>1140</v>
      </c>
      <c r="C1105" s="1"/>
      <c r="D1105" s="1"/>
      <c r="E1105" s="1"/>
      <c r="F1105" s="1"/>
      <c r="G1105" s="1"/>
      <c r="H1105" s="1"/>
      <c r="I1105" s="1"/>
    </row>
    <row r="1106" ht="15.75" customHeight="1">
      <c r="A1106" s="1" t="s">
        <v>1148</v>
      </c>
      <c r="B1106" s="1" t="s">
        <v>1140</v>
      </c>
      <c r="C1106" s="1"/>
      <c r="D1106" s="1"/>
      <c r="E1106" s="1"/>
      <c r="F1106" s="1"/>
      <c r="G1106" s="1"/>
      <c r="H1106" s="1"/>
      <c r="I1106" s="1"/>
    </row>
    <row r="1107" ht="15.75" customHeight="1">
      <c r="A1107" s="1" t="s">
        <v>1149</v>
      </c>
      <c r="B1107" s="1" t="s">
        <v>1140</v>
      </c>
      <c r="C1107" s="1"/>
      <c r="D1107" s="1"/>
      <c r="E1107" s="1"/>
      <c r="F1107" s="1"/>
      <c r="G1107" s="1"/>
      <c r="H1107" s="1"/>
      <c r="I1107" s="1"/>
    </row>
    <row r="1108" ht="15.75" customHeight="1">
      <c r="A1108" s="1" t="s">
        <v>1150</v>
      </c>
      <c r="B1108" s="1" t="s">
        <v>1140</v>
      </c>
      <c r="C1108" s="1"/>
      <c r="D1108" s="1"/>
      <c r="E1108" s="1"/>
      <c r="F1108" s="1"/>
      <c r="G1108" s="1"/>
      <c r="H1108" s="1"/>
      <c r="I1108" s="1"/>
    </row>
    <row r="1109" ht="15.75" customHeight="1">
      <c r="A1109" s="1" t="s">
        <v>1151</v>
      </c>
      <c r="B1109" s="1" t="s">
        <v>1140</v>
      </c>
      <c r="C1109" s="1"/>
      <c r="D1109" s="1"/>
      <c r="E1109" s="1"/>
      <c r="F1109" s="1"/>
      <c r="G1109" s="1"/>
      <c r="H1109" s="1"/>
      <c r="I1109" s="1"/>
    </row>
    <row r="1110" ht="15.75" customHeight="1">
      <c r="A1110" s="1" t="s">
        <v>1152</v>
      </c>
      <c r="B1110" s="1" t="s">
        <v>1140</v>
      </c>
      <c r="C1110" s="1"/>
      <c r="D1110" s="1"/>
      <c r="E1110" s="1"/>
      <c r="F1110" s="1"/>
      <c r="G1110" s="1"/>
      <c r="H1110" s="1"/>
      <c r="I1110" s="1"/>
    </row>
    <row r="1111" ht="15.75" customHeight="1">
      <c r="A1111" s="1" t="s">
        <v>1153</v>
      </c>
      <c r="B1111" s="1" t="s">
        <v>1154</v>
      </c>
      <c r="C1111" s="1"/>
      <c r="D1111" s="1"/>
      <c r="E1111" s="1"/>
      <c r="F1111" s="1"/>
      <c r="G1111" s="1"/>
      <c r="H1111" s="1"/>
      <c r="I1111" s="1"/>
    </row>
    <row r="1112" ht="15.75" customHeight="1">
      <c r="A1112" s="1" t="s">
        <v>1155</v>
      </c>
      <c r="B1112" s="1" t="s">
        <v>1154</v>
      </c>
      <c r="C1112" s="1"/>
      <c r="D1112" s="1"/>
      <c r="E1112" s="1"/>
      <c r="F1112" s="1"/>
      <c r="G1112" s="1"/>
      <c r="H1112" s="1"/>
      <c r="I1112" s="1"/>
    </row>
    <row r="1113" ht="15.75" customHeight="1">
      <c r="A1113" s="1" t="s">
        <v>1156</v>
      </c>
      <c r="B1113" s="1" t="s">
        <v>1154</v>
      </c>
      <c r="C1113" s="1"/>
      <c r="D1113" s="1"/>
      <c r="E1113" s="1"/>
      <c r="F1113" s="1"/>
      <c r="G1113" s="1"/>
      <c r="H1113" s="1"/>
      <c r="I1113" s="1"/>
    </row>
    <row r="1114" ht="15.75" customHeight="1">
      <c r="A1114" s="1" t="s">
        <v>1157</v>
      </c>
      <c r="B1114" s="1" t="s">
        <v>1154</v>
      </c>
      <c r="C1114" s="1"/>
      <c r="D1114" s="1"/>
      <c r="E1114" s="1"/>
      <c r="F1114" s="1"/>
      <c r="G1114" s="1"/>
      <c r="H1114" s="1"/>
      <c r="I1114" s="1"/>
    </row>
    <row r="1115" ht="15.75" customHeight="1">
      <c r="A1115" s="1" t="s">
        <v>1158</v>
      </c>
      <c r="B1115" s="1" t="s">
        <v>1154</v>
      </c>
      <c r="C1115" s="1"/>
      <c r="D1115" s="1"/>
      <c r="E1115" s="1"/>
      <c r="F1115" s="1"/>
      <c r="G1115" s="1"/>
      <c r="H1115" s="1"/>
      <c r="I1115" s="1"/>
    </row>
    <row r="1116" ht="15.75" customHeight="1">
      <c r="A1116" s="1" t="s">
        <v>1159</v>
      </c>
      <c r="B1116" s="1" t="s">
        <v>1154</v>
      </c>
      <c r="C1116" s="1"/>
      <c r="D1116" s="1"/>
      <c r="E1116" s="1"/>
      <c r="F1116" s="1"/>
      <c r="G1116" s="1"/>
      <c r="H1116" s="1"/>
      <c r="I1116" s="1"/>
    </row>
    <row r="1117" ht="15.75" customHeight="1">
      <c r="A1117" s="1" t="s">
        <v>1160</v>
      </c>
      <c r="B1117" s="1" t="s">
        <v>1154</v>
      </c>
      <c r="C1117" s="1"/>
      <c r="D1117" s="1"/>
      <c r="E1117" s="1"/>
      <c r="F1117" s="1"/>
      <c r="G1117" s="1"/>
      <c r="H1117" s="1"/>
      <c r="I1117" s="1"/>
    </row>
    <row r="1118" ht="15.75" customHeight="1">
      <c r="A1118" s="1" t="s">
        <v>1161</v>
      </c>
      <c r="B1118" s="1" t="s">
        <v>1154</v>
      </c>
      <c r="C1118" s="1"/>
      <c r="D1118" s="1"/>
      <c r="E1118" s="1"/>
      <c r="F1118" s="1"/>
      <c r="G1118" s="1"/>
      <c r="H1118" s="1"/>
      <c r="I1118" s="1"/>
    </row>
    <row r="1119" ht="15.75" customHeight="1">
      <c r="A1119" s="1" t="s">
        <v>1162</v>
      </c>
      <c r="B1119" s="1" t="s">
        <v>1154</v>
      </c>
      <c r="C1119" s="1"/>
      <c r="D1119" s="1"/>
      <c r="E1119" s="1"/>
      <c r="F1119" s="1"/>
      <c r="G1119" s="1"/>
      <c r="H1119" s="1"/>
      <c r="I1119" s="1"/>
    </row>
    <row r="1120" ht="15.75" customHeight="1">
      <c r="A1120" s="1" t="s">
        <v>1163</v>
      </c>
      <c r="B1120" s="1" t="s">
        <v>1154</v>
      </c>
      <c r="C1120" s="1"/>
      <c r="D1120" s="1"/>
      <c r="E1120" s="1"/>
      <c r="F1120" s="1"/>
      <c r="G1120" s="1"/>
      <c r="H1120" s="1"/>
      <c r="I1120" s="1"/>
    </row>
    <row r="1121" ht="15.75" customHeight="1">
      <c r="A1121" s="1" t="s">
        <v>1164</v>
      </c>
      <c r="B1121" s="1" t="s">
        <v>1154</v>
      </c>
      <c r="C1121" s="1"/>
      <c r="D1121" s="1"/>
      <c r="E1121" s="1"/>
      <c r="F1121" s="1"/>
      <c r="G1121" s="1"/>
      <c r="H1121" s="1"/>
      <c r="I1121" s="1"/>
    </row>
    <row r="1122" ht="15.75" customHeight="1">
      <c r="A1122" s="1" t="s">
        <v>1165</v>
      </c>
      <c r="B1122" s="1" t="s">
        <v>1154</v>
      </c>
      <c r="C1122" s="1"/>
      <c r="D1122" s="1"/>
      <c r="E1122" s="1"/>
      <c r="F1122" s="1"/>
      <c r="G1122" s="1"/>
      <c r="H1122" s="1"/>
      <c r="I1122" s="1"/>
    </row>
    <row r="1123" ht="15.75" customHeight="1">
      <c r="A1123" s="1" t="s">
        <v>1166</v>
      </c>
      <c r="B1123" s="1" t="s">
        <v>1154</v>
      </c>
      <c r="C1123" s="1"/>
      <c r="D1123" s="1"/>
      <c r="E1123" s="1"/>
      <c r="F1123" s="1"/>
      <c r="G1123" s="1"/>
      <c r="H1123" s="1"/>
      <c r="I1123" s="1"/>
    </row>
    <row r="1124" ht="15.75" customHeight="1">
      <c r="A1124" s="1" t="s">
        <v>1167</v>
      </c>
      <c r="B1124" s="1" t="s">
        <v>1154</v>
      </c>
      <c r="C1124" s="1"/>
      <c r="D1124" s="1"/>
      <c r="E1124" s="1"/>
      <c r="F1124" s="1"/>
      <c r="G1124" s="1"/>
      <c r="H1124" s="1"/>
      <c r="I1124" s="1"/>
    </row>
    <row r="1125" ht="15.75" customHeight="1">
      <c r="A1125" s="1" t="s">
        <v>1168</v>
      </c>
      <c r="B1125" s="1" t="s">
        <v>1154</v>
      </c>
      <c r="C1125" s="1"/>
      <c r="D1125" s="1"/>
      <c r="E1125" s="1"/>
      <c r="F1125" s="1"/>
      <c r="G1125" s="1"/>
      <c r="H1125" s="1"/>
      <c r="I1125" s="1"/>
    </row>
    <row r="1126" ht="15.75" customHeight="1">
      <c r="A1126" s="1" t="s">
        <v>1169</v>
      </c>
      <c r="B1126" s="1" t="s">
        <v>1154</v>
      </c>
      <c r="C1126" s="1"/>
      <c r="D1126" s="1"/>
      <c r="E1126" s="1"/>
      <c r="F1126" s="1"/>
      <c r="G1126" s="1"/>
      <c r="H1126" s="1"/>
      <c r="I1126" s="1"/>
    </row>
    <row r="1127" ht="15.75" customHeight="1">
      <c r="A1127" s="1" t="s">
        <v>1170</v>
      </c>
      <c r="B1127" s="1" t="s">
        <v>1154</v>
      </c>
      <c r="C1127" s="1"/>
      <c r="D1127" s="1"/>
      <c r="E1127" s="1"/>
      <c r="F1127" s="1"/>
      <c r="G1127" s="1"/>
      <c r="H1127" s="1"/>
      <c r="I1127" s="1"/>
    </row>
    <row r="1128" ht="15.75" customHeight="1">
      <c r="A1128" s="1" t="s">
        <v>1171</v>
      </c>
      <c r="B1128" s="1" t="s">
        <v>1154</v>
      </c>
      <c r="C1128" s="1"/>
      <c r="D1128" s="1"/>
      <c r="E1128" s="1"/>
      <c r="F1128" s="1"/>
      <c r="G1128" s="1"/>
      <c r="H1128" s="1"/>
      <c r="I1128" s="1"/>
    </row>
    <row r="1129" ht="15.75" customHeight="1">
      <c r="A1129" s="1" t="s">
        <v>1172</v>
      </c>
      <c r="B1129" s="1" t="s">
        <v>1154</v>
      </c>
      <c r="C1129" s="1"/>
      <c r="D1129" s="1"/>
      <c r="E1129" s="1"/>
      <c r="F1129" s="1"/>
      <c r="G1129" s="1"/>
      <c r="H1129" s="1"/>
      <c r="I1129" s="1"/>
    </row>
    <row r="1130" ht="15.75" customHeight="1">
      <c r="A1130" s="1" t="s">
        <v>1173</v>
      </c>
      <c r="B1130" s="1" t="s">
        <v>1154</v>
      </c>
      <c r="C1130" s="1"/>
      <c r="D1130" s="1"/>
      <c r="E1130" s="1"/>
      <c r="F1130" s="1"/>
      <c r="G1130" s="1"/>
      <c r="H1130" s="1"/>
      <c r="I1130" s="1"/>
    </row>
    <row r="1131" ht="15.75" customHeight="1">
      <c r="A1131" s="1" t="s">
        <v>1174</v>
      </c>
      <c r="B1131" s="1" t="s">
        <v>1154</v>
      </c>
      <c r="C1131" s="1"/>
      <c r="D1131" s="1"/>
      <c r="E1131" s="1"/>
      <c r="F1131" s="1"/>
      <c r="G1131" s="1"/>
      <c r="H1131" s="1"/>
      <c r="I1131" s="1"/>
    </row>
    <row r="1132" ht="15.75" customHeight="1">
      <c r="A1132" s="1" t="s">
        <v>1175</v>
      </c>
      <c r="B1132" s="1" t="s">
        <v>1154</v>
      </c>
      <c r="C1132" s="1"/>
      <c r="D1132" s="1"/>
      <c r="E1132" s="1"/>
      <c r="F1132" s="1"/>
      <c r="G1132" s="1"/>
      <c r="H1132" s="1"/>
      <c r="I1132" s="1"/>
    </row>
    <row r="1133" ht="15.75" customHeight="1">
      <c r="A1133" s="1" t="s">
        <v>1176</v>
      </c>
      <c r="B1133" s="1" t="s">
        <v>1154</v>
      </c>
      <c r="C1133" s="1"/>
      <c r="D1133" s="1"/>
      <c r="E1133" s="1"/>
      <c r="F1133" s="1"/>
      <c r="G1133" s="1"/>
      <c r="H1133" s="1"/>
      <c r="I1133" s="1"/>
    </row>
    <row r="1134" ht="15.75" customHeight="1">
      <c r="A1134" s="1" t="s">
        <v>1177</v>
      </c>
      <c r="B1134" s="1" t="s">
        <v>1154</v>
      </c>
      <c r="C1134" s="1"/>
      <c r="D1134" s="1"/>
      <c r="E1134" s="1"/>
      <c r="F1134" s="1"/>
      <c r="G1134" s="1"/>
      <c r="H1134" s="1"/>
      <c r="I1134" s="1"/>
    </row>
    <row r="1135" ht="15.75" customHeight="1">
      <c r="A1135" s="1" t="s">
        <v>1178</v>
      </c>
      <c r="B1135" s="1" t="s">
        <v>1154</v>
      </c>
      <c r="C1135" s="1"/>
      <c r="D1135" s="1"/>
      <c r="E1135" s="1"/>
      <c r="F1135" s="1"/>
      <c r="G1135" s="1"/>
      <c r="H1135" s="1"/>
      <c r="I1135" s="1"/>
    </row>
    <row r="1136" ht="15.75" customHeight="1">
      <c r="A1136" s="1" t="s">
        <v>1179</v>
      </c>
      <c r="B1136" s="1" t="s">
        <v>1154</v>
      </c>
      <c r="C1136" s="1"/>
      <c r="D1136" s="1"/>
      <c r="E1136" s="1"/>
      <c r="F1136" s="1"/>
      <c r="G1136" s="1"/>
      <c r="H1136" s="1"/>
      <c r="I1136" s="1"/>
    </row>
    <row r="1137" ht="15.75" customHeight="1">
      <c r="A1137" s="1" t="s">
        <v>1180</v>
      </c>
      <c r="B1137" s="1" t="s">
        <v>1154</v>
      </c>
      <c r="C1137" s="1"/>
      <c r="D1137" s="1"/>
      <c r="E1137" s="1"/>
      <c r="F1137" s="1"/>
      <c r="G1137" s="1"/>
      <c r="H1137" s="1"/>
      <c r="I1137" s="1"/>
    </row>
    <row r="1138" ht="15.75" customHeight="1">
      <c r="A1138" s="1" t="s">
        <v>1181</v>
      </c>
      <c r="B1138" s="1" t="s">
        <v>1154</v>
      </c>
      <c r="C1138" s="1"/>
      <c r="D1138" s="1"/>
      <c r="E1138" s="1"/>
      <c r="F1138" s="1"/>
      <c r="G1138" s="1"/>
      <c r="H1138" s="1"/>
      <c r="I1138" s="1"/>
    </row>
    <row r="1139" ht="15.75" customHeight="1">
      <c r="A1139" s="1" t="s">
        <v>1182</v>
      </c>
      <c r="B1139" s="1" t="s">
        <v>1154</v>
      </c>
      <c r="C1139" s="1"/>
      <c r="D1139" s="1"/>
      <c r="E1139" s="1"/>
      <c r="F1139" s="1"/>
      <c r="G1139" s="1"/>
      <c r="H1139" s="1"/>
      <c r="I1139" s="1"/>
    </row>
    <row r="1140" ht="15.75" customHeight="1">
      <c r="A1140" s="1" t="s">
        <v>1183</v>
      </c>
      <c r="B1140" s="1" t="s">
        <v>1154</v>
      </c>
      <c r="C1140" s="1"/>
      <c r="D1140" s="1"/>
      <c r="E1140" s="1"/>
      <c r="F1140" s="1"/>
      <c r="G1140" s="1"/>
      <c r="H1140" s="1"/>
      <c r="I1140" s="1"/>
    </row>
    <row r="1141" ht="15.75" customHeight="1">
      <c r="A1141" s="1" t="s">
        <v>1184</v>
      </c>
      <c r="B1141" s="1" t="s">
        <v>1154</v>
      </c>
      <c r="C1141" s="1"/>
      <c r="D1141" s="1"/>
      <c r="E1141" s="1"/>
      <c r="F1141" s="1"/>
      <c r="G1141" s="1"/>
      <c r="H1141" s="1"/>
      <c r="I1141" s="1"/>
    </row>
    <row r="1142" ht="15.75" customHeight="1">
      <c r="A1142" s="1" t="s">
        <v>1185</v>
      </c>
      <c r="B1142" s="1" t="s">
        <v>1154</v>
      </c>
      <c r="C1142" s="1"/>
      <c r="D1142" s="1"/>
      <c r="E1142" s="1"/>
      <c r="F1142" s="1"/>
      <c r="G1142" s="1"/>
      <c r="H1142" s="1"/>
      <c r="I1142" s="1"/>
    </row>
    <row r="1143" ht="15.75" customHeight="1">
      <c r="A1143" s="1" t="s">
        <v>1186</v>
      </c>
      <c r="B1143" s="1" t="s">
        <v>1154</v>
      </c>
      <c r="C1143" s="1"/>
      <c r="D1143" s="1"/>
      <c r="E1143" s="1"/>
      <c r="F1143" s="1"/>
      <c r="G1143" s="1"/>
      <c r="H1143" s="1"/>
      <c r="I1143" s="1"/>
    </row>
    <row r="1144" ht="15.75" customHeight="1">
      <c r="A1144" s="1" t="s">
        <v>1187</v>
      </c>
      <c r="B1144" s="1" t="s">
        <v>1154</v>
      </c>
      <c r="C1144" s="1"/>
      <c r="D1144" s="1"/>
      <c r="E1144" s="1"/>
      <c r="F1144" s="1"/>
      <c r="G1144" s="1"/>
      <c r="H1144" s="1"/>
      <c r="I1144" s="1"/>
    </row>
    <row r="1145" ht="15.75" customHeight="1">
      <c r="A1145" s="1" t="s">
        <v>1188</v>
      </c>
      <c r="B1145" s="1" t="s">
        <v>1154</v>
      </c>
      <c r="C1145" s="1"/>
      <c r="D1145" s="1"/>
      <c r="E1145" s="1"/>
      <c r="F1145" s="1"/>
      <c r="G1145" s="1"/>
      <c r="H1145" s="1"/>
      <c r="I1145" s="1"/>
    </row>
    <row r="1146" ht="15.75" customHeight="1">
      <c r="A1146" s="1" t="s">
        <v>1189</v>
      </c>
      <c r="B1146" s="1" t="s">
        <v>1154</v>
      </c>
      <c r="C1146" s="1"/>
      <c r="D1146" s="1"/>
      <c r="E1146" s="1"/>
      <c r="F1146" s="1"/>
      <c r="G1146" s="1"/>
      <c r="H1146" s="1"/>
      <c r="I1146" s="1"/>
    </row>
    <row r="1147" ht="15.75" customHeight="1">
      <c r="A1147" s="1" t="s">
        <v>1190</v>
      </c>
      <c r="B1147" s="1" t="s">
        <v>1154</v>
      </c>
      <c r="C1147" s="1"/>
      <c r="D1147" s="1"/>
      <c r="E1147" s="1"/>
      <c r="F1147" s="1"/>
      <c r="G1147" s="1"/>
      <c r="H1147" s="1"/>
      <c r="I1147" s="1"/>
    </row>
    <row r="1148" ht="15.75" customHeight="1">
      <c r="A1148" s="1" t="s">
        <v>1191</v>
      </c>
      <c r="B1148" s="1" t="s">
        <v>1154</v>
      </c>
      <c r="C1148" s="1"/>
      <c r="D1148" s="1"/>
      <c r="E1148" s="1"/>
      <c r="F1148" s="1"/>
      <c r="G1148" s="1"/>
      <c r="H1148" s="1"/>
      <c r="I1148" s="1"/>
    </row>
    <row r="1149" ht="15.75" customHeight="1">
      <c r="A1149" s="1" t="s">
        <v>1192</v>
      </c>
      <c r="B1149" s="1" t="s">
        <v>1154</v>
      </c>
      <c r="C1149" s="1"/>
      <c r="D1149" s="1"/>
      <c r="E1149" s="1"/>
      <c r="F1149" s="1"/>
      <c r="G1149" s="1"/>
      <c r="H1149" s="1"/>
      <c r="I1149" s="1"/>
    </row>
    <row r="1150" ht="15.75" customHeight="1">
      <c r="A1150" s="1" t="s">
        <v>1193</v>
      </c>
      <c r="B1150" s="1" t="s">
        <v>1154</v>
      </c>
      <c r="C1150" s="1"/>
      <c r="D1150" s="1"/>
      <c r="E1150" s="1"/>
      <c r="F1150" s="1"/>
      <c r="G1150" s="1"/>
      <c r="H1150" s="1"/>
      <c r="I1150" s="1"/>
    </row>
    <row r="1151" ht="15.75" customHeight="1">
      <c r="A1151" s="1" t="s">
        <v>1194</v>
      </c>
      <c r="B1151" s="1" t="s">
        <v>1154</v>
      </c>
      <c r="C1151" s="1"/>
      <c r="D1151" s="1"/>
      <c r="E1151" s="1"/>
      <c r="F1151" s="1"/>
      <c r="G1151" s="1"/>
      <c r="H1151" s="1"/>
      <c r="I1151" s="1"/>
    </row>
    <row r="1152" ht="15.75" customHeight="1">
      <c r="A1152" s="1" t="s">
        <v>1195</v>
      </c>
      <c r="B1152" s="1" t="s">
        <v>1154</v>
      </c>
      <c r="C1152" s="1"/>
      <c r="D1152" s="1"/>
      <c r="E1152" s="1"/>
      <c r="F1152" s="1"/>
      <c r="G1152" s="1"/>
      <c r="H1152" s="1"/>
      <c r="I1152" s="1"/>
    </row>
    <row r="1153" ht="15.75" customHeight="1">
      <c r="A1153" s="1" t="s">
        <v>1196</v>
      </c>
      <c r="B1153" s="1" t="s">
        <v>1154</v>
      </c>
      <c r="C1153" s="1"/>
      <c r="D1153" s="1"/>
      <c r="E1153" s="1"/>
      <c r="F1153" s="1"/>
      <c r="G1153" s="1"/>
      <c r="H1153" s="1"/>
      <c r="I1153" s="1"/>
    </row>
    <row r="1154" ht="15.75" customHeight="1">
      <c r="A1154" s="1" t="s">
        <v>1197</v>
      </c>
      <c r="B1154" s="1" t="s">
        <v>1154</v>
      </c>
      <c r="C1154" s="1"/>
      <c r="D1154" s="1"/>
      <c r="E1154" s="1"/>
      <c r="F1154" s="1"/>
      <c r="G1154" s="1"/>
      <c r="H1154" s="1"/>
      <c r="I1154" s="1"/>
    </row>
    <row r="1155" ht="15.75" customHeight="1">
      <c r="A1155" s="1" t="s">
        <v>1198</v>
      </c>
      <c r="B1155" s="1" t="s">
        <v>1154</v>
      </c>
      <c r="C1155" s="1"/>
      <c r="D1155" s="1"/>
      <c r="E1155" s="1"/>
      <c r="F1155" s="1"/>
      <c r="G1155" s="1"/>
      <c r="H1155" s="1"/>
      <c r="I1155" s="1"/>
    </row>
    <row r="1156" ht="15.75" customHeight="1">
      <c r="A1156" s="1" t="s">
        <v>1199</v>
      </c>
      <c r="B1156" s="1" t="s">
        <v>1154</v>
      </c>
      <c r="C1156" s="1"/>
      <c r="D1156" s="1"/>
      <c r="E1156" s="1"/>
      <c r="F1156" s="1"/>
      <c r="G1156" s="1"/>
      <c r="H1156" s="1"/>
      <c r="I1156" s="1"/>
    </row>
    <row r="1157" ht="15.75" customHeight="1">
      <c r="A1157" s="1" t="s">
        <v>1200</v>
      </c>
      <c r="B1157" s="1" t="s">
        <v>1154</v>
      </c>
      <c r="C1157" s="1"/>
      <c r="D1157" s="1"/>
      <c r="E1157" s="1"/>
      <c r="F1157" s="1"/>
      <c r="G1157" s="1"/>
      <c r="H1157" s="1"/>
      <c r="I1157" s="1"/>
    </row>
    <row r="1158" ht="15.75" customHeight="1">
      <c r="A1158" s="1" t="s">
        <v>1201</v>
      </c>
      <c r="B1158" s="1" t="s">
        <v>1154</v>
      </c>
      <c r="C1158" s="1"/>
      <c r="D1158" s="1"/>
      <c r="E1158" s="1"/>
      <c r="F1158" s="1"/>
      <c r="G1158" s="1"/>
      <c r="H1158" s="1"/>
      <c r="I1158" s="1"/>
    </row>
    <row r="1159" ht="15.75" customHeight="1">
      <c r="A1159" s="1" t="s">
        <v>1202</v>
      </c>
      <c r="B1159" s="1" t="s">
        <v>1154</v>
      </c>
      <c r="C1159" s="1"/>
      <c r="D1159" s="1"/>
      <c r="E1159" s="1"/>
      <c r="F1159" s="1"/>
      <c r="G1159" s="1"/>
      <c r="H1159" s="1"/>
      <c r="I1159" s="1"/>
    </row>
    <row r="1160" ht="15.75" customHeight="1">
      <c r="A1160" s="1" t="s">
        <v>1203</v>
      </c>
      <c r="B1160" s="1" t="s">
        <v>1154</v>
      </c>
      <c r="C1160" s="1"/>
      <c r="D1160" s="1"/>
      <c r="E1160" s="1"/>
      <c r="F1160" s="1"/>
      <c r="G1160" s="1"/>
      <c r="H1160" s="1"/>
      <c r="I1160" s="1"/>
    </row>
    <row r="1161" ht="15.75" customHeight="1">
      <c r="A1161" s="1" t="s">
        <v>1204</v>
      </c>
      <c r="B1161" s="1" t="s">
        <v>1154</v>
      </c>
      <c r="C1161" s="1"/>
      <c r="D1161" s="1"/>
      <c r="E1161" s="1"/>
      <c r="F1161" s="1"/>
      <c r="G1161" s="1"/>
      <c r="H1161" s="1"/>
      <c r="I1161" s="1"/>
    </row>
    <row r="1162" ht="15.75" customHeight="1">
      <c r="A1162" s="1" t="s">
        <v>1205</v>
      </c>
      <c r="B1162" s="1" t="s">
        <v>1154</v>
      </c>
      <c r="C1162" s="1"/>
      <c r="D1162" s="1"/>
      <c r="E1162" s="1"/>
      <c r="F1162" s="1"/>
      <c r="G1162" s="1"/>
      <c r="H1162" s="1"/>
      <c r="I1162" s="1"/>
    </row>
    <row r="1163" ht="15.75" customHeight="1">
      <c r="A1163" s="1" t="s">
        <v>1206</v>
      </c>
      <c r="B1163" s="1" t="s">
        <v>1154</v>
      </c>
      <c r="C1163" s="1"/>
      <c r="D1163" s="1"/>
      <c r="E1163" s="1"/>
      <c r="F1163" s="1"/>
      <c r="G1163" s="1"/>
      <c r="H1163" s="1"/>
      <c r="I1163" s="1"/>
    </row>
    <row r="1164" ht="15.75" customHeight="1">
      <c r="A1164" s="1" t="s">
        <v>1207</v>
      </c>
      <c r="B1164" s="1" t="s">
        <v>1154</v>
      </c>
      <c r="C1164" s="1"/>
      <c r="D1164" s="1"/>
      <c r="E1164" s="1"/>
      <c r="F1164" s="1"/>
      <c r="G1164" s="1"/>
      <c r="H1164" s="1"/>
      <c r="I1164" s="1"/>
    </row>
    <row r="1165" ht="15.75" customHeight="1">
      <c r="A1165" s="1" t="s">
        <v>1208</v>
      </c>
      <c r="B1165" s="1" t="s">
        <v>1154</v>
      </c>
      <c r="C1165" s="1"/>
      <c r="D1165" s="1"/>
      <c r="E1165" s="1"/>
      <c r="F1165" s="1"/>
      <c r="G1165" s="1"/>
      <c r="H1165" s="1"/>
      <c r="I1165" s="1"/>
    </row>
    <row r="1166" ht="15.75" customHeight="1">
      <c r="A1166" s="1" t="s">
        <v>1209</v>
      </c>
      <c r="B1166" s="1" t="s">
        <v>1154</v>
      </c>
      <c r="C1166" s="1"/>
      <c r="D1166" s="1"/>
      <c r="E1166" s="1"/>
      <c r="F1166" s="1"/>
      <c r="G1166" s="1"/>
      <c r="H1166" s="1"/>
      <c r="I1166" s="1"/>
    </row>
    <row r="1167" ht="15.75" customHeight="1">
      <c r="A1167" s="1" t="s">
        <v>1210</v>
      </c>
      <c r="B1167" s="1" t="s">
        <v>1154</v>
      </c>
      <c r="C1167" s="1"/>
      <c r="D1167" s="1"/>
      <c r="E1167" s="1"/>
      <c r="F1167" s="1"/>
      <c r="G1167" s="1"/>
      <c r="H1167" s="1"/>
      <c r="I1167" s="1"/>
    </row>
    <row r="1168" ht="15.75" customHeight="1">
      <c r="A1168" s="1" t="s">
        <v>1211</v>
      </c>
      <c r="B1168" s="1" t="s">
        <v>1154</v>
      </c>
      <c r="C1168" s="1"/>
      <c r="D1168" s="1"/>
      <c r="E1168" s="1"/>
      <c r="F1168" s="1"/>
      <c r="G1168" s="1"/>
      <c r="H1168" s="1"/>
      <c r="I1168" s="1"/>
    </row>
    <row r="1169" ht="15.75" customHeight="1">
      <c r="A1169" s="1" t="s">
        <v>1212</v>
      </c>
      <c r="B1169" s="1" t="s">
        <v>1154</v>
      </c>
      <c r="C1169" s="1"/>
      <c r="D1169" s="1"/>
      <c r="E1169" s="1"/>
      <c r="F1169" s="1"/>
      <c r="G1169" s="1"/>
      <c r="H1169" s="1"/>
      <c r="I1169" s="1"/>
    </row>
    <row r="1170" ht="15.75" customHeight="1">
      <c r="A1170" s="1" t="s">
        <v>1213</v>
      </c>
      <c r="B1170" s="1" t="s">
        <v>1154</v>
      </c>
      <c r="C1170" s="1"/>
      <c r="D1170" s="1"/>
      <c r="E1170" s="1"/>
      <c r="F1170" s="1"/>
      <c r="G1170" s="1"/>
      <c r="H1170" s="1"/>
      <c r="I1170" s="1"/>
    </row>
    <row r="1171" ht="15.75" customHeight="1">
      <c r="A1171" s="1" t="s">
        <v>1214</v>
      </c>
      <c r="B1171" s="1" t="s">
        <v>1154</v>
      </c>
      <c r="C1171" s="1"/>
      <c r="D1171" s="1"/>
      <c r="E1171" s="1"/>
      <c r="F1171" s="1"/>
      <c r="G1171" s="1"/>
      <c r="H1171" s="1"/>
      <c r="I1171" s="1"/>
    </row>
    <row r="1172" ht="15.75" customHeight="1">
      <c r="A1172" s="1" t="s">
        <v>1215</v>
      </c>
      <c r="B1172" s="1" t="s">
        <v>1154</v>
      </c>
      <c r="C1172" s="1"/>
      <c r="D1172" s="1"/>
      <c r="E1172" s="1"/>
      <c r="F1172" s="1"/>
      <c r="G1172" s="1"/>
      <c r="H1172" s="1"/>
      <c r="I1172" s="1"/>
    </row>
    <row r="1173" ht="15.75" customHeight="1">
      <c r="A1173" s="1" t="s">
        <v>1216</v>
      </c>
      <c r="B1173" s="1" t="s">
        <v>1154</v>
      </c>
      <c r="C1173" s="1"/>
      <c r="D1173" s="1"/>
      <c r="E1173" s="1"/>
      <c r="F1173" s="1"/>
      <c r="G1173" s="1"/>
      <c r="H1173" s="1"/>
      <c r="I1173" s="1"/>
    </row>
    <row r="1174" ht="15.75" customHeight="1">
      <c r="A1174" s="1" t="s">
        <v>1217</v>
      </c>
      <c r="B1174" s="1" t="s">
        <v>1154</v>
      </c>
      <c r="C1174" s="1"/>
      <c r="D1174" s="1"/>
      <c r="E1174" s="1"/>
      <c r="F1174" s="1"/>
      <c r="G1174" s="1"/>
      <c r="H1174" s="1"/>
      <c r="I1174" s="1"/>
    </row>
    <row r="1175" ht="15.75" customHeight="1">
      <c r="A1175" s="1" t="s">
        <v>1218</v>
      </c>
      <c r="B1175" s="1" t="s">
        <v>1154</v>
      </c>
      <c r="C1175" s="1"/>
      <c r="D1175" s="1"/>
      <c r="E1175" s="1"/>
      <c r="F1175" s="1"/>
      <c r="G1175" s="1"/>
      <c r="H1175" s="1"/>
      <c r="I1175" s="1"/>
    </row>
    <row r="1176" ht="15.75" customHeight="1">
      <c r="A1176" s="1" t="s">
        <v>1219</v>
      </c>
      <c r="B1176" s="1" t="s">
        <v>1154</v>
      </c>
      <c r="C1176" s="1"/>
      <c r="D1176" s="1"/>
      <c r="E1176" s="1"/>
      <c r="F1176" s="1"/>
      <c r="G1176" s="1"/>
      <c r="H1176" s="1"/>
      <c r="I1176" s="1"/>
    </row>
    <row r="1177" ht="15.75" customHeight="1">
      <c r="A1177" s="1" t="s">
        <v>1220</v>
      </c>
      <c r="B1177" s="1" t="s">
        <v>1154</v>
      </c>
      <c r="C1177" s="1"/>
      <c r="D1177" s="1"/>
      <c r="E1177" s="1"/>
      <c r="F1177" s="1"/>
      <c r="G1177" s="1"/>
      <c r="H1177" s="1"/>
      <c r="I1177" s="1"/>
    </row>
    <row r="1178" ht="15.75" customHeight="1">
      <c r="A1178" s="1" t="s">
        <v>1221</v>
      </c>
      <c r="B1178" s="1" t="s">
        <v>1154</v>
      </c>
      <c r="C1178" s="1"/>
      <c r="D1178" s="1"/>
      <c r="E1178" s="1"/>
      <c r="F1178" s="1"/>
      <c r="G1178" s="1"/>
      <c r="H1178" s="1"/>
      <c r="I1178" s="1"/>
    </row>
    <row r="1179" ht="15.75" customHeight="1">
      <c r="A1179" s="1" t="s">
        <v>1222</v>
      </c>
      <c r="B1179" s="1" t="s">
        <v>1154</v>
      </c>
      <c r="C1179" s="1"/>
      <c r="D1179" s="1"/>
      <c r="E1179" s="1"/>
      <c r="F1179" s="1"/>
      <c r="G1179" s="1"/>
      <c r="H1179" s="1"/>
      <c r="I1179" s="1"/>
    </row>
    <row r="1180" ht="15.75" customHeight="1">
      <c r="A1180" s="1" t="s">
        <v>1223</v>
      </c>
      <c r="B1180" s="1" t="s">
        <v>1154</v>
      </c>
      <c r="C1180" s="1"/>
      <c r="D1180" s="1"/>
      <c r="E1180" s="1"/>
      <c r="F1180" s="1"/>
      <c r="G1180" s="1"/>
      <c r="H1180" s="1"/>
      <c r="I1180" s="1"/>
    </row>
    <row r="1181" ht="15.75" customHeight="1">
      <c r="A1181" s="1" t="s">
        <v>1224</v>
      </c>
      <c r="B1181" s="1" t="s">
        <v>1154</v>
      </c>
      <c r="C1181" s="1"/>
      <c r="D1181" s="1"/>
      <c r="E1181" s="1"/>
      <c r="F1181" s="1"/>
      <c r="G1181" s="1"/>
      <c r="H1181" s="1"/>
      <c r="I1181" s="1"/>
    </row>
    <row r="1182" ht="15.75" customHeight="1">
      <c r="A1182" s="1" t="s">
        <v>1225</v>
      </c>
      <c r="B1182" s="1" t="s">
        <v>1154</v>
      </c>
      <c r="C1182" s="1"/>
      <c r="D1182" s="1"/>
      <c r="E1182" s="1"/>
      <c r="F1182" s="1"/>
      <c r="G1182" s="1"/>
      <c r="H1182" s="1"/>
      <c r="I1182" s="1"/>
    </row>
    <row r="1183" ht="15.75" customHeight="1">
      <c r="A1183" s="1" t="s">
        <v>1226</v>
      </c>
      <c r="B1183" s="1" t="s">
        <v>1154</v>
      </c>
      <c r="C1183" s="1"/>
      <c r="D1183" s="1"/>
      <c r="E1183" s="1"/>
      <c r="F1183" s="1"/>
      <c r="G1183" s="1"/>
      <c r="H1183" s="1"/>
      <c r="I1183" s="1"/>
    </row>
    <row r="1184" ht="15.75" customHeight="1">
      <c r="A1184" s="1" t="s">
        <v>1227</v>
      </c>
      <c r="B1184" s="1" t="s">
        <v>1154</v>
      </c>
      <c r="C1184" s="1"/>
      <c r="D1184" s="1"/>
      <c r="E1184" s="1"/>
      <c r="F1184" s="1"/>
      <c r="G1184" s="1"/>
      <c r="H1184" s="1"/>
      <c r="I1184" s="1"/>
    </row>
    <row r="1185" ht="15.75" customHeight="1">
      <c r="A1185" s="1" t="s">
        <v>1228</v>
      </c>
      <c r="B1185" s="1" t="s">
        <v>1154</v>
      </c>
      <c r="C1185" s="1"/>
      <c r="D1185" s="1"/>
      <c r="E1185" s="1"/>
      <c r="F1185" s="1"/>
      <c r="G1185" s="1"/>
      <c r="H1185" s="1"/>
      <c r="I1185" s="1"/>
    </row>
    <row r="1186" ht="15.75" customHeight="1">
      <c r="A1186" s="1" t="s">
        <v>1229</v>
      </c>
      <c r="B1186" s="1" t="s">
        <v>1154</v>
      </c>
      <c r="C1186" s="1"/>
      <c r="D1186" s="1"/>
      <c r="E1186" s="1"/>
      <c r="F1186" s="1"/>
      <c r="G1186" s="1"/>
      <c r="H1186" s="1"/>
      <c r="I1186" s="1"/>
    </row>
    <row r="1187" ht="15.75" customHeight="1">
      <c r="A1187" s="1" t="s">
        <v>1230</v>
      </c>
      <c r="B1187" s="1" t="s">
        <v>1154</v>
      </c>
      <c r="C1187" s="1"/>
      <c r="D1187" s="1"/>
      <c r="E1187" s="1"/>
      <c r="F1187" s="1"/>
      <c r="G1187" s="1"/>
      <c r="H1187" s="1"/>
      <c r="I1187" s="1"/>
    </row>
    <row r="1188" ht="15.75" customHeight="1">
      <c r="A1188" s="1" t="s">
        <v>1231</v>
      </c>
      <c r="B1188" s="1" t="s">
        <v>1154</v>
      </c>
      <c r="C1188" s="1"/>
      <c r="D1188" s="1"/>
      <c r="E1188" s="1"/>
      <c r="F1188" s="1"/>
      <c r="G1188" s="1"/>
      <c r="H1188" s="1"/>
      <c r="I1188" s="1"/>
    </row>
    <row r="1189" ht="15.75" customHeight="1">
      <c r="A1189" s="1" t="s">
        <v>1232</v>
      </c>
      <c r="B1189" s="1" t="s">
        <v>1154</v>
      </c>
      <c r="C1189" s="1"/>
      <c r="D1189" s="1"/>
      <c r="E1189" s="1"/>
      <c r="F1189" s="1"/>
      <c r="G1189" s="1"/>
      <c r="H1189" s="1"/>
      <c r="I1189" s="1"/>
    </row>
    <row r="1190" ht="15.75" customHeight="1">
      <c r="A1190" s="1" t="s">
        <v>1233</v>
      </c>
      <c r="B1190" s="1" t="s">
        <v>1154</v>
      </c>
      <c r="C1190" s="1"/>
      <c r="D1190" s="1"/>
      <c r="E1190" s="1"/>
      <c r="F1190" s="1"/>
      <c r="G1190" s="1"/>
      <c r="H1190" s="1"/>
      <c r="I1190" s="1"/>
    </row>
    <row r="1191" ht="15.75" customHeight="1">
      <c r="A1191" s="1" t="s">
        <v>1234</v>
      </c>
      <c r="B1191" s="1" t="s">
        <v>1154</v>
      </c>
      <c r="C1191" s="1"/>
      <c r="D1191" s="1"/>
      <c r="E1191" s="1"/>
      <c r="F1191" s="1"/>
      <c r="G1191" s="1"/>
      <c r="H1191" s="1"/>
      <c r="I1191" s="1"/>
    </row>
    <row r="1192" ht="15.75" customHeight="1">
      <c r="A1192" s="1" t="s">
        <v>1235</v>
      </c>
      <c r="B1192" s="1" t="s">
        <v>1154</v>
      </c>
      <c r="C1192" s="1"/>
      <c r="D1192" s="1"/>
      <c r="E1192" s="1"/>
      <c r="F1192" s="1"/>
      <c r="G1192" s="1"/>
      <c r="H1192" s="1"/>
      <c r="I1192" s="1"/>
    </row>
    <row r="1193" ht="15.75" customHeight="1">
      <c r="A1193" s="1" t="s">
        <v>1236</v>
      </c>
      <c r="B1193" s="1" t="s">
        <v>1154</v>
      </c>
      <c r="C1193" s="1"/>
      <c r="D1193" s="1"/>
      <c r="E1193" s="1"/>
      <c r="F1193" s="1"/>
      <c r="G1193" s="1"/>
      <c r="H1193" s="1"/>
      <c r="I1193" s="1"/>
    </row>
    <row r="1194" ht="15.75" customHeight="1">
      <c r="A1194" s="1" t="s">
        <v>1237</v>
      </c>
      <c r="B1194" s="1" t="s">
        <v>1154</v>
      </c>
      <c r="C1194" s="1"/>
      <c r="D1194" s="1"/>
      <c r="E1194" s="1"/>
      <c r="F1194" s="1"/>
      <c r="G1194" s="1"/>
      <c r="H1194" s="1"/>
      <c r="I1194" s="1"/>
    </row>
    <row r="1195" ht="15.75" customHeight="1">
      <c r="A1195" s="1" t="s">
        <v>1238</v>
      </c>
      <c r="B1195" s="1" t="s">
        <v>1154</v>
      </c>
      <c r="C1195" s="1"/>
      <c r="D1195" s="1"/>
      <c r="E1195" s="1"/>
      <c r="F1195" s="1"/>
      <c r="G1195" s="1"/>
      <c r="H1195" s="1"/>
      <c r="I1195" s="1"/>
    </row>
    <row r="1196" ht="15.75" customHeight="1">
      <c r="A1196" s="1" t="s">
        <v>1239</v>
      </c>
      <c r="B1196" s="1" t="s">
        <v>1154</v>
      </c>
      <c r="C1196" s="1"/>
      <c r="D1196" s="1"/>
      <c r="E1196" s="1"/>
      <c r="F1196" s="1"/>
      <c r="G1196" s="1"/>
      <c r="H1196" s="1"/>
      <c r="I1196" s="1"/>
    </row>
    <row r="1197" ht="15.75" customHeight="1">
      <c r="A1197" s="1" t="s">
        <v>1240</v>
      </c>
      <c r="B1197" s="1" t="s">
        <v>1154</v>
      </c>
      <c r="C1197" s="1"/>
      <c r="D1197" s="1"/>
      <c r="E1197" s="1"/>
      <c r="F1197" s="1"/>
      <c r="G1197" s="1"/>
      <c r="H1197" s="1"/>
      <c r="I1197" s="1"/>
    </row>
    <row r="1198" ht="15.75" customHeight="1">
      <c r="A1198" s="1" t="s">
        <v>1241</v>
      </c>
      <c r="B1198" s="1" t="s">
        <v>1154</v>
      </c>
      <c r="C1198" s="1"/>
      <c r="D1198" s="1"/>
      <c r="E1198" s="1"/>
      <c r="F1198" s="1"/>
      <c r="G1198" s="1"/>
      <c r="H1198" s="1"/>
      <c r="I1198" s="1"/>
    </row>
    <row r="1199" ht="15.75" customHeight="1">
      <c r="A1199" s="1" t="s">
        <v>1242</v>
      </c>
      <c r="B1199" s="1" t="s">
        <v>1154</v>
      </c>
      <c r="C1199" s="1"/>
      <c r="D1199" s="1"/>
      <c r="E1199" s="1"/>
      <c r="F1199" s="1"/>
      <c r="G1199" s="1"/>
      <c r="H1199" s="1"/>
      <c r="I1199" s="1"/>
    </row>
    <row r="1200" ht="15.75" customHeight="1">
      <c r="A1200" s="1" t="s">
        <v>1243</v>
      </c>
      <c r="B1200" s="1" t="s">
        <v>1154</v>
      </c>
      <c r="C1200" s="1"/>
      <c r="D1200" s="1"/>
      <c r="E1200" s="1"/>
      <c r="F1200" s="1"/>
      <c r="G1200" s="1"/>
      <c r="H1200" s="1"/>
      <c r="I1200" s="1"/>
    </row>
    <row r="1201" ht="15.75" customHeight="1">
      <c r="A1201" s="1" t="s">
        <v>1244</v>
      </c>
      <c r="B1201" s="1" t="s">
        <v>1154</v>
      </c>
      <c r="C1201" s="1"/>
      <c r="D1201" s="1"/>
      <c r="E1201" s="1"/>
      <c r="F1201" s="1"/>
      <c r="G1201" s="1"/>
      <c r="H1201" s="1"/>
      <c r="I1201" s="1"/>
    </row>
    <row r="1202" ht="15.75" customHeight="1">
      <c r="A1202" s="1" t="s">
        <v>1245</v>
      </c>
      <c r="B1202" s="1" t="s">
        <v>1154</v>
      </c>
      <c r="C1202" s="1"/>
      <c r="D1202" s="1"/>
      <c r="E1202" s="1"/>
      <c r="F1202" s="1"/>
      <c r="G1202" s="1"/>
      <c r="H1202" s="1"/>
      <c r="I1202" s="1"/>
    </row>
    <row r="1203" ht="15.75" customHeight="1">
      <c r="A1203" s="1" t="s">
        <v>1246</v>
      </c>
      <c r="B1203" s="1" t="s">
        <v>1154</v>
      </c>
      <c r="C1203" s="1"/>
      <c r="D1203" s="1"/>
      <c r="E1203" s="1"/>
      <c r="F1203" s="1"/>
      <c r="G1203" s="1"/>
      <c r="H1203" s="1"/>
      <c r="I1203" s="1"/>
    </row>
    <row r="1204" ht="15.75" customHeight="1">
      <c r="A1204" s="1" t="s">
        <v>1247</v>
      </c>
      <c r="B1204" s="1" t="s">
        <v>1154</v>
      </c>
      <c r="C1204" s="1"/>
      <c r="D1204" s="1"/>
      <c r="E1204" s="1"/>
      <c r="F1204" s="1"/>
      <c r="G1204" s="1"/>
      <c r="H1204" s="1"/>
      <c r="I1204" s="1"/>
    </row>
    <row r="1205" ht="15.75" customHeight="1">
      <c r="A1205" s="1" t="s">
        <v>1248</v>
      </c>
      <c r="B1205" s="1" t="s">
        <v>1154</v>
      </c>
      <c r="C1205" s="1"/>
      <c r="D1205" s="1"/>
      <c r="E1205" s="1"/>
      <c r="F1205" s="1"/>
      <c r="G1205" s="1"/>
      <c r="H1205" s="1"/>
      <c r="I1205" s="1"/>
    </row>
    <row r="1206" ht="15.75" customHeight="1">
      <c r="A1206" s="1" t="s">
        <v>1249</v>
      </c>
      <c r="B1206" s="1" t="s">
        <v>1154</v>
      </c>
      <c r="C1206" s="1"/>
      <c r="D1206" s="1"/>
      <c r="E1206" s="1"/>
      <c r="F1206" s="1"/>
      <c r="G1206" s="1"/>
      <c r="H1206" s="1"/>
      <c r="I1206" s="1"/>
    </row>
    <row r="1207" ht="15.75" customHeight="1">
      <c r="A1207" s="1" t="s">
        <v>1250</v>
      </c>
      <c r="B1207" s="1" t="s">
        <v>1154</v>
      </c>
      <c r="C1207" s="1"/>
      <c r="D1207" s="1"/>
      <c r="E1207" s="1"/>
      <c r="F1207" s="1"/>
      <c r="G1207" s="1"/>
      <c r="H1207" s="1"/>
      <c r="I1207" s="1"/>
    </row>
    <row r="1208" ht="15.75" customHeight="1">
      <c r="A1208" s="1" t="s">
        <v>1251</v>
      </c>
      <c r="B1208" s="1" t="s">
        <v>1154</v>
      </c>
      <c r="C1208" s="1"/>
      <c r="D1208" s="1"/>
      <c r="E1208" s="1"/>
      <c r="F1208" s="1"/>
      <c r="G1208" s="1"/>
      <c r="H1208" s="1"/>
      <c r="I1208" s="1"/>
    </row>
    <row r="1209" ht="15.75" customHeight="1">
      <c r="A1209" s="1" t="s">
        <v>1252</v>
      </c>
      <c r="B1209" s="1" t="s">
        <v>1154</v>
      </c>
      <c r="C1209" s="1"/>
      <c r="D1209" s="1"/>
      <c r="E1209" s="1"/>
      <c r="F1209" s="1"/>
      <c r="G1209" s="1"/>
      <c r="H1209" s="1"/>
      <c r="I1209" s="1"/>
    </row>
    <row r="1210" ht="15.75" customHeight="1">
      <c r="A1210" s="1" t="s">
        <v>1253</v>
      </c>
      <c r="B1210" s="1" t="s">
        <v>1154</v>
      </c>
      <c r="C1210" s="1"/>
      <c r="D1210" s="1"/>
      <c r="E1210" s="1"/>
      <c r="F1210" s="1"/>
      <c r="G1210" s="1"/>
      <c r="H1210" s="1"/>
      <c r="I1210" s="1"/>
    </row>
    <row r="1211" ht="15.75" customHeight="1">
      <c r="A1211" s="1" t="s">
        <v>1254</v>
      </c>
      <c r="B1211" s="1" t="s">
        <v>1154</v>
      </c>
      <c r="C1211" s="1"/>
      <c r="D1211" s="1"/>
      <c r="E1211" s="1"/>
      <c r="F1211" s="1"/>
      <c r="G1211" s="1"/>
      <c r="H1211" s="1"/>
      <c r="I1211" s="1"/>
    </row>
    <row r="1212" ht="15.75" customHeight="1">
      <c r="A1212" s="1" t="s">
        <v>1255</v>
      </c>
      <c r="B1212" s="1" t="s">
        <v>1154</v>
      </c>
      <c r="C1212" s="1"/>
      <c r="D1212" s="1"/>
      <c r="E1212" s="1"/>
      <c r="F1212" s="1"/>
      <c r="G1212" s="1"/>
      <c r="H1212" s="1"/>
      <c r="I1212" s="1"/>
    </row>
    <row r="1213" ht="15.75" customHeight="1">
      <c r="A1213" s="1" t="s">
        <v>1256</v>
      </c>
      <c r="B1213" s="1" t="s">
        <v>1154</v>
      </c>
      <c r="C1213" s="1"/>
      <c r="D1213" s="1"/>
      <c r="E1213" s="1"/>
      <c r="F1213" s="1"/>
      <c r="G1213" s="1"/>
      <c r="H1213" s="1"/>
      <c r="I1213" s="1"/>
    </row>
    <row r="1214" ht="15.75" customHeight="1">
      <c r="A1214" s="1" t="s">
        <v>1257</v>
      </c>
      <c r="B1214" s="1" t="s">
        <v>1154</v>
      </c>
      <c r="C1214" s="1"/>
      <c r="D1214" s="1"/>
      <c r="E1214" s="1"/>
      <c r="F1214" s="1"/>
      <c r="G1214" s="1"/>
      <c r="H1214" s="1"/>
      <c r="I1214" s="1"/>
    </row>
    <row r="1215" ht="15.75" customHeight="1">
      <c r="A1215" s="1" t="s">
        <v>1258</v>
      </c>
      <c r="B1215" s="1" t="s">
        <v>1154</v>
      </c>
      <c r="C1215" s="1"/>
      <c r="D1215" s="1"/>
      <c r="E1215" s="1"/>
      <c r="F1215" s="1"/>
      <c r="G1215" s="1"/>
      <c r="H1215" s="1"/>
      <c r="I1215" s="1"/>
    </row>
    <row r="1216" ht="15.75" customHeight="1">
      <c r="A1216" s="1" t="s">
        <v>1259</v>
      </c>
      <c r="B1216" s="1" t="s">
        <v>1154</v>
      </c>
      <c r="C1216" s="1"/>
      <c r="D1216" s="1"/>
      <c r="E1216" s="1"/>
      <c r="F1216" s="1"/>
      <c r="G1216" s="1"/>
      <c r="H1216" s="1"/>
      <c r="I1216" s="1"/>
    </row>
    <row r="1217" ht="15.75" customHeight="1">
      <c r="A1217" s="1" t="s">
        <v>1260</v>
      </c>
      <c r="B1217" s="1" t="s">
        <v>1154</v>
      </c>
      <c r="C1217" s="1"/>
      <c r="D1217" s="1"/>
      <c r="E1217" s="1"/>
      <c r="F1217" s="1"/>
      <c r="G1217" s="1"/>
      <c r="H1217" s="1"/>
      <c r="I1217" s="1"/>
    </row>
    <row r="1218" ht="15.75" customHeight="1">
      <c r="A1218" s="1" t="s">
        <v>1261</v>
      </c>
      <c r="B1218" s="1" t="s">
        <v>1154</v>
      </c>
      <c r="C1218" s="1"/>
      <c r="D1218" s="1"/>
      <c r="E1218" s="1"/>
      <c r="F1218" s="1"/>
      <c r="G1218" s="1"/>
      <c r="H1218" s="1"/>
      <c r="I1218" s="1"/>
    </row>
    <row r="1219" ht="15.75" customHeight="1">
      <c r="A1219" s="1" t="s">
        <v>1262</v>
      </c>
      <c r="B1219" s="1" t="s">
        <v>1154</v>
      </c>
      <c r="C1219" s="1"/>
      <c r="D1219" s="1"/>
      <c r="E1219" s="1"/>
      <c r="F1219" s="1"/>
      <c r="G1219" s="1"/>
      <c r="H1219" s="1"/>
      <c r="I1219" s="1"/>
    </row>
    <row r="1220" ht="15.75" customHeight="1">
      <c r="A1220" s="1" t="s">
        <v>1263</v>
      </c>
      <c r="B1220" s="1" t="s">
        <v>1154</v>
      </c>
      <c r="C1220" s="1"/>
      <c r="D1220" s="1"/>
      <c r="E1220" s="1"/>
      <c r="F1220" s="1"/>
      <c r="G1220" s="1"/>
      <c r="H1220" s="1"/>
      <c r="I1220" s="1"/>
    </row>
    <row r="1221" ht="15.75" customHeight="1">
      <c r="A1221" s="1" t="s">
        <v>1264</v>
      </c>
      <c r="B1221" s="1" t="s">
        <v>1154</v>
      </c>
      <c r="C1221" s="1"/>
      <c r="D1221" s="1"/>
      <c r="E1221" s="1"/>
      <c r="F1221" s="1"/>
      <c r="G1221" s="1"/>
      <c r="H1221" s="1"/>
      <c r="I1221" s="1"/>
    </row>
    <row r="1222" ht="15.75" customHeight="1">
      <c r="A1222" s="1" t="s">
        <v>1265</v>
      </c>
      <c r="B1222" s="1" t="s">
        <v>1154</v>
      </c>
      <c r="C1222" s="1"/>
      <c r="D1222" s="1"/>
      <c r="E1222" s="1"/>
      <c r="F1222" s="1"/>
      <c r="G1222" s="1"/>
      <c r="H1222" s="1"/>
      <c r="I1222" s="1"/>
    </row>
    <row r="1223" ht="15.75" customHeight="1">
      <c r="A1223" s="1" t="s">
        <v>1266</v>
      </c>
      <c r="B1223" s="1" t="s">
        <v>1154</v>
      </c>
      <c r="C1223" s="1"/>
      <c r="D1223" s="1"/>
      <c r="E1223" s="1"/>
      <c r="F1223" s="1"/>
      <c r="G1223" s="1"/>
      <c r="H1223" s="1"/>
      <c r="I1223" s="1"/>
    </row>
    <row r="1224" ht="15.75" customHeight="1">
      <c r="A1224" s="1" t="s">
        <v>1267</v>
      </c>
      <c r="B1224" s="1" t="s">
        <v>1154</v>
      </c>
      <c r="C1224" s="1"/>
      <c r="D1224" s="1"/>
      <c r="E1224" s="1"/>
      <c r="F1224" s="1"/>
      <c r="G1224" s="1"/>
      <c r="H1224" s="1"/>
      <c r="I1224" s="1"/>
    </row>
    <row r="1225" ht="15.75" customHeight="1">
      <c r="A1225" s="1" t="s">
        <v>1268</v>
      </c>
      <c r="B1225" s="1" t="s">
        <v>1154</v>
      </c>
      <c r="C1225" s="1"/>
      <c r="D1225" s="1"/>
      <c r="E1225" s="1"/>
      <c r="F1225" s="1"/>
      <c r="G1225" s="1"/>
      <c r="H1225" s="1"/>
      <c r="I1225" s="1"/>
    </row>
    <row r="1226" ht="15.75" customHeight="1">
      <c r="A1226" s="1" t="s">
        <v>1269</v>
      </c>
      <c r="B1226" s="1" t="s">
        <v>1154</v>
      </c>
      <c r="C1226" s="1"/>
      <c r="D1226" s="1"/>
      <c r="E1226" s="1"/>
      <c r="F1226" s="1"/>
      <c r="G1226" s="1"/>
      <c r="H1226" s="1"/>
      <c r="I1226" s="1"/>
    </row>
    <row r="1227" ht="15.75" customHeight="1">
      <c r="A1227" s="1" t="s">
        <v>1270</v>
      </c>
      <c r="B1227" s="1" t="s">
        <v>1154</v>
      </c>
      <c r="C1227" s="1"/>
      <c r="D1227" s="1"/>
      <c r="E1227" s="1"/>
      <c r="F1227" s="1"/>
      <c r="G1227" s="1"/>
      <c r="H1227" s="1"/>
      <c r="I1227" s="1"/>
    </row>
    <row r="1228" ht="15.75" customHeight="1">
      <c r="A1228" s="1" t="s">
        <v>1271</v>
      </c>
      <c r="B1228" s="1" t="s">
        <v>1154</v>
      </c>
      <c r="C1228" s="1"/>
      <c r="D1228" s="1"/>
      <c r="E1228" s="1"/>
      <c r="F1228" s="1"/>
      <c r="G1228" s="1"/>
      <c r="H1228" s="1"/>
      <c r="I1228" s="1"/>
    </row>
    <row r="1229" ht="15.75" customHeight="1">
      <c r="A1229" s="1" t="s">
        <v>1272</v>
      </c>
      <c r="B1229" s="1" t="s">
        <v>1154</v>
      </c>
      <c r="C1229" s="1"/>
      <c r="D1229" s="1"/>
      <c r="E1229" s="1"/>
      <c r="F1229" s="1"/>
      <c r="G1229" s="1"/>
      <c r="H1229" s="1"/>
      <c r="I1229" s="1"/>
    </row>
    <row r="1230" ht="15.75" customHeight="1">
      <c r="A1230" s="1" t="s">
        <v>1273</v>
      </c>
      <c r="B1230" s="1" t="s">
        <v>1154</v>
      </c>
      <c r="C1230" s="1"/>
      <c r="D1230" s="1"/>
      <c r="E1230" s="1"/>
      <c r="F1230" s="1"/>
      <c r="G1230" s="1"/>
      <c r="H1230" s="1"/>
      <c r="I1230" s="1"/>
    </row>
    <row r="1231" ht="15.75" customHeight="1">
      <c r="A1231" s="1" t="s">
        <v>1274</v>
      </c>
      <c r="B1231" s="1" t="s">
        <v>1154</v>
      </c>
      <c r="C1231" s="1"/>
      <c r="D1231" s="1"/>
      <c r="E1231" s="1"/>
      <c r="F1231" s="1"/>
      <c r="G1231" s="1"/>
      <c r="H1231" s="1"/>
      <c r="I1231" s="1"/>
    </row>
    <row r="1232" ht="15.75" customHeight="1">
      <c r="A1232" s="1" t="s">
        <v>1275</v>
      </c>
      <c r="B1232" s="1" t="s">
        <v>1154</v>
      </c>
      <c r="C1232" s="1"/>
      <c r="D1232" s="1"/>
      <c r="E1232" s="1"/>
      <c r="F1232" s="1"/>
      <c r="G1232" s="1"/>
      <c r="H1232" s="1"/>
      <c r="I1232" s="1"/>
    </row>
    <row r="1233" ht="15.75" customHeight="1">
      <c r="A1233" s="1" t="s">
        <v>1276</v>
      </c>
      <c r="B1233" s="1" t="s">
        <v>1154</v>
      </c>
      <c r="C1233" s="1"/>
      <c r="D1233" s="1"/>
      <c r="E1233" s="1"/>
      <c r="F1233" s="1"/>
      <c r="G1233" s="1"/>
      <c r="H1233" s="1"/>
      <c r="I1233" s="1"/>
    </row>
    <row r="1234" ht="15.75" customHeight="1">
      <c r="A1234" s="1" t="s">
        <v>1277</v>
      </c>
      <c r="B1234" s="1" t="s">
        <v>1154</v>
      </c>
      <c r="C1234" s="1"/>
      <c r="D1234" s="1"/>
      <c r="E1234" s="1"/>
      <c r="F1234" s="1"/>
      <c r="G1234" s="1"/>
      <c r="H1234" s="1"/>
      <c r="I1234" s="1"/>
    </row>
    <row r="1235" ht="15.75" customHeight="1">
      <c r="A1235" s="1" t="s">
        <v>1278</v>
      </c>
      <c r="B1235" s="1" t="s">
        <v>1154</v>
      </c>
      <c r="C1235" s="1"/>
      <c r="D1235" s="1"/>
      <c r="E1235" s="1"/>
      <c r="F1235" s="1"/>
      <c r="G1235" s="1"/>
      <c r="H1235" s="1"/>
      <c r="I1235" s="1"/>
    </row>
    <row r="1236" ht="15.75" customHeight="1">
      <c r="A1236" s="1" t="s">
        <v>1279</v>
      </c>
      <c r="B1236" s="1" t="s">
        <v>1154</v>
      </c>
      <c r="C1236" s="1"/>
      <c r="D1236" s="1"/>
      <c r="E1236" s="1"/>
      <c r="F1236" s="1"/>
      <c r="G1236" s="1"/>
      <c r="H1236" s="1"/>
      <c r="I1236" s="1"/>
    </row>
    <row r="1237" ht="15.75" customHeight="1">
      <c r="A1237" s="1" t="s">
        <v>1280</v>
      </c>
      <c r="B1237" s="1" t="s">
        <v>1154</v>
      </c>
      <c r="C1237" s="1"/>
      <c r="D1237" s="1"/>
      <c r="E1237" s="1"/>
      <c r="F1237" s="1"/>
      <c r="G1237" s="1"/>
      <c r="H1237" s="1"/>
      <c r="I1237" s="1"/>
    </row>
    <row r="1238" ht="15.75" customHeight="1">
      <c r="A1238" s="1" t="s">
        <v>1281</v>
      </c>
      <c r="B1238" s="1" t="s">
        <v>1154</v>
      </c>
      <c r="C1238" s="1"/>
      <c r="D1238" s="1"/>
      <c r="E1238" s="1"/>
      <c r="F1238" s="1"/>
      <c r="G1238" s="1"/>
      <c r="H1238" s="1"/>
      <c r="I1238" s="1"/>
    </row>
    <row r="1239" ht="15.75" customHeight="1">
      <c r="A1239" s="1" t="s">
        <v>1282</v>
      </c>
      <c r="B1239" s="1" t="s">
        <v>1154</v>
      </c>
      <c r="C1239" s="1"/>
      <c r="D1239" s="1"/>
      <c r="E1239" s="1"/>
      <c r="F1239" s="1"/>
      <c r="G1239" s="1"/>
      <c r="H1239" s="1"/>
      <c r="I1239" s="1"/>
    </row>
    <row r="1240" ht="15.75" customHeight="1">
      <c r="A1240" s="1" t="s">
        <v>1283</v>
      </c>
      <c r="B1240" s="1" t="s">
        <v>1154</v>
      </c>
      <c r="C1240" s="1"/>
      <c r="D1240" s="1"/>
      <c r="E1240" s="1"/>
      <c r="F1240" s="1"/>
      <c r="G1240" s="1"/>
      <c r="H1240" s="1"/>
      <c r="I1240" s="1"/>
    </row>
    <row r="1241" ht="15.75" customHeight="1">
      <c r="A1241" s="1" t="s">
        <v>1284</v>
      </c>
      <c r="B1241" s="1" t="s">
        <v>1154</v>
      </c>
      <c r="C1241" s="1"/>
      <c r="D1241" s="1"/>
      <c r="E1241" s="1"/>
      <c r="F1241" s="1"/>
      <c r="G1241" s="1"/>
      <c r="H1241" s="1"/>
      <c r="I1241" s="1"/>
    </row>
    <row r="1242" ht="15.75" customHeight="1">
      <c r="A1242" s="1" t="s">
        <v>1285</v>
      </c>
      <c r="B1242" s="1" t="s">
        <v>1154</v>
      </c>
      <c r="C1242" s="1"/>
      <c r="D1242" s="1"/>
      <c r="E1242" s="1"/>
      <c r="F1242" s="1"/>
      <c r="G1242" s="1"/>
      <c r="H1242" s="1"/>
      <c r="I1242" s="1"/>
    </row>
    <row r="1243" ht="15.75" customHeight="1">
      <c r="A1243" s="1" t="s">
        <v>1286</v>
      </c>
      <c r="B1243" s="1" t="s">
        <v>1154</v>
      </c>
      <c r="C1243" s="1"/>
      <c r="D1243" s="1"/>
      <c r="E1243" s="1"/>
      <c r="F1243" s="1"/>
      <c r="G1243" s="1"/>
      <c r="H1243" s="1"/>
      <c r="I1243" s="1"/>
    </row>
    <row r="1244" ht="15.75" customHeight="1">
      <c r="A1244" s="1" t="s">
        <v>1287</v>
      </c>
      <c r="B1244" s="1" t="s">
        <v>1154</v>
      </c>
      <c r="C1244" s="1"/>
      <c r="D1244" s="1"/>
      <c r="E1244" s="1"/>
      <c r="F1244" s="1"/>
      <c r="G1244" s="1"/>
      <c r="H1244" s="1"/>
      <c r="I1244" s="1"/>
    </row>
    <row r="1245" ht="15.75" customHeight="1">
      <c r="A1245" s="1" t="s">
        <v>1288</v>
      </c>
      <c r="B1245" s="1" t="s">
        <v>1154</v>
      </c>
      <c r="C1245" s="1"/>
      <c r="D1245" s="1"/>
      <c r="E1245" s="1"/>
      <c r="F1245" s="1"/>
      <c r="G1245" s="1"/>
      <c r="H1245" s="1"/>
      <c r="I1245" s="1"/>
    </row>
    <row r="1246" ht="15.75" customHeight="1">
      <c r="A1246" s="1" t="s">
        <v>1289</v>
      </c>
      <c r="B1246" s="1" t="s">
        <v>1154</v>
      </c>
      <c r="C1246" s="1"/>
      <c r="D1246" s="1"/>
      <c r="E1246" s="1"/>
      <c r="F1246" s="1"/>
      <c r="G1246" s="1"/>
      <c r="H1246" s="1"/>
      <c r="I1246" s="1"/>
    </row>
    <row r="1247" ht="15.75" customHeight="1">
      <c r="A1247" s="1" t="s">
        <v>1290</v>
      </c>
      <c r="B1247" s="1" t="s">
        <v>1154</v>
      </c>
      <c r="C1247" s="1"/>
      <c r="D1247" s="1"/>
      <c r="E1247" s="1"/>
      <c r="F1247" s="1"/>
      <c r="G1247" s="1"/>
      <c r="H1247" s="1"/>
      <c r="I1247" s="1"/>
    </row>
    <row r="1248" ht="15.75" customHeight="1">
      <c r="A1248" s="1" t="s">
        <v>1291</v>
      </c>
      <c r="B1248" s="1" t="s">
        <v>1154</v>
      </c>
      <c r="C1248" s="1"/>
      <c r="D1248" s="1"/>
      <c r="E1248" s="1"/>
      <c r="F1248" s="1"/>
      <c r="G1248" s="1"/>
      <c r="H1248" s="1"/>
      <c r="I1248" s="1"/>
    </row>
    <row r="1249" ht="15.75" customHeight="1">
      <c r="A1249" s="1" t="s">
        <v>1292</v>
      </c>
      <c r="B1249" s="1" t="s">
        <v>1154</v>
      </c>
      <c r="C1249" s="1"/>
      <c r="D1249" s="1"/>
      <c r="E1249" s="1"/>
      <c r="F1249" s="1"/>
      <c r="G1249" s="1"/>
      <c r="H1249" s="1"/>
      <c r="I1249" s="1"/>
    </row>
    <row r="1250" ht="15.75" customHeight="1">
      <c r="A1250" s="1" t="s">
        <v>1293</v>
      </c>
      <c r="B1250" s="1" t="s">
        <v>1154</v>
      </c>
      <c r="C1250" s="1"/>
      <c r="D1250" s="1"/>
      <c r="E1250" s="1"/>
      <c r="F1250" s="1"/>
      <c r="G1250" s="1"/>
      <c r="H1250" s="1"/>
      <c r="I1250" s="1"/>
    </row>
    <row r="1251" ht="15.75" customHeight="1">
      <c r="A1251" s="1" t="s">
        <v>1294</v>
      </c>
      <c r="B1251" s="1" t="s">
        <v>1154</v>
      </c>
      <c r="C1251" s="1"/>
      <c r="D1251" s="1"/>
      <c r="E1251" s="1"/>
      <c r="F1251" s="1"/>
      <c r="G1251" s="1"/>
      <c r="H1251" s="1"/>
      <c r="I1251" s="1"/>
    </row>
    <row r="1252" ht="15.75" customHeight="1">
      <c r="A1252" s="1" t="s">
        <v>1295</v>
      </c>
      <c r="B1252" s="1" t="s">
        <v>1154</v>
      </c>
      <c r="C1252" s="1"/>
      <c r="D1252" s="1"/>
      <c r="E1252" s="1"/>
      <c r="F1252" s="1"/>
      <c r="G1252" s="1"/>
      <c r="H1252" s="1"/>
      <c r="I1252" s="1"/>
    </row>
    <row r="1253" ht="15.75" customHeight="1">
      <c r="A1253" s="1" t="s">
        <v>1296</v>
      </c>
      <c r="B1253" s="1" t="s">
        <v>1154</v>
      </c>
      <c r="C1253" s="1"/>
      <c r="D1253" s="1"/>
      <c r="E1253" s="1"/>
      <c r="F1253" s="1"/>
      <c r="G1253" s="1"/>
      <c r="H1253" s="1"/>
      <c r="I1253" s="1"/>
    </row>
    <row r="1254" ht="15.75" customHeight="1">
      <c r="A1254" s="1" t="s">
        <v>1297</v>
      </c>
      <c r="B1254" s="1" t="s">
        <v>1154</v>
      </c>
      <c r="C1254" s="1"/>
      <c r="D1254" s="1"/>
      <c r="E1254" s="1"/>
      <c r="F1254" s="1"/>
      <c r="G1254" s="1"/>
      <c r="H1254" s="1"/>
      <c r="I1254" s="1"/>
    </row>
    <row r="1255" ht="15.75" customHeight="1">
      <c r="A1255" s="1" t="s">
        <v>1298</v>
      </c>
      <c r="B1255" s="1" t="s">
        <v>1154</v>
      </c>
      <c r="C1255" s="1"/>
      <c r="D1255" s="1"/>
      <c r="E1255" s="1"/>
      <c r="F1255" s="1"/>
      <c r="G1255" s="1"/>
      <c r="H1255" s="1"/>
      <c r="I1255" s="1"/>
    </row>
    <row r="1256" ht="15.75" customHeight="1">
      <c r="A1256" s="1" t="s">
        <v>1299</v>
      </c>
      <c r="B1256" s="1" t="s">
        <v>1154</v>
      </c>
      <c r="C1256" s="1"/>
      <c r="D1256" s="1"/>
      <c r="E1256" s="1"/>
      <c r="F1256" s="1"/>
      <c r="G1256" s="1"/>
      <c r="H1256" s="1"/>
      <c r="I1256" s="1"/>
    </row>
    <row r="1257" ht="15.75" customHeight="1">
      <c r="A1257" s="1" t="s">
        <v>1300</v>
      </c>
      <c r="B1257" s="1" t="s">
        <v>1154</v>
      </c>
      <c r="C1257" s="1"/>
      <c r="D1257" s="1"/>
      <c r="E1257" s="1"/>
      <c r="F1257" s="1"/>
      <c r="G1257" s="1"/>
      <c r="H1257" s="1"/>
      <c r="I1257" s="1"/>
    </row>
    <row r="1258" ht="15.75" customHeight="1">
      <c r="A1258" s="1" t="s">
        <v>1301</v>
      </c>
      <c r="B1258" s="1" t="s">
        <v>1154</v>
      </c>
      <c r="C1258" s="1"/>
      <c r="D1258" s="1"/>
      <c r="E1258" s="1"/>
      <c r="F1258" s="1"/>
      <c r="G1258" s="1"/>
      <c r="H1258" s="1"/>
      <c r="I1258" s="1"/>
    </row>
    <row r="1259" ht="15.75" customHeight="1">
      <c r="A1259" s="1" t="s">
        <v>1302</v>
      </c>
      <c r="B1259" s="1" t="s">
        <v>1154</v>
      </c>
      <c r="C1259" s="1"/>
      <c r="D1259" s="1"/>
      <c r="E1259" s="1"/>
      <c r="F1259" s="1"/>
      <c r="G1259" s="1"/>
      <c r="H1259" s="1"/>
      <c r="I1259" s="1"/>
    </row>
    <row r="1260" ht="15.75" customHeight="1">
      <c r="A1260" s="1" t="s">
        <v>1303</v>
      </c>
      <c r="B1260" s="1" t="s">
        <v>1154</v>
      </c>
      <c r="C1260" s="1"/>
      <c r="D1260" s="1"/>
      <c r="E1260" s="1"/>
      <c r="F1260" s="1"/>
      <c r="G1260" s="1"/>
      <c r="H1260" s="1"/>
      <c r="I1260" s="1"/>
    </row>
    <row r="1261" ht="15.75" customHeight="1">
      <c r="A1261" s="1" t="s">
        <v>1304</v>
      </c>
      <c r="B1261" s="1" t="s">
        <v>1154</v>
      </c>
      <c r="C1261" s="1"/>
      <c r="D1261" s="1"/>
      <c r="E1261" s="1"/>
      <c r="F1261" s="1"/>
      <c r="G1261" s="1"/>
      <c r="H1261" s="1"/>
      <c r="I1261" s="1"/>
    </row>
    <row r="1262" ht="15.75" customHeight="1">
      <c r="A1262" s="1" t="s">
        <v>1305</v>
      </c>
      <c r="B1262" s="1" t="s">
        <v>1154</v>
      </c>
      <c r="C1262" s="1"/>
      <c r="D1262" s="1"/>
      <c r="E1262" s="1"/>
      <c r="F1262" s="1"/>
      <c r="G1262" s="1"/>
      <c r="H1262" s="1"/>
      <c r="I1262" s="1"/>
    </row>
    <row r="1263" ht="15.75" customHeight="1">
      <c r="A1263" s="1" t="s">
        <v>1306</v>
      </c>
      <c r="B1263" s="1" t="s">
        <v>1154</v>
      </c>
      <c r="C1263" s="1"/>
      <c r="D1263" s="1"/>
      <c r="E1263" s="1"/>
      <c r="F1263" s="1"/>
      <c r="G1263" s="1"/>
      <c r="H1263" s="1"/>
      <c r="I1263" s="1"/>
    </row>
    <row r="1264" ht="15.75" customHeight="1">
      <c r="A1264" s="1" t="s">
        <v>1307</v>
      </c>
      <c r="B1264" s="1" t="s">
        <v>1154</v>
      </c>
      <c r="C1264" s="1"/>
      <c r="D1264" s="1"/>
      <c r="E1264" s="1"/>
      <c r="F1264" s="1"/>
      <c r="G1264" s="1"/>
      <c r="H1264" s="1"/>
      <c r="I1264" s="1"/>
    </row>
    <row r="1265" ht="15.75" customHeight="1">
      <c r="A1265" s="1" t="s">
        <v>1308</v>
      </c>
      <c r="B1265" s="1" t="s">
        <v>1154</v>
      </c>
      <c r="C1265" s="1"/>
      <c r="D1265" s="1"/>
      <c r="E1265" s="1"/>
      <c r="F1265" s="1"/>
      <c r="G1265" s="1"/>
      <c r="H1265" s="1"/>
      <c r="I1265" s="1"/>
    </row>
    <row r="1266" ht="15.75" customHeight="1">
      <c r="A1266" s="1" t="s">
        <v>1309</v>
      </c>
      <c r="B1266" s="1" t="s">
        <v>1154</v>
      </c>
      <c r="C1266" s="1"/>
      <c r="D1266" s="1"/>
      <c r="E1266" s="1"/>
      <c r="F1266" s="1"/>
      <c r="G1266" s="1"/>
      <c r="H1266" s="1"/>
      <c r="I1266" s="1"/>
    </row>
    <row r="1267" ht="15.75" customHeight="1">
      <c r="A1267" s="1" t="s">
        <v>1310</v>
      </c>
      <c r="B1267" s="1" t="s">
        <v>1154</v>
      </c>
      <c r="C1267" s="1"/>
      <c r="D1267" s="1"/>
      <c r="E1267" s="1"/>
      <c r="F1267" s="1"/>
      <c r="G1267" s="1"/>
      <c r="H1267" s="1"/>
      <c r="I1267" s="1"/>
    </row>
    <row r="1268" ht="15.75" customHeight="1">
      <c r="A1268" s="1" t="s">
        <v>1311</v>
      </c>
      <c r="B1268" s="1" t="s">
        <v>1154</v>
      </c>
      <c r="C1268" s="1"/>
      <c r="D1268" s="1"/>
      <c r="E1268" s="1"/>
      <c r="F1268" s="1"/>
      <c r="G1268" s="1"/>
      <c r="H1268" s="1"/>
      <c r="I1268" s="1"/>
    </row>
    <row r="1269" ht="15.75" customHeight="1">
      <c r="A1269" s="1" t="s">
        <v>1312</v>
      </c>
      <c r="B1269" s="1" t="s">
        <v>1154</v>
      </c>
      <c r="C1269" s="1"/>
      <c r="D1269" s="1"/>
      <c r="E1269" s="1"/>
      <c r="F1269" s="1"/>
      <c r="G1269" s="1"/>
      <c r="H1269" s="1"/>
      <c r="I1269" s="1"/>
    </row>
    <row r="1270" ht="15.75" customHeight="1">
      <c r="A1270" s="1" t="s">
        <v>1313</v>
      </c>
      <c r="B1270" s="1" t="s">
        <v>1154</v>
      </c>
      <c r="C1270" s="1"/>
      <c r="D1270" s="1"/>
      <c r="E1270" s="1"/>
      <c r="F1270" s="1"/>
      <c r="G1270" s="1"/>
      <c r="H1270" s="1"/>
      <c r="I1270" s="1"/>
    </row>
    <row r="1271" ht="15.75" customHeight="1">
      <c r="A1271" s="1" t="s">
        <v>1314</v>
      </c>
      <c r="B1271" s="1" t="s">
        <v>1154</v>
      </c>
      <c r="C1271" s="1"/>
      <c r="D1271" s="1"/>
      <c r="E1271" s="1"/>
      <c r="F1271" s="1"/>
      <c r="G1271" s="1"/>
      <c r="H1271" s="1"/>
      <c r="I1271" s="1"/>
    </row>
    <row r="1272" ht="15.75" customHeight="1">
      <c r="A1272" s="1" t="s">
        <v>1315</v>
      </c>
      <c r="B1272" s="1" t="s">
        <v>1316</v>
      </c>
      <c r="C1272" s="1"/>
      <c r="D1272" s="1"/>
      <c r="E1272" s="1"/>
      <c r="F1272" s="1"/>
      <c r="G1272" s="1"/>
      <c r="H1272" s="1"/>
      <c r="I1272" s="1"/>
    </row>
    <row r="1273" ht="15.75" customHeight="1">
      <c r="A1273" s="1" t="s">
        <v>1317</v>
      </c>
      <c r="B1273" s="1" t="s">
        <v>1316</v>
      </c>
      <c r="C1273" s="1"/>
      <c r="D1273" s="1"/>
      <c r="E1273" s="1"/>
      <c r="F1273" s="1"/>
      <c r="G1273" s="1"/>
      <c r="H1273" s="1"/>
      <c r="I1273" s="1"/>
    </row>
    <row r="1274" ht="15.75" customHeight="1">
      <c r="A1274" s="1" t="s">
        <v>1318</v>
      </c>
      <c r="B1274" s="1" t="s">
        <v>1316</v>
      </c>
      <c r="C1274" s="1"/>
      <c r="D1274" s="1"/>
      <c r="E1274" s="1"/>
      <c r="F1274" s="1"/>
      <c r="G1274" s="1"/>
      <c r="H1274" s="1"/>
      <c r="I1274" s="1"/>
    </row>
    <row r="1275" ht="15.75" customHeight="1">
      <c r="A1275" s="1" t="s">
        <v>1319</v>
      </c>
      <c r="B1275" s="1" t="s">
        <v>1316</v>
      </c>
      <c r="C1275" s="1"/>
      <c r="D1275" s="1"/>
      <c r="E1275" s="1"/>
      <c r="F1275" s="1"/>
      <c r="G1275" s="1"/>
      <c r="H1275" s="1"/>
      <c r="I1275" s="1"/>
    </row>
    <row r="1276" ht="15.75" customHeight="1">
      <c r="A1276" s="1" t="s">
        <v>1320</v>
      </c>
      <c r="B1276" s="1" t="s">
        <v>1316</v>
      </c>
      <c r="C1276" s="1"/>
      <c r="D1276" s="1"/>
      <c r="E1276" s="1"/>
      <c r="F1276" s="1"/>
      <c r="G1276" s="1"/>
      <c r="H1276" s="1"/>
      <c r="I1276" s="1"/>
    </row>
    <row r="1277" ht="15.75" customHeight="1">
      <c r="A1277" s="1" t="s">
        <v>1321</v>
      </c>
      <c r="B1277" s="1" t="s">
        <v>1316</v>
      </c>
      <c r="C1277" s="1"/>
      <c r="D1277" s="1"/>
      <c r="E1277" s="1"/>
      <c r="F1277" s="1"/>
      <c r="G1277" s="1"/>
      <c r="H1277" s="1"/>
      <c r="I1277" s="1"/>
    </row>
    <row r="1278" ht="15.75" customHeight="1">
      <c r="A1278" s="1" t="s">
        <v>1322</v>
      </c>
      <c r="B1278" s="1" t="s">
        <v>1316</v>
      </c>
      <c r="C1278" s="1"/>
      <c r="D1278" s="1"/>
      <c r="E1278" s="1"/>
      <c r="F1278" s="1"/>
      <c r="G1278" s="1"/>
      <c r="H1278" s="1"/>
      <c r="I1278" s="1"/>
    </row>
    <row r="1279" ht="15.75" customHeight="1">
      <c r="A1279" s="1" t="s">
        <v>1323</v>
      </c>
      <c r="B1279" s="1" t="s">
        <v>1316</v>
      </c>
      <c r="C1279" s="1"/>
      <c r="D1279" s="1"/>
      <c r="E1279" s="1"/>
      <c r="F1279" s="1"/>
      <c r="G1279" s="1"/>
      <c r="H1279" s="1"/>
      <c r="I1279" s="1"/>
    </row>
    <row r="1280" ht="15.75" customHeight="1">
      <c r="A1280" s="1" t="s">
        <v>1324</v>
      </c>
      <c r="B1280" s="1" t="s">
        <v>1316</v>
      </c>
      <c r="C1280" s="1"/>
      <c r="D1280" s="1"/>
      <c r="E1280" s="1"/>
      <c r="F1280" s="1"/>
      <c r="G1280" s="1"/>
      <c r="H1280" s="1"/>
      <c r="I1280" s="1"/>
    </row>
    <row r="1281" ht="15.75" customHeight="1">
      <c r="A1281" s="1" t="s">
        <v>1325</v>
      </c>
      <c r="B1281" s="1" t="s">
        <v>1316</v>
      </c>
      <c r="C1281" s="1"/>
      <c r="D1281" s="1"/>
      <c r="E1281" s="1"/>
      <c r="F1281" s="1"/>
      <c r="G1281" s="1"/>
      <c r="H1281" s="1"/>
      <c r="I1281" s="1"/>
    </row>
    <row r="1282" ht="15.75" customHeight="1">
      <c r="A1282" s="1" t="s">
        <v>1326</v>
      </c>
      <c r="B1282" s="1" t="s">
        <v>1316</v>
      </c>
      <c r="C1282" s="1"/>
      <c r="D1282" s="1"/>
      <c r="E1282" s="1"/>
      <c r="F1282" s="1"/>
      <c r="G1282" s="1"/>
      <c r="H1282" s="1"/>
      <c r="I1282" s="1"/>
    </row>
    <row r="1283" ht="15.75" customHeight="1">
      <c r="A1283" s="1" t="s">
        <v>1327</v>
      </c>
      <c r="B1283" s="1" t="s">
        <v>1316</v>
      </c>
      <c r="C1283" s="1"/>
      <c r="D1283" s="1"/>
      <c r="E1283" s="1"/>
      <c r="F1283" s="1"/>
      <c r="G1283" s="1"/>
      <c r="H1283" s="1"/>
      <c r="I1283" s="1"/>
    </row>
    <row r="1284" ht="15.75" customHeight="1">
      <c r="A1284" s="1" t="s">
        <v>1328</v>
      </c>
      <c r="B1284" s="1" t="s">
        <v>1316</v>
      </c>
      <c r="C1284" s="1"/>
      <c r="D1284" s="1"/>
      <c r="E1284" s="1"/>
      <c r="F1284" s="1"/>
      <c r="G1284" s="1"/>
      <c r="H1284" s="1"/>
      <c r="I1284" s="1"/>
    </row>
    <row r="1285" ht="15.75" customHeight="1">
      <c r="A1285" s="1" t="s">
        <v>1329</v>
      </c>
      <c r="B1285" s="1" t="s">
        <v>1316</v>
      </c>
      <c r="C1285" s="1"/>
      <c r="D1285" s="1"/>
      <c r="E1285" s="1"/>
      <c r="F1285" s="1"/>
      <c r="G1285" s="1"/>
      <c r="H1285" s="1"/>
      <c r="I1285" s="1"/>
    </row>
    <row r="1286" ht="15.75" customHeight="1">
      <c r="A1286" s="1" t="s">
        <v>1330</v>
      </c>
      <c r="B1286" s="1" t="s">
        <v>1316</v>
      </c>
      <c r="C1286" s="1"/>
      <c r="D1286" s="1"/>
      <c r="E1286" s="1"/>
      <c r="F1286" s="1"/>
      <c r="G1286" s="1"/>
      <c r="H1286" s="1"/>
      <c r="I1286" s="1"/>
    </row>
    <row r="1287" ht="15.75" customHeight="1">
      <c r="A1287" s="1" t="s">
        <v>1331</v>
      </c>
      <c r="B1287" s="1" t="s">
        <v>1316</v>
      </c>
      <c r="C1287" s="1"/>
      <c r="D1287" s="1"/>
      <c r="E1287" s="1"/>
      <c r="F1287" s="1"/>
      <c r="G1287" s="1"/>
      <c r="H1287" s="1"/>
      <c r="I1287" s="1"/>
    </row>
    <row r="1288" ht="15.75" customHeight="1">
      <c r="A1288" s="1" t="s">
        <v>1332</v>
      </c>
      <c r="B1288" s="1" t="s">
        <v>1316</v>
      </c>
      <c r="C1288" s="1"/>
      <c r="D1288" s="1"/>
      <c r="E1288" s="1"/>
      <c r="F1288" s="1"/>
      <c r="G1288" s="1"/>
      <c r="H1288" s="1"/>
      <c r="I1288" s="1"/>
    </row>
    <row r="1289" ht="15.75" customHeight="1">
      <c r="A1289" s="1" t="s">
        <v>1333</v>
      </c>
      <c r="B1289" s="1" t="s">
        <v>1316</v>
      </c>
      <c r="C1289" s="1"/>
      <c r="D1289" s="1"/>
      <c r="E1289" s="1"/>
      <c r="F1289" s="1"/>
      <c r="G1289" s="1"/>
      <c r="H1289" s="1"/>
      <c r="I1289" s="1"/>
    </row>
    <row r="1290" ht="15.75" customHeight="1">
      <c r="A1290" s="1" t="s">
        <v>1334</v>
      </c>
      <c r="B1290" s="1" t="s">
        <v>1316</v>
      </c>
      <c r="C1290" s="1"/>
      <c r="D1290" s="1"/>
      <c r="E1290" s="1"/>
      <c r="F1290" s="1"/>
      <c r="G1290" s="1"/>
      <c r="H1290" s="1"/>
      <c r="I1290" s="1"/>
    </row>
    <row r="1291" ht="15.75" customHeight="1">
      <c r="A1291" s="1" t="s">
        <v>1335</v>
      </c>
      <c r="B1291" s="1" t="s">
        <v>1316</v>
      </c>
      <c r="C1291" s="1"/>
      <c r="D1291" s="1"/>
      <c r="E1291" s="1"/>
      <c r="F1291" s="1"/>
      <c r="G1291" s="1"/>
      <c r="H1291" s="1"/>
      <c r="I1291" s="1"/>
    </row>
    <row r="1292" ht="15.75" customHeight="1">
      <c r="A1292" s="1" t="s">
        <v>1336</v>
      </c>
      <c r="B1292" s="1" t="s">
        <v>1316</v>
      </c>
      <c r="C1292" s="1"/>
      <c r="D1292" s="1"/>
      <c r="E1292" s="1"/>
      <c r="F1292" s="1"/>
      <c r="G1292" s="1"/>
      <c r="H1292" s="1"/>
      <c r="I1292" s="1"/>
    </row>
    <row r="1293" ht="15.75" customHeight="1">
      <c r="A1293" s="1" t="s">
        <v>1337</v>
      </c>
      <c r="B1293" s="1" t="s">
        <v>1316</v>
      </c>
      <c r="C1293" s="1"/>
      <c r="D1293" s="1"/>
      <c r="E1293" s="1"/>
      <c r="F1293" s="1"/>
      <c r="G1293" s="1"/>
      <c r="H1293" s="1"/>
      <c r="I1293" s="1"/>
    </row>
    <row r="1294" ht="15.75" customHeight="1">
      <c r="A1294" s="1" t="s">
        <v>1338</v>
      </c>
      <c r="B1294" s="1" t="s">
        <v>1316</v>
      </c>
      <c r="C1294" s="1"/>
      <c r="D1294" s="1"/>
      <c r="E1294" s="1"/>
      <c r="F1294" s="1"/>
      <c r="G1294" s="1"/>
      <c r="H1294" s="1"/>
      <c r="I1294" s="1"/>
    </row>
    <row r="1295" ht="15.75" customHeight="1">
      <c r="A1295" s="1" t="s">
        <v>1339</v>
      </c>
      <c r="B1295" s="1" t="s">
        <v>1316</v>
      </c>
      <c r="C1295" s="1"/>
      <c r="D1295" s="1"/>
      <c r="E1295" s="1"/>
      <c r="F1295" s="1"/>
      <c r="G1295" s="1"/>
      <c r="H1295" s="1"/>
      <c r="I1295" s="1"/>
    </row>
    <row r="1296" ht="15.75" customHeight="1">
      <c r="A1296" s="1" t="s">
        <v>1340</v>
      </c>
      <c r="B1296" s="1" t="s">
        <v>1316</v>
      </c>
      <c r="C1296" s="1"/>
      <c r="D1296" s="1"/>
      <c r="E1296" s="1"/>
      <c r="F1296" s="1"/>
      <c r="G1296" s="1"/>
      <c r="H1296" s="1"/>
      <c r="I1296" s="1"/>
    </row>
    <row r="1297" ht="15.75" customHeight="1">
      <c r="A1297" s="1" t="s">
        <v>1341</v>
      </c>
      <c r="B1297" s="1" t="s">
        <v>1316</v>
      </c>
      <c r="C1297" s="1"/>
      <c r="D1297" s="1"/>
      <c r="E1297" s="1"/>
      <c r="F1297" s="1"/>
      <c r="G1297" s="1"/>
      <c r="H1297" s="1"/>
      <c r="I1297" s="1"/>
    </row>
    <row r="1298" ht="15.75" customHeight="1">
      <c r="A1298" s="1" t="s">
        <v>1342</v>
      </c>
      <c r="B1298" s="1" t="s">
        <v>1316</v>
      </c>
      <c r="C1298" s="1"/>
      <c r="D1298" s="1"/>
      <c r="E1298" s="1"/>
      <c r="F1298" s="1"/>
      <c r="G1298" s="1"/>
      <c r="H1298" s="1"/>
      <c r="I1298" s="1"/>
    </row>
    <row r="1299" ht="15.75" customHeight="1">
      <c r="A1299" s="1" t="s">
        <v>1343</v>
      </c>
      <c r="B1299" s="1" t="s">
        <v>1316</v>
      </c>
      <c r="C1299" s="1"/>
      <c r="D1299" s="1"/>
      <c r="E1299" s="1"/>
      <c r="F1299" s="1"/>
      <c r="G1299" s="1"/>
      <c r="H1299" s="1"/>
      <c r="I1299" s="1"/>
    </row>
    <row r="1300" ht="15.75" customHeight="1">
      <c r="A1300" s="1" t="s">
        <v>1344</v>
      </c>
      <c r="B1300" s="1" t="s">
        <v>1316</v>
      </c>
      <c r="C1300" s="1"/>
      <c r="D1300" s="1"/>
      <c r="E1300" s="1"/>
      <c r="F1300" s="1"/>
      <c r="G1300" s="1"/>
      <c r="H1300" s="1"/>
      <c r="I1300" s="1"/>
    </row>
    <row r="1301" ht="15.75" customHeight="1">
      <c r="A1301" s="1" t="s">
        <v>1345</v>
      </c>
      <c r="B1301" s="1" t="s">
        <v>1316</v>
      </c>
      <c r="C1301" s="1"/>
      <c r="D1301" s="1"/>
      <c r="E1301" s="1"/>
      <c r="F1301" s="1"/>
      <c r="G1301" s="1"/>
      <c r="H1301" s="1"/>
      <c r="I1301" s="1"/>
    </row>
    <row r="1302" ht="15.75" customHeight="1">
      <c r="A1302" s="1" t="s">
        <v>1346</v>
      </c>
      <c r="B1302" s="1" t="s">
        <v>1316</v>
      </c>
      <c r="C1302" s="1"/>
      <c r="D1302" s="1"/>
      <c r="E1302" s="1"/>
      <c r="F1302" s="1"/>
      <c r="G1302" s="1"/>
      <c r="H1302" s="1"/>
      <c r="I1302" s="1"/>
    </row>
    <row r="1303" ht="15.75" customHeight="1">
      <c r="A1303" s="1" t="s">
        <v>1347</v>
      </c>
      <c r="B1303" s="1" t="s">
        <v>1316</v>
      </c>
      <c r="C1303" s="1"/>
      <c r="D1303" s="1"/>
      <c r="E1303" s="1"/>
      <c r="F1303" s="1"/>
      <c r="G1303" s="1"/>
      <c r="H1303" s="1"/>
      <c r="I1303" s="1"/>
    </row>
    <row r="1304" ht="15.75" customHeight="1">
      <c r="A1304" s="1" t="s">
        <v>1348</v>
      </c>
      <c r="B1304" s="1" t="s">
        <v>1316</v>
      </c>
      <c r="C1304" s="1"/>
      <c r="D1304" s="1"/>
      <c r="E1304" s="1"/>
      <c r="F1304" s="1"/>
      <c r="G1304" s="1"/>
      <c r="H1304" s="1"/>
      <c r="I1304" s="1"/>
    </row>
    <row r="1305" ht="15.75" customHeight="1">
      <c r="A1305" s="1" t="s">
        <v>1349</v>
      </c>
      <c r="B1305" s="1" t="s">
        <v>1316</v>
      </c>
      <c r="C1305" s="1"/>
      <c r="D1305" s="1"/>
      <c r="E1305" s="1"/>
      <c r="F1305" s="1"/>
      <c r="G1305" s="1"/>
      <c r="H1305" s="1"/>
      <c r="I1305" s="1"/>
    </row>
    <row r="1306" ht="15.75" customHeight="1">
      <c r="A1306" s="1" t="s">
        <v>1350</v>
      </c>
      <c r="B1306" s="1" t="s">
        <v>1316</v>
      </c>
      <c r="C1306" s="1"/>
      <c r="D1306" s="1"/>
      <c r="E1306" s="1"/>
      <c r="F1306" s="1"/>
      <c r="G1306" s="1"/>
      <c r="H1306" s="1"/>
      <c r="I1306" s="1"/>
    </row>
    <row r="1307" ht="15.75" customHeight="1">
      <c r="A1307" s="1" t="s">
        <v>1351</v>
      </c>
      <c r="B1307" s="1" t="s">
        <v>1316</v>
      </c>
      <c r="C1307" s="1"/>
      <c r="D1307" s="1"/>
      <c r="E1307" s="1"/>
      <c r="F1307" s="1"/>
      <c r="G1307" s="1"/>
      <c r="H1307" s="1"/>
      <c r="I1307" s="1"/>
    </row>
    <row r="1308" ht="15.75" customHeight="1">
      <c r="A1308" s="1" t="s">
        <v>1352</v>
      </c>
      <c r="B1308" s="1" t="s">
        <v>1353</v>
      </c>
      <c r="C1308" s="1"/>
      <c r="D1308" s="1"/>
      <c r="E1308" s="1"/>
      <c r="F1308" s="1"/>
      <c r="G1308" s="1"/>
      <c r="H1308" s="1"/>
      <c r="I1308" s="1"/>
    </row>
    <row r="1309" ht="15.75" customHeight="1">
      <c r="A1309" s="1" t="s">
        <v>1354</v>
      </c>
      <c r="B1309" s="1" t="s">
        <v>1353</v>
      </c>
      <c r="C1309" s="1"/>
      <c r="D1309" s="1"/>
      <c r="E1309" s="1"/>
      <c r="F1309" s="1"/>
      <c r="G1309" s="1"/>
      <c r="H1309" s="1"/>
      <c r="I1309" s="1"/>
    </row>
    <row r="1310" ht="15.75" customHeight="1">
      <c r="A1310" s="1" t="s">
        <v>1355</v>
      </c>
      <c r="B1310" s="1" t="s">
        <v>1353</v>
      </c>
      <c r="C1310" s="1"/>
      <c r="D1310" s="1"/>
      <c r="E1310" s="1"/>
      <c r="F1310" s="1"/>
      <c r="G1310" s="1"/>
      <c r="H1310" s="1"/>
      <c r="I1310" s="1"/>
    </row>
    <row r="1311" ht="15.75" customHeight="1">
      <c r="A1311" s="1" t="s">
        <v>1356</v>
      </c>
      <c r="B1311" s="1" t="s">
        <v>1353</v>
      </c>
      <c r="C1311" s="1"/>
      <c r="D1311" s="1"/>
      <c r="E1311" s="1"/>
      <c r="F1311" s="1"/>
      <c r="G1311" s="1"/>
      <c r="H1311" s="1"/>
      <c r="I1311" s="1"/>
    </row>
    <row r="1312" ht="15.75" customHeight="1">
      <c r="A1312" s="1" t="s">
        <v>1357</v>
      </c>
      <c r="B1312" s="1" t="s">
        <v>1353</v>
      </c>
      <c r="C1312" s="1"/>
      <c r="D1312" s="1"/>
      <c r="E1312" s="1"/>
      <c r="F1312" s="1"/>
      <c r="G1312" s="1"/>
      <c r="H1312" s="1"/>
      <c r="I1312" s="1"/>
    </row>
    <row r="1313" ht="15.75" customHeight="1">
      <c r="A1313" s="1" t="s">
        <v>1358</v>
      </c>
      <c r="B1313" s="1" t="s">
        <v>1353</v>
      </c>
      <c r="C1313" s="1"/>
      <c r="D1313" s="1"/>
      <c r="E1313" s="1"/>
      <c r="F1313" s="1"/>
      <c r="G1313" s="1"/>
      <c r="H1313" s="1"/>
      <c r="I1313" s="1"/>
    </row>
    <row r="1314" ht="15.75" customHeight="1">
      <c r="A1314" s="1" t="s">
        <v>1359</v>
      </c>
      <c r="B1314" s="1" t="s">
        <v>1353</v>
      </c>
      <c r="C1314" s="1"/>
      <c r="D1314" s="1"/>
      <c r="E1314" s="1"/>
      <c r="F1314" s="1"/>
      <c r="G1314" s="1"/>
      <c r="H1314" s="1"/>
      <c r="I1314" s="1"/>
    </row>
    <row r="1315" ht="15.75" customHeight="1">
      <c r="A1315" s="1" t="s">
        <v>1360</v>
      </c>
      <c r="B1315" s="1" t="s">
        <v>1353</v>
      </c>
      <c r="C1315" s="1"/>
      <c r="D1315" s="1"/>
      <c r="E1315" s="1"/>
      <c r="F1315" s="1"/>
      <c r="G1315" s="1"/>
      <c r="H1315" s="1"/>
      <c r="I1315" s="1"/>
    </row>
    <row r="1316" ht="15.75" customHeight="1">
      <c r="A1316" s="1" t="s">
        <v>1361</v>
      </c>
      <c r="B1316" s="1" t="s">
        <v>1353</v>
      </c>
      <c r="C1316" s="1"/>
      <c r="D1316" s="1"/>
      <c r="E1316" s="1"/>
      <c r="F1316" s="1"/>
      <c r="G1316" s="1"/>
      <c r="H1316" s="1"/>
      <c r="I1316" s="1"/>
    </row>
    <row r="1317" ht="15.75" customHeight="1">
      <c r="A1317" s="1" t="s">
        <v>1362</v>
      </c>
      <c r="B1317" s="1" t="s">
        <v>1353</v>
      </c>
      <c r="C1317" s="1"/>
      <c r="D1317" s="1"/>
      <c r="E1317" s="1"/>
      <c r="F1317" s="1"/>
      <c r="G1317" s="1"/>
      <c r="H1317" s="1"/>
      <c r="I1317" s="1"/>
    </row>
    <row r="1318" ht="15.75" customHeight="1">
      <c r="A1318" s="1" t="s">
        <v>1363</v>
      </c>
      <c r="B1318" s="1" t="s">
        <v>1353</v>
      </c>
      <c r="C1318" s="1"/>
      <c r="D1318" s="1"/>
      <c r="E1318" s="1"/>
      <c r="F1318" s="1"/>
      <c r="G1318" s="1"/>
      <c r="H1318" s="1"/>
      <c r="I1318" s="1"/>
    </row>
    <row r="1319" ht="15.75" customHeight="1">
      <c r="A1319" s="1" t="s">
        <v>1364</v>
      </c>
      <c r="B1319" s="1" t="s">
        <v>1353</v>
      </c>
      <c r="C1319" s="1"/>
      <c r="D1319" s="1"/>
      <c r="E1319" s="1"/>
      <c r="F1319" s="1"/>
      <c r="G1319" s="1"/>
      <c r="H1319" s="1"/>
      <c r="I1319" s="1"/>
    </row>
    <row r="1320" ht="15.75" customHeight="1">
      <c r="A1320" s="1" t="s">
        <v>1365</v>
      </c>
      <c r="B1320" s="1" t="s">
        <v>1353</v>
      </c>
      <c r="C1320" s="1"/>
      <c r="D1320" s="1"/>
      <c r="E1320" s="1"/>
      <c r="F1320" s="1"/>
      <c r="G1320" s="1"/>
      <c r="H1320" s="1"/>
      <c r="I1320" s="1"/>
    </row>
    <row r="1321" ht="15.75" customHeight="1">
      <c r="A1321" s="1" t="s">
        <v>1366</v>
      </c>
      <c r="B1321" s="1" t="s">
        <v>1353</v>
      </c>
      <c r="C1321" s="1"/>
      <c r="D1321" s="1"/>
      <c r="E1321" s="1"/>
      <c r="F1321" s="1"/>
      <c r="G1321" s="1"/>
      <c r="H1321" s="1"/>
      <c r="I1321" s="1"/>
    </row>
    <row r="1322" ht="15.75" customHeight="1">
      <c r="A1322" s="1" t="s">
        <v>1367</v>
      </c>
      <c r="B1322" s="1" t="s">
        <v>1353</v>
      </c>
      <c r="C1322" s="1"/>
      <c r="D1322" s="1"/>
      <c r="E1322" s="1"/>
      <c r="F1322" s="1"/>
      <c r="G1322" s="1"/>
      <c r="H1322" s="1"/>
      <c r="I1322" s="1"/>
    </row>
    <row r="1323" ht="15.75" customHeight="1">
      <c r="A1323" s="1" t="s">
        <v>1368</v>
      </c>
      <c r="B1323" s="1" t="s">
        <v>1353</v>
      </c>
      <c r="C1323" s="1"/>
      <c r="D1323" s="1"/>
      <c r="E1323" s="1"/>
      <c r="F1323" s="1"/>
      <c r="G1323" s="1"/>
      <c r="H1323" s="1"/>
      <c r="I1323" s="1"/>
    </row>
    <row r="1324" ht="15.75" customHeight="1">
      <c r="A1324" s="1" t="s">
        <v>1369</v>
      </c>
      <c r="B1324" s="1" t="s">
        <v>1353</v>
      </c>
      <c r="C1324" s="1"/>
      <c r="D1324" s="1"/>
      <c r="E1324" s="1"/>
      <c r="F1324" s="1"/>
      <c r="G1324" s="1"/>
      <c r="H1324" s="1"/>
      <c r="I1324" s="1"/>
    </row>
    <row r="1325" ht="15.75" customHeight="1">
      <c r="A1325" s="1" t="s">
        <v>1370</v>
      </c>
      <c r="B1325" s="1" t="s">
        <v>1353</v>
      </c>
      <c r="C1325" s="1"/>
      <c r="D1325" s="1"/>
      <c r="E1325" s="1"/>
      <c r="F1325" s="1"/>
      <c r="G1325" s="1"/>
      <c r="H1325" s="1"/>
      <c r="I1325" s="1"/>
    </row>
    <row r="1326" ht="15.75" customHeight="1">
      <c r="A1326" s="1" t="s">
        <v>1371</v>
      </c>
      <c r="B1326" s="1" t="s">
        <v>1353</v>
      </c>
      <c r="C1326" s="1"/>
      <c r="D1326" s="1"/>
      <c r="E1326" s="1"/>
      <c r="F1326" s="1"/>
      <c r="G1326" s="1"/>
      <c r="H1326" s="1"/>
      <c r="I1326" s="1"/>
    </row>
    <row r="1327" ht="15.75" customHeight="1">
      <c r="A1327" s="1" t="s">
        <v>1372</v>
      </c>
      <c r="B1327" s="1" t="s">
        <v>1353</v>
      </c>
      <c r="C1327" s="1"/>
      <c r="D1327" s="1"/>
      <c r="E1327" s="1"/>
      <c r="F1327" s="1"/>
      <c r="G1327" s="1"/>
      <c r="H1327" s="1"/>
      <c r="I1327" s="1"/>
    </row>
    <row r="1328" ht="15.75" customHeight="1">
      <c r="A1328" s="1" t="s">
        <v>1373</v>
      </c>
      <c r="B1328" s="1" t="s">
        <v>1353</v>
      </c>
      <c r="C1328" s="1"/>
      <c r="D1328" s="1"/>
      <c r="E1328" s="1"/>
      <c r="F1328" s="1"/>
      <c r="G1328" s="1"/>
      <c r="H1328" s="1"/>
      <c r="I1328" s="1"/>
    </row>
    <row r="1329" ht="15.75" customHeight="1">
      <c r="A1329" s="1" t="s">
        <v>1374</v>
      </c>
      <c r="B1329" s="1" t="s">
        <v>1353</v>
      </c>
      <c r="C1329" s="1"/>
      <c r="D1329" s="1"/>
      <c r="E1329" s="1"/>
      <c r="F1329" s="1"/>
      <c r="G1329" s="1"/>
      <c r="H1329" s="1"/>
      <c r="I1329" s="1"/>
    </row>
    <row r="1330" ht="15.75" customHeight="1">
      <c r="A1330" s="1" t="s">
        <v>1375</v>
      </c>
      <c r="B1330" s="1" t="s">
        <v>1353</v>
      </c>
      <c r="C1330" s="1"/>
      <c r="D1330" s="1"/>
      <c r="E1330" s="1"/>
      <c r="F1330" s="1"/>
      <c r="G1330" s="1"/>
      <c r="H1330" s="1"/>
      <c r="I1330" s="1"/>
    </row>
    <row r="1331" ht="15.75" customHeight="1">
      <c r="A1331" s="1" t="s">
        <v>1376</v>
      </c>
      <c r="B1331" s="1" t="s">
        <v>1353</v>
      </c>
      <c r="C1331" s="1"/>
      <c r="D1331" s="1"/>
      <c r="E1331" s="1"/>
      <c r="F1331" s="1"/>
      <c r="G1331" s="1"/>
      <c r="H1331" s="1"/>
      <c r="I1331" s="1"/>
    </row>
    <row r="1332" ht="15.75" customHeight="1">
      <c r="A1332" s="1" t="s">
        <v>1377</v>
      </c>
      <c r="B1332" s="1" t="s">
        <v>1353</v>
      </c>
      <c r="C1332" s="1"/>
      <c r="D1332" s="1"/>
      <c r="E1332" s="1"/>
      <c r="F1332" s="1"/>
      <c r="G1332" s="1"/>
      <c r="H1332" s="1"/>
      <c r="I1332" s="1"/>
    </row>
    <row r="1333" ht="15.75" customHeight="1">
      <c r="A1333" s="1" t="s">
        <v>1378</v>
      </c>
      <c r="B1333" s="1" t="s">
        <v>1353</v>
      </c>
      <c r="C1333" s="1"/>
      <c r="D1333" s="1"/>
      <c r="E1333" s="1"/>
      <c r="F1333" s="1"/>
      <c r="G1333" s="1"/>
      <c r="H1333" s="1"/>
      <c r="I1333" s="1"/>
    </row>
    <row r="1334" ht="15.75" customHeight="1">
      <c r="A1334" s="1" t="s">
        <v>1379</v>
      </c>
      <c r="B1334" s="1" t="s">
        <v>1353</v>
      </c>
      <c r="C1334" s="1"/>
      <c r="D1334" s="1"/>
      <c r="E1334" s="1"/>
      <c r="F1334" s="1"/>
      <c r="G1334" s="1"/>
      <c r="H1334" s="1"/>
      <c r="I1334" s="1"/>
    </row>
    <row r="1335" ht="15.75" customHeight="1">
      <c r="A1335" s="1" t="s">
        <v>1380</v>
      </c>
      <c r="B1335" s="1" t="s">
        <v>1353</v>
      </c>
      <c r="C1335" s="1"/>
      <c r="D1335" s="1"/>
      <c r="E1335" s="1"/>
      <c r="F1335" s="1"/>
      <c r="G1335" s="1"/>
      <c r="H1335" s="1"/>
      <c r="I1335" s="1"/>
    </row>
    <row r="1336" ht="15.75" customHeight="1">
      <c r="A1336" s="1" t="s">
        <v>1381</v>
      </c>
      <c r="B1336" s="1" t="s">
        <v>1353</v>
      </c>
      <c r="C1336" s="1"/>
      <c r="D1336" s="1"/>
      <c r="E1336" s="1"/>
      <c r="F1336" s="1"/>
      <c r="G1336" s="1"/>
      <c r="H1336" s="1"/>
      <c r="I1336" s="1"/>
    </row>
    <row r="1337" ht="15.75" customHeight="1">
      <c r="A1337" s="1" t="s">
        <v>1382</v>
      </c>
      <c r="B1337" s="1" t="s">
        <v>1353</v>
      </c>
      <c r="C1337" s="1"/>
      <c r="D1337" s="1"/>
      <c r="E1337" s="1"/>
      <c r="F1337" s="1"/>
      <c r="G1337" s="1"/>
      <c r="H1337" s="1"/>
      <c r="I1337" s="1"/>
    </row>
    <row r="1338" ht="15.75" customHeight="1">
      <c r="A1338" s="1" t="s">
        <v>1383</v>
      </c>
      <c r="B1338" s="1" t="s">
        <v>1353</v>
      </c>
      <c r="C1338" s="1"/>
      <c r="D1338" s="1"/>
      <c r="E1338" s="1"/>
      <c r="F1338" s="1"/>
      <c r="G1338" s="1"/>
      <c r="H1338" s="1"/>
      <c r="I1338" s="1"/>
    </row>
    <row r="1339" ht="15.75" customHeight="1">
      <c r="A1339" s="1" t="s">
        <v>1384</v>
      </c>
      <c r="B1339" s="1" t="s">
        <v>1353</v>
      </c>
      <c r="C1339" s="1"/>
      <c r="D1339" s="1"/>
      <c r="E1339" s="1"/>
      <c r="F1339" s="1"/>
      <c r="G1339" s="1"/>
      <c r="H1339" s="1"/>
      <c r="I1339" s="1"/>
    </row>
    <row r="1340" ht="15.75" customHeight="1">
      <c r="A1340" s="1" t="s">
        <v>1385</v>
      </c>
      <c r="B1340" s="1" t="s">
        <v>1353</v>
      </c>
      <c r="C1340" s="1"/>
      <c r="D1340" s="1"/>
      <c r="E1340" s="1"/>
      <c r="F1340" s="1"/>
      <c r="G1340" s="1"/>
      <c r="H1340" s="1"/>
      <c r="I1340" s="1"/>
    </row>
    <row r="1341" ht="15.75" customHeight="1">
      <c r="A1341" s="1" t="s">
        <v>1386</v>
      </c>
      <c r="B1341" s="1" t="s">
        <v>1353</v>
      </c>
      <c r="C1341" s="1"/>
      <c r="D1341" s="1"/>
      <c r="E1341" s="1"/>
      <c r="F1341" s="1"/>
      <c r="G1341" s="1"/>
      <c r="H1341" s="1"/>
      <c r="I1341" s="1"/>
    </row>
    <row r="1342" ht="15.75" customHeight="1">
      <c r="A1342" s="1" t="s">
        <v>1387</v>
      </c>
      <c r="B1342" s="1" t="s">
        <v>1353</v>
      </c>
      <c r="C1342" s="1"/>
      <c r="D1342" s="1"/>
      <c r="E1342" s="1"/>
      <c r="F1342" s="1"/>
      <c r="G1342" s="1"/>
      <c r="H1342" s="1"/>
      <c r="I1342" s="1"/>
    </row>
    <row r="1343" ht="15.75" customHeight="1">
      <c r="A1343" s="1" t="s">
        <v>1388</v>
      </c>
      <c r="B1343" s="1" t="s">
        <v>1353</v>
      </c>
      <c r="C1343" s="1"/>
      <c r="D1343" s="1"/>
      <c r="E1343" s="1"/>
      <c r="F1343" s="1"/>
      <c r="G1343" s="1"/>
      <c r="H1343" s="1"/>
      <c r="I1343" s="1"/>
    </row>
    <row r="1344" ht="15.75" customHeight="1">
      <c r="A1344" s="1" t="s">
        <v>1389</v>
      </c>
      <c r="B1344" s="1" t="s">
        <v>1353</v>
      </c>
      <c r="C1344" s="1"/>
      <c r="D1344" s="1"/>
      <c r="E1344" s="1"/>
      <c r="F1344" s="1"/>
      <c r="G1344" s="1"/>
      <c r="H1344" s="1"/>
      <c r="I1344" s="1"/>
    </row>
    <row r="1345" ht="15.75" customHeight="1">
      <c r="A1345" s="1" t="s">
        <v>1390</v>
      </c>
      <c r="B1345" s="1" t="s">
        <v>1353</v>
      </c>
      <c r="C1345" s="1"/>
      <c r="D1345" s="1"/>
      <c r="E1345" s="1"/>
      <c r="F1345" s="1"/>
      <c r="G1345" s="1"/>
      <c r="H1345" s="1"/>
      <c r="I1345" s="1"/>
    </row>
    <row r="1346" ht="15.75" customHeight="1">
      <c r="A1346" s="1" t="s">
        <v>1391</v>
      </c>
      <c r="B1346" s="1" t="s">
        <v>1353</v>
      </c>
      <c r="C1346" s="1"/>
      <c r="D1346" s="1"/>
      <c r="E1346" s="1"/>
      <c r="F1346" s="1"/>
      <c r="G1346" s="1"/>
      <c r="H1346" s="1"/>
      <c r="I1346" s="1"/>
    </row>
    <row r="1347" ht="15.75" customHeight="1">
      <c r="A1347" s="1" t="s">
        <v>1392</v>
      </c>
      <c r="B1347" s="1" t="s">
        <v>1353</v>
      </c>
      <c r="C1347" s="1"/>
      <c r="D1347" s="1"/>
      <c r="E1347" s="1"/>
      <c r="F1347" s="1"/>
      <c r="G1347" s="1"/>
      <c r="H1347" s="1"/>
      <c r="I1347" s="1"/>
    </row>
    <row r="1348" ht="15.75" customHeight="1">
      <c r="A1348" s="1" t="s">
        <v>1393</v>
      </c>
      <c r="B1348" s="1" t="s">
        <v>1353</v>
      </c>
      <c r="C1348" s="1"/>
      <c r="D1348" s="1"/>
      <c r="E1348" s="1"/>
      <c r="F1348" s="1"/>
      <c r="G1348" s="1"/>
      <c r="H1348" s="1"/>
      <c r="I1348" s="1"/>
    </row>
    <row r="1349" ht="15.75" customHeight="1">
      <c r="A1349" s="1" t="s">
        <v>1394</v>
      </c>
      <c r="B1349" s="1" t="s">
        <v>1353</v>
      </c>
      <c r="C1349" s="1"/>
      <c r="D1349" s="1"/>
      <c r="E1349" s="1"/>
      <c r="F1349" s="1"/>
      <c r="G1349" s="1"/>
      <c r="H1349" s="1"/>
      <c r="I1349" s="1"/>
    </row>
    <row r="1350" ht="15.75" customHeight="1">
      <c r="A1350" s="1" t="s">
        <v>1395</v>
      </c>
      <c r="B1350" s="1" t="s">
        <v>1353</v>
      </c>
      <c r="C1350" s="1"/>
      <c r="D1350" s="1"/>
      <c r="E1350" s="1"/>
      <c r="F1350" s="1"/>
      <c r="G1350" s="1"/>
      <c r="H1350" s="1"/>
      <c r="I1350" s="1"/>
    </row>
    <row r="1351" ht="15.75" customHeight="1">
      <c r="A1351" s="1" t="s">
        <v>1396</v>
      </c>
      <c r="B1351" s="1" t="s">
        <v>1353</v>
      </c>
      <c r="C1351" s="1"/>
      <c r="D1351" s="1"/>
      <c r="E1351" s="1"/>
      <c r="F1351" s="1"/>
      <c r="G1351" s="1"/>
      <c r="H1351" s="1"/>
      <c r="I1351" s="1"/>
    </row>
    <row r="1352" ht="15.75" customHeight="1">
      <c r="A1352" s="1" t="s">
        <v>1397</v>
      </c>
      <c r="B1352" s="1" t="s">
        <v>1353</v>
      </c>
      <c r="C1352" s="1"/>
      <c r="D1352" s="1"/>
      <c r="E1352" s="1"/>
      <c r="F1352" s="1"/>
      <c r="G1352" s="1"/>
      <c r="H1352" s="1"/>
      <c r="I1352" s="1"/>
    </row>
    <row r="1353" ht="15.75" customHeight="1">
      <c r="A1353" s="1" t="s">
        <v>1398</v>
      </c>
      <c r="B1353" s="1" t="s">
        <v>1353</v>
      </c>
      <c r="C1353" s="1"/>
      <c r="D1353" s="1"/>
      <c r="E1353" s="1"/>
      <c r="F1353" s="1"/>
      <c r="G1353" s="1"/>
      <c r="H1353" s="1"/>
      <c r="I1353" s="1"/>
    </row>
    <row r="1354" ht="15.75" customHeight="1">
      <c r="A1354" s="1" t="s">
        <v>1399</v>
      </c>
      <c r="B1354" s="1" t="s">
        <v>1353</v>
      </c>
      <c r="C1354" s="1"/>
      <c r="D1354" s="1"/>
      <c r="E1354" s="1"/>
      <c r="F1354" s="1"/>
      <c r="G1354" s="1"/>
      <c r="H1354" s="1"/>
      <c r="I1354" s="1"/>
    </row>
    <row r="1355" ht="15.75" customHeight="1">
      <c r="A1355" s="1" t="s">
        <v>1400</v>
      </c>
      <c r="B1355" s="1" t="s">
        <v>1353</v>
      </c>
      <c r="C1355" s="1"/>
      <c r="D1355" s="1"/>
      <c r="E1355" s="1"/>
      <c r="F1355" s="1"/>
      <c r="G1355" s="1"/>
      <c r="H1355" s="1"/>
      <c r="I1355" s="1"/>
    </row>
    <row r="1356" ht="15.75" customHeight="1">
      <c r="A1356" s="1" t="s">
        <v>1401</v>
      </c>
      <c r="B1356" s="1" t="s">
        <v>1353</v>
      </c>
      <c r="C1356" s="1"/>
      <c r="D1356" s="1"/>
      <c r="E1356" s="1"/>
      <c r="F1356" s="1"/>
      <c r="G1356" s="1"/>
      <c r="H1356" s="1"/>
      <c r="I1356" s="1"/>
    </row>
    <row r="1357" ht="15.75" customHeight="1">
      <c r="A1357" s="1" t="s">
        <v>1402</v>
      </c>
      <c r="B1357" s="1" t="s">
        <v>1353</v>
      </c>
      <c r="C1357" s="1"/>
      <c r="D1357" s="1"/>
      <c r="E1357" s="1"/>
      <c r="F1357" s="1"/>
      <c r="G1357" s="1"/>
      <c r="H1357" s="1"/>
      <c r="I1357" s="1"/>
    </row>
    <row r="1358" ht="15.75" customHeight="1">
      <c r="A1358" s="1" t="s">
        <v>1403</v>
      </c>
      <c r="B1358" s="1" t="s">
        <v>1353</v>
      </c>
      <c r="C1358" s="1"/>
      <c r="D1358" s="1"/>
      <c r="E1358" s="1"/>
      <c r="F1358" s="1"/>
      <c r="G1358" s="1"/>
      <c r="H1358" s="1"/>
      <c r="I1358" s="1"/>
    </row>
    <row r="1359" ht="15.75" customHeight="1">
      <c r="A1359" s="1" t="s">
        <v>1404</v>
      </c>
      <c r="B1359" s="1" t="s">
        <v>1353</v>
      </c>
      <c r="C1359" s="1"/>
      <c r="D1359" s="1"/>
      <c r="E1359" s="1"/>
      <c r="F1359" s="1"/>
      <c r="G1359" s="1"/>
      <c r="H1359" s="1"/>
      <c r="I1359" s="1"/>
    </row>
    <row r="1360" ht="15.75" customHeight="1">
      <c r="A1360" s="1" t="s">
        <v>1405</v>
      </c>
      <c r="B1360" s="1" t="s">
        <v>1353</v>
      </c>
      <c r="C1360" s="1"/>
      <c r="D1360" s="1"/>
      <c r="E1360" s="1"/>
      <c r="F1360" s="1"/>
      <c r="G1360" s="1"/>
      <c r="H1360" s="1"/>
      <c r="I1360" s="1"/>
    </row>
    <row r="1361" ht="15.75" customHeight="1">
      <c r="A1361" s="1" t="s">
        <v>1406</v>
      </c>
      <c r="B1361" s="1" t="s">
        <v>1353</v>
      </c>
      <c r="C1361" s="1"/>
      <c r="D1361" s="1"/>
      <c r="E1361" s="1"/>
      <c r="F1361" s="1"/>
      <c r="G1361" s="1"/>
      <c r="H1361" s="1"/>
      <c r="I1361" s="1"/>
    </row>
    <row r="1362" ht="15.75" customHeight="1">
      <c r="A1362" s="1" t="s">
        <v>1407</v>
      </c>
      <c r="B1362" s="1" t="s">
        <v>1353</v>
      </c>
      <c r="C1362" s="1"/>
      <c r="D1362" s="1"/>
      <c r="E1362" s="1"/>
      <c r="F1362" s="1"/>
      <c r="G1362" s="1"/>
      <c r="H1362" s="1"/>
      <c r="I1362" s="1"/>
    </row>
    <row r="1363" ht="15.75" customHeight="1">
      <c r="A1363" s="1" t="s">
        <v>1408</v>
      </c>
      <c r="B1363" s="1" t="s">
        <v>1353</v>
      </c>
      <c r="C1363" s="1"/>
      <c r="D1363" s="1"/>
      <c r="E1363" s="1"/>
      <c r="F1363" s="1"/>
      <c r="G1363" s="1"/>
      <c r="H1363" s="1"/>
      <c r="I1363" s="1"/>
    </row>
    <row r="1364" ht="15.75" customHeight="1">
      <c r="A1364" s="1" t="s">
        <v>1409</v>
      </c>
      <c r="B1364" s="1" t="s">
        <v>1410</v>
      </c>
      <c r="C1364" s="1"/>
      <c r="D1364" s="1"/>
      <c r="E1364" s="1"/>
      <c r="F1364" s="1"/>
      <c r="G1364" s="1"/>
      <c r="H1364" s="1"/>
      <c r="I1364" s="1"/>
    </row>
    <row r="1365" ht="15.75" customHeight="1">
      <c r="A1365" s="1" t="s">
        <v>1411</v>
      </c>
      <c r="B1365" s="1" t="s">
        <v>1410</v>
      </c>
      <c r="C1365" s="1"/>
      <c r="D1365" s="1"/>
      <c r="E1365" s="1"/>
      <c r="F1365" s="1"/>
      <c r="G1365" s="1"/>
      <c r="H1365" s="1"/>
      <c r="I1365" s="1"/>
    </row>
    <row r="1366" ht="15.75" customHeight="1">
      <c r="A1366" s="1" t="s">
        <v>1412</v>
      </c>
      <c r="B1366" s="1" t="s">
        <v>1410</v>
      </c>
      <c r="C1366" s="1"/>
      <c r="D1366" s="1"/>
      <c r="E1366" s="1"/>
      <c r="F1366" s="1"/>
      <c r="G1366" s="1"/>
      <c r="H1366" s="1"/>
      <c r="I1366" s="1"/>
    </row>
    <row r="1367" ht="15.75" customHeight="1">
      <c r="A1367" s="1" t="s">
        <v>1413</v>
      </c>
      <c r="B1367" s="1" t="s">
        <v>1410</v>
      </c>
      <c r="C1367" s="1"/>
      <c r="D1367" s="1"/>
      <c r="E1367" s="1"/>
      <c r="F1367" s="1"/>
      <c r="G1367" s="1"/>
      <c r="H1367" s="1"/>
      <c r="I1367" s="1"/>
    </row>
    <row r="1368" ht="15.75" customHeight="1">
      <c r="A1368" s="1" t="s">
        <v>1414</v>
      </c>
      <c r="B1368" s="1" t="s">
        <v>1410</v>
      </c>
      <c r="C1368" s="1"/>
      <c r="D1368" s="1"/>
      <c r="E1368" s="1"/>
      <c r="F1368" s="1"/>
      <c r="G1368" s="1"/>
      <c r="H1368" s="1"/>
      <c r="I1368" s="1"/>
    </row>
    <row r="1369" ht="15.75" customHeight="1">
      <c r="A1369" s="1" t="s">
        <v>1415</v>
      </c>
      <c r="B1369" s="1" t="s">
        <v>1410</v>
      </c>
      <c r="C1369" s="1"/>
      <c r="D1369" s="1"/>
      <c r="E1369" s="1"/>
      <c r="F1369" s="1"/>
      <c r="G1369" s="1"/>
      <c r="H1369" s="1"/>
      <c r="I1369" s="1"/>
    </row>
    <row r="1370" ht="15.75" customHeight="1">
      <c r="A1370" s="1" t="s">
        <v>1416</v>
      </c>
      <c r="B1370" s="1" t="s">
        <v>1410</v>
      </c>
      <c r="C1370" s="1"/>
      <c r="D1370" s="1"/>
      <c r="E1370" s="1"/>
      <c r="F1370" s="1"/>
      <c r="G1370" s="1"/>
      <c r="H1370" s="1"/>
      <c r="I1370" s="1"/>
    </row>
    <row r="1371" ht="15.75" customHeight="1">
      <c r="A1371" s="1" t="s">
        <v>1417</v>
      </c>
      <c r="B1371" s="1" t="s">
        <v>1410</v>
      </c>
      <c r="C1371" s="1"/>
      <c r="D1371" s="1"/>
      <c r="E1371" s="1"/>
      <c r="F1371" s="1"/>
      <c r="G1371" s="1"/>
      <c r="H1371" s="1"/>
      <c r="I1371" s="1"/>
    </row>
    <row r="1372" ht="15.75" customHeight="1">
      <c r="A1372" s="1" t="s">
        <v>1418</v>
      </c>
      <c r="B1372" s="1" t="s">
        <v>1419</v>
      </c>
      <c r="C1372" s="1"/>
      <c r="D1372" s="1"/>
      <c r="E1372" s="1"/>
      <c r="F1372" s="1"/>
      <c r="G1372" s="1"/>
      <c r="H1372" s="1"/>
      <c r="I1372" s="1"/>
    </row>
    <row r="1373" ht="15.75" customHeight="1">
      <c r="A1373" s="1" t="s">
        <v>1420</v>
      </c>
      <c r="B1373" s="1" t="s">
        <v>1419</v>
      </c>
      <c r="C1373" s="1"/>
      <c r="D1373" s="1"/>
      <c r="E1373" s="1"/>
      <c r="F1373" s="1"/>
      <c r="G1373" s="1"/>
      <c r="H1373" s="1"/>
      <c r="I1373" s="1"/>
    </row>
    <row r="1374" ht="15.75" customHeight="1">
      <c r="A1374" s="1" t="s">
        <v>1421</v>
      </c>
      <c r="B1374" s="1" t="s">
        <v>1419</v>
      </c>
      <c r="C1374" s="1"/>
      <c r="D1374" s="1"/>
      <c r="E1374" s="1"/>
      <c r="F1374" s="1"/>
      <c r="G1374" s="1"/>
      <c r="H1374" s="1"/>
      <c r="I1374" s="1"/>
    </row>
    <row r="1375" ht="15.75" customHeight="1">
      <c r="A1375" s="1" t="s">
        <v>1422</v>
      </c>
      <c r="B1375" s="1" t="s">
        <v>1419</v>
      </c>
      <c r="C1375" s="1"/>
      <c r="D1375" s="1"/>
      <c r="E1375" s="1"/>
      <c r="F1375" s="1"/>
      <c r="G1375" s="1"/>
      <c r="H1375" s="1"/>
      <c r="I1375" s="1"/>
    </row>
    <row r="1376" ht="15.75" customHeight="1">
      <c r="A1376" s="1" t="s">
        <v>1423</v>
      </c>
      <c r="B1376" s="1" t="s">
        <v>1419</v>
      </c>
      <c r="C1376" s="1"/>
      <c r="D1376" s="1"/>
      <c r="E1376" s="1"/>
      <c r="F1376" s="1"/>
      <c r="G1376" s="1"/>
      <c r="H1376" s="1"/>
      <c r="I1376" s="1"/>
    </row>
    <row r="1377" ht="15.75" customHeight="1">
      <c r="A1377" s="1" t="s">
        <v>1424</v>
      </c>
      <c r="B1377" s="1" t="s">
        <v>1419</v>
      </c>
      <c r="C1377" s="1"/>
      <c r="D1377" s="1"/>
      <c r="E1377" s="1"/>
      <c r="F1377" s="1"/>
      <c r="G1377" s="1"/>
      <c r="H1377" s="1"/>
      <c r="I1377" s="1"/>
    </row>
    <row r="1378" ht="15.75" customHeight="1">
      <c r="A1378" s="1" t="s">
        <v>1425</v>
      </c>
      <c r="B1378" s="1" t="s">
        <v>1419</v>
      </c>
      <c r="C1378" s="1"/>
      <c r="D1378" s="1"/>
      <c r="E1378" s="1"/>
      <c r="F1378" s="1"/>
      <c r="G1378" s="1"/>
      <c r="H1378" s="1"/>
      <c r="I1378" s="1"/>
    </row>
    <row r="1379" ht="15.75" customHeight="1">
      <c r="A1379" s="1" t="s">
        <v>1426</v>
      </c>
      <c r="B1379" s="1" t="s">
        <v>1419</v>
      </c>
      <c r="C1379" s="1"/>
      <c r="D1379" s="1"/>
      <c r="E1379" s="1"/>
      <c r="F1379" s="1"/>
      <c r="G1379" s="1"/>
      <c r="H1379" s="1"/>
      <c r="I1379" s="1"/>
    </row>
    <row r="1380" ht="15.75" customHeight="1">
      <c r="A1380" s="1" t="s">
        <v>1427</v>
      </c>
      <c r="B1380" s="1" t="s">
        <v>1428</v>
      </c>
      <c r="C1380" s="1"/>
      <c r="D1380" s="1"/>
      <c r="E1380" s="1"/>
      <c r="F1380" s="1"/>
      <c r="G1380" s="1"/>
      <c r="H1380" s="1"/>
      <c r="I1380" s="1"/>
    </row>
    <row r="1381" ht="15.75" customHeight="1">
      <c r="A1381" s="1" t="s">
        <v>1429</v>
      </c>
      <c r="B1381" s="1" t="s">
        <v>1428</v>
      </c>
      <c r="C1381" s="1"/>
      <c r="D1381" s="1"/>
      <c r="E1381" s="1"/>
      <c r="F1381" s="1"/>
      <c r="G1381" s="1"/>
      <c r="H1381" s="1"/>
      <c r="I1381" s="1"/>
    </row>
    <row r="1382" ht="15.75" customHeight="1">
      <c r="A1382" s="1" t="s">
        <v>1430</v>
      </c>
      <c r="B1382" s="1" t="s">
        <v>1428</v>
      </c>
      <c r="C1382" s="1"/>
      <c r="D1382" s="1"/>
      <c r="E1382" s="1"/>
      <c r="F1382" s="1"/>
      <c r="G1382" s="1"/>
      <c r="H1382" s="1"/>
      <c r="I1382" s="1"/>
    </row>
    <row r="1383" ht="15.75" customHeight="1">
      <c r="A1383" s="1" t="s">
        <v>1431</v>
      </c>
      <c r="B1383" s="1" t="s">
        <v>1428</v>
      </c>
      <c r="C1383" s="1"/>
      <c r="D1383" s="1"/>
      <c r="E1383" s="1"/>
      <c r="F1383" s="1"/>
      <c r="G1383" s="1"/>
      <c r="H1383" s="1"/>
      <c r="I1383" s="1"/>
    </row>
    <row r="1384" ht="15.75" customHeight="1">
      <c r="A1384" s="1" t="s">
        <v>1432</v>
      </c>
      <c r="B1384" s="1" t="s">
        <v>1428</v>
      </c>
      <c r="C1384" s="1"/>
      <c r="D1384" s="1"/>
      <c r="E1384" s="1"/>
      <c r="F1384" s="1"/>
      <c r="G1384" s="1"/>
      <c r="H1384" s="1"/>
      <c r="I1384" s="1"/>
    </row>
    <row r="1385" ht="15.75" customHeight="1">
      <c r="A1385" s="1" t="s">
        <v>1433</v>
      </c>
      <c r="B1385" s="1" t="s">
        <v>1428</v>
      </c>
      <c r="C1385" s="1"/>
      <c r="D1385" s="1"/>
      <c r="E1385" s="1"/>
      <c r="F1385" s="1"/>
      <c r="G1385" s="1"/>
      <c r="H1385" s="1"/>
      <c r="I1385" s="1"/>
    </row>
    <row r="1386" ht="15.75" customHeight="1">
      <c r="A1386" s="1" t="s">
        <v>1434</v>
      </c>
      <c r="B1386" s="1" t="s">
        <v>1428</v>
      </c>
      <c r="C1386" s="1"/>
      <c r="D1386" s="1"/>
      <c r="E1386" s="1"/>
      <c r="F1386" s="1"/>
      <c r="G1386" s="1"/>
      <c r="H1386" s="1"/>
      <c r="I1386" s="1"/>
    </row>
    <row r="1387" ht="15.75" customHeight="1">
      <c r="A1387" s="1" t="s">
        <v>1435</v>
      </c>
      <c r="B1387" s="1" t="s">
        <v>1428</v>
      </c>
      <c r="C1387" s="1"/>
      <c r="D1387" s="1"/>
      <c r="E1387" s="1"/>
      <c r="F1387" s="1"/>
      <c r="G1387" s="1"/>
      <c r="H1387" s="1"/>
      <c r="I1387" s="1"/>
    </row>
    <row r="1388" ht="15.75" customHeight="1">
      <c r="A1388" s="1" t="s">
        <v>1436</v>
      </c>
      <c r="B1388" s="1" t="s">
        <v>1428</v>
      </c>
      <c r="C1388" s="1"/>
      <c r="D1388" s="1"/>
      <c r="E1388" s="1"/>
      <c r="F1388" s="1"/>
      <c r="G1388" s="1"/>
      <c r="H1388" s="1"/>
      <c r="I1388" s="1"/>
    </row>
    <row r="1389" ht="15.75" customHeight="1">
      <c r="A1389" s="1" t="s">
        <v>1437</v>
      </c>
      <c r="B1389" s="1" t="s">
        <v>1428</v>
      </c>
      <c r="C1389" s="1"/>
      <c r="D1389" s="1"/>
      <c r="E1389" s="1"/>
      <c r="F1389" s="1"/>
      <c r="G1389" s="1"/>
      <c r="H1389" s="1"/>
      <c r="I1389" s="1"/>
    </row>
    <row r="1390" ht="15.75" customHeight="1">
      <c r="A1390" s="1" t="s">
        <v>1438</v>
      </c>
      <c r="B1390" s="1" t="s">
        <v>1428</v>
      </c>
      <c r="C1390" s="1"/>
      <c r="D1390" s="1"/>
      <c r="E1390" s="1"/>
      <c r="F1390" s="1"/>
      <c r="G1390" s="1"/>
      <c r="H1390" s="1"/>
      <c r="I1390" s="1"/>
    </row>
    <row r="1391" ht="15.75" customHeight="1">
      <c r="A1391" s="1" t="s">
        <v>1439</v>
      </c>
      <c r="B1391" s="1" t="s">
        <v>1428</v>
      </c>
      <c r="C1391" s="1"/>
      <c r="D1391" s="1"/>
      <c r="E1391" s="1"/>
      <c r="F1391" s="1"/>
      <c r="G1391" s="1"/>
      <c r="H1391" s="1"/>
      <c r="I1391" s="1"/>
    </row>
    <row r="1392" ht="15.75" customHeight="1">
      <c r="A1392" s="1" t="s">
        <v>1440</v>
      </c>
      <c r="B1392" s="1" t="s">
        <v>1428</v>
      </c>
      <c r="C1392" s="1"/>
      <c r="D1392" s="1"/>
      <c r="E1392" s="1"/>
      <c r="F1392" s="1"/>
      <c r="G1392" s="1"/>
      <c r="H1392" s="1"/>
      <c r="I1392" s="1"/>
    </row>
    <row r="1393" ht="15.75" customHeight="1">
      <c r="A1393" s="1" t="s">
        <v>1441</v>
      </c>
      <c r="B1393" s="1" t="s">
        <v>1428</v>
      </c>
      <c r="C1393" s="1"/>
      <c r="D1393" s="1"/>
      <c r="E1393" s="1"/>
      <c r="F1393" s="1"/>
      <c r="G1393" s="1"/>
      <c r="H1393" s="1"/>
      <c r="I1393" s="1"/>
    </row>
    <row r="1394" ht="15.75" customHeight="1">
      <c r="A1394" s="1" t="s">
        <v>1442</v>
      </c>
      <c r="B1394" s="1" t="s">
        <v>1428</v>
      </c>
      <c r="C1394" s="1"/>
      <c r="D1394" s="1"/>
      <c r="E1394" s="1"/>
      <c r="F1394" s="1"/>
      <c r="G1394" s="1"/>
      <c r="H1394" s="1"/>
      <c r="I1394" s="1"/>
    </row>
    <row r="1395" ht="15.75" customHeight="1">
      <c r="A1395" s="1" t="s">
        <v>1443</v>
      </c>
      <c r="B1395" s="1" t="s">
        <v>1428</v>
      </c>
      <c r="C1395" s="1"/>
      <c r="D1395" s="1"/>
      <c r="E1395" s="1"/>
      <c r="F1395" s="1"/>
      <c r="G1395" s="1"/>
      <c r="H1395" s="1"/>
      <c r="I1395" s="1"/>
    </row>
    <row r="1396" ht="15.75" customHeight="1">
      <c r="A1396" s="1" t="s">
        <v>1444</v>
      </c>
      <c r="B1396" s="1" t="s">
        <v>1428</v>
      </c>
      <c r="C1396" s="1"/>
      <c r="D1396" s="1"/>
      <c r="E1396" s="1"/>
      <c r="F1396" s="1"/>
      <c r="G1396" s="1"/>
      <c r="H1396" s="1"/>
      <c r="I1396" s="1"/>
    </row>
    <row r="1397" ht="15.75" customHeight="1">
      <c r="A1397" s="1" t="s">
        <v>1445</v>
      </c>
      <c r="B1397" s="1" t="s">
        <v>1428</v>
      </c>
      <c r="C1397" s="1"/>
      <c r="D1397" s="1"/>
      <c r="E1397" s="1"/>
      <c r="F1397" s="1"/>
      <c r="G1397" s="1"/>
      <c r="H1397" s="1"/>
      <c r="I1397" s="1"/>
    </row>
    <row r="1398" ht="15.75" customHeight="1">
      <c r="A1398" s="1" t="s">
        <v>1446</v>
      </c>
      <c r="B1398" s="1" t="s">
        <v>1428</v>
      </c>
      <c r="C1398" s="1"/>
      <c r="D1398" s="1"/>
      <c r="E1398" s="1"/>
      <c r="F1398" s="1"/>
      <c r="G1398" s="1"/>
      <c r="H1398" s="1"/>
      <c r="I1398" s="1"/>
    </row>
    <row r="1399" ht="15.75" customHeight="1">
      <c r="A1399" s="1" t="s">
        <v>1447</v>
      </c>
      <c r="B1399" s="1" t="s">
        <v>1428</v>
      </c>
      <c r="C1399" s="1"/>
      <c r="D1399" s="1"/>
      <c r="E1399" s="1"/>
      <c r="F1399" s="1"/>
      <c r="G1399" s="1"/>
      <c r="H1399" s="1"/>
      <c r="I1399" s="1"/>
    </row>
    <row r="1400" ht="15.75" customHeight="1">
      <c r="A1400" s="1" t="s">
        <v>1448</v>
      </c>
      <c r="B1400" s="1" t="s">
        <v>1428</v>
      </c>
      <c r="C1400" s="1"/>
      <c r="D1400" s="1"/>
      <c r="E1400" s="1"/>
      <c r="F1400" s="1"/>
      <c r="G1400" s="1"/>
      <c r="H1400" s="1"/>
      <c r="I1400" s="1"/>
    </row>
    <row r="1401" ht="15.75" customHeight="1">
      <c r="A1401" s="1" t="s">
        <v>1449</v>
      </c>
      <c r="B1401" s="1" t="s">
        <v>1428</v>
      </c>
      <c r="C1401" s="1"/>
      <c r="D1401" s="1"/>
      <c r="E1401" s="1"/>
      <c r="F1401" s="1"/>
      <c r="G1401" s="1"/>
      <c r="H1401" s="1"/>
      <c r="I1401" s="1"/>
    </row>
    <row r="1402" ht="15.75" customHeight="1">
      <c r="A1402" s="1" t="s">
        <v>1450</v>
      </c>
      <c r="B1402" s="1" t="s">
        <v>1428</v>
      </c>
      <c r="C1402" s="1"/>
      <c r="D1402" s="1"/>
      <c r="E1402" s="1"/>
      <c r="F1402" s="1"/>
      <c r="G1402" s="1"/>
      <c r="H1402" s="1"/>
      <c r="I1402" s="1"/>
    </row>
    <row r="1403" ht="15.75" customHeight="1">
      <c r="A1403" s="1" t="s">
        <v>1451</v>
      </c>
      <c r="B1403" s="1" t="s">
        <v>1428</v>
      </c>
      <c r="C1403" s="1"/>
      <c r="D1403" s="1"/>
      <c r="E1403" s="1"/>
      <c r="F1403" s="1"/>
      <c r="G1403" s="1"/>
      <c r="H1403" s="1"/>
      <c r="I1403" s="1"/>
    </row>
    <row r="1404" ht="15.75" customHeight="1">
      <c r="A1404" s="1" t="s">
        <v>1452</v>
      </c>
      <c r="B1404" s="1" t="s">
        <v>1428</v>
      </c>
      <c r="C1404" s="1"/>
      <c r="D1404" s="1"/>
      <c r="E1404" s="1"/>
      <c r="F1404" s="1"/>
      <c r="G1404" s="1"/>
      <c r="H1404" s="1"/>
      <c r="I1404" s="1"/>
    </row>
    <row r="1405" ht="15.75" customHeight="1">
      <c r="A1405" s="1" t="s">
        <v>1453</v>
      </c>
      <c r="B1405" s="1" t="s">
        <v>1428</v>
      </c>
      <c r="C1405" s="1"/>
      <c r="D1405" s="1"/>
      <c r="E1405" s="1"/>
      <c r="F1405" s="1"/>
      <c r="G1405" s="1"/>
      <c r="H1405" s="1"/>
      <c r="I1405" s="1"/>
    </row>
    <row r="1406" ht="15.75" customHeight="1">
      <c r="A1406" s="1" t="s">
        <v>1454</v>
      </c>
      <c r="B1406" s="1" t="s">
        <v>1428</v>
      </c>
      <c r="C1406" s="1"/>
      <c r="D1406" s="1"/>
      <c r="E1406" s="1"/>
      <c r="F1406" s="1"/>
      <c r="G1406" s="1"/>
      <c r="H1406" s="1"/>
      <c r="I1406" s="1"/>
    </row>
    <row r="1407" ht="15.75" customHeight="1">
      <c r="A1407" s="1" t="s">
        <v>1455</v>
      </c>
      <c r="B1407" s="1" t="s">
        <v>1428</v>
      </c>
      <c r="C1407" s="1"/>
      <c r="D1407" s="1"/>
      <c r="E1407" s="1"/>
      <c r="F1407" s="1"/>
      <c r="G1407" s="1"/>
      <c r="H1407" s="1"/>
      <c r="I1407" s="1"/>
    </row>
    <row r="1408" ht="15.75" customHeight="1">
      <c r="A1408" s="1" t="s">
        <v>1456</v>
      </c>
      <c r="B1408" s="1" t="s">
        <v>1428</v>
      </c>
      <c r="C1408" s="1"/>
      <c r="D1408" s="1"/>
      <c r="E1408" s="1"/>
      <c r="F1408" s="1"/>
      <c r="G1408" s="1"/>
      <c r="H1408" s="1"/>
      <c r="I1408" s="1"/>
    </row>
    <row r="1409" ht="15.75" customHeight="1">
      <c r="A1409" s="1" t="s">
        <v>1457</v>
      </c>
      <c r="B1409" s="1" t="s">
        <v>1428</v>
      </c>
      <c r="C1409" s="1"/>
      <c r="D1409" s="1"/>
      <c r="E1409" s="1"/>
      <c r="F1409" s="1"/>
      <c r="G1409" s="1"/>
      <c r="H1409" s="1"/>
      <c r="I1409" s="1"/>
    </row>
    <row r="1410" ht="15.75" customHeight="1">
      <c r="A1410" s="1" t="s">
        <v>1458</v>
      </c>
      <c r="B1410" s="1" t="s">
        <v>1428</v>
      </c>
      <c r="C1410" s="1"/>
      <c r="D1410" s="1"/>
      <c r="E1410" s="1"/>
      <c r="F1410" s="1"/>
      <c r="G1410" s="1"/>
      <c r="H1410" s="1"/>
      <c r="I1410" s="1"/>
    </row>
    <row r="1411" ht="15.75" customHeight="1">
      <c r="A1411" s="1" t="s">
        <v>1459</v>
      </c>
      <c r="B1411" s="1" t="s">
        <v>1428</v>
      </c>
      <c r="C1411" s="1"/>
      <c r="D1411" s="1"/>
      <c r="E1411" s="1"/>
      <c r="F1411" s="1"/>
      <c r="G1411" s="1"/>
      <c r="H1411" s="1"/>
      <c r="I1411" s="1"/>
    </row>
    <row r="1412" ht="15.75" customHeight="1">
      <c r="A1412" s="1" t="s">
        <v>1460</v>
      </c>
      <c r="B1412" s="1" t="s">
        <v>1428</v>
      </c>
      <c r="C1412" s="1"/>
      <c r="D1412" s="1"/>
      <c r="E1412" s="1"/>
      <c r="F1412" s="1"/>
      <c r="G1412" s="1"/>
      <c r="H1412" s="1"/>
      <c r="I1412" s="1"/>
    </row>
    <row r="1413" ht="15.75" customHeight="1">
      <c r="A1413" s="1" t="s">
        <v>1461</v>
      </c>
      <c r="B1413" s="1" t="s">
        <v>1428</v>
      </c>
      <c r="C1413" s="1"/>
      <c r="D1413" s="1"/>
      <c r="E1413" s="1"/>
      <c r="F1413" s="1"/>
      <c r="G1413" s="1"/>
      <c r="H1413" s="1"/>
      <c r="I1413" s="1"/>
    </row>
    <row r="1414" ht="15.75" customHeight="1">
      <c r="A1414" s="1" t="s">
        <v>1462</v>
      </c>
      <c r="B1414" s="1" t="s">
        <v>1428</v>
      </c>
      <c r="C1414" s="1"/>
      <c r="D1414" s="1"/>
      <c r="E1414" s="1"/>
      <c r="F1414" s="1"/>
      <c r="G1414" s="1"/>
      <c r="H1414" s="1"/>
      <c r="I1414" s="1"/>
    </row>
    <row r="1415" ht="15.75" customHeight="1">
      <c r="A1415" s="1" t="s">
        <v>1463</v>
      </c>
      <c r="B1415" s="1" t="s">
        <v>1428</v>
      </c>
      <c r="C1415" s="1"/>
      <c r="D1415" s="1"/>
      <c r="E1415" s="1"/>
      <c r="F1415" s="1"/>
      <c r="G1415" s="1"/>
      <c r="H1415" s="1"/>
      <c r="I1415" s="1"/>
    </row>
    <row r="1416" ht="15.75" customHeight="1">
      <c r="A1416" s="1" t="s">
        <v>1464</v>
      </c>
      <c r="B1416" s="1" t="s">
        <v>1428</v>
      </c>
      <c r="C1416" s="1"/>
      <c r="D1416" s="1"/>
      <c r="E1416" s="1"/>
      <c r="F1416" s="1"/>
      <c r="G1416" s="1"/>
      <c r="H1416" s="1"/>
      <c r="I1416" s="1"/>
    </row>
    <row r="1417" ht="15.75" customHeight="1">
      <c r="A1417" s="1" t="s">
        <v>1465</v>
      </c>
      <c r="B1417" s="1" t="s">
        <v>1428</v>
      </c>
      <c r="C1417" s="1"/>
      <c r="D1417" s="1"/>
      <c r="E1417" s="1"/>
      <c r="F1417" s="1"/>
      <c r="G1417" s="1"/>
      <c r="H1417" s="1"/>
      <c r="I1417" s="1"/>
    </row>
    <row r="1418" ht="15.75" customHeight="1">
      <c r="A1418" s="1" t="s">
        <v>1466</v>
      </c>
      <c r="B1418" s="1" t="s">
        <v>1428</v>
      </c>
      <c r="C1418" s="1"/>
      <c r="D1418" s="1"/>
      <c r="E1418" s="1"/>
      <c r="F1418" s="1"/>
      <c r="G1418" s="1"/>
      <c r="H1418" s="1"/>
      <c r="I1418" s="1"/>
    </row>
    <row r="1419" ht="15.75" customHeight="1">
      <c r="A1419" s="1" t="s">
        <v>1467</v>
      </c>
      <c r="B1419" s="1" t="s">
        <v>1428</v>
      </c>
      <c r="C1419" s="1"/>
      <c r="D1419" s="1"/>
      <c r="E1419" s="1"/>
      <c r="F1419" s="1"/>
      <c r="G1419" s="1"/>
      <c r="H1419" s="1"/>
      <c r="I1419" s="1"/>
    </row>
    <row r="1420" ht="15.75" customHeight="1">
      <c r="A1420" s="1" t="s">
        <v>1468</v>
      </c>
      <c r="B1420" s="1" t="s">
        <v>1428</v>
      </c>
      <c r="C1420" s="1"/>
      <c r="D1420" s="1"/>
      <c r="E1420" s="1"/>
      <c r="F1420" s="1"/>
      <c r="G1420" s="1"/>
      <c r="H1420" s="1"/>
      <c r="I1420" s="1"/>
    </row>
    <row r="1421" ht="15.75" customHeight="1">
      <c r="A1421" s="1" t="s">
        <v>1469</v>
      </c>
      <c r="B1421" s="1" t="s">
        <v>1428</v>
      </c>
      <c r="C1421" s="1"/>
      <c r="D1421" s="1"/>
      <c r="E1421" s="1"/>
      <c r="F1421" s="1"/>
      <c r="G1421" s="1"/>
      <c r="H1421" s="1"/>
      <c r="I1421" s="1"/>
    </row>
    <row r="1422" ht="15.75" customHeight="1">
      <c r="A1422" s="1" t="s">
        <v>1470</v>
      </c>
      <c r="B1422" s="1" t="s">
        <v>1428</v>
      </c>
      <c r="C1422" s="1"/>
      <c r="D1422" s="1"/>
      <c r="E1422" s="1"/>
      <c r="F1422" s="1"/>
      <c r="G1422" s="1"/>
      <c r="H1422" s="1"/>
      <c r="I1422" s="1"/>
    </row>
    <row r="1423" ht="15.75" customHeight="1">
      <c r="A1423" s="1" t="s">
        <v>1471</v>
      </c>
      <c r="B1423" s="1" t="s">
        <v>1428</v>
      </c>
      <c r="C1423" s="1"/>
      <c r="D1423" s="1"/>
      <c r="E1423" s="1"/>
      <c r="F1423" s="1"/>
      <c r="G1423" s="1"/>
      <c r="H1423" s="1"/>
      <c r="I1423" s="1"/>
    </row>
    <row r="1424" ht="15.75" customHeight="1">
      <c r="A1424" s="1" t="s">
        <v>1472</v>
      </c>
      <c r="B1424" s="1" t="s">
        <v>1428</v>
      </c>
      <c r="C1424" s="1"/>
      <c r="D1424" s="1"/>
      <c r="E1424" s="1"/>
      <c r="F1424" s="1"/>
      <c r="G1424" s="1"/>
      <c r="H1424" s="1"/>
      <c r="I1424" s="1"/>
    </row>
    <row r="1425" ht="15.75" customHeight="1">
      <c r="A1425" s="1" t="s">
        <v>1473</v>
      </c>
      <c r="B1425" s="1" t="s">
        <v>1428</v>
      </c>
      <c r="C1425" s="1"/>
      <c r="D1425" s="1"/>
      <c r="E1425" s="1"/>
      <c r="F1425" s="1"/>
      <c r="G1425" s="1"/>
      <c r="H1425" s="1"/>
      <c r="I1425" s="1"/>
    </row>
    <row r="1426" ht="15.75" customHeight="1">
      <c r="A1426" s="1" t="s">
        <v>1474</v>
      </c>
      <c r="B1426" s="1" t="s">
        <v>1428</v>
      </c>
      <c r="C1426" s="1"/>
      <c r="D1426" s="1"/>
      <c r="E1426" s="1"/>
      <c r="F1426" s="1"/>
      <c r="G1426" s="1"/>
      <c r="H1426" s="1"/>
      <c r="I1426" s="1"/>
    </row>
    <row r="1427" ht="15.75" customHeight="1">
      <c r="A1427" s="1" t="s">
        <v>1475</v>
      </c>
      <c r="B1427" s="1" t="s">
        <v>1428</v>
      </c>
      <c r="C1427" s="1"/>
      <c r="D1427" s="1"/>
      <c r="E1427" s="1"/>
      <c r="F1427" s="1"/>
      <c r="G1427" s="1"/>
      <c r="H1427" s="1"/>
      <c r="I1427" s="1"/>
    </row>
    <row r="1428" ht="15.75" customHeight="1">
      <c r="A1428" s="1" t="s">
        <v>1476</v>
      </c>
      <c r="B1428" s="1" t="s">
        <v>1428</v>
      </c>
      <c r="C1428" s="1"/>
      <c r="D1428" s="1"/>
      <c r="E1428" s="1"/>
      <c r="F1428" s="1"/>
      <c r="G1428" s="1"/>
      <c r="H1428" s="1"/>
      <c r="I1428" s="1"/>
    </row>
    <row r="1429" ht="15.75" customHeight="1">
      <c r="A1429" s="1" t="s">
        <v>1477</v>
      </c>
      <c r="B1429" s="1" t="s">
        <v>1428</v>
      </c>
      <c r="C1429" s="1"/>
      <c r="D1429" s="1"/>
      <c r="E1429" s="1"/>
      <c r="F1429" s="1"/>
      <c r="G1429" s="1"/>
      <c r="H1429" s="1"/>
      <c r="I1429" s="1"/>
    </row>
    <row r="1430" ht="15.75" customHeight="1">
      <c r="A1430" s="1" t="s">
        <v>1478</v>
      </c>
      <c r="B1430" s="1" t="s">
        <v>1428</v>
      </c>
      <c r="C1430" s="1"/>
      <c r="D1430" s="1"/>
      <c r="E1430" s="1"/>
      <c r="F1430" s="1"/>
      <c r="G1430" s="1"/>
      <c r="H1430" s="1"/>
      <c r="I1430" s="1"/>
    </row>
    <row r="1431" ht="15.75" customHeight="1">
      <c r="A1431" s="1" t="s">
        <v>1479</v>
      </c>
      <c r="B1431" s="1" t="s">
        <v>1428</v>
      </c>
      <c r="C1431" s="1"/>
      <c r="D1431" s="1"/>
      <c r="E1431" s="1"/>
      <c r="F1431" s="1"/>
      <c r="G1431" s="1"/>
      <c r="H1431" s="1"/>
      <c r="I1431" s="1"/>
    </row>
    <row r="1432" ht="15.75" customHeight="1">
      <c r="A1432" s="1" t="s">
        <v>1480</v>
      </c>
      <c r="B1432" s="1" t="s">
        <v>1428</v>
      </c>
      <c r="C1432" s="1"/>
      <c r="D1432" s="1"/>
      <c r="E1432" s="1"/>
      <c r="F1432" s="1"/>
      <c r="G1432" s="1"/>
      <c r="H1432" s="1"/>
      <c r="I1432" s="1"/>
    </row>
    <row r="1433" ht="15.75" customHeight="1">
      <c r="A1433" s="1" t="s">
        <v>1481</v>
      </c>
      <c r="B1433" s="1" t="s">
        <v>1428</v>
      </c>
      <c r="C1433" s="1"/>
      <c r="D1433" s="1"/>
      <c r="E1433" s="1"/>
      <c r="F1433" s="1"/>
      <c r="G1433" s="1"/>
      <c r="H1433" s="1"/>
      <c r="I1433" s="1"/>
    </row>
    <row r="1434" ht="15.75" customHeight="1">
      <c r="A1434" s="1" t="s">
        <v>1482</v>
      </c>
      <c r="B1434" s="1" t="s">
        <v>1428</v>
      </c>
      <c r="C1434" s="1"/>
      <c r="D1434" s="1"/>
      <c r="E1434" s="1"/>
      <c r="F1434" s="1"/>
      <c r="G1434" s="1"/>
      <c r="H1434" s="1"/>
      <c r="I1434" s="1"/>
    </row>
    <row r="1435" ht="15.75" customHeight="1">
      <c r="A1435" s="1" t="s">
        <v>1483</v>
      </c>
      <c r="B1435" s="1" t="s">
        <v>1428</v>
      </c>
      <c r="C1435" s="1"/>
      <c r="D1435" s="1"/>
      <c r="E1435" s="1"/>
      <c r="F1435" s="1"/>
      <c r="G1435" s="1"/>
      <c r="H1435" s="1"/>
      <c r="I1435" s="1"/>
    </row>
    <row r="1436" ht="15.75" customHeight="1">
      <c r="A1436" s="1" t="s">
        <v>1484</v>
      </c>
      <c r="B1436" s="1" t="s">
        <v>1428</v>
      </c>
      <c r="C1436" s="1"/>
      <c r="D1436" s="1"/>
      <c r="E1436" s="1"/>
      <c r="F1436" s="1"/>
      <c r="G1436" s="1"/>
      <c r="H1436" s="1"/>
      <c r="I1436" s="1"/>
    </row>
    <row r="1437" ht="15.75" customHeight="1">
      <c r="A1437" s="1" t="s">
        <v>1485</v>
      </c>
      <c r="B1437" s="1" t="s">
        <v>1428</v>
      </c>
      <c r="C1437" s="1"/>
      <c r="D1437" s="1"/>
      <c r="E1437" s="1"/>
      <c r="F1437" s="1"/>
      <c r="G1437" s="1"/>
      <c r="H1437" s="1"/>
      <c r="I1437" s="1"/>
    </row>
    <row r="1438" ht="15.75" customHeight="1">
      <c r="A1438" s="1" t="s">
        <v>1486</v>
      </c>
      <c r="B1438" s="1" t="s">
        <v>1428</v>
      </c>
      <c r="C1438" s="1"/>
      <c r="D1438" s="1"/>
      <c r="E1438" s="1"/>
      <c r="F1438" s="1"/>
      <c r="G1438" s="1"/>
      <c r="H1438" s="1"/>
      <c r="I1438" s="1"/>
    </row>
    <row r="1439" ht="15.75" customHeight="1">
      <c r="A1439" s="1" t="s">
        <v>1487</v>
      </c>
      <c r="B1439" s="1" t="s">
        <v>1428</v>
      </c>
      <c r="C1439" s="1"/>
      <c r="D1439" s="1"/>
      <c r="E1439" s="1"/>
      <c r="F1439" s="1"/>
      <c r="G1439" s="1"/>
      <c r="H1439" s="1"/>
      <c r="I1439" s="1"/>
    </row>
    <row r="1440" ht="15.75" customHeight="1">
      <c r="A1440" s="1" t="s">
        <v>1488</v>
      </c>
      <c r="B1440" s="1" t="s">
        <v>1428</v>
      </c>
      <c r="C1440" s="1"/>
      <c r="D1440" s="1"/>
      <c r="E1440" s="1"/>
      <c r="F1440" s="1"/>
      <c r="G1440" s="1"/>
      <c r="H1440" s="1"/>
      <c r="I1440" s="1"/>
    </row>
    <row r="1441" ht="15.75" customHeight="1">
      <c r="A1441" s="1" t="s">
        <v>1489</v>
      </c>
      <c r="B1441" s="1" t="s">
        <v>1428</v>
      </c>
      <c r="C1441" s="1"/>
      <c r="D1441" s="1"/>
      <c r="E1441" s="1"/>
      <c r="F1441" s="1"/>
      <c r="G1441" s="1"/>
      <c r="H1441" s="1"/>
      <c r="I1441" s="1"/>
    </row>
    <row r="1442" ht="15.75" customHeight="1">
      <c r="A1442" s="1" t="s">
        <v>1490</v>
      </c>
      <c r="B1442" s="1" t="s">
        <v>1428</v>
      </c>
      <c r="C1442" s="1"/>
      <c r="D1442" s="1"/>
      <c r="E1442" s="1"/>
      <c r="F1442" s="1"/>
      <c r="G1442" s="1"/>
      <c r="H1442" s="1"/>
      <c r="I1442" s="1"/>
    </row>
    <row r="1443" ht="15.75" customHeight="1">
      <c r="A1443" s="1" t="s">
        <v>1491</v>
      </c>
      <c r="B1443" s="1" t="s">
        <v>1428</v>
      </c>
      <c r="C1443" s="1"/>
      <c r="D1443" s="1"/>
      <c r="E1443" s="1"/>
      <c r="F1443" s="1"/>
      <c r="G1443" s="1"/>
      <c r="H1443" s="1"/>
      <c r="I1443" s="1"/>
    </row>
    <row r="1444" ht="15.75" customHeight="1">
      <c r="A1444" s="1" t="s">
        <v>1492</v>
      </c>
      <c r="B1444" s="1" t="s">
        <v>1428</v>
      </c>
      <c r="C1444" s="1"/>
      <c r="D1444" s="1"/>
      <c r="E1444" s="1"/>
      <c r="F1444" s="1"/>
      <c r="G1444" s="1"/>
      <c r="H1444" s="1"/>
      <c r="I1444" s="1"/>
    </row>
    <row r="1445" ht="15.75" customHeight="1">
      <c r="A1445" s="1" t="s">
        <v>1493</v>
      </c>
      <c r="B1445" s="1" t="s">
        <v>1428</v>
      </c>
      <c r="C1445" s="1"/>
      <c r="D1445" s="1"/>
      <c r="E1445" s="1"/>
      <c r="F1445" s="1"/>
      <c r="G1445" s="1"/>
      <c r="H1445" s="1"/>
      <c r="I1445" s="1"/>
    </row>
    <row r="1446" ht="15.75" customHeight="1">
      <c r="A1446" s="1" t="s">
        <v>1494</v>
      </c>
      <c r="B1446" s="1" t="s">
        <v>1428</v>
      </c>
      <c r="C1446" s="1"/>
      <c r="D1446" s="1"/>
      <c r="E1446" s="1"/>
      <c r="F1446" s="1"/>
      <c r="G1446" s="1"/>
      <c r="H1446" s="1"/>
      <c r="I1446" s="1"/>
    </row>
    <row r="1447" ht="15.75" customHeight="1">
      <c r="A1447" s="1" t="s">
        <v>1495</v>
      </c>
      <c r="B1447" s="1" t="s">
        <v>1428</v>
      </c>
      <c r="C1447" s="1"/>
      <c r="D1447" s="1"/>
      <c r="E1447" s="1"/>
      <c r="F1447" s="1"/>
      <c r="G1447" s="1"/>
      <c r="H1447" s="1"/>
      <c r="I1447" s="1"/>
    </row>
    <row r="1448" ht="15.75" customHeight="1">
      <c r="A1448" s="1" t="s">
        <v>1496</v>
      </c>
      <c r="B1448" s="1" t="s">
        <v>1428</v>
      </c>
      <c r="C1448" s="1"/>
      <c r="D1448" s="1"/>
      <c r="E1448" s="1"/>
      <c r="F1448" s="1"/>
      <c r="G1448" s="1"/>
      <c r="H1448" s="1"/>
      <c r="I1448" s="1"/>
    </row>
    <row r="1449" ht="15.75" customHeight="1">
      <c r="A1449" s="1" t="s">
        <v>1497</v>
      </c>
      <c r="B1449" s="1" t="s">
        <v>1428</v>
      </c>
      <c r="C1449" s="1"/>
      <c r="D1449" s="1"/>
      <c r="E1449" s="1"/>
      <c r="F1449" s="1"/>
      <c r="G1449" s="1"/>
      <c r="H1449" s="1"/>
      <c r="I1449" s="1"/>
    </row>
    <row r="1450" ht="15.75" customHeight="1">
      <c r="A1450" s="1" t="s">
        <v>1498</v>
      </c>
      <c r="B1450" s="1" t="s">
        <v>1428</v>
      </c>
      <c r="C1450" s="1"/>
      <c r="D1450" s="1"/>
      <c r="E1450" s="1"/>
      <c r="F1450" s="1"/>
      <c r="G1450" s="1"/>
      <c r="H1450" s="1"/>
      <c r="I1450" s="1"/>
    </row>
    <row r="1451" ht="15.75" customHeight="1">
      <c r="A1451" s="1" t="s">
        <v>1499</v>
      </c>
      <c r="B1451" s="1" t="s">
        <v>1428</v>
      </c>
      <c r="C1451" s="1"/>
      <c r="D1451" s="1"/>
      <c r="E1451" s="1"/>
      <c r="F1451" s="1"/>
      <c r="G1451" s="1"/>
      <c r="H1451" s="1"/>
      <c r="I1451" s="1"/>
    </row>
    <row r="1452" ht="15.75" customHeight="1">
      <c r="A1452" s="1" t="s">
        <v>1500</v>
      </c>
      <c r="B1452" s="1" t="s">
        <v>1428</v>
      </c>
      <c r="C1452" s="1"/>
      <c r="D1452" s="1"/>
      <c r="E1452" s="1"/>
      <c r="F1452" s="1"/>
      <c r="G1452" s="1"/>
      <c r="H1452" s="1"/>
      <c r="I1452" s="1"/>
    </row>
    <row r="1453" ht="15.75" customHeight="1">
      <c r="A1453" s="1" t="s">
        <v>1501</v>
      </c>
      <c r="B1453" s="1" t="s">
        <v>1428</v>
      </c>
      <c r="C1453" s="1"/>
      <c r="D1453" s="1"/>
      <c r="E1453" s="1"/>
      <c r="F1453" s="1"/>
      <c r="G1453" s="1"/>
      <c r="H1453" s="1"/>
      <c r="I1453" s="1"/>
    </row>
    <row r="1454" ht="15.75" customHeight="1">
      <c r="A1454" s="1" t="s">
        <v>1502</v>
      </c>
      <c r="B1454" s="1" t="s">
        <v>1428</v>
      </c>
      <c r="C1454" s="1"/>
      <c r="D1454" s="1"/>
      <c r="E1454" s="1"/>
      <c r="F1454" s="1"/>
      <c r="G1454" s="1"/>
      <c r="H1454" s="1"/>
      <c r="I1454" s="1"/>
    </row>
    <row r="1455" ht="15.75" customHeight="1">
      <c r="A1455" s="1" t="s">
        <v>1503</v>
      </c>
      <c r="B1455" s="1" t="s">
        <v>1428</v>
      </c>
      <c r="C1455" s="1"/>
      <c r="D1455" s="1"/>
      <c r="E1455" s="1"/>
      <c r="F1455" s="1"/>
      <c r="G1455" s="1"/>
      <c r="H1455" s="1"/>
      <c r="I1455" s="1"/>
    </row>
    <row r="1456" ht="15.75" customHeight="1">
      <c r="A1456" s="1" t="s">
        <v>1504</v>
      </c>
      <c r="B1456" s="1" t="s">
        <v>1428</v>
      </c>
      <c r="C1456" s="1"/>
      <c r="D1456" s="1"/>
      <c r="E1456" s="1"/>
      <c r="F1456" s="1"/>
      <c r="G1456" s="1"/>
      <c r="H1456" s="1"/>
      <c r="I1456" s="1"/>
    </row>
    <row r="1457" ht="15.75" customHeight="1">
      <c r="A1457" s="1" t="s">
        <v>1505</v>
      </c>
      <c r="B1457" s="1" t="s">
        <v>1428</v>
      </c>
      <c r="C1457" s="1"/>
      <c r="D1457" s="1"/>
      <c r="E1457" s="1"/>
      <c r="F1457" s="1"/>
      <c r="G1457" s="1"/>
      <c r="H1457" s="1"/>
      <c r="I1457" s="1"/>
    </row>
    <row r="1458" ht="15.75" customHeight="1">
      <c r="A1458" s="1" t="s">
        <v>1506</v>
      </c>
      <c r="B1458" s="1" t="s">
        <v>1428</v>
      </c>
      <c r="C1458" s="1"/>
      <c r="D1458" s="1"/>
      <c r="E1458" s="1"/>
      <c r="F1458" s="1"/>
      <c r="G1458" s="1"/>
      <c r="H1458" s="1"/>
      <c r="I1458" s="1"/>
    </row>
    <row r="1459" ht="15.75" customHeight="1">
      <c r="A1459" s="1" t="s">
        <v>1507</v>
      </c>
      <c r="B1459" s="1" t="s">
        <v>1428</v>
      </c>
      <c r="C1459" s="1"/>
      <c r="D1459" s="1"/>
      <c r="E1459" s="1"/>
      <c r="F1459" s="1"/>
      <c r="G1459" s="1"/>
      <c r="H1459" s="1"/>
      <c r="I1459" s="1"/>
    </row>
    <row r="1460" ht="15.75" customHeight="1">
      <c r="A1460" s="1" t="s">
        <v>1508</v>
      </c>
      <c r="B1460" s="1" t="s">
        <v>1428</v>
      </c>
      <c r="C1460" s="1"/>
      <c r="D1460" s="1"/>
      <c r="E1460" s="1"/>
      <c r="F1460" s="1"/>
      <c r="G1460" s="1"/>
      <c r="H1460" s="1"/>
      <c r="I1460" s="1"/>
    </row>
    <row r="1461" ht="15.75" customHeight="1">
      <c r="A1461" s="1" t="s">
        <v>1509</v>
      </c>
      <c r="B1461" s="1" t="s">
        <v>1428</v>
      </c>
      <c r="C1461" s="1"/>
      <c r="D1461" s="1"/>
      <c r="E1461" s="1"/>
      <c r="F1461" s="1"/>
      <c r="G1461" s="1"/>
      <c r="H1461" s="1"/>
      <c r="I1461" s="1"/>
    </row>
    <row r="1462" ht="15.75" customHeight="1">
      <c r="A1462" s="1" t="s">
        <v>1510</v>
      </c>
      <c r="B1462" s="1" t="s">
        <v>1428</v>
      </c>
      <c r="C1462" s="1"/>
      <c r="D1462" s="1"/>
      <c r="E1462" s="1"/>
      <c r="F1462" s="1"/>
      <c r="G1462" s="1"/>
      <c r="H1462" s="1"/>
      <c r="I1462" s="1"/>
    </row>
    <row r="1463" ht="15.75" customHeight="1">
      <c r="A1463" s="1" t="s">
        <v>1511</v>
      </c>
      <c r="B1463" s="1" t="s">
        <v>1428</v>
      </c>
      <c r="C1463" s="1"/>
      <c r="D1463" s="1"/>
      <c r="E1463" s="1"/>
      <c r="F1463" s="1"/>
      <c r="G1463" s="1"/>
      <c r="H1463" s="1"/>
      <c r="I1463" s="1"/>
    </row>
    <row r="1464" ht="15.75" customHeight="1">
      <c r="A1464" s="1" t="s">
        <v>1512</v>
      </c>
      <c r="B1464" s="1" t="s">
        <v>1428</v>
      </c>
      <c r="C1464" s="1"/>
      <c r="D1464" s="1"/>
      <c r="E1464" s="1"/>
      <c r="F1464" s="1"/>
      <c r="G1464" s="1"/>
      <c r="H1464" s="1"/>
      <c r="I1464" s="1"/>
    </row>
    <row r="1465" ht="15.75" customHeight="1">
      <c r="A1465" s="1" t="s">
        <v>1513</v>
      </c>
      <c r="B1465" s="1" t="s">
        <v>1428</v>
      </c>
      <c r="C1465" s="1"/>
      <c r="D1465" s="1"/>
      <c r="E1465" s="1"/>
      <c r="F1465" s="1"/>
      <c r="G1465" s="1"/>
      <c r="H1465" s="1"/>
      <c r="I1465" s="1"/>
    </row>
    <row r="1466" ht="15.75" customHeight="1">
      <c r="A1466" s="1" t="s">
        <v>1514</v>
      </c>
      <c r="B1466" s="1" t="s">
        <v>1428</v>
      </c>
      <c r="C1466" s="1"/>
      <c r="D1466" s="1"/>
      <c r="E1466" s="1"/>
      <c r="F1466" s="1"/>
      <c r="G1466" s="1"/>
      <c r="H1466" s="1"/>
      <c r="I1466" s="1"/>
    </row>
    <row r="1467" ht="15.75" customHeight="1">
      <c r="A1467" s="1" t="s">
        <v>1515</v>
      </c>
      <c r="B1467" s="1" t="s">
        <v>1428</v>
      </c>
      <c r="C1467" s="1"/>
      <c r="D1467" s="1"/>
      <c r="E1467" s="1"/>
      <c r="F1467" s="1"/>
      <c r="G1467" s="1"/>
      <c r="H1467" s="1"/>
      <c r="I1467" s="1"/>
    </row>
    <row r="1468" ht="15.75" customHeight="1">
      <c r="A1468" s="1" t="s">
        <v>1516</v>
      </c>
      <c r="B1468" s="1" t="s">
        <v>1428</v>
      </c>
      <c r="C1468" s="1"/>
      <c r="D1468" s="1"/>
      <c r="E1468" s="1"/>
      <c r="F1468" s="1"/>
      <c r="G1468" s="1"/>
      <c r="H1468" s="1"/>
      <c r="I1468" s="1"/>
    </row>
    <row r="1469" ht="15.75" customHeight="1">
      <c r="A1469" s="1" t="s">
        <v>1517</v>
      </c>
      <c r="B1469" s="1" t="s">
        <v>1428</v>
      </c>
      <c r="C1469" s="1"/>
      <c r="D1469" s="1"/>
      <c r="E1469" s="1"/>
      <c r="F1469" s="1"/>
      <c r="G1469" s="1"/>
      <c r="H1469" s="1"/>
      <c r="I1469" s="1"/>
    </row>
    <row r="1470" ht="15.75" customHeight="1">
      <c r="A1470" s="1" t="s">
        <v>1518</v>
      </c>
      <c r="B1470" s="1" t="s">
        <v>1428</v>
      </c>
      <c r="C1470" s="1"/>
      <c r="D1470" s="1"/>
      <c r="E1470" s="1"/>
      <c r="F1470" s="1"/>
      <c r="G1470" s="1"/>
      <c r="H1470" s="1"/>
      <c r="I1470" s="1"/>
    </row>
    <row r="1471" ht="15.75" customHeight="1">
      <c r="A1471" s="1" t="s">
        <v>1519</v>
      </c>
      <c r="B1471" s="1" t="s">
        <v>1520</v>
      </c>
      <c r="C1471" s="1"/>
      <c r="D1471" s="1"/>
      <c r="E1471" s="1"/>
      <c r="F1471" s="1"/>
      <c r="G1471" s="1"/>
      <c r="H1471" s="1"/>
      <c r="I1471" s="1"/>
    </row>
    <row r="1472" ht="15.75" customHeight="1">
      <c r="A1472" s="1" t="s">
        <v>1521</v>
      </c>
      <c r="B1472" s="1" t="s">
        <v>1520</v>
      </c>
      <c r="C1472" s="1"/>
      <c r="D1472" s="1"/>
      <c r="E1472" s="1"/>
      <c r="F1472" s="1"/>
      <c r="G1472" s="1"/>
      <c r="H1472" s="1"/>
      <c r="I1472" s="1"/>
    </row>
    <row r="1473" ht="15.75" customHeight="1">
      <c r="A1473" s="1" t="s">
        <v>1522</v>
      </c>
      <c r="B1473" s="1" t="s">
        <v>1520</v>
      </c>
      <c r="C1473" s="1"/>
      <c r="D1473" s="1"/>
      <c r="E1473" s="1"/>
      <c r="F1473" s="1"/>
      <c r="G1473" s="1"/>
      <c r="H1473" s="1"/>
      <c r="I1473" s="1"/>
    </row>
    <row r="1474" ht="15.75" customHeight="1">
      <c r="A1474" s="1" t="s">
        <v>1523</v>
      </c>
      <c r="B1474" s="1" t="s">
        <v>1520</v>
      </c>
      <c r="C1474" s="1"/>
      <c r="D1474" s="1"/>
      <c r="E1474" s="1"/>
      <c r="F1474" s="1"/>
      <c r="G1474" s="1"/>
      <c r="H1474" s="1"/>
      <c r="I1474" s="1"/>
    </row>
    <row r="1475" ht="15.75" customHeight="1">
      <c r="A1475" s="1" t="s">
        <v>1524</v>
      </c>
      <c r="B1475" s="1" t="s">
        <v>1520</v>
      </c>
      <c r="C1475" s="1"/>
      <c r="D1475" s="1"/>
      <c r="E1475" s="1"/>
      <c r="F1475" s="1"/>
      <c r="G1475" s="1"/>
      <c r="H1475" s="1"/>
      <c r="I1475" s="1"/>
    </row>
    <row r="1476" ht="15.75" customHeight="1">
      <c r="A1476" s="1" t="s">
        <v>1525</v>
      </c>
      <c r="B1476" s="1" t="s">
        <v>1520</v>
      </c>
      <c r="C1476" s="1"/>
      <c r="D1476" s="1"/>
      <c r="E1476" s="1"/>
      <c r="F1476" s="1"/>
      <c r="G1476" s="1"/>
      <c r="H1476" s="1"/>
      <c r="I1476" s="1"/>
    </row>
    <row r="1477" ht="15.75" customHeight="1">
      <c r="A1477" s="1" t="s">
        <v>1526</v>
      </c>
      <c r="B1477" s="1" t="s">
        <v>1520</v>
      </c>
      <c r="C1477" s="1"/>
      <c r="D1477" s="1"/>
      <c r="E1477" s="1"/>
      <c r="F1477" s="1"/>
      <c r="G1477" s="1"/>
      <c r="H1477" s="1"/>
      <c r="I1477" s="1"/>
    </row>
    <row r="1478" ht="15.75" customHeight="1">
      <c r="A1478" s="1" t="s">
        <v>1527</v>
      </c>
      <c r="B1478" s="1" t="s">
        <v>1520</v>
      </c>
      <c r="C1478" s="1"/>
      <c r="D1478" s="1"/>
      <c r="E1478" s="1"/>
      <c r="F1478" s="1"/>
      <c r="G1478" s="1"/>
      <c r="H1478" s="1"/>
      <c r="I1478" s="1"/>
    </row>
    <row r="1479" ht="15.75" customHeight="1">
      <c r="A1479" s="1" t="s">
        <v>1528</v>
      </c>
      <c r="B1479" s="1" t="s">
        <v>1520</v>
      </c>
      <c r="C1479" s="1"/>
      <c r="D1479" s="1"/>
      <c r="E1479" s="1"/>
      <c r="F1479" s="1"/>
      <c r="G1479" s="1"/>
      <c r="H1479" s="1"/>
      <c r="I1479" s="1"/>
    </row>
    <row r="1480" ht="15.75" customHeight="1">
      <c r="A1480" s="1" t="s">
        <v>1529</v>
      </c>
      <c r="B1480" s="1" t="s">
        <v>1520</v>
      </c>
      <c r="C1480" s="1"/>
      <c r="D1480" s="1"/>
      <c r="E1480" s="1"/>
      <c r="F1480" s="1"/>
      <c r="G1480" s="1"/>
      <c r="H1480" s="1"/>
      <c r="I1480" s="1"/>
    </row>
    <row r="1481" ht="15.75" customHeight="1">
      <c r="A1481" s="1" t="s">
        <v>1530</v>
      </c>
      <c r="B1481" s="1" t="s">
        <v>1520</v>
      </c>
      <c r="C1481" s="1"/>
      <c r="D1481" s="1"/>
      <c r="E1481" s="1"/>
      <c r="F1481" s="1"/>
      <c r="G1481" s="1"/>
      <c r="H1481" s="1"/>
      <c r="I1481" s="1"/>
    </row>
    <row r="1482" ht="15.75" customHeight="1">
      <c r="A1482" s="1" t="s">
        <v>1531</v>
      </c>
      <c r="B1482" s="1" t="s">
        <v>1520</v>
      </c>
      <c r="C1482" s="1"/>
      <c r="D1482" s="1"/>
      <c r="E1482" s="1"/>
      <c r="F1482" s="1"/>
      <c r="G1482" s="1"/>
      <c r="H1482" s="1"/>
      <c r="I1482" s="1"/>
    </row>
    <row r="1483" ht="15.75" customHeight="1">
      <c r="A1483" s="1" t="s">
        <v>1532</v>
      </c>
      <c r="B1483" s="1" t="s">
        <v>1520</v>
      </c>
      <c r="C1483" s="1"/>
      <c r="D1483" s="1"/>
      <c r="E1483" s="1"/>
      <c r="F1483" s="1"/>
      <c r="G1483" s="1"/>
      <c r="H1483" s="1"/>
      <c r="I1483" s="1"/>
    </row>
    <row r="1484" ht="15.75" customHeight="1">
      <c r="A1484" s="1" t="s">
        <v>1533</v>
      </c>
      <c r="B1484" s="1" t="s">
        <v>1520</v>
      </c>
      <c r="C1484" s="1"/>
      <c r="D1484" s="1"/>
      <c r="E1484" s="1"/>
      <c r="F1484" s="1"/>
      <c r="G1484" s="1"/>
      <c r="H1484" s="1"/>
      <c r="I1484" s="1"/>
    </row>
    <row r="1485" ht="15.75" customHeight="1">
      <c r="A1485" s="1" t="s">
        <v>1534</v>
      </c>
      <c r="B1485" s="1" t="s">
        <v>1520</v>
      </c>
      <c r="C1485" s="1"/>
      <c r="D1485" s="1"/>
      <c r="E1485" s="1"/>
      <c r="F1485" s="1"/>
      <c r="G1485" s="1"/>
      <c r="H1485" s="1"/>
      <c r="I1485" s="1"/>
    </row>
    <row r="1486" ht="15.75" customHeight="1">
      <c r="A1486" s="1" t="s">
        <v>1535</v>
      </c>
      <c r="B1486" s="1" t="s">
        <v>1520</v>
      </c>
      <c r="C1486" s="1"/>
      <c r="D1486" s="1"/>
      <c r="E1486" s="1"/>
      <c r="F1486" s="1"/>
      <c r="G1486" s="1"/>
      <c r="H1486" s="1"/>
      <c r="I1486" s="1"/>
    </row>
    <row r="1487" ht="15.75" customHeight="1">
      <c r="A1487" s="1" t="s">
        <v>1536</v>
      </c>
      <c r="B1487" s="1" t="s">
        <v>1520</v>
      </c>
      <c r="C1487" s="1"/>
      <c r="D1487" s="1"/>
      <c r="E1487" s="1"/>
      <c r="F1487" s="1"/>
      <c r="G1487" s="1"/>
      <c r="H1487" s="1"/>
      <c r="I1487" s="1"/>
    </row>
    <row r="1488" ht="15.75" customHeight="1">
      <c r="A1488" s="1" t="s">
        <v>1537</v>
      </c>
      <c r="B1488" s="1" t="s">
        <v>1520</v>
      </c>
      <c r="C1488" s="1"/>
      <c r="D1488" s="1"/>
      <c r="E1488" s="1"/>
      <c r="F1488" s="1"/>
      <c r="G1488" s="1"/>
      <c r="H1488" s="1"/>
      <c r="I1488" s="1"/>
    </row>
    <row r="1489" ht="15.75" customHeight="1">
      <c r="A1489" s="1" t="s">
        <v>1538</v>
      </c>
      <c r="B1489" s="1" t="s">
        <v>1520</v>
      </c>
      <c r="C1489" s="1"/>
      <c r="D1489" s="1"/>
      <c r="E1489" s="1"/>
      <c r="F1489" s="1"/>
      <c r="G1489" s="1"/>
      <c r="H1489" s="1"/>
      <c r="I1489" s="1"/>
    </row>
    <row r="1490" ht="15.75" customHeight="1">
      <c r="A1490" s="1" t="s">
        <v>1539</v>
      </c>
      <c r="B1490" s="1" t="s">
        <v>1520</v>
      </c>
      <c r="C1490" s="1"/>
      <c r="D1490" s="1"/>
      <c r="E1490" s="1"/>
      <c r="F1490" s="1"/>
      <c r="G1490" s="1"/>
      <c r="H1490" s="1"/>
      <c r="I1490" s="1"/>
    </row>
    <row r="1491" ht="15.75" customHeight="1">
      <c r="A1491" s="1" t="s">
        <v>1540</v>
      </c>
      <c r="B1491" s="1" t="s">
        <v>1520</v>
      </c>
      <c r="C1491" s="1"/>
      <c r="D1491" s="1"/>
      <c r="E1491" s="1"/>
      <c r="F1491" s="1"/>
      <c r="G1491" s="1"/>
      <c r="H1491" s="1"/>
      <c r="I1491" s="1"/>
    </row>
    <row r="1492" ht="15.75" customHeight="1">
      <c r="A1492" s="1" t="s">
        <v>1541</v>
      </c>
      <c r="B1492" s="1" t="s">
        <v>1520</v>
      </c>
      <c r="C1492" s="1"/>
      <c r="D1492" s="1"/>
      <c r="E1492" s="1"/>
      <c r="F1492" s="1"/>
      <c r="G1492" s="1"/>
      <c r="H1492" s="1"/>
      <c r="I1492" s="1"/>
    </row>
    <row r="1493" ht="15.75" customHeight="1">
      <c r="A1493" s="1" t="s">
        <v>1542</v>
      </c>
      <c r="B1493" s="1" t="s">
        <v>1520</v>
      </c>
      <c r="C1493" s="1"/>
      <c r="D1493" s="1"/>
      <c r="E1493" s="1"/>
      <c r="F1493" s="1"/>
      <c r="G1493" s="1"/>
      <c r="H1493" s="1"/>
      <c r="I1493" s="1"/>
    </row>
    <row r="1494" ht="15.75" customHeight="1">
      <c r="A1494" s="1" t="s">
        <v>1543</v>
      </c>
      <c r="B1494" s="1" t="s">
        <v>1520</v>
      </c>
      <c r="C1494" s="1"/>
      <c r="D1494" s="1"/>
      <c r="E1494" s="1"/>
      <c r="F1494" s="1"/>
      <c r="G1494" s="1"/>
      <c r="H1494" s="1"/>
      <c r="I1494" s="1"/>
    </row>
    <row r="1495" ht="15.75" customHeight="1">
      <c r="A1495" s="1" t="s">
        <v>1544</v>
      </c>
      <c r="B1495" s="1" t="s">
        <v>1520</v>
      </c>
      <c r="C1495" s="1"/>
      <c r="D1495" s="1"/>
      <c r="E1495" s="1"/>
      <c r="F1495" s="1"/>
      <c r="G1495" s="1"/>
      <c r="H1495" s="1"/>
      <c r="I1495" s="1"/>
    </row>
    <row r="1496" ht="15.75" customHeight="1">
      <c r="A1496" s="1" t="s">
        <v>1545</v>
      </c>
      <c r="B1496" s="1" t="s">
        <v>1520</v>
      </c>
      <c r="C1496" s="1"/>
      <c r="D1496" s="1"/>
      <c r="E1496" s="1"/>
      <c r="F1496" s="1"/>
      <c r="G1496" s="1"/>
      <c r="H1496" s="1"/>
      <c r="I1496" s="1"/>
    </row>
    <row r="1497" ht="15.75" customHeight="1">
      <c r="A1497" s="1" t="s">
        <v>1546</v>
      </c>
      <c r="B1497" s="1" t="s">
        <v>1520</v>
      </c>
      <c r="C1497" s="1"/>
      <c r="D1497" s="1"/>
      <c r="E1497" s="1"/>
      <c r="F1497" s="1"/>
      <c r="G1497" s="1"/>
      <c r="H1497" s="1"/>
      <c r="I1497" s="1"/>
    </row>
    <row r="1498" ht="15.75" customHeight="1">
      <c r="A1498" s="1" t="s">
        <v>1547</v>
      </c>
      <c r="B1498" s="1" t="s">
        <v>1520</v>
      </c>
      <c r="C1498" s="1"/>
      <c r="D1498" s="1"/>
      <c r="E1498" s="1"/>
      <c r="F1498" s="1"/>
      <c r="G1498" s="1"/>
      <c r="H1498" s="1"/>
      <c r="I1498" s="1"/>
    </row>
    <row r="1499" ht="15.75" customHeight="1">
      <c r="A1499" s="1" t="s">
        <v>1548</v>
      </c>
      <c r="B1499" s="1" t="s">
        <v>1549</v>
      </c>
      <c r="C1499" s="1"/>
      <c r="D1499" s="1"/>
      <c r="E1499" s="1"/>
      <c r="F1499" s="1"/>
      <c r="G1499" s="1"/>
      <c r="H1499" s="1"/>
      <c r="I1499" s="1"/>
    </row>
    <row r="1500" ht="15.75" customHeight="1">
      <c r="A1500" s="1" t="s">
        <v>1550</v>
      </c>
      <c r="B1500" s="1" t="s">
        <v>1549</v>
      </c>
      <c r="C1500" s="1"/>
      <c r="D1500" s="1"/>
      <c r="E1500" s="1"/>
      <c r="F1500" s="1"/>
      <c r="G1500" s="1"/>
      <c r="H1500" s="1"/>
      <c r="I1500" s="1"/>
    </row>
    <row r="1501" ht="15.75" customHeight="1">
      <c r="A1501" s="1" t="s">
        <v>1551</v>
      </c>
      <c r="B1501" s="1" t="s">
        <v>1549</v>
      </c>
      <c r="C1501" s="1"/>
      <c r="D1501" s="1"/>
      <c r="E1501" s="1"/>
      <c r="F1501" s="1"/>
      <c r="G1501" s="1"/>
      <c r="H1501" s="1"/>
      <c r="I1501" s="1"/>
    </row>
    <row r="1502" ht="15.75" customHeight="1">
      <c r="A1502" s="1" t="s">
        <v>1552</v>
      </c>
      <c r="B1502" s="1" t="s">
        <v>1549</v>
      </c>
      <c r="C1502" s="1"/>
      <c r="D1502" s="1"/>
      <c r="E1502" s="1"/>
      <c r="F1502" s="1"/>
      <c r="G1502" s="1"/>
      <c r="H1502" s="1"/>
      <c r="I1502" s="1"/>
    </row>
    <row r="1503" ht="15.75" customHeight="1">
      <c r="A1503" s="1" t="s">
        <v>1553</v>
      </c>
      <c r="B1503" s="1" t="s">
        <v>1549</v>
      </c>
      <c r="C1503" s="1"/>
      <c r="D1503" s="1"/>
      <c r="E1503" s="1"/>
      <c r="F1503" s="1"/>
      <c r="G1503" s="1"/>
      <c r="H1503" s="1"/>
      <c r="I1503" s="1"/>
    </row>
    <row r="1504" ht="15.75" customHeight="1">
      <c r="A1504" s="1" t="s">
        <v>1554</v>
      </c>
      <c r="B1504" s="1" t="s">
        <v>1549</v>
      </c>
      <c r="C1504" s="1"/>
      <c r="D1504" s="1"/>
      <c r="E1504" s="1"/>
      <c r="F1504" s="1"/>
      <c r="G1504" s="1"/>
      <c r="H1504" s="1"/>
      <c r="I1504" s="1"/>
    </row>
    <row r="1505" ht="15.75" customHeight="1">
      <c r="A1505" s="1" t="s">
        <v>1555</v>
      </c>
      <c r="B1505" s="1" t="s">
        <v>1549</v>
      </c>
      <c r="C1505" s="1"/>
      <c r="D1505" s="1"/>
      <c r="E1505" s="1"/>
      <c r="F1505" s="1"/>
      <c r="G1505" s="1"/>
      <c r="H1505" s="1"/>
      <c r="I1505" s="1"/>
    </row>
    <row r="1506" ht="15.75" customHeight="1">
      <c r="A1506" s="1" t="s">
        <v>1556</v>
      </c>
      <c r="B1506" s="1" t="s">
        <v>1549</v>
      </c>
      <c r="C1506" s="1"/>
      <c r="D1506" s="1"/>
      <c r="E1506" s="1"/>
      <c r="F1506" s="1"/>
      <c r="G1506" s="1"/>
      <c r="H1506" s="1"/>
      <c r="I1506" s="1"/>
    </row>
    <row r="1507" ht="15.75" customHeight="1">
      <c r="A1507" s="1" t="s">
        <v>1557</v>
      </c>
      <c r="B1507" s="1" t="s">
        <v>1549</v>
      </c>
      <c r="C1507" s="1"/>
      <c r="D1507" s="1"/>
      <c r="E1507" s="1"/>
      <c r="F1507" s="1"/>
      <c r="G1507" s="1"/>
      <c r="H1507" s="1"/>
      <c r="I1507" s="1"/>
    </row>
    <row r="1508" ht="15.75" customHeight="1">
      <c r="A1508" s="1" t="s">
        <v>1558</v>
      </c>
      <c r="B1508" s="1" t="s">
        <v>1549</v>
      </c>
      <c r="C1508" s="1"/>
      <c r="D1508" s="1"/>
      <c r="E1508" s="1"/>
      <c r="F1508" s="1"/>
      <c r="G1508" s="1"/>
      <c r="H1508" s="1"/>
      <c r="I1508" s="1"/>
    </row>
    <row r="1509" ht="15.75" customHeight="1">
      <c r="A1509" s="1" t="s">
        <v>1559</v>
      </c>
      <c r="B1509" s="1" t="s">
        <v>1549</v>
      </c>
      <c r="C1509" s="1"/>
      <c r="D1509" s="1"/>
      <c r="E1509" s="1"/>
      <c r="F1509" s="1"/>
      <c r="G1509" s="1"/>
      <c r="H1509" s="1"/>
      <c r="I1509" s="1"/>
    </row>
    <row r="1510" ht="15.75" customHeight="1">
      <c r="A1510" s="1" t="s">
        <v>1560</v>
      </c>
      <c r="B1510" s="1" t="s">
        <v>1549</v>
      </c>
      <c r="C1510" s="1"/>
      <c r="D1510" s="1"/>
      <c r="E1510" s="1"/>
      <c r="F1510" s="1"/>
      <c r="G1510" s="1"/>
      <c r="H1510" s="1"/>
      <c r="I1510" s="1"/>
    </row>
    <row r="1511" ht="15.75" customHeight="1">
      <c r="A1511" s="1" t="s">
        <v>1561</v>
      </c>
      <c r="B1511" s="1" t="s">
        <v>1549</v>
      </c>
      <c r="C1511" s="1"/>
      <c r="D1511" s="1"/>
      <c r="E1511" s="1"/>
      <c r="F1511" s="1"/>
      <c r="G1511" s="1"/>
      <c r="H1511" s="1"/>
      <c r="I1511" s="1"/>
    </row>
    <row r="1512" ht="15.75" customHeight="1">
      <c r="A1512" s="1" t="s">
        <v>1562</v>
      </c>
      <c r="B1512" s="1" t="s">
        <v>1549</v>
      </c>
      <c r="C1512" s="1"/>
      <c r="D1512" s="1"/>
      <c r="E1512" s="1"/>
      <c r="F1512" s="1"/>
      <c r="G1512" s="1"/>
      <c r="H1512" s="1"/>
      <c r="I1512" s="1"/>
    </row>
    <row r="1513" ht="15.75" customHeight="1">
      <c r="A1513" s="1" t="s">
        <v>1563</v>
      </c>
      <c r="B1513" s="1" t="s">
        <v>1549</v>
      </c>
      <c r="C1513" s="1"/>
      <c r="D1513" s="1"/>
      <c r="E1513" s="1"/>
      <c r="F1513" s="1"/>
      <c r="G1513" s="1"/>
      <c r="H1513" s="1"/>
      <c r="I1513" s="1"/>
    </row>
    <row r="1514" ht="15.75" customHeight="1">
      <c r="A1514" s="1" t="s">
        <v>1564</v>
      </c>
      <c r="B1514" s="1" t="s">
        <v>1549</v>
      </c>
      <c r="C1514" s="1"/>
      <c r="D1514" s="1"/>
      <c r="E1514" s="1"/>
      <c r="F1514" s="1"/>
      <c r="G1514" s="1"/>
      <c r="H1514" s="1"/>
      <c r="I1514" s="1"/>
    </row>
    <row r="1515" ht="15.75" customHeight="1">
      <c r="A1515" s="1" t="s">
        <v>1565</v>
      </c>
      <c r="B1515" s="1" t="s">
        <v>1549</v>
      </c>
      <c r="C1515" s="1"/>
      <c r="D1515" s="1"/>
      <c r="E1515" s="1"/>
      <c r="F1515" s="1"/>
      <c r="G1515" s="1"/>
      <c r="H1515" s="1"/>
      <c r="I1515" s="1"/>
    </row>
    <row r="1516" ht="15.75" customHeight="1">
      <c r="A1516" s="1" t="s">
        <v>1566</v>
      </c>
      <c r="B1516" s="1" t="s">
        <v>1549</v>
      </c>
      <c r="C1516" s="1"/>
      <c r="D1516" s="1"/>
      <c r="E1516" s="1"/>
      <c r="F1516" s="1"/>
      <c r="G1516" s="1"/>
      <c r="H1516" s="1"/>
      <c r="I1516" s="1"/>
    </row>
    <row r="1517" ht="15.75" customHeight="1">
      <c r="A1517" s="1" t="s">
        <v>1567</v>
      </c>
      <c r="B1517" s="1" t="s">
        <v>1549</v>
      </c>
      <c r="C1517" s="1"/>
      <c r="D1517" s="1"/>
      <c r="E1517" s="1"/>
      <c r="F1517" s="1"/>
      <c r="G1517" s="1"/>
      <c r="H1517" s="1"/>
      <c r="I1517" s="1"/>
    </row>
    <row r="1518" ht="15.75" customHeight="1">
      <c r="A1518" s="1" t="s">
        <v>1568</v>
      </c>
      <c r="B1518" s="1" t="s">
        <v>1549</v>
      </c>
      <c r="C1518" s="1"/>
      <c r="D1518" s="1"/>
      <c r="E1518" s="1"/>
      <c r="F1518" s="1"/>
      <c r="G1518" s="1"/>
      <c r="H1518" s="1"/>
      <c r="I1518" s="1"/>
    </row>
    <row r="1519" ht="15.75" customHeight="1">
      <c r="A1519" s="1" t="s">
        <v>1569</v>
      </c>
      <c r="B1519" s="1" t="s">
        <v>1549</v>
      </c>
      <c r="C1519" s="1"/>
      <c r="D1519" s="1"/>
      <c r="E1519" s="1"/>
      <c r="F1519" s="1"/>
      <c r="G1519" s="1"/>
      <c r="H1519" s="1"/>
      <c r="I1519" s="1"/>
    </row>
    <row r="1520" ht="15.75" customHeight="1">
      <c r="A1520" s="1" t="s">
        <v>1570</v>
      </c>
      <c r="B1520" s="1" t="s">
        <v>1549</v>
      </c>
      <c r="C1520" s="1"/>
      <c r="D1520" s="1"/>
      <c r="E1520" s="1"/>
      <c r="F1520" s="1"/>
      <c r="G1520" s="1"/>
      <c r="H1520" s="1"/>
      <c r="I1520" s="1"/>
    </row>
    <row r="1521" ht="15.75" customHeight="1">
      <c r="A1521" s="1" t="s">
        <v>1571</v>
      </c>
      <c r="B1521" s="1" t="s">
        <v>1549</v>
      </c>
      <c r="C1521" s="1"/>
      <c r="D1521" s="1"/>
      <c r="E1521" s="1"/>
      <c r="F1521" s="1"/>
      <c r="G1521" s="1"/>
      <c r="H1521" s="1"/>
      <c r="I1521" s="1"/>
    </row>
    <row r="1522" ht="15.75" customHeight="1">
      <c r="A1522" s="1" t="s">
        <v>1572</v>
      </c>
      <c r="B1522" s="1" t="s">
        <v>1549</v>
      </c>
      <c r="C1522" s="1"/>
      <c r="D1522" s="1"/>
      <c r="E1522" s="1"/>
      <c r="F1522" s="1"/>
      <c r="G1522" s="1"/>
      <c r="H1522" s="1"/>
      <c r="I1522" s="1"/>
    </row>
    <row r="1523" ht="15.75" customHeight="1">
      <c r="A1523" s="1" t="s">
        <v>1573</v>
      </c>
      <c r="B1523" s="1" t="s">
        <v>1549</v>
      </c>
      <c r="C1523" s="1"/>
      <c r="D1523" s="1"/>
      <c r="E1523" s="1"/>
      <c r="F1523" s="1"/>
      <c r="G1523" s="1"/>
      <c r="H1523" s="1"/>
      <c r="I1523" s="1"/>
    </row>
    <row r="1524" ht="15.75" customHeight="1">
      <c r="A1524" s="1" t="s">
        <v>1574</v>
      </c>
      <c r="B1524" s="1" t="s">
        <v>1549</v>
      </c>
      <c r="C1524" s="1"/>
      <c r="D1524" s="1"/>
      <c r="E1524" s="1"/>
      <c r="F1524" s="1"/>
      <c r="G1524" s="1"/>
      <c r="H1524" s="1"/>
      <c r="I1524" s="1"/>
    </row>
    <row r="1525" ht="15.75" customHeight="1">
      <c r="A1525" s="1" t="s">
        <v>1575</v>
      </c>
      <c r="B1525" s="1" t="s">
        <v>1549</v>
      </c>
      <c r="C1525" s="1"/>
      <c r="D1525" s="1"/>
      <c r="E1525" s="1"/>
      <c r="F1525" s="1"/>
      <c r="G1525" s="1"/>
      <c r="H1525" s="1"/>
      <c r="I1525" s="1"/>
    </row>
    <row r="1526" ht="15.75" customHeight="1">
      <c r="A1526" s="1" t="s">
        <v>1576</v>
      </c>
      <c r="B1526" s="1" t="s">
        <v>1549</v>
      </c>
      <c r="C1526" s="1"/>
      <c r="D1526" s="1"/>
      <c r="E1526" s="1"/>
      <c r="F1526" s="1"/>
      <c r="G1526" s="1"/>
      <c r="H1526" s="1"/>
      <c r="I1526" s="1"/>
    </row>
    <row r="1527" ht="15.75" customHeight="1">
      <c r="A1527" s="1" t="s">
        <v>1577</v>
      </c>
      <c r="B1527" s="1" t="s">
        <v>1549</v>
      </c>
      <c r="C1527" s="1"/>
      <c r="D1527" s="1"/>
      <c r="E1527" s="1"/>
      <c r="F1527" s="1"/>
      <c r="G1527" s="1"/>
      <c r="H1527" s="1"/>
      <c r="I1527" s="1"/>
    </row>
    <row r="1528" ht="15.75" customHeight="1">
      <c r="A1528" s="1" t="s">
        <v>1578</v>
      </c>
      <c r="B1528" s="1" t="s">
        <v>1549</v>
      </c>
      <c r="C1528" s="1"/>
      <c r="D1528" s="1"/>
      <c r="E1528" s="1"/>
      <c r="F1528" s="1"/>
      <c r="G1528" s="1"/>
      <c r="H1528" s="1"/>
      <c r="I1528" s="1"/>
    </row>
    <row r="1529" ht="15.75" customHeight="1">
      <c r="A1529" s="1" t="s">
        <v>1579</v>
      </c>
      <c r="B1529" s="1" t="s">
        <v>1549</v>
      </c>
      <c r="C1529" s="1"/>
      <c r="D1529" s="1"/>
      <c r="E1529" s="1"/>
      <c r="F1529" s="1"/>
      <c r="G1529" s="1"/>
      <c r="H1529" s="1"/>
      <c r="I1529" s="1"/>
    </row>
    <row r="1530" ht="15.75" customHeight="1">
      <c r="A1530" s="1" t="s">
        <v>1580</v>
      </c>
      <c r="B1530" s="1" t="s">
        <v>1549</v>
      </c>
      <c r="C1530" s="1"/>
      <c r="D1530" s="1"/>
      <c r="E1530" s="1"/>
      <c r="F1530" s="1"/>
      <c r="G1530" s="1"/>
      <c r="H1530" s="1"/>
      <c r="I1530" s="1"/>
    </row>
    <row r="1531" ht="15.75" customHeight="1">
      <c r="A1531" s="1" t="s">
        <v>1581</v>
      </c>
      <c r="B1531" s="1" t="s">
        <v>1549</v>
      </c>
      <c r="C1531" s="1"/>
      <c r="D1531" s="1"/>
      <c r="E1531" s="1"/>
      <c r="F1531" s="1"/>
      <c r="G1531" s="1"/>
      <c r="H1531" s="1"/>
      <c r="I1531" s="1"/>
    </row>
    <row r="1532" ht="15.75" customHeight="1">
      <c r="A1532" s="1" t="s">
        <v>1582</v>
      </c>
      <c r="B1532" s="1" t="s">
        <v>1549</v>
      </c>
      <c r="C1532" s="1"/>
      <c r="D1532" s="1"/>
      <c r="E1532" s="1"/>
      <c r="F1532" s="1"/>
      <c r="G1532" s="1"/>
      <c r="H1532" s="1"/>
      <c r="I1532" s="1"/>
    </row>
    <row r="1533" ht="15.75" customHeight="1">
      <c r="A1533" s="1" t="s">
        <v>1583</v>
      </c>
      <c r="B1533" s="1" t="s">
        <v>1549</v>
      </c>
      <c r="C1533" s="1"/>
      <c r="D1533" s="1"/>
      <c r="E1533" s="1"/>
      <c r="F1533" s="1"/>
      <c r="G1533" s="1"/>
      <c r="H1533" s="1"/>
      <c r="I1533" s="1"/>
    </row>
    <row r="1534" ht="15.75" customHeight="1">
      <c r="A1534" s="1" t="s">
        <v>1584</v>
      </c>
      <c r="B1534" s="1" t="s">
        <v>1549</v>
      </c>
      <c r="C1534" s="1"/>
      <c r="D1534" s="1"/>
      <c r="E1534" s="1"/>
      <c r="F1534" s="1"/>
      <c r="G1534" s="1"/>
      <c r="H1534" s="1"/>
      <c r="I1534" s="1"/>
    </row>
    <row r="1535" ht="15.75" customHeight="1">
      <c r="A1535" s="1" t="s">
        <v>1585</v>
      </c>
      <c r="B1535" s="1" t="s">
        <v>1549</v>
      </c>
      <c r="C1535" s="1"/>
      <c r="D1535" s="1"/>
      <c r="E1535" s="1"/>
      <c r="F1535" s="1"/>
      <c r="G1535" s="1"/>
      <c r="H1535" s="1"/>
      <c r="I1535" s="1"/>
    </row>
    <row r="1536" ht="15.75" customHeight="1">
      <c r="A1536" s="1" t="s">
        <v>1586</v>
      </c>
      <c r="B1536" s="1" t="s">
        <v>1549</v>
      </c>
      <c r="C1536" s="1"/>
      <c r="D1536" s="1"/>
      <c r="E1536" s="1"/>
      <c r="F1536" s="1"/>
      <c r="G1536" s="1"/>
      <c r="H1536" s="1"/>
      <c r="I1536" s="1"/>
    </row>
    <row r="1537" ht="15.75" customHeight="1">
      <c r="A1537" s="1" t="s">
        <v>1587</v>
      </c>
      <c r="B1537" s="1" t="s">
        <v>1549</v>
      </c>
      <c r="C1537" s="1"/>
      <c r="D1537" s="1"/>
      <c r="E1537" s="1"/>
      <c r="F1537" s="1"/>
      <c r="G1537" s="1"/>
      <c r="H1537" s="1"/>
      <c r="I1537" s="1"/>
    </row>
    <row r="1538" ht="15.75" customHeight="1">
      <c r="A1538" s="1" t="s">
        <v>1588</v>
      </c>
      <c r="B1538" s="1" t="s">
        <v>1549</v>
      </c>
      <c r="C1538" s="1"/>
      <c r="D1538" s="1"/>
      <c r="E1538" s="1"/>
      <c r="F1538" s="1"/>
      <c r="G1538" s="1"/>
      <c r="H1538" s="1"/>
      <c r="I1538" s="1"/>
    </row>
    <row r="1539" ht="15.75" customHeight="1">
      <c r="A1539" s="1" t="s">
        <v>1589</v>
      </c>
      <c r="B1539" s="1" t="s">
        <v>1549</v>
      </c>
      <c r="C1539" s="1"/>
      <c r="D1539" s="1"/>
      <c r="E1539" s="1"/>
      <c r="F1539" s="1"/>
      <c r="G1539" s="1"/>
      <c r="H1539" s="1"/>
      <c r="I1539" s="1"/>
    </row>
    <row r="1540" ht="15.75" customHeight="1">
      <c r="A1540" s="1" t="s">
        <v>1590</v>
      </c>
      <c r="B1540" s="1" t="s">
        <v>1549</v>
      </c>
      <c r="C1540" s="1"/>
      <c r="D1540" s="1"/>
      <c r="E1540" s="1"/>
      <c r="F1540" s="1"/>
      <c r="G1540" s="1"/>
      <c r="H1540" s="1"/>
      <c r="I1540" s="1"/>
    </row>
    <row r="1541" ht="15.75" customHeight="1">
      <c r="A1541" s="1" t="s">
        <v>1591</v>
      </c>
      <c r="B1541" s="1" t="s">
        <v>1549</v>
      </c>
      <c r="C1541" s="1"/>
      <c r="D1541" s="1"/>
      <c r="E1541" s="1"/>
      <c r="F1541" s="1"/>
      <c r="G1541" s="1"/>
      <c r="H1541" s="1"/>
      <c r="I1541" s="1"/>
    </row>
    <row r="1542" ht="15.75" customHeight="1">
      <c r="A1542" s="1" t="s">
        <v>1592</v>
      </c>
      <c r="B1542" s="1" t="s">
        <v>1549</v>
      </c>
      <c r="C1542" s="1"/>
      <c r="D1542" s="1"/>
      <c r="E1542" s="1"/>
      <c r="F1542" s="1"/>
      <c r="G1542" s="1"/>
      <c r="H1542" s="1"/>
      <c r="I1542" s="1"/>
    </row>
    <row r="1543" ht="15.75" customHeight="1">
      <c r="A1543" s="1" t="s">
        <v>1593</v>
      </c>
      <c r="B1543" s="1" t="s">
        <v>1549</v>
      </c>
      <c r="C1543" s="1"/>
      <c r="D1543" s="1"/>
      <c r="E1543" s="1"/>
      <c r="F1543" s="1"/>
      <c r="G1543" s="1"/>
      <c r="H1543" s="1"/>
      <c r="I1543" s="1"/>
    </row>
    <row r="1544" ht="15.75" customHeight="1">
      <c r="A1544" s="1" t="s">
        <v>1594</v>
      </c>
      <c r="B1544" s="1" t="s">
        <v>1549</v>
      </c>
      <c r="C1544" s="1"/>
      <c r="D1544" s="1"/>
      <c r="E1544" s="1"/>
      <c r="F1544" s="1"/>
      <c r="G1544" s="1"/>
      <c r="H1544" s="1"/>
      <c r="I1544" s="1"/>
    </row>
    <row r="1545" ht="15.75" customHeight="1">
      <c r="A1545" s="1" t="s">
        <v>1595</v>
      </c>
      <c r="B1545" s="1" t="s">
        <v>1549</v>
      </c>
      <c r="C1545" s="1"/>
      <c r="D1545" s="1"/>
      <c r="E1545" s="1"/>
      <c r="F1545" s="1"/>
      <c r="G1545" s="1"/>
      <c r="H1545" s="1"/>
      <c r="I1545" s="1"/>
    </row>
    <row r="1546" ht="15.75" customHeight="1">
      <c r="A1546" s="1" t="s">
        <v>1596</v>
      </c>
      <c r="B1546" s="1" t="s">
        <v>1549</v>
      </c>
      <c r="C1546" s="1"/>
      <c r="D1546" s="1"/>
      <c r="E1546" s="1"/>
      <c r="F1546" s="1"/>
      <c r="G1546" s="1"/>
      <c r="H1546" s="1"/>
      <c r="I1546" s="1"/>
    </row>
    <row r="1547" ht="15.75" customHeight="1">
      <c r="A1547" s="1" t="s">
        <v>1597</v>
      </c>
      <c r="B1547" s="1" t="s">
        <v>1549</v>
      </c>
      <c r="C1547" s="1"/>
      <c r="D1547" s="1"/>
      <c r="E1547" s="1"/>
      <c r="F1547" s="1"/>
      <c r="G1547" s="1"/>
      <c r="H1547" s="1"/>
      <c r="I1547" s="1"/>
    </row>
    <row r="1548" ht="15.75" customHeight="1">
      <c r="A1548" s="1" t="s">
        <v>1598</v>
      </c>
      <c r="B1548" s="1" t="s">
        <v>1549</v>
      </c>
      <c r="C1548" s="1"/>
      <c r="D1548" s="1"/>
      <c r="E1548" s="1"/>
      <c r="F1548" s="1"/>
      <c r="G1548" s="1"/>
      <c r="H1548" s="1"/>
      <c r="I1548" s="1"/>
    </row>
    <row r="1549" ht="15.75" customHeight="1">
      <c r="A1549" s="1" t="s">
        <v>1599</v>
      </c>
      <c r="B1549" s="1" t="s">
        <v>1549</v>
      </c>
      <c r="C1549" s="1"/>
      <c r="D1549" s="1"/>
      <c r="E1549" s="1"/>
      <c r="F1549" s="1"/>
      <c r="G1549" s="1"/>
      <c r="H1549" s="1"/>
      <c r="I1549" s="1"/>
    </row>
    <row r="1550" ht="15.75" customHeight="1">
      <c r="A1550" s="1" t="s">
        <v>1600</v>
      </c>
      <c r="B1550" s="1" t="s">
        <v>1549</v>
      </c>
      <c r="C1550" s="1"/>
      <c r="D1550" s="1"/>
      <c r="E1550" s="1"/>
      <c r="F1550" s="1"/>
      <c r="G1550" s="1"/>
      <c r="H1550" s="1"/>
      <c r="I1550" s="1"/>
    </row>
    <row r="1551" ht="15.75" customHeight="1">
      <c r="A1551" s="1" t="s">
        <v>1601</v>
      </c>
      <c r="B1551" s="1" t="s">
        <v>1549</v>
      </c>
      <c r="C1551" s="1"/>
      <c r="D1551" s="1"/>
      <c r="E1551" s="1"/>
      <c r="F1551" s="1"/>
      <c r="G1551" s="1"/>
      <c r="H1551" s="1"/>
      <c r="I1551" s="1"/>
    </row>
    <row r="1552" ht="15.75" customHeight="1">
      <c r="A1552" s="1" t="s">
        <v>1602</v>
      </c>
      <c r="B1552" s="1" t="s">
        <v>1549</v>
      </c>
      <c r="C1552" s="1"/>
      <c r="D1552" s="1"/>
      <c r="E1552" s="1"/>
      <c r="F1552" s="1"/>
      <c r="G1552" s="1"/>
      <c r="H1552" s="1"/>
      <c r="I1552" s="1"/>
    </row>
    <row r="1553" ht="15.75" customHeight="1">
      <c r="A1553" s="1" t="s">
        <v>1603</v>
      </c>
      <c r="B1553" s="1" t="s">
        <v>1549</v>
      </c>
      <c r="C1553" s="1"/>
      <c r="D1553" s="1"/>
      <c r="E1553" s="1"/>
      <c r="F1553" s="1"/>
      <c r="G1553" s="1"/>
      <c r="H1553" s="1"/>
      <c r="I1553" s="1"/>
    </row>
    <row r="1554" ht="15.75" customHeight="1">
      <c r="A1554" s="1" t="s">
        <v>1604</v>
      </c>
      <c r="B1554" s="1" t="s">
        <v>1549</v>
      </c>
      <c r="C1554" s="1"/>
      <c r="D1554" s="1"/>
      <c r="E1554" s="1"/>
      <c r="F1554" s="1"/>
      <c r="G1554" s="1"/>
      <c r="H1554" s="1"/>
      <c r="I1554" s="1"/>
    </row>
    <row r="1555" ht="15.75" customHeight="1">
      <c r="A1555" s="1" t="s">
        <v>1605</v>
      </c>
      <c r="B1555" s="1" t="s">
        <v>1549</v>
      </c>
      <c r="C1555" s="1"/>
      <c r="D1555" s="1"/>
      <c r="E1555" s="1"/>
      <c r="F1555" s="1"/>
      <c r="G1555" s="1"/>
      <c r="H1555" s="1"/>
      <c r="I1555" s="1"/>
    </row>
    <row r="1556" ht="15.75" customHeight="1">
      <c r="A1556" s="1" t="s">
        <v>1606</v>
      </c>
      <c r="B1556" s="1" t="s">
        <v>1549</v>
      </c>
      <c r="C1556" s="1"/>
      <c r="D1556" s="1"/>
      <c r="E1556" s="1"/>
      <c r="F1556" s="1"/>
      <c r="G1556" s="1"/>
      <c r="H1556" s="1"/>
      <c r="I1556" s="1"/>
    </row>
    <row r="1557" ht="15.75" customHeight="1">
      <c r="A1557" s="1" t="s">
        <v>1607</v>
      </c>
      <c r="B1557" s="1" t="s">
        <v>1549</v>
      </c>
      <c r="C1557" s="1"/>
      <c r="D1557" s="1"/>
      <c r="E1557" s="1"/>
      <c r="F1557" s="1"/>
      <c r="G1557" s="1"/>
      <c r="H1557" s="1"/>
      <c r="I1557" s="1"/>
    </row>
    <row r="1558" ht="15.75" customHeight="1">
      <c r="A1558" s="1" t="s">
        <v>1608</v>
      </c>
      <c r="B1558" s="1" t="s">
        <v>1549</v>
      </c>
      <c r="C1558" s="1"/>
      <c r="D1558" s="1"/>
      <c r="E1558" s="1"/>
      <c r="F1558" s="1"/>
      <c r="G1558" s="1"/>
      <c r="H1558" s="1"/>
      <c r="I1558" s="1"/>
    </row>
    <row r="1559" ht="15.75" customHeight="1">
      <c r="A1559" s="1" t="s">
        <v>1609</v>
      </c>
      <c r="B1559" s="1" t="s">
        <v>1549</v>
      </c>
      <c r="C1559" s="1"/>
      <c r="D1559" s="1"/>
      <c r="E1559" s="1"/>
      <c r="F1559" s="1"/>
      <c r="G1559" s="1"/>
      <c r="H1559" s="1"/>
      <c r="I1559" s="1"/>
    </row>
    <row r="1560" ht="15.75" customHeight="1">
      <c r="A1560" s="1" t="s">
        <v>1610</v>
      </c>
      <c r="B1560" s="1" t="s">
        <v>1549</v>
      </c>
      <c r="C1560" s="1"/>
      <c r="D1560" s="1"/>
      <c r="E1560" s="1"/>
      <c r="F1560" s="1"/>
      <c r="G1560" s="1"/>
      <c r="H1560" s="1"/>
      <c r="I1560" s="1"/>
    </row>
    <row r="1561" ht="15.75" customHeight="1">
      <c r="A1561" s="1" t="s">
        <v>1611</v>
      </c>
      <c r="B1561" s="1" t="s">
        <v>1549</v>
      </c>
      <c r="C1561" s="1"/>
      <c r="D1561" s="1"/>
      <c r="E1561" s="1"/>
      <c r="F1561" s="1"/>
      <c r="G1561" s="1"/>
      <c r="H1561" s="1"/>
      <c r="I1561" s="1"/>
    </row>
    <row r="1562" ht="15.75" customHeight="1">
      <c r="A1562" s="1" t="s">
        <v>1612</v>
      </c>
      <c r="B1562" s="1" t="s">
        <v>1549</v>
      </c>
      <c r="C1562" s="1"/>
      <c r="D1562" s="1"/>
      <c r="E1562" s="1"/>
      <c r="F1562" s="1"/>
      <c r="G1562" s="1"/>
      <c r="H1562" s="1"/>
      <c r="I1562" s="1"/>
    </row>
    <row r="1563" ht="15.75" customHeight="1">
      <c r="A1563" s="1" t="s">
        <v>1613</v>
      </c>
      <c r="B1563" s="1" t="s">
        <v>1549</v>
      </c>
      <c r="C1563" s="1"/>
      <c r="D1563" s="1"/>
      <c r="E1563" s="1"/>
      <c r="F1563" s="1"/>
      <c r="G1563" s="1"/>
      <c r="H1563" s="1"/>
      <c r="I1563" s="1"/>
    </row>
    <row r="1564" ht="15.75" customHeight="1">
      <c r="A1564" s="1" t="s">
        <v>1614</v>
      </c>
      <c r="B1564" s="1" t="s">
        <v>1549</v>
      </c>
      <c r="C1564" s="1"/>
      <c r="D1564" s="1"/>
      <c r="E1564" s="1"/>
      <c r="F1564" s="1"/>
      <c r="G1564" s="1"/>
      <c r="H1564" s="1"/>
      <c r="I1564" s="1"/>
    </row>
    <row r="1565" ht="15.75" customHeight="1">
      <c r="A1565" s="1" t="s">
        <v>1615</v>
      </c>
      <c r="B1565" s="1" t="s">
        <v>1549</v>
      </c>
      <c r="C1565" s="1"/>
      <c r="D1565" s="1"/>
      <c r="E1565" s="1"/>
      <c r="F1565" s="1"/>
      <c r="G1565" s="1"/>
      <c r="H1565" s="1"/>
      <c r="I1565" s="1"/>
    </row>
    <row r="1566" ht="15.75" customHeight="1">
      <c r="A1566" s="1" t="s">
        <v>1616</v>
      </c>
      <c r="B1566" s="1" t="s">
        <v>1549</v>
      </c>
      <c r="C1566" s="1"/>
      <c r="D1566" s="1"/>
      <c r="E1566" s="1"/>
      <c r="F1566" s="1"/>
      <c r="G1566" s="1"/>
      <c r="H1566" s="1"/>
      <c r="I1566" s="1"/>
    </row>
    <row r="1567" ht="15.75" customHeight="1">
      <c r="A1567" s="1" t="s">
        <v>1617</v>
      </c>
      <c r="B1567" s="1" t="s">
        <v>1549</v>
      </c>
      <c r="C1567" s="1"/>
      <c r="D1567" s="1"/>
      <c r="E1567" s="1"/>
      <c r="F1567" s="1"/>
      <c r="G1567" s="1"/>
      <c r="H1567" s="1"/>
      <c r="I1567" s="1"/>
    </row>
    <row r="1568" ht="15.75" customHeight="1">
      <c r="A1568" s="1" t="s">
        <v>1618</v>
      </c>
      <c r="B1568" s="1" t="s">
        <v>1549</v>
      </c>
      <c r="C1568" s="1"/>
      <c r="D1568" s="1"/>
      <c r="E1568" s="1"/>
      <c r="F1568" s="1"/>
      <c r="G1568" s="1"/>
      <c r="H1568" s="1"/>
      <c r="I1568" s="1"/>
    </row>
    <row r="1569" ht="15.75" customHeight="1">
      <c r="A1569" s="1" t="s">
        <v>1619</v>
      </c>
      <c r="B1569" s="1" t="s">
        <v>1549</v>
      </c>
      <c r="C1569" s="1"/>
      <c r="D1569" s="1"/>
      <c r="E1569" s="1"/>
      <c r="F1569" s="1"/>
      <c r="G1569" s="1"/>
      <c r="H1569" s="1"/>
      <c r="I1569" s="1"/>
    </row>
    <row r="1570" ht="15.75" customHeight="1">
      <c r="A1570" s="1" t="s">
        <v>1620</v>
      </c>
      <c r="B1570" s="1" t="s">
        <v>1549</v>
      </c>
      <c r="C1570" s="1"/>
      <c r="D1570" s="1"/>
      <c r="E1570" s="1"/>
      <c r="F1570" s="1"/>
      <c r="G1570" s="1"/>
      <c r="H1570" s="1"/>
      <c r="I1570" s="1"/>
    </row>
    <row r="1571" ht="15.75" customHeight="1">
      <c r="A1571" s="1" t="s">
        <v>1621</v>
      </c>
      <c r="B1571" s="1" t="s">
        <v>1549</v>
      </c>
      <c r="C1571" s="1"/>
      <c r="D1571" s="1"/>
      <c r="E1571" s="1"/>
      <c r="F1571" s="1"/>
      <c r="G1571" s="1"/>
      <c r="H1571" s="1"/>
      <c r="I1571" s="1"/>
    </row>
    <row r="1572" ht="15.75" customHeight="1">
      <c r="A1572" s="1" t="s">
        <v>1622</v>
      </c>
      <c r="B1572" s="1" t="s">
        <v>1549</v>
      </c>
      <c r="C1572" s="1"/>
      <c r="D1572" s="1"/>
      <c r="E1572" s="1"/>
      <c r="F1572" s="1"/>
      <c r="G1572" s="1"/>
      <c r="H1572" s="1"/>
      <c r="I1572" s="1"/>
    </row>
    <row r="1573" ht="15.75" customHeight="1">
      <c r="A1573" s="1" t="s">
        <v>1623</v>
      </c>
      <c r="B1573" s="1" t="s">
        <v>1549</v>
      </c>
      <c r="C1573" s="1"/>
      <c r="D1573" s="1"/>
      <c r="E1573" s="1"/>
      <c r="F1573" s="1"/>
      <c r="G1573" s="1"/>
      <c r="H1573" s="1"/>
      <c r="I1573" s="1"/>
    </row>
    <row r="1574" ht="15.75" customHeight="1">
      <c r="A1574" s="1" t="s">
        <v>1624</v>
      </c>
      <c r="B1574" s="1" t="s">
        <v>1549</v>
      </c>
      <c r="C1574" s="1"/>
      <c r="D1574" s="1"/>
      <c r="E1574" s="1"/>
      <c r="F1574" s="1"/>
      <c r="G1574" s="1"/>
      <c r="H1574" s="1"/>
      <c r="I1574" s="1"/>
    </row>
    <row r="1575" ht="15.75" customHeight="1">
      <c r="A1575" s="1" t="s">
        <v>1625</v>
      </c>
      <c r="B1575" s="1" t="s">
        <v>1549</v>
      </c>
      <c r="C1575" s="1"/>
      <c r="D1575" s="1"/>
      <c r="E1575" s="1"/>
      <c r="F1575" s="1"/>
      <c r="G1575" s="1"/>
      <c r="H1575" s="1"/>
      <c r="I1575" s="1"/>
    </row>
    <row r="1576" ht="15.75" customHeight="1">
      <c r="A1576" s="1" t="s">
        <v>1626</v>
      </c>
      <c r="B1576" s="1" t="s">
        <v>1549</v>
      </c>
      <c r="C1576" s="1"/>
      <c r="D1576" s="1"/>
      <c r="E1576" s="1"/>
      <c r="F1576" s="1"/>
      <c r="G1576" s="1"/>
      <c r="H1576" s="1"/>
      <c r="I1576" s="1"/>
    </row>
    <row r="1577" ht="15.75" customHeight="1">
      <c r="A1577" s="1" t="s">
        <v>1627</v>
      </c>
      <c r="B1577" s="1" t="s">
        <v>1549</v>
      </c>
      <c r="C1577" s="1"/>
      <c r="D1577" s="1"/>
      <c r="E1577" s="1"/>
      <c r="F1577" s="1"/>
      <c r="G1577" s="1"/>
      <c r="H1577" s="1"/>
      <c r="I1577" s="1"/>
    </row>
    <row r="1578" ht="15.75" customHeight="1">
      <c r="A1578" s="1" t="s">
        <v>1628</v>
      </c>
      <c r="B1578" s="1" t="s">
        <v>1549</v>
      </c>
      <c r="C1578" s="1"/>
      <c r="D1578" s="1"/>
      <c r="E1578" s="1"/>
      <c r="F1578" s="1"/>
      <c r="G1578" s="1"/>
      <c r="H1578" s="1"/>
      <c r="I1578" s="1"/>
    </row>
    <row r="1579" ht="15.75" customHeight="1">
      <c r="A1579" s="1" t="s">
        <v>1629</v>
      </c>
      <c r="B1579" s="1" t="s">
        <v>1549</v>
      </c>
      <c r="C1579" s="1"/>
      <c r="D1579" s="1"/>
      <c r="E1579" s="1"/>
      <c r="F1579" s="1"/>
      <c r="G1579" s="1"/>
      <c r="H1579" s="1"/>
      <c r="I1579" s="1"/>
    </row>
    <row r="1580" ht="15.75" customHeight="1">
      <c r="A1580" s="1" t="s">
        <v>1630</v>
      </c>
      <c r="B1580" s="1" t="s">
        <v>1549</v>
      </c>
      <c r="C1580" s="1"/>
      <c r="D1580" s="1"/>
      <c r="E1580" s="1"/>
      <c r="F1580" s="1"/>
      <c r="G1580" s="1"/>
      <c r="H1580" s="1"/>
      <c r="I1580" s="1"/>
    </row>
    <row r="1581" ht="15.75" customHeight="1">
      <c r="A1581" s="1" t="s">
        <v>1631</v>
      </c>
      <c r="B1581" s="1" t="s">
        <v>1549</v>
      </c>
      <c r="C1581" s="1"/>
      <c r="D1581" s="1"/>
      <c r="E1581" s="1"/>
      <c r="F1581" s="1"/>
      <c r="G1581" s="1"/>
      <c r="H1581" s="1"/>
      <c r="I1581" s="1"/>
    </row>
    <row r="1582" ht="15.75" customHeight="1">
      <c r="A1582" s="1" t="s">
        <v>1632</v>
      </c>
      <c r="B1582" s="1" t="s">
        <v>1549</v>
      </c>
      <c r="C1582" s="1"/>
      <c r="D1582" s="1"/>
      <c r="E1582" s="1"/>
      <c r="F1582" s="1"/>
      <c r="G1582" s="1"/>
      <c r="H1582" s="1"/>
      <c r="I1582" s="1"/>
    </row>
    <row r="1583" ht="15.75" customHeight="1">
      <c r="A1583" s="1" t="s">
        <v>1633</v>
      </c>
      <c r="B1583" s="1" t="s">
        <v>1549</v>
      </c>
      <c r="C1583" s="1"/>
      <c r="D1583" s="1"/>
      <c r="E1583" s="1"/>
      <c r="F1583" s="1"/>
      <c r="G1583" s="1"/>
      <c r="H1583" s="1"/>
      <c r="I1583" s="1"/>
    </row>
    <row r="1584" ht="15.75" customHeight="1">
      <c r="A1584" s="1" t="s">
        <v>1634</v>
      </c>
      <c r="B1584" s="1" t="s">
        <v>1549</v>
      </c>
      <c r="C1584" s="1"/>
      <c r="D1584" s="1"/>
      <c r="E1584" s="1"/>
      <c r="F1584" s="1"/>
      <c r="G1584" s="1"/>
      <c r="H1584" s="1"/>
      <c r="I1584" s="1"/>
    </row>
    <row r="1585" ht="15.75" customHeight="1">
      <c r="A1585" s="1" t="s">
        <v>1635</v>
      </c>
      <c r="B1585" s="1" t="s">
        <v>1549</v>
      </c>
      <c r="C1585" s="1"/>
      <c r="D1585" s="1"/>
      <c r="E1585" s="1"/>
      <c r="F1585" s="1"/>
      <c r="G1585" s="1"/>
      <c r="H1585" s="1"/>
      <c r="I1585" s="1"/>
    </row>
    <row r="1586" ht="15.75" customHeight="1">
      <c r="A1586" s="1" t="s">
        <v>1636</v>
      </c>
      <c r="B1586" s="1" t="s">
        <v>1549</v>
      </c>
      <c r="C1586" s="1"/>
      <c r="D1586" s="1"/>
      <c r="E1586" s="1"/>
      <c r="F1586" s="1"/>
      <c r="G1586" s="1"/>
      <c r="H1586" s="1"/>
      <c r="I1586" s="1"/>
    </row>
    <row r="1587" ht="15.75" customHeight="1">
      <c r="A1587" s="1" t="s">
        <v>1637</v>
      </c>
      <c r="B1587" s="1" t="s">
        <v>1549</v>
      </c>
      <c r="C1587" s="1"/>
      <c r="D1587" s="1"/>
      <c r="E1587" s="1"/>
      <c r="F1587" s="1"/>
      <c r="G1587" s="1"/>
      <c r="H1587" s="1"/>
      <c r="I1587" s="1"/>
    </row>
    <row r="1588" ht="15.75" customHeight="1">
      <c r="A1588" s="1" t="s">
        <v>1638</v>
      </c>
      <c r="B1588" s="1" t="s">
        <v>1549</v>
      </c>
      <c r="C1588" s="1"/>
      <c r="D1588" s="1"/>
      <c r="E1588" s="1"/>
      <c r="F1588" s="1"/>
      <c r="G1588" s="1"/>
      <c r="H1588" s="1"/>
      <c r="I1588" s="1"/>
    </row>
    <row r="1589" ht="15.75" customHeight="1">
      <c r="A1589" s="1" t="s">
        <v>1639</v>
      </c>
      <c r="B1589" s="1" t="s">
        <v>1549</v>
      </c>
      <c r="C1589" s="1"/>
      <c r="D1589" s="1"/>
      <c r="E1589" s="1"/>
      <c r="F1589" s="1"/>
      <c r="G1589" s="1"/>
      <c r="H1589" s="1"/>
      <c r="I1589" s="1"/>
    </row>
    <row r="1590" ht="15.75" customHeight="1">
      <c r="A1590" s="1" t="s">
        <v>1640</v>
      </c>
      <c r="B1590" s="1" t="s">
        <v>1549</v>
      </c>
      <c r="C1590" s="1"/>
      <c r="D1590" s="1"/>
      <c r="E1590" s="1"/>
      <c r="F1590" s="1"/>
      <c r="G1590" s="1"/>
      <c r="H1590" s="1"/>
      <c r="I1590" s="1"/>
    </row>
    <row r="1591" ht="15.75" customHeight="1">
      <c r="A1591" s="1" t="s">
        <v>1641</v>
      </c>
      <c r="B1591" s="1" t="s">
        <v>1549</v>
      </c>
      <c r="C1591" s="1"/>
      <c r="D1591" s="1"/>
      <c r="E1591" s="1"/>
      <c r="F1591" s="1"/>
      <c r="G1591" s="1"/>
      <c r="H1591" s="1"/>
      <c r="I1591" s="1"/>
    </row>
    <row r="1592" ht="15.75" customHeight="1">
      <c r="A1592" s="1" t="s">
        <v>1642</v>
      </c>
      <c r="B1592" s="1" t="s">
        <v>1549</v>
      </c>
      <c r="C1592" s="1"/>
      <c r="D1592" s="1"/>
      <c r="E1592" s="1"/>
      <c r="F1592" s="1"/>
      <c r="G1592" s="1"/>
      <c r="H1592" s="1"/>
      <c r="I1592" s="1"/>
    </row>
    <row r="1593" ht="15.75" customHeight="1">
      <c r="A1593" s="1" t="s">
        <v>1643</v>
      </c>
      <c r="B1593" s="1" t="s">
        <v>1549</v>
      </c>
      <c r="C1593" s="1"/>
      <c r="D1593" s="1"/>
      <c r="E1593" s="1"/>
      <c r="F1593" s="1"/>
      <c r="G1593" s="1"/>
      <c r="H1593" s="1"/>
      <c r="I1593" s="1"/>
    </row>
    <row r="1594" ht="15.75" customHeight="1">
      <c r="A1594" s="1" t="s">
        <v>1644</v>
      </c>
      <c r="B1594" s="1" t="s">
        <v>1549</v>
      </c>
      <c r="C1594" s="1"/>
      <c r="D1594" s="1"/>
      <c r="E1594" s="1"/>
      <c r="F1594" s="1"/>
      <c r="G1594" s="1"/>
      <c r="H1594" s="1"/>
      <c r="I1594" s="1"/>
    </row>
    <row r="1595" ht="15.75" customHeight="1">
      <c r="A1595" s="1" t="s">
        <v>1645</v>
      </c>
      <c r="B1595" s="1" t="s">
        <v>1549</v>
      </c>
      <c r="C1595" s="1"/>
      <c r="D1595" s="1"/>
      <c r="E1595" s="1"/>
      <c r="F1595" s="1"/>
      <c r="G1595" s="1"/>
      <c r="H1595" s="1"/>
      <c r="I1595" s="1"/>
    </row>
    <row r="1596" ht="15.75" customHeight="1">
      <c r="A1596" s="1" t="s">
        <v>1646</v>
      </c>
      <c r="B1596" s="1" t="s">
        <v>1549</v>
      </c>
      <c r="C1596" s="1"/>
      <c r="D1596" s="1"/>
      <c r="E1596" s="1"/>
      <c r="F1596" s="1"/>
      <c r="G1596" s="1"/>
      <c r="H1596" s="1"/>
      <c r="I1596" s="1"/>
    </row>
    <row r="1597" ht="15.75" customHeight="1">
      <c r="A1597" s="1" t="s">
        <v>1647</v>
      </c>
      <c r="B1597" s="1" t="s">
        <v>1549</v>
      </c>
      <c r="C1597" s="1"/>
      <c r="D1597" s="1"/>
      <c r="E1597" s="1"/>
      <c r="F1597" s="1"/>
      <c r="G1597" s="1"/>
      <c r="H1597" s="1"/>
      <c r="I1597" s="1"/>
    </row>
    <row r="1598" ht="15.75" customHeight="1">
      <c r="A1598" s="1" t="s">
        <v>1648</v>
      </c>
      <c r="B1598" s="1" t="s">
        <v>1549</v>
      </c>
      <c r="C1598" s="1"/>
      <c r="D1598" s="1"/>
      <c r="E1598" s="1"/>
      <c r="F1598" s="1"/>
      <c r="G1598" s="1"/>
      <c r="H1598" s="1"/>
      <c r="I1598" s="1"/>
    </row>
    <row r="1599" ht="15.75" customHeight="1">
      <c r="A1599" s="1" t="s">
        <v>1649</v>
      </c>
      <c r="B1599" s="1" t="s">
        <v>1549</v>
      </c>
      <c r="C1599" s="1"/>
      <c r="D1599" s="1"/>
      <c r="E1599" s="1"/>
      <c r="F1599" s="1"/>
      <c r="G1599" s="1"/>
      <c r="H1599" s="1"/>
      <c r="I1599" s="1"/>
    </row>
    <row r="1600" ht="15.75" customHeight="1">
      <c r="A1600" s="1" t="s">
        <v>1650</v>
      </c>
      <c r="B1600" s="1" t="s">
        <v>1549</v>
      </c>
      <c r="C1600" s="1"/>
      <c r="D1600" s="1"/>
      <c r="E1600" s="1"/>
      <c r="F1600" s="1"/>
      <c r="G1600" s="1"/>
      <c r="H1600" s="1"/>
      <c r="I1600" s="1"/>
    </row>
    <row r="1601" ht="15.75" customHeight="1">
      <c r="A1601" s="1" t="s">
        <v>1651</v>
      </c>
      <c r="B1601" s="1" t="s">
        <v>1549</v>
      </c>
      <c r="C1601" s="1"/>
      <c r="D1601" s="1"/>
      <c r="E1601" s="1"/>
      <c r="F1601" s="1"/>
      <c r="G1601" s="1"/>
      <c r="H1601" s="1"/>
      <c r="I1601" s="1"/>
    </row>
    <row r="1602" ht="15.75" customHeight="1">
      <c r="A1602" s="1" t="s">
        <v>1652</v>
      </c>
      <c r="B1602" s="1" t="s">
        <v>1549</v>
      </c>
      <c r="C1602" s="1"/>
      <c r="D1602" s="1"/>
      <c r="E1602" s="1"/>
      <c r="F1602" s="1"/>
      <c r="G1602" s="1"/>
      <c r="H1602" s="1"/>
      <c r="I1602" s="1"/>
    </row>
    <row r="1603" ht="15.75" customHeight="1">
      <c r="A1603" s="1" t="s">
        <v>1653</v>
      </c>
      <c r="B1603" s="1" t="s">
        <v>1549</v>
      </c>
      <c r="C1603" s="1"/>
      <c r="D1603" s="1"/>
      <c r="E1603" s="1"/>
      <c r="F1603" s="1"/>
      <c r="G1603" s="1"/>
      <c r="H1603" s="1"/>
      <c r="I1603" s="1"/>
    </row>
    <row r="1604" ht="15.75" customHeight="1">
      <c r="A1604" s="1" t="s">
        <v>1654</v>
      </c>
      <c r="B1604" s="1" t="s">
        <v>1549</v>
      </c>
      <c r="C1604" s="1"/>
      <c r="D1604" s="1"/>
      <c r="E1604" s="1"/>
      <c r="F1604" s="1"/>
      <c r="G1604" s="1"/>
      <c r="H1604" s="1"/>
      <c r="I1604" s="1"/>
    </row>
    <row r="1605" ht="15.75" customHeight="1">
      <c r="A1605" s="1" t="s">
        <v>1655</v>
      </c>
      <c r="B1605" s="1" t="s">
        <v>1549</v>
      </c>
      <c r="C1605" s="1"/>
      <c r="D1605" s="1"/>
      <c r="E1605" s="1"/>
      <c r="F1605" s="1"/>
      <c r="G1605" s="1"/>
      <c r="H1605" s="1"/>
      <c r="I1605" s="1"/>
    </row>
    <row r="1606" ht="15.75" customHeight="1">
      <c r="A1606" s="1" t="s">
        <v>1656</v>
      </c>
      <c r="B1606" s="1" t="s">
        <v>1549</v>
      </c>
      <c r="C1606" s="1"/>
      <c r="D1606" s="1"/>
      <c r="E1606" s="1"/>
      <c r="F1606" s="1"/>
      <c r="G1606" s="1"/>
      <c r="H1606" s="1"/>
      <c r="I1606" s="1"/>
    </row>
    <row r="1607" ht="15.75" customHeight="1">
      <c r="A1607" s="1" t="s">
        <v>1657</v>
      </c>
      <c r="B1607" s="1" t="s">
        <v>1549</v>
      </c>
      <c r="C1607" s="1"/>
      <c r="D1607" s="1"/>
      <c r="E1607" s="1"/>
      <c r="F1607" s="1"/>
      <c r="G1607" s="1"/>
      <c r="H1607" s="1"/>
      <c r="I1607" s="1"/>
    </row>
    <row r="1608" ht="15.75" customHeight="1">
      <c r="A1608" s="1" t="s">
        <v>1658</v>
      </c>
      <c r="B1608" s="1" t="s">
        <v>1549</v>
      </c>
      <c r="C1608" s="1"/>
      <c r="D1608" s="1"/>
      <c r="E1608" s="1"/>
      <c r="F1608" s="1"/>
      <c r="G1608" s="1"/>
      <c r="H1608" s="1"/>
      <c r="I1608" s="1"/>
    </row>
    <row r="1609" ht="15.75" customHeight="1">
      <c r="A1609" s="1" t="s">
        <v>1659</v>
      </c>
      <c r="B1609" s="1" t="s">
        <v>1549</v>
      </c>
      <c r="C1609" s="1"/>
      <c r="D1609" s="1"/>
      <c r="E1609" s="1"/>
      <c r="F1609" s="1"/>
      <c r="G1609" s="1"/>
      <c r="H1609" s="1"/>
      <c r="I1609" s="1"/>
    </row>
    <row r="1610" ht="15.75" customHeight="1">
      <c r="A1610" s="1" t="s">
        <v>1660</v>
      </c>
      <c r="B1610" s="1" t="s">
        <v>1549</v>
      </c>
      <c r="C1610" s="1"/>
      <c r="D1610" s="1"/>
      <c r="E1610" s="1"/>
      <c r="F1610" s="1"/>
      <c r="G1610" s="1"/>
      <c r="H1610" s="1"/>
      <c r="I1610" s="1"/>
    </row>
    <row r="1611" ht="15.75" customHeight="1">
      <c r="A1611" s="1" t="s">
        <v>1661</v>
      </c>
      <c r="B1611" s="1" t="s">
        <v>1549</v>
      </c>
      <c r="C1611" s="1"/>
      <c r="D1611" s="1"/>
      <c r="E1611" s="1"/>
      <c r="F1611" s="1"/>
      <c r="G1611" s="1"/>
      <c r="H1611" s="1"/>
      <c r="I1611" s="1"/>
    </row>
    <row r="1612" ht="15.75" customHeight="1">
      <c r="A1612" s="1" t="s">
        <v>1662</v>
      </c>
      <c r="B1612" s="1" t="s">
        <v>1549</v>
      </c>
      <c r="C1612" s="1"/>
      <c r="D1612" s="1"/>
      <c r="E1612" s="1"/>
      <c r="F1612" s="1"/>
      <c r="G1612" s="1"/>
      <c r="H1612" s="1"/>
      <c r="I1612" s="1"/>
    </row>
    <row r="1613" ht="15.75" customHeight="1">
      <c r="A1613" s="1" t="s">
        <v>1663</v>
      </c>
      <c r="B1613" s="1" t="s">
        <v>1549</v>
      </c>
      <c r="C1613" s="1"/>
      <c r="D1613" s="1"/>
      <c r="E1613" s="1"/>
      <c r="F1613" s="1"/>
      <c r="G1613" s="1"/>
      <c r="H1613" s="1"/>
      <c r="I1613" s="1"/>
    </row>
    <row r="1614" ht="15.75" customHeight="1">
      <c r="A1614" s="1" t="s">
        <v>1664</v>
      </c>
      <c r="B1614" s="1" t="s">
        <v>1549</v>
      </c>
      <c r="C1614" s="1"/>
      <c r="D1614" s="1"/>
      <c r="E1614" s="1"/>
      <c r="F1614" s="1"/>
      <c r="G1614" s="1"/>
      <c r="H1614" s="1"/>
      <c r="I1614" s="1"/>
    </row>
    <row r="1615" ht="15.75" customHeight="1">
      <c r="A1615" s="1" t="s">
        <v>1665</v>
      </c>
      <c r="B1615" s="1" t="s">
        <v>1549</v>
      </c>
      <c r="C1615" s="1"/>
      <c r="D1615" s="1"/>
      <c r="E1615" s="1"/>
      <c r="F1615" s="1"/>
      <c r="G1615" s="1"/>
      <c r="H1615" s="1"/>
      <c r="I1615" s="1"/>
    </row>
    <row r="1616" ht="15.75" customHeight="1">
      <c r="A1616" s="1" t="s">
        <v>1666</v>
      </c>
      <c r="B1616" s="1" t="s">
        <v>1549</v>
      </c>
      <c r="C1616" s="1"/>
      <c r="D1616" s="1"/>
      <c r="E1616" s="1"/>
      <c r="F1616" s="1"/>
      <c r="G1616" s="1"/>
      <c r="H1616" s="1"/>
      <c r="I1616" s="1"/>
    </row>
    <row r="1617" ht="15.75" customHeight="1">
      <c r="A1617" s="1" t="s">
        <v>1667</v>
      </c>
      <c r="B1617" s="1" t="s">
        <v>1549</v>
      </c>
      <c r="C1617" s="1"/>
      <c r="D1617" s="1"/>
      <c r="E1617" s="1"/>
      <c r="F1617" s="1"/>
      <c r="G1617" s="1"/>
      <c r="H1617" s="1"/>
      <c r="I1617" s="1"/>
    </row>
    <row r="1618" ht="15.75" customHeight="1">
      <c r="A1618" s="1" t="s">
        <v>1668</v>
      </c>
      <c r="B1618" s="1" t="s">
        <v>1549</v>
      </c>
      <c r="C1618" s="1"/>
      <c r="D1618" s="1"/>
      <c r="E1618" s="1"/>
      <c r="F1618" s="1"/>
      <c r="G1618" s="1"/>
      <c r="H1618" s="1"/>
      <c r="I1618" s="1"/>
    </row>
    <row r="1619" ht="15.75" customHeight="1">
      <c r="A1619" s="1" t="s">
        <v>1669</v>
      </c>
      <c r="B1619" s="1" t="s">
        <v>1549</v>
      </c>
      <c r="C1619" s="1"/>
      <c r="D1619" s="1"/>
      <c r="E1619" s="1"/>
      <c r="F1619" s="1"/>
      <c r="G1619" s="1"/>
      <c r="H1619" s="1"/>
      <c r="I1619" s="1"/>
    </row>
    <row r="1620" ht="15.75" customHeight="1">
      <c r="A1620" s="1" t="s">
        <v>1670</v>
      </c>
      <c r="B1620" s="1" t="s">
        <v>1549</v>
      </c>
      <c r="C1620" s="1"/>
      <c r="D1620" s="1"/>
      <c r="E1620" s="1"/>
      <c r="F1620" s="1"/>
      <c r="G1620" s="1"/>
      <c r="H1620" s="1"/>
      <c r="I1620" s="1"/>
    </row>
    <row r="1621" ht="15.75" customHeight="1">
      <c r="A1621" s="1" t="s">
        <v>1671</v>
      </c>
      <c r="B1621" s="1" t="s">
        <v>1549</v>
      </c>
      <c r="C1621" s="1"/>
      <c r="D1621" s="1"/>
      <c r="E1621" s="1"/>
      <c r="F1621" s="1"/>
      <c r="G1621" s="1"/>
      <c r="H1621" s="1"/>
      <c r="I1621" s="1"/>
    </row>
    <row r="1622" ht="15.75" customHeight="1">
      <c r="A1622" s="1" t="s">
        <v>1672</v>
      </c>
      <c r="B1622" s="1" t="s">
        <v>1549</v>
      </c>
      <c r="C1622" s="1"/>
      <c r="D1622" s="1"/>
      <c r="E1622" s="1"/>
      <c r="F1622" s="1"/>
      <c r="G1622" s="1"/>
      <c r="H1622" s="1"/>
      <c r="I1622" s="1"/>
    </row>
    <row r="1623" ht="15.75" customHeight="1">
      <c r="A1623" s="1" t="s">
        <v>1673</v>
      </c>
      <c r="B1623" s="1" t="s">
        <v>1549</v>
      </c>
      <c r="C1623" s="1"/>
      <c r="D1623" s="1"/>
      <c r="E1623" s="1"/>
      <c r="F1623" s="1"/>
      <c r="G1623" s="1"/>
      <c r="H1623" s="1"/>
      <c r="I1623" s="1"/>
    </row>
    <row r="1624" ht="15.75" customHeight="1">
      <c r="A1624" s="1" t="s">
        <v>1674</v>
      </c>
      <c r="B1624" s="1" t="s">
        <v>1549</v>
      </c>
      <c r="C1624" s="1"/>
      <c r="D1624" s="1"/>
      <c r="E1624" s="1"/>
      <c r="F1624" s="1"/>
      <c r="G1624" s="1"/>
      <c r="H1624" s="1"/>
      <c r="I1624" s="1"/>
    </row>
    <row r="1625" ht="15.75" customHeight="1">
      <c r="A1625" s="1" t="s">
        <v>1675</v>
      </c>
      <c r="B1625" s="1" t="s">
        <v>1676</v>
      </c>
      <c r="C1625" s="1"/>
      <c r="D1625" s="1"/>
      <c r="E1625" s="1"/>
      <c r="F1625" s="1"/>
      <c r="G1625" s="1"/>
      <c r="H1625" s="1"/>
      <c r="I1625" s="1"/>
    </row>
    <row r="1626" ht="15.75" customHeight="1">
      <c r="A1626" s="1" t="s">
        <v>1677</v>
      </c>
      <c r="B1626" s="1" t="s">
        <v>1676</v>
      </c>
      <c r="C1626" s="1"/>
      <c r="D1626" s="1"/>
      <c r="E1626" s="1"/>
      <c r="F1626" s="1"/>
      <c r="G1626" s="1"/>
      <c r="H1626" s="1"/>
      <c r="I1626" s="1"/>
    </row>
    <row r="1627" ht="15.75" customHeight="1">
      <c r="A1627" s="1" t="s">
        <v>1678</v>
      </c>
      <c r="B1627" s="1" t="s">
        <v>1676</v>
      </c>
      <c r="C1627" s="1"/>
      <c r="D1627" s="1"/>
      <c r="E1627" s="1"/>
      <c r="F1627" s="1"/>
      <c r="G1627" s="1"/>
      <c r="H1627" s="1"/>
      <c r="I1627" s="1"/>
    </row>
    <row r="1628" ht="15.75" customHeight="1">
      <c r="A1628" s="1" t="s">
        <v>1679</v>
      </c>
      <c r="B1628" s="1" t="s">
        <v>1680</v>
      </c>
      <c r="C1628" s="1"/>
      <c r="D1628" s="1"/>
      <c r="E1628" s="1"/>
      <c r="F1628" s="1"/>
      <c r="G1628" s="1"/>
      <c r="H1628" s="1"/>
      <c r="I1628" s="1"/>
    </row>
    <row r="1629" ht="15.75" customHeight="1">
      <c r="A1629" s="1" t="s">
        <v>1681</v>
      </c>
      <c r="B1629" s="1" t="s">
        <v>1680</v>
      </c>
      <c r="C1629" s="1"/>
      <c r="D1629" s="1"/>
      <c r="E1629" s="1"/>
      <c r="F1629" s="1"/>
      <c r="G1629" s="1"/>
      <c r="H1629" s="1"/>
      <c r="I1629" s="1"/>
    </row>
    <row r="1630" ht="15.75" customHeight="1">
      <c r="A1630" s="1" t="s">
        <v>1682</v>
      </c>
      <c r="B1630" s="1" t="s">
        <v>1680</v>
      </c>
      <c r="C1630" s="1"/>
      <c r="D1630" s="1"/>
      <c r="E1630" s="1"/>
      <c r="F1630" s="1"/>
      <c r="G1630" s="1"/>
      <c r="H1630" s="1"/>
      <c r="I1630" s="1"/>
    </row>
    <row r="1631" ht="15.75" customHeight="1">
      <c r="A1631" s="1" t="s">
        <v>1683</v>
      </c>
      <c r="B1631" s="1" t="s">
        <v>1680</v>
      </c>
      <c r="C1631" s="1"/>
      <c r="D1631" s="1"/>
      <c r="E1631" s="1"/>
      <c r="F1631" s="1"/>
      <c r="G1631" s="1"/>
      <c r="H1631" s="1"/>
      <c r="I1631" s="1"/>
    </row>
    <row r="1632" ht="15.75" customHeight="1">
      <c r="A1632" s="1" t="s">
        <v>1684</v>
      </c>
      <c r="B1632" s="1" t="s">
        <v>1680</v>
      </c>
      <c r="C1632" s="1"/>
      <c r="D1632" s="1"/>
      <c r="E1632" s="1"/>
      <c r="F1632" s="1"/>
      <c r="G1632" s="1"/>
      <c r="H1632" s="1"/>
      <c r="I1632" s="1"/>
    </row>
    <row r="1633" ht="15.75" customHeight="1">
      <c r="A1633" s="1" t="s">
        <v>1685</v>
      </c>
      <c r="B1633" s="1" t="s">
        <v>1680</v>
      </c>
      <c r="C1633" s="1"/>
      <c r="D1633" s="1"/>
      <c r="E1633" s="1"/>
      <c r="F1633" s="1"/>
      <c r="G1633" s="1"/>
      <c r="H1633" s="1"/>
      <c r="I1633" s="1"/>
    </row>
    <row r="1634" ht="15.75" customHeight="1">
      <c r="A1634" s="1" t="s">
        <v>1686</v>
      </c>
      <c r="B1634" s="1" t="s">
        <v>1680</v>
      </c>
      <c r="C1634" s="1"/>
      <c r="D1634" s="1"/>
      <c r="E1634" s="1"/>
      <c r="F1634" s="1"/>
      <c r="G1634" s="1"/>
      <c r="H1634" s="1"/>
      <c r="I1634" s="1"/>
    </row>
    <row r="1635" ht="15.75" customHeight="1">
      <c r="A1635" s="1" t="s">
        <v>1687</v>
      </c>
      <c r="B1635" s="1" t="s">
        <v>1680</v>
      </c>
      <c r="C1635" s="1"/>
      <c r="D1635" s="1"/>
      <c r="E1635" s="1"/>
      <c r="F1635" s="1"/>
      <c r="G1635" s="1"/>
      <c r="H1635" s="1"/>
      <c r="I1635" s="1"/>
    </row>
    <row r="1636" ht="15.75" customHeight="1">
      <c r="A1636" s="1" t="s">
        <v>1688</v>
      </c>
      <c r="B1636" s="1" t="s">
        <v>1680</v>
      </c>
      <c r="C1636" s="1"/>
      <c r="D1636" s="1"/>
      <c r="E1636" s="1"/>
      <c r="F1636" s="1"/>
      <c r="G1636" s="1"/>
      <c r="H1636" s="1"/>
      <c r="I1636" s="1"/>
    </row>
    <row r="1637" ht="15.75" customHeight="1">
      <c r="A1637" s="1" t="s">
        <v>1689</v>
      </c>
      <c r="B1637" s="1" t="s">
        <v>1680</v>
      </c>
      <c r="C1637" s="1"/>
      <c r="D1637" s="1"/>
      <c r="E1637" s="1"/>
      <c r="F1637" s="1"/>
      <c r="G1637" s="1"/>
      <c r="H1637" s="1"/>
      <c r="I1637" s="1"/>
    </row>
    <row r="1638" ht="15.75" customHeight="1">
      <c r="A1638" s="1" t="s">
        <v>1690</v>
      </c>
      <c r="B1638" s="1" t="s">
        <v>1680</v>
      </c>
      <c r="C1638" s="1"/>
      <c r="D1638" s="1"/>
      <c r="E1638" s="1"/>
      <c r="F1638" s="1"/>
      <c r="G1638" s="1"/>
      <c r="H1638" s="1"/>
      <c r="I1638" s="1"/>
    </row>
    <row r="1639" ht="15.75" customHeight="1">
      <c r="A1639" s="1" t="s">
        <v>1691</v>
      </c>
      <c r="B1639" s="1" t="s">
        <v>1680</v>
      </c>
      <c r="C1639" s="1"/>
      <c r="D1639" s="1"/>
      <c r="E1639" s="1"/>
      <c r="F1639" s="1"/>
      <c r="G1639" s="1"/>
      <c r="H1639" s="1"/>
      <c r="I1639" s="1"/>
    </row>
    <row r="1640" ht="15.75" customHeight="1">
      <c r="A1640" s="1" t="s">
        <v>1692</v>
      </c>
      <c r="B1640" s="1" t="s">
        <v>1680</v>
      </c>
      <c r="C1640" s="1"/>
      <c r="D1640" s="1"/>
      <c r="E1640" s="1"/>
      <c r="F1640" s="1"/>
      <c r="G1640" s="1"/>
      <c r="H1640" s="1"/>
      <c r="I1640" s="1"/>
    </row>
    <row r="1641" ht="15.75" customHeight="1">
      <c r="A1641" s="1" t="s">
        <v>1693</v>
      </c>
      <c r="B1641" s="1" t="s">
        <v>1680</v>
      </c>
      <c r="C1641" s="1"/>
      <c r="D1641" s="1"/>
      <c r="E1641" s="1"/>
      <c r="F1641" s="1"/>
      <c r="G1641" s="1"/>
      <c r="H1641" s="1"/>
      <c r="I1641" s="1"/>
    </row>
    <row r="1642" ht="15.75" customHeight="1">
      <c r="A1642" s="1" t="s">
        <v>1694</v>
      </c>
      <c r="B1642" s="1" t="s">
        <v>1680</v>
      </c>
      <c r="C1642" s="1"/>
      <c r="D1642" s="1"/>
      <c r="E1642" s="1"/>
      <c r="F1642" s="1"/>
      <c r="G1642" s="1"/>
      <c r="H1642" s="1"/>
      <c r="I1642" s="1"/>
    </row>
    <row r="1643" ht="15.75" customHeight="1">
      <c r="A1643" s="1" t="s">
        <v>1695</v>
      </c>
      <c r="B1643" s="1" t="s">
        <v>1696</v>
      </c>
      <c r="C1643" s="1"/>
      <c r="D1643" s="1"/>
      <c r="E1643" s="1"/>
      <c r="F1643" s="1"/>
      <c r="G1643" s="1"/>
      <c r="H1643" s="1"/>
      <c r="I1643" s="1"/>
    </row>
    <row r="1644" ht="15.75" customHeight="1">
      <c r="A1644" s="1" t="s">
        <v>1697</v>
      </c>
      <c r="B1644" s="1" t="s">
        <v>1696</v>
      </c>
      <c r="C1644" s="1"/>
      <c r="D1644" s="1"/>
      <c r="E1644" s="1"/>
      <c r="F1644" s="1"/>
      <c r="G1644" s="1"/>
      <c r="H1644" s="1"/>
      <c r="I1644" s="1"/>
    </row>
    <row r="1645" ht="15.75" customHeight="1">
      <c r="A1645" s="1" t="s">
        <v>1698</v>
      </c>
      <c r="B1645" s="1" t="s">
        <v>1696</v>
      </c>
      <c r="C1645" s="1"/>
      <c r="D1645" s="1"/>
      <c r="E1645" s="1"/>
      <c r="F1645" s="1"/>
      <c r="G1645" s="1"/>
      <c r="H1645" s="1"/>
      <c r="I1645" s="1"/>
    </row>
    <row r="1646" ht="15.75" customHeight="1">
      <c r="A1646" s="1" t="s">
        <v>1699</v>
      </c>
      <c r="B1646" s="1" t="s">
        <v>1696</v>
      </c>
      <c r="C1646" s="1"/>
      <c r="D1646" s="1"/>
      <c r="E1646" s="1"/>
      <c r="F1646" s="1"/>
      <c r="G1646" s="1"/>
      <c r="H1646" s="1"/>
      <c r="I1646" s="1"/>
    </row>
    <row r="1647" ht="15.75" customHeight="1">
      <c r="A1647" s="1" t="s">
        <v>1700</v>
      </c>
      <c r="B1647" s="1" t="s">
        <v>1696</v>
      </c>
      <c r="C1647" s="1"/>
      <c r="D1647" s="1"/>
      <c r="E1647" s="1"/>
      <c r="F1647" s="1"/>
      <c r="G1647" s="1"/>
      <c r="H1647" s="1"/>
      <c r="I1647" s="1"/>
    </row>
    <row r="1648" ht="15.75" customHeight="1">
      <c r="A1648" s="1" t="s">
        <v>1701</v>
      </c>
      <c r="B1648" s="1" t="s">
        <v>1696</v>
      </c>
      <c r="C1648" s="1"/>
      <c r="D1648" s="1"/>
      <c r="E1648" s="1"/>
      <c r="F1648" s="1"/>
      <c r="G1648" s="1"/>
      <c r="H1648" s="1"/>
      <c r="I1648" s="1"/>
    </row>
    <row r="1649" ht="15.75" customHeight="1">
      <c r="A1649" s="1" t="s">
        <v>1702</v>
      </c>
      <c r="B1649" s="1" t="s">
        <v>1696</v>
      </c>
      <c r="C1649" s="1"/>
      <c r="D1649" s="1"/>
      <c r="E1649" s="1"/>
      <c r="F1649" s="1"/>
      <c r="G1649" s="1"/>
      <c r="H1649" s="1"/>
      <c r="I1649" s="1"/>
    </row>
    <row r="1650" ht="15.75" customHeight="1">
      <c r="A1650" s="1" t="s">
        <v>1703</v>
      </c>
      <c r="B1650" s="1" t="s">
        <v>1696</v>
      </c>
      <c r="C1650" s="1"/>
      <c r="D1650" s="1"/>
      <c r="E1650" s="1"/>
      <c r="F1650" s="1"/>
      <c r="G1650" s="1"/>
      <c r="H1650" s="1"/>
      <c r="I1650" s="1"/>
    </row>
    <row r="1651" ht="15.75" customHeight="1">
      <c r="A1651" s="1" t="s">
        <v>1704</v>
      </c>
      <c r="B1651" s="1" t="s">
        <v>1696</v>
      </c>
      <c r="C1651" s="1"/>
      <c r="D1651" s="1"/>
      <c r="E1651" s="1"/>
      <c r="F1651" s="1"/>
      <c r="G1651" s="1"/>
      <c r="H1651" s="1"/>
      <c r="I1651" s="1"/>
    </row>
    <row r="1652" ht="15.75" customHeight="1">
      <c r="A1652" s="1" t="s">
        <v>1705</v>
      </c>
      <c r="B1652" s="1" t="s">
        <v>1696</v>
      </c>
      <c r="C1652" s="1"/>
      <c r="D1652" s="1"/>
      <c r="E1652" s="1"/>
      <c r="F1652" s="1"/>
      <c r="G1652" s="1"/>
      <c r="H1652" s="1"/>
      <c r="I1652" s="1"/>
    </row>
    <row r="1653" ht="15.75" customHeight="1">
      <c r="A1653" s="1" t="s">
        <v>1706</v>
      </c>
      <c r="B1653" s="1" t="s">
        <v>1696</v>
      </c>
      <c r="C1653" s="1"/>
      <c r="D1653" s="1"/>
      <c r="E1653" s="1"/>
      <c r="F1653" s="1"/>
      <c r="G1653" s="1"/>
      <c r="H1653" s="1"/>
      <c r="I1653" s="1"/>
    </row>
    <row r="1654" ht="15.75" customHeight="1">
      <c r="A1654" s="1" t="s">
        <v>1707</v>
      </c>
      <c r="B1654" s="1" t="s">
        <v>1696</v>
      </c>
      <c r="C1654" s="1"/>
      <c r="D1654" s="1"/>
      <c r="E1654" s="1"/>
      <c r="F1654" s="1"/>
      <c r="G1654" s="1"/>
      <c r="H1654" s="1"/>
      <c r="I1654" s="1"/>
    </row>
    <row r="1655" ht="15.75" customHeight="1">
      <c r="A1655" s="1" t="s">
        <v>1708</v>
      </c>
      <c r="B1655" s="1" t="s">
        <v>1696</v>
      </c>
      <c r="C1655" s="1"/>
      <c r="D1655" s="1"/>
      <c r="E1655" s="1"/>
      <c r="F1655" s="1"/>
      <c r="G1655" s="1"/>
      <c r="H1655" s="1"/>
      <c r="I1655" s="1"/>
    </row>
    <row r="1656" ht="15.75" customHeight="1">
      <c r="A1656" s="1" t="s">
        <v>1709</v>
      </c>
      <c r="B1656" s="1" t="s">
        <v>1696</v>
      </c>
      <c r="C1656" s="1"/>
      <c r="D1656" s="1"/>
      <c r="E1656" s="1"/>
      <c r="F1656" s="1"/>
      <c r="G1656" s="1"/>
      <c r="H1656" s="1"/>
      <c r="I1656" s="1"/>
    </row>
    <row r="1657" ht="15.75" customHeight="1">
      <c r="A1657" s="1" t="s">
        <v>1710</v>
      </c>
      <c r="B1657" s="1" t="s">
        <v>1696</v>
      </c>
      <c r="C1657" s="1"/>
      <c r="D1657" s="1"/>
      <c r="E1657" s="1"/>
      <c r="F1657" s="1"/>
      <c r="G1657" s="1"/>
      <c r="H1657" s="1"/>
      <c r="I1657" s="1"/>
    </row>
    <row r="1658" ht="15.75" customHeight="1">
      <c r="A1658" s="1" t="s">
        <v>1711</v>
      </c>
      <c r="B1658" s="1" t="s">
        <v>1696</v>
      </c>
      <c r="C1658" s="1"/>
      <c r="D1658" s="1"/>
      <c r="E1658" s="1"/>
      <c r="F1658" s="1"/>
      <c r="G1658" s="1"/>
      <c r="H1658" s="1"/>
      <c r="I1658" s="1"/>
    </row>
    <row r="1659" ht="15.75" customHeight="1">
      <c r="A1659" s="1" t="s">
        <v>1712</v>
      </c>
      <c r="B1659" s="1" t="s">
        <v>1696</v>
      </c>
      <c r="C1659" s="1"/>
      <c r="D1659" s="1"/>
      <c r="E1659" s="1"/>
      <c r="F1659" s="1"/>
      <c r="G1659" s="1"/>
      <c r="H1659" s="1"/>
      <c r="I1659" s="1"/>
    </row>
    <row r="1660" ht="15.75" customHeight="1">
      <c r="A1660" s="1" t="s">
        <v>1713</v>
      </c>
      <c r="B1660" s="1" t="s">
        <v>1696</v>
      </c>
      <c r="C1660" s="1"/>
      <c r="D1660" s="1"/>
      <c r="E1660" s="1"/>
      <c r="F1660" s="1"/>
      <c r="G1660" s="1"/>
      <c r="H1660" s="1"/>
      <c r="I1660" s="1"/>
    </row>
    <row r="1661" ht="15.75" customHeight="1">
      <c r="A1661" s="1" t="s">
        <v>1714</v>
      </c>
      <c r="B1661" s="1" t="s">
        <v>1696</v>
      </c>
      <c r="C1661" s="1"/>
      <c r="D1661" s="1"/>
      <c r="E1661" s="1"/>
      <c r="F1661" s="1"/>
      <c r="G1661" s="1"/>
      <c r="H1661" s="1"/>
      <c r="I1661" s="1"/>
    </row>
    <row r="1662" ht="15.75" customHeight="1">
      <c r="A1662" s="1" t="s">
        <v>1715</v>
      </c>
      <c r="B1662" s="1" t="s">
        <v>1696</v>
      </c>
      <c r="C1662" s="1"/>
      <c r="D1662" s="1"/>
      <c r="E1662" s="1"/>
      <c r="F1662" s="1"/>
      <c r="G1662" s="1"/>
      <c r="H1662" s="1"/>
      <c r="I1662" s="1"/>
    </row>
    <row r="1663" ht="15.75" customHeight="1">
      <c r="A1663" s="1" t="s">
        <v>1716</v>
      </c>
      <c r="B1663" s="1" t="s">
        <v>1696</v>
      </c>
      <c r="C1663" s="1"/>
      <c r="D1663" s="1"/>
      <c r="E1663" s="1"/>
      <c r="F1663" s="1"/>
      <c r="G1663" s="1"/>
      <c r="H1663" s="1"/>
      <c r="I1663" s="1"/>
    </row>
    <row r="1664" ht="15.75" customHeight="1">
      <c r="A1664" s="1" t="s">
        <v>1717</v>
      </c>
      <c r="B1664" s="1" t="s">
        <v>1696</v>
      </c>
      <c r="C1664" s="1"/>
      <c r="D1664" s="1"/>
      <c r="E1664" s="1"/>
      <c r="F1664" s="1"/>
      <c r="G1664" s="1"/>
      <c r="H1664" s="1"/>
      <c r="I1664" s="1"/>
    </row>
    <row r="1665" ht="15.75" customHeight="1">
      <c r="A1665" s="1" t="s">
        <v>1718</v>
      </c>
      <c r="B1665" s="1" t="s">
        <v>1696</v>
      </c>
      <c r="C1665" s="1"/>
      <c r="D1665" s="1"/>
      <c r="E1665" s="1"/>
      <c r="F1665" s="1"/>
      <c r="G1665" s="1"/>
      <c r="H1665" s="1"/>
      <c r="I1665" s="1"/>
    </row>
    <row r="1666" ht="15.75" customHeight="1">
      <c r="A1666" s="1" t="s">
        <v>1719</v>
      </c>
      <c r="B1666" s="1" t="s">
        <v>1696</v>
      </c>
      <c r="C1666" s="1"/>
      <c r="D1666" s="1"/>
      <c r="E1666" s="1"/>
      <c r="F1666" s="1"/>
      <c r="G1666" s="1"/>
      <c r="H1666" s="1"/>
      <c r="I1666" s="1"/>
    </row>
    <row r="1667" ht="15.75" customHeight="1">
      <c r="A1667" s="1" t="s">
        <v>1720</v>
      </c>
      <c r="B1667" s="1" t="s">
        <v>1696</v>
      </c>
      <c r="C1667" s="1"/>
      <c r="D1667" s="1"/>
      <c r="E1667" s="1"/>
      <c r="F1667" s="1"/>
      <c r="G1667" s="1"/>
      <c r="H1667" s="1"/>
      <c r="I1667" s="1"/>
    </row>
    <row r="1668" ht="15.75" customHeight="1">
      <c r="A1668" s="1" t="s">
        <v>1721</v>
      </c>
      <c r="B1668" s="1" t="s">
        <v>1696</v>
      </c>
      <c r="C1668" s="1"/>
      <c r="D1668" s="1"/>
      <c r="E1668" s="1"/>
      <c r="F1668" s="1"/>
      <c r="G1668" s="1"/>
      <c r="H1668" s="1"/>
      <c r="I1668" s="1"/>
    </row>
    <row r="1669" ht="15.75" customHeight="1">
      <c r="A1669" s="1" t="s">
        <v>1722</v>
      </c>
      <c r="B1669" s="1" t="s">
        <v>1696</v>
      </c>
      <c r="C1669" s="1"/>
      <c r="D1669" s="1"/>
      <c r="E1669" s="1"/>
      <c r="F1669" s="1"/>
      <c r="G1669" s="1"/>
      <c r="H1669" s="1"/>
      <c r="I1669" s="1"/>
    </row>
    <row r="1670" ht="15.75" customHeight="1">
      <c r="A1670" s="1" t="s">
        <v>1723</v>
      </c>
      <c r="B1670" s="1" t="s">
        <v>1696</v>
      </c>
      <c r="C1670" s="1"/>
      <c r="D1670" s="1"/>
      <c r="E1670" s="1"/>
      <c r="F1670" s="1"/>
      <c r="G1670" s="1"/>
      <c r="H1670" s="1"/>
      <c r="I1670" s="1"/>
    </row>
    <row r="1671" ht="15.75" customHeight="1">
      <c r="A1671" s="1" t="s">
        <v>1724</v>
      </c>
      <c r="B1671" s="1" t="s">
        <v>1696</v>
      </c>
      <c r="C1671" s="1"/>
      <c r="D1671" s="1"/>
      <c r="E1671" s="1"/>
      <c r="F1671" s="1"/>
      <c r="G1671" s="1"/>
      <c r="H1671" s="1"/>
      <c r="I1671" s="1"/>
    </row>
    <row r="1672" ht="15.75" customHeight="1">
      <c r="A1672" s="1" t="s">
        <v>1725</v>
      </c>
      <c r="B1672" s="1" t="s">
        <v>1696</v>
      </c>
      <c r="C1672" s="1"/>
      <c r="D1672" s="1"/>
      <c r="E1672" s="1"/>
      <c r="F1672" s="1"/>
      <c r="G1672" s="1"/>
      <c r="H1672" s="1"/>
      <c r="I1672" s="1"/>
    </row>
    <row r="1673" ht="15.75" customHeight="1">
      <c r="A1673" s="1" t="s">
        <v>1726</v>
      </c>
      <c r="B1673" s="1" t="s">
        <v>1696</v>
      </c>
      <c r="C1673" s="1"/>
      <c r="D1673" s="1"/>
      <c r="E1673" s="1"/>
      <c r="F1673" s="1"/>
      <c r="G1673" s="1"/>
      <c r="H1673" s="1"/>
      <c r="I1673" s="1"/>
    </row>
    <row r="1674" ht="15.75" customHeight="1">
      <c r="A1674" s="1" t="s">
        <v>1727</v>
      </c>
      <c r="B1674" s="1" t="s">
        <v>1696</v>
      </c>
      <c r="C1674" s="1"/>
      <c r="D1674" s="1"/>
      <c r="E1674" s="1"/>
      <c r="F1674" s="1"/>
      <c r="G1674" s="1"/>
      <c r="H1674" s="1"/>
      <c r="I1674" s="1"/>
    </row>
    <row r="1675" ht="15.75" customHeight="1">
      <c r="A1675" s="1" t="s">
        <v>1728</v>
      </c>
      <c r="B1675" s="1" t="s">
        <v>1696</v>
      </c>
      <c r="C1675" s="1"/>
      <c r="D1675" s="1"/>
      <c r="E1675" s="1"/>
      <c r="F1675" s="1"/>
      <c r="G1675" s="1"/>
      <c r="H1675" s="1"/>
      <c r="I1675" s="1"/>
    </row>
    <row r="1676" ht="15.75" customHeight="1">
      <c r="A1676" s="1" t="s">
        <v>1729</v>
      </c>
      <c r="B1676" s="1" t="s">
        <v>1696</v>
      </c>
      <c r="C1676" s="1"/>
      <c r="D1676" s="1"/>
      <c r="E1676" s="1"/>
      <c r="F1676" s="1"/>
      <c r="G1676" s="1"/>
      <c r="H1676" s="1"/>
      <c r="I1676" s="1"/>
    </row>
    <row r="1677" ht="15.75" customHeight="1">
      <c r="A1677" s="1" t="s">
        <v>1730</v>
      </c>
      <c r="B1677" s="1" t="s">
        <v>1696</v>
      </c>
      <c r="C1677" s="1"/>
      <c r="D1677" s="1"/>
      <c r="E1677" s="1"/>
      <c r="F1677" s="1"/>
      <c r="G1677" s="1"/>
      <c r="H1677" s="1"/>
      <c r="I1677" s="1"/>
    </row>
    <row r="1678" ht="15.75" customHeight="1">
      <c r="A1678" s="1" t="s">
        <v>1731</v>
      </c>
      <c r="B1678" s="1" t="s">
        <v>1696</v>
      </c>
      <c r="C1678" s="1"/>
      <c r="D1678" s="1"/>
      <c r="E1678" s="1"/>
      <c r="F1678" s="1"/>
      <c r="G1678" s="1"/>
      <c r="H1678" s="1"/>
      <c r="I1678" s="1"/>
    </row>
    <row r="1679" ht="15.75" customHeight="1">
      <c r="A1679" s="1" t="s">
        <v>1732</v>
      </c>
      <c r="B1679" s="1" t="s">
        <v>1696</v>
      </c>
      <c r="C1679" s="1"/>
      <c r="D1679" s="1"/>
      <c r="E1679" s="1"/>
      <c r="F1679" s="1"/>
      <c r="G1679" s="1"/>
      <c r="H1679" s="1"/>
      <c r="I1679" s="1"/>
    </row>
    <row r="1680" ht="15.75" customHeight="1">
      <c r="A1680" s="1" t="s">
        <v>1733</v>
      </c>
      <c r="B1680" s="1" t="s">
        <v>1696</v>
      </c>
      <c r="C1680" s="1"/>
      <c r="D1680" s="1"/>
      <c r="E1680" s="1"/>
      <c r="F1680" s="1"/>
      <c r="G1680" s="1"/>
      <c r="H1680" s="1"/>
      <c r="I1680" s="1"/>
    </row>
    <row r="1681" ht="15.75" customHeight="1">
      <c r="A1681" s="1" t="s">
        <v>1734</v>
      </c>
      <c r="B1681" s="1" t="s">
        <v>1696</v>
      </c>
      <c r="C1681" s="1"/>
      <c r="D1681" s="1"/>
      <c r="E1681" s="1"/>
      <c r="F1681" s="1"/>
      <c r="G1681" s="1"/>
      <c r="H1681" s="1"/>
      <c r="I1681" s="1"/>
    </row>
    <row r="1682" ht="15.75" customHeight="1">
      <c r="A1682" s="1" t="s">
        <v>1735</v>
      </c>
      <c r="B1682" s="1" t="s">
        <v>1696</v>
      </c>
      <c r="C1682" s="1"/>
      <c r="D1682" s="1"/>
      <c r="E1682" s="1"/>
      <c r="F1682" s="1"/>
      <c r="G1682" s="1"/>
      <c r="H1682" s="1"/>
      <c r="I1682" s="1"/>
    </row>
    <row r="1683" ht="15.75" customHeight="1">
      <c r="A1683" s="1" t="s">
        <v>1736</v>
      </c>
      <c r="B1683" s="1" t="s">
        <v>1737</v>
      </c>
      <c r="C1683" s="1"/>
      <c r="D1683" s="1"/>
      <c r="E1683" s="1"/>
      <c r="F1683" s="1"/>
      <c r="G1683" s="1"/>
      <c r="H1683" s="1"/>
      <c r="I1683" s="1"/>
    </row>
    <row r="1684" ht="15.75" customHeight="1">
      <c r="A1684" s="1" t="s">
        <v>1738</v>
      </c>
      <c r="B1684" s="1" t="s">
        <v>1737</v>
      </c>
      <c r="C1684" s="1"/>
      <c r="D1684" s="1"/>
      <c r="E1684" s="1"/>
      <c r="F1684" s="1"/>
      <c r="G1684" s="1"/>
      <c r="H1684" s="1"/>
      <c r="I1684" s="1"/>
    </row>
    <row r="1685" ht="15.75" customHeight="1">
      <c r="A1685" s="1" t="s">
        <v>1739</v>
      </c>
      <c r="B1685" s="1" t="s">
        <v>1737</v>
      </c>
      <c r="C1685" s="1"/>
      <c r="D1685" s="1"/>
      <c r="E1685" s="1"/>
      <c r="F1685" s="1"/>
      <c r="G1685" s="1"/>
      <c r="H1685" s="1"/>
      <c r="I1685" s="1"/>
    </row>
    <row r="1686" ht="15.75" customHeight="1">
      <c r="A1686" s="1" t="s">
        <v>1740</v>
      </c>
      <c r="B1686" s="1" t="s">
        <v>1737</v>
      </c>
      <c r="C1686" s="1"/>
      <c r="D1686" s="1"/>
      <c r="E1686" s="1"/>
      <c r="F1686" s="1"/>
      <c r="G1686" s="1"/>
      <c r="H1686" s="1"/>
      <c r="I1686" s="1"/>
    </row>
    <row r="1687" ht="15.75" customHeight="1">
      <c r="A1687" s="1" t="s">
        <v>1741</v>
      </c>
      <c r="B1687" s="1" t="s">
        <v>1737</v>
      </c>
      <c r="C1687" s="1"/>
      <c r="D1687" s="1"/>
      <c r="E1687" s="1"/>
      <c r="F1687" s="1"/>
      <c r="G1687" s="1"/>
      <c r="H1687" s="1"/>
      <c r="I1687" s="1"/>
    </row>
    <row r="1688" ht="15.75" customHeight="1">
      <c r="A1688" s="1" t="s">
        <v>1742</v>
      </c>
      <c r="B1688" s="1" t="s">
        <v>1737</v>
      </c>
      <c r="C1688" s="1"/>
      <c r="D1688" s="1"/>
      <c r="E1688" s="1"/>
      <c r="F1688" s="1"/>
      <c r="G1688" s="1"/>
      <c r="H1688" s="1"/>
      <c r="I1688" s="1"/>
    </row>
    <row r="1689" ht="15.75" customHeight="1">
      <c r="A1689" s="1" t="s">
        <v>1743</v>
      </c>
      <c r="B1689" s="1" t="s">
        <v>1737</v>
      </c>
      <c r="C1689" s="1"/>
      <c r="D1689" s="1"/>
      <c r="E1689" s="1"/>
      <c r="F1689" s="1"/>
      <c r="G1689" s="1"/>
      <c r="H1689" s="1"/>
      <c r="I1689" s="1"/>
    </row>
    <row r="1690" ht="15.75" customHeight="1">
      <c r="A1690" s="1" t="s">
        <v>1744</v>
      </c>
      <c r="B1690" s="1" t="s">
        <v>1737</v>
      </c>
      <c r="C1690" s="1"/>
      <c r="D1690" s="1"/>
      <c r="E1690" s="1"/>
      <c r="F1690" s="1"/>
      <c r="G1690" s="1"/>
      <c r="H1690" s="1"/>
      <c r="I1690" s="1"/>
    </row>
    <row r="1691" ht="15.75" customHeight="1">
      <c r="A1691" s="1" t="s">
        <v>1745</v>
      </c>
      <c r="B1691" s="1" t="s">
        <v>1737</v>
      </c>
      <c r="C1691" s="1"/>
      <c r="D1691" s="1"/>
      <c r="E1691" s="1"/>
      <c r="F1691" s="1"/>
      <c r="G1691" s="1"/>
      <c r="H1691" s="1"/>
      <c r="I1691" s="1"/>
    </row>
    <row r="1692" ht="15.75" customHeight="1">
      <c r="A1692" s="1" t="s">
        <v>1746</v>
      </c>
      <c r="B1692" s="1" t="s">
        <v>1737</v>
      </c>
      <c r="C1692" s="1"/>
      <c r="D1692" s="1"/>
      <c r="E1692" s="1"/>
      <c r="F1692" s="1"/>
      <c r="G1692" s="1"/>
      <c r="H1692" s="1"/>
      <c r="I1692" s="1"/>
    </row>
    <row r="1693" ht="15.75" customHeight="1">
      <c r="A1693" s="1" t="s">
        <v>1747</v>
      </c>
      <c r="B1693" s="1" t="s">
        <v>1737</v>
      </c>
      <c r="C1693" s="1"/>
      <c r="D1693" s="1"/>
      <c r="E1693" s="1"/>
      <c r="F1693" s="1"/>
      <c r="G1693" s="1"/>
      <c r="H1693" s="1"/>
      <c r="I1693" s="1"/>
    </row>
    <row r="1694" ht="15.75" customHeight="1">
      <c r="A1694" s="1" t="s">
        <v>1748</v>
      </c>
      <c r="B1694" s="1" t="s">
        <v>1737</v>
      </c>
      <c r="C1694" s="1"/>
      <c r="D1694" s="1"/>
      <c r="E1694" s="1"/>
      <c r="F1694" s="1"/>
      <c r="G1694" s="1"/>
      <c r="H1694" s="1"/>
      <c r="I1694" s="1"/>
    </row>
    <row r="1695" ht="15.75" customHeight="1">
      <c r="A1695" s="1" t="s">
        <v>1749</v>
      </c>
      <c r="B1695" s="1" t="s">
        <v>1737</v>
      </c>
      <c r="C1695" s="1"/>
      <c r="D1695" s="1"/>
      <c r="E1695" s="1"/>
      <c r="F1695" s="1"/>
      <c r="G1695" s="1"/>
      <c r="H1695" s="1"/>
      <c r="I1695" s="1"/>
    </row>
    <row r="1696" ht="15.75" customHeight="1">
      <c r="A1696" s="1" t="s">
        <v>1750</v>
      </c>
      <c r="B1696" s="1" t="s">
        <v>1737</v>
      </c>
      <c r="C1696" s="1"/>
      <c r="D1696" s="1"/>
      <c r="E1696" s="1"/>
      <c r="F1696" s="1"/>
      <c r="G1696" s="1"/>
      <c r="H1696" s="1"/>
      <c r="I1696" s="1"/>
    </row>
    <row r="1697" ht="15.75" customHeight="1">
      <c r="A1697" s="1" t="s">
        <v>1751</v>
      </c>
      <c r="B1697" s="1" t="s">
        <v>1737</v>
      </c>
      <c r="C1697" s="1"/>
      <c r="D1697" s="1"/>
      <c r="E1697" s="1"/>
      <c r="F1697" s="1"/>
      <c r="G1697" s="1"/>
      <c r="H1697" s="1"/>
      <c r="I1697" s="1"/>
    </row>
    <row r="1698" ht="15.75" customHeight="1">
      <c r="A1698" s="1" t="s">
        <v>1752</v>
      </c>
      <c r="B1698" s="1" t="s">
        <v>1737</v>
      </c>
      <c r="C1698" s="1"/>
      <c r="D1698" s="1"/>
      <c r="E1698" s="1"/>
      <c r="F1698" s="1"/>
      <c r="G1698" s="1"/>
      <c r="H1698" s="1"/>
      <c r="I1698" s="1"/>
    </row>
    <row r="1699" ht="15.75" customHeight="1">
      <c r="A1699" s="1" t="s">
        <v>1753</v>
      </c>
      <c r="B1699" s="1" t="s">
        <v>1737</v>
      </c>
      <c r="C1699" s="1"/>
      <c r="D1699" s="1"/>
      <c r="E1699" s="1"/>
      <c r="F1699" s="1"/>
      <c r="G1699" s="1"/>
      <c r="H1699" s="1"/>
      <c r="I1699" s="1"/>
    </row>
    <row r="1700" ht="15.75" customHeight="1">
      <c r="A1700" s="1" t="s">
        <v>1754</v>
      </c>
      <c r="B1700" s="1" t="s">
        <v>1737</v>
      </c>
      <c r="C1700" s="1"/>
      <c r="D1700" s="1"/>
      <c r="E1700" s="1"/>
      <c r="F1700" s="1"/>
      <c r="G1700" s="1"/>
      <c r="H1700" s="1"/>
      <c r="I1700" s="1"/>
    </row>
    <row r="1701" ht="15.75" customHeight="1">
      <c r="A1701" s="1" t="s">
        <v>1755</v>
      </c>
      <c r="B1701" s="1" t="s">
        <v>1756</v>
      </c>
      <c r="C1701" s="1"/>
      <c r="D1701" s="1"/>
      <c r="E1701" s="1"/>
      <c r="F1701" s="1"/>
      <c r="G1701" s="1"/>
      <c r="H1701" s="1"/>
      <c r="I1701" s="1"/>
    </row>
    <row r="1702" ht="15.75" customHeight="1">
      <c r="A1702" s="1" t="s">
        <v>1757</v>
      </c>
      <c r="B1702" s="1" t="s">
        <v>1756</v>
      </c>
      <c r="C1702" s="1"/>
      <c r="D1702" s="1"/>
      <c r="E1702" s="1"/>
      <c r="F1702" s="1"/>
      <c r="G1702" s="1"/>
      <c r="H1702" s="1"/>
      <c r="I1702" s="1"/>
    </row>
    <row r="1703" ht="15.75" customHeight="1">
      <c r="A1703" s="1" t="s">
        <v>1758</v>
      </c>
      <c r="B1703" s="1" t="s">
        <v>1756</v>
      </c>
      <c r="C1703" s="1"/>
      <c r="D1703" s="1"/>
      <c r="E1703" s="1"/>
      <c r="F1703" s="1"/>
      <c r="G1703" s="1"/>
      <c r="H1703" s="1"/>
      <c r="I1703" s="1"/>
    </row>
    <row r="1704" ht="15.75" customHeight="1">
      <c r="A1704" s="1" t="s">
        <v>1759</v>
      </c>
      <c r="B1704" s="1" t="s">
        <v>1756</v>
      </c>
      <c r="C1704" s="1"/>
      <c r="D1704" s="1"/>
      <c r="E1704" s="1"/>
      <c r="F1704" s="1"/>
      <c r="G1704" s="1"/>
      <c r="H1704" s="1"/>
      <c r="I1704" s="1"/>
    </row>
    <row r="1705" ht="15.75" customHeight="1">
      <c r="A1705" s="1" t="s">
        <v>1760</v>
      </c>
      <c r="B1705" s="1" t="s">
        <v>1756</v>
      </c>
      <c r="C1705" s="1"/>
      <c r="D1705" s="1"/>
      <c r="E1705" s="1"/>
      <c r="F1705" s="1"/>
      <c r="G1705" s="1"/>
      <c r="H1705" s="1"/>
      <c r="I1705" s="1"/>
    </row>
    <row r="1706" ht="15.75" customHeight="1">
      <c r="A1706" s="1" t="s">
        <v>1761</v>
      </c>
      <c r="B1706" s="1" t="s">
        <v>1756</v>
      </c>
      <c r="C1706" s="1"/>
      <c r="D1706" s="1"/>
      <c r="E1706" s="1"/>
      <c r="F1706" s="1"/>
      <c r="G1706" s="1"/>
      <c r="H1706" s="1"/>
      <c r="I1706" s="1"/>
    </row>
    <row r="1707" ht="15.75" customHeight="1">
      <c r="A1707" s="1" t="s">
        <v>1762</v>
      </c>
      <c r="B1707" s="1" t="s">
        <v>1756</v>
      </c>
      <c r="C1707" s="1"/>
      <c r="D1707" s="1"/>
      <c r="E1707" s="1"/>
      <c r="F1707" s="1"/>
      <c r="G1707" s="1"/>
      <c r="H1707" s="1"/>
      <c r="I1707" s="1"/>
    </row>
    <row r="1708" ht="15.75" customHeight="1">
      <c r="A1708" s="1" t="s">
        <v>1763</v>
      </c>
      <c r="B1708" s="1" t="s">
        <v>1756</v>
      </c>
      <c r="C1708" s="1"/>
      <c r="D1708" s="1"/>
      <c r="E1708" s="1"/>
      <c r="F1708" s="1"/>
      <c r="G1708" s="1"/>
      <c r="H1708" s="1"/>
      <c r="I1708" s="1"/>
    </row>
    <row r="1709" ht="15.75" customHeight="1">
      <c r="A1709" s="1" t="s">
        <v>1764</v>
      </c>
      <c r="B1709" s="1" t="s">
        <v>1756</v>
      </c>
      <c r="C1709" s="1"/>
      <c r="D1709" s="1"/>
      <c r="E1709" s="1"/>
      <c r="F1709" s="1"/>
      <c r="G1709" s="1"/>
      <c r="H1709" s="1"/>
      <c r="I1709" s="1"/>
    </row>
    <row r="1710" ht="15.75" customHeight="1">
      <c r="A1710" s="1" t="s">
        <v>1765</v>
      </c>
      <c r="B1710" s="1" t="s">
        <v>1756</v>
      </c>
      <c r="C1710" s="1"/>
      <c r="D1710" s="1"/>
      <c r="E1710" s="1"/>
      <c r="F1710" s="1"/>
      <c r="G1710" s="1"/>
      <c r="H1710" s="1"/>
      <c r="I1710" s="1"/>
    </row>
    <row r="1711" ht="15.75" customHeight="1">
      <c r="A1711" s="1" t="s">
        <v>1766</v>
      </c>
      <c r="B1711" s="1" t="s">
        <v>1756</v>
      </c>
      <c r="C1711" s="1"/>
      <c r="D1711" s="1"/>
      <c r="E1711" s="1"/>
      <c r="F1711" s="1"/>
      <c r="G1711" s="1"/>
      <c r="H1711" s="1"/>
      <c r="I1711" s="1"/>
    </row>
    <row r="1712" ht="15.75" customHeight="1">
      <c r="A1712" s="1" t="s">
        <v>1767</v>
      </c>
      <c r="B1712" s="1" t="s">
        <v>1768</v>
      </c>
      <c r="C1712" s="1"/>
      <c r="D1712" s="1"/>
      <c r="E1712" s="1"/>
      <c r="F1712" s="1"/>
      <c r="G1712" s="1"/>
      <c r="H1712" s="1"/>
      <c r="I1712" s="1"/>
    </row>
    <row r="1713" ht="15.75" customHeight="1">
      <c r="A1713" s="1" t="s">
        <v>1769</v>
      </c>
      <c r="B1713" s="1" t="s">
        <v>1768</v>
      </c>
      <c r="C1713" s="1"/>
      <c r="D1713" s="1"/>
      <c r="E1713" s="1"/>
      <c r="F1713" s="1"/>
      <c r="G1713" s="1"/>
      <c r="H1713" s="1"/>
      <c r="I1713" s="1"/>
    </row>
    <row r="1714" ht="15.75" customHeight="1">
      <c r="A1714" s="1" t="s">
        <v>1770</v>
      </c>
      <c r="B1714" s="1" t="s">
        <v>1768</v>
      </c>
      <c r="C1714" s="1"/>
      <c r="D1714" s="1"/>
      <c r="E1714" s="1"/>
      <c r="F1714" s="1"/>
      <c r="G1714" s="1"/>
      <c r="H1714" s="1"/>
      <c r="I1714" s="1"/>
    </row>
    <row r="1715" ht="15.75" customHeight="1">
      <c r="A1715" s="1" t="s">
        <v>1771</v>
      </c>
      <c r="B1715" s="1" t="s">
        <v>1768</v>
      </c>
      <c r="C1715" s="1"/>
      <c r="D1715" s="1"/>
      <c r="E1715" s="1"/>
      <c r="F1715" s="1"/>
      <c r="G1715" s="1"/>
      <c r="H1715" s="1"/>
      <c r="I1715" s="1"/>
    </row>
    <row r="1716" ht="15.75" customHeight="1">
      <c r="A1716" s="1" t="s">
        <v>1772</v>
      </c>
      <c r="B1716" s="1" t="s">
        <v>1768</v>
      </c>
      <c r="C1716" s="1"/>
      <c r="D1716" s="1"/>
      <c r="E1716" s="1"/>
      <c r="F1716" s="1"/>
      <c r="G1716" s="1"/>
      <c r="H1716" s="1"/>
      <c r="I1716" s="1"/>
    </row>
    <row r="1717" ht="15.75" customHeight="1">
      <c r="A1717" s="1" t="s">
        <v>1773</v>
      </c>
      <c r="B1717" s="1" t="s">
        <v>1768</v>
      </c>
      <c r="C1717" s="1"/>
      <c r="D1717" s="1"/>
      <c r="E1717" s="1"/>
      <c r="F1717" s="1"/>
      <c r="G1717" s="1"/>
      <c r="H1717" s="1"/>
      <c r="I1717" s="1"/>
    </row>
    <row r="1718" ht="15.75" customHeight="1">
      <c r="A1718" s="1" t="s">
        <v>1774</v>
      </c>
      <c r="B1718" s="1" t="s">
        <v>1768</v>
      </c>
      <c r="C1718" s="1"/>
      <c r="D1718" s="1"/>
      <c r="E1718" s="1"/>
      <c r="F1718" s="1"/>
      <c r="G1718" s="1"/>
      <c r="H1718" s="1"/>
      <c r="I1718" s="1"/>
    </row>
    <row r="1719" ht="15.75" customHeight="1">
      <c r="A1719" s="1" t="s">
        <v>1775</v>
      </c>
      <c r="B1719" s="1" t="s">
        <v>1768</v>
      </c>
      <c r="C1719" s="1"/>
      <c r="D1719" s="1"/>
      <c r="E1719" s="1"/>
      <c r="F1719" s="1"/>
      <c r="G1719" s="1"/>
      <c r="H1719" s="1"/>
      <c r="I1719" s="1"/>
    </row>
    <row r="1720" ht="15.75" customHeight="1">
      <c r="A1720" s="1" t="s">
        <v>1776</v>
      </c>
      <c r="B1720" s="1" t="s">
        <v>1768</v>
      </c>
      <c r="C1720" s="1"/>
      <c r="D1720" s="1"/>
      <c r="E1720" s="1"/>
      <c r="F1720" s="1"/>
      <c r="G1720" s="1"/>
      <c r="H1720" s="1"/>
      <c r="I1720" s="1"/>
    </row>
    <row r="1721" ht="15.75" customHeight="1">
      <c r="A1721" s="1" t="s">
        <v>1777</v>
      </c>
      <c r="B1721" s="1" t="s">
        <v>1768</v>
      </c>
      <c r="C1721" s="1"/>
      <c r="D1721" s="1"/>
      <c r="E1721" s="1"/>
      <c r="F1721" s="1"/>
      <c r="G1721" s="1"/>
      <c r="H1721" s="1"/>
      <c r="I1721" s="1"/>
    </row>
    <row r="1722" ht="15.75" customHeight="1">
      <c r="A1722" s="1" t="s">
        <v>1778</v>
      </c>
      <c r="B1722" s="1" t="s">
        <v>1768</v>
      </c>
      <c r="C1722" s="1"/>
      <c r="D1722" s="1"/>
      <c r="E1722" s="1"/>
      <c r="F1722" s="1"/>
      <c r="G1722" s="1"/>
      <c r="H1722" s="1"/>
      <c r="I1722" s="1"/>
    </row>
    <row r="1723" ht="15.75" customHeight="1">
      <c r="A1723" s="1" t="s">
        <v>1779</v>
      </c>
      <c r="B1723" s="1" t="s">
        <v>1768</v>
      </c>
      <c r="C1723" s="1"/>
      <c r="D1723" s="1"/>
      <c r="E1723" s="1"/>
      <c r="F1723" s="1"/>
      <c r="G1723" s="1"/>
      <c r="H1723" s="1"/>
      <c r="I1723" s="1"/>
    </row>
    <row r="1724" ht="15.75" customHeight="1">
      <c r="A1724" s="1" t="s">
        <v>1780</v>
      </c>
      <c r="B1724" s="1" t="s">
        <v>1768</v>
      </c>
      <c r="C1724" s="1"/>
      <c r="D1724" s="1"/>
      <c r="E1724" s="1"/>
      <c r="F1724" s="1"/>
      <c r="G1724" s="1"/>
      <c r="H1724" s="1"/>
      <c r="I1724" s="1"/>
    </row>
    <row r="1725" ht="15.75" customHeight="1">
      <c r="A1725" s="1" t="s">
        <v>1781</v>
      </c>
      <c r="B1725" s="1" t="s">
        <v>1768</v>
      </c>
      <c r="C1725" s="1"/>
      <c r="D1725" s="1"/>
      <c r="E1725" s="1"/>
      <c r="F1725" s="1"/>
      <c r="G1725" s="1"/>
      <c r="H1725" s="1"/>
      <c r="I1725" s="1"/>
    </row>
    <row r="1726" ht="15.75" customHeight="1">
      <c r="A1726" s="1" t="s">
        <v>1782</v>
      </c>
      <c r="B1726" s="1" t="s">
        <v>1768</v>
      </c>
      <c r="C1726" s="1"/>
      <c r="D1726" s="1"/>
      <c r="E1726" s="1"/>
      <c r="F1726" s="1"/>
      <c r="G1726" s="1"/>
      <c r="H1726" s="1"/>
      <c r="I1726" s="1"/>
    </row>
    <row r="1727" ht="15.75" customHeight="1">
      <c r="A1727" s="1" t="s">
        <v>1783</v>
      </c>
      <c r="B1727" s="1" t="s">
        <v>1768</v>
      </c>
      <c r="C1727" s="1"/>
      <c r="D1727" s="1"/>
      <c r="E1727" s="1"/>
      <c r="F1727" s="1"/>
      <c r="G1727" s="1"/>
      <c r="H1727" s="1"/>
      <c r="I1727" s="1"/>
    </row>
    <row r="1728" ht="15.75" customHeight="1">
      <c r="A1728" s="1" t="s">
        <v>1784</v>
      </c>
      <c r="B1728" s="1" t="s">
        <v>1768</v>
      </c>
      <c r="C1728" s="1"/>
      <c r="D1728" s="1"/>
      <c r="E1728" s="1"/>
      <c r="F1728" s="1"/>
      <c r="G1728" s="1"/>
      <c r="H1728" s="1"/>
      <c r="I1728" s="1"/>
    </row>
    <row r="1729" ht="15.75" customHeight="1">
      <c r="A1729" s="1" t="s">
        <v>1785</v>
      </c>
      <c r="B1729" s="1" t="s">
        <v>1768</v>
      </c>
      <c r="C1729" s="1"/>
      <c r="D1729" s="1"/>
      <c r="E1729" s="1"/>
      <c r="F1729" s="1"/>
      <c r="G1729" s="1"/>
      <c r="H1729" s="1"/>
      <c r="I1729" s="1"/>
    </row>
    <row r="1730" ht="15.75" customHeight="1">
      <c r="A1730" s="1" t="s">
        <v>1786</v>
      </c>
      <c r="B1730" s="1" t="s">
        <v>1768</v>
      </c>
      <c r="C1730" s="1"/>
      <c r="D1730" s="1"/>
      <c r="E1730" s="1"/>
      <c r="F1730" s="1"/>
      <c r="G1730" s="1"/>
      <c r="H1730" s="1"/>
      <c r="I1730" s="1"/>
    </row>
    <row r="1731" ht="15.75" customHeight="1">
      <c r="A1731" s="1" t="s">
        <v>1787</v>
      </c>
      <c r="B1731" s="1" t="s">
        <v>1768</v>
      </c>
      <c r="C1731" s="1"/>
      <c r="D1731" s="1"/>
      <c r="E1731" s="1"/>
      <c r="F1731" s="1"/>
      <c r="G1731" s="1"/>
      <c r="H1731" s="1"/>
      <c r="I1731" s="1"/>
    </row>
    <row r="1732" ht="15.75" customHeight="1">
      <c r="A1732" s="1" t="s">
        <v>1788</v>
      </c>
      <c r="B1732" s="1" t="s">
        <v>1768</v>
      </c>
      <c r="C1732" s="1"/>
      <c r="D1732" s="1"/>
      <c r="E1732" s="1"/>
      <c r="F1732" s="1"/>
      <c r="G1732" s="1"/>
      <c r="H1732" s="1"/>
      <c r="I1732" s="1"/>
    </row>
    <row r="1733" ht="15.75" customHeight="1">
      <c r="A1733" s="1" t="s">
        <v>1789</v>
      </c>
      <c r="B1733" s="1" t="s">
        <v>1768</v>
      </c>
      <c r="C1733" s="1"/>
      <c r="D1733" s="1"/>
      <c r="E1733" s="1"/>
      <c r="F1733" s="1"/>
      <c r="G1733" s="1"/>
      <c r="H1733" s="1"/>
      <c r="I1733" s="1"/>
    </row>
    <row r="1734" ht="15.75" customHeight="1">
      <c r="A1734" s="1" t="s">
        <v>1790</v>
      </c>
      <c r="B1734" s="1" t="s">
        <v>1768</v>
      </c>
      <c r="C1734" s="1"/>
      <c r="D1734" s="1"/>
      <c r="E1734" s="1"/>
      <c r="F1734" s="1"/>
      <c r="G1734" s="1"/>
      <c r="H1734" s="1"/>
      <c r="I1734" s="1"/>
    </row>
    <row r="1735" ht="15.75" customHeight="1">
      <c r="A1735" s="1" t="s">
        <v>1791</v>
      </c>
      <c r="B1735" s="1" t="s">
        <v>1792</v>
      </c>
      <c r="C1735" s="1"/>
      <c r="D1735" s="1"/>
      <c r="E1735" s="1"/>
      <c r="F1735" s="1"/>
      <c r="G1735" s="1"/>
      <c r="H1735" s="1"/>
      <c r="I1735" s="1"/>
    </row>
    <row r="1736" ht="15.75" customHeight="1">
      <c r="A1736" s="1" t="s">
        <v>1793</v>
      </c>
      <c r="B1736" s="1" t="s">
        <v>1792</v>
      </c>
      <c r="C1736" s="1"/>
      <c r="D1736" s="1"/>
      <c r="E1736" s="1"/>
      <c r="F1736" s="1"/>
      <c r="G1736" s="1"/>
      <c r="H1736" s="1"/>
      <c r="I1736" s="1"/>
    </row>
    <row r="1737" ht="15.75" customHeight="1">
      <c r="A1737" s="1" t="s">
        <v>1794</v>
      </c>
      <c r="B1737" s="1" t="s">
        <v>1792</v>
      </c>
      <c r="C1737" s="1"/>
      <c r="D1737" s="1"/>
      <c r="E1737" s="1"/>
      <c r="F1737" s="1"/>
      <c r="G1737" s="1"/>
      <c r="H1737" s="1"/>
      <c r="I1737" s="1"/>
    </row>
    <row r="1738" ht="15.75" customHeight="1">
      <c r="A1738" s="1" t="s">
        <v>1795</v>
      </c>
      <c r="B1738" s="1" t="s">
        <v>1792</v>
      </c>
      <c r="C1738" s="1"/>
      <c r="D1738" s="1"/>
      <c r="E1738" s="1"/>
      <c r="F1738" s="1"/>
      <c r="G1738" s="1"/>
      <c r="H1738" s="1"/>
      <c r="I1738" s="1"/>
    </row>
    <row r="1739" ht="15.75" customHeight="1">
      <c r="A1739" s="1" t="s">
        <v>1796</v>
      </c>
      <c r="B1739" s="1" t="s">
        <v>1792</v>
      </c>
      <c r="C1739" s="1"/>
      <c r="D1739" s="1"/>
      <c r="E1739" s="1"/>
      <c r="F1739" s="1"/>
      <c r="G1739" s="1"/>
      <c r="H1739" s="1"/>
      <c r="I1739" s="1"/>
    </row>
    <row r="1740" ht="15.75" customHeight="1">
      <c r="A1740" s="1" t="s">
        <v>1797</v>
      </c>
      <c r="B1740" s="1" t="s">
        <v>1792</v>
      </c>
      <c r="C1740" s="1"/>
      <c r="D1740" s="1"/>
      <c r="E1740" s="1"/>
      <c r="F1740" s="1"/>
      <c r="G1740" s="1"/>
      <c r="H1740" s="1"/>
      <c r="I1740" s="1"/>
    </row>
    <row r="1741" ht="15.75" customHeight="1">
      <c r="A1741" s="1" t="s">
        <v>1798</v>
      </c>
      <c r="B1741" s="1" t="s">
        <v>1792</v>
      </c>
      <c r="C1741" s="1"/>
      <c r="D1741" s="1"/>
      <c r="E1741" s="1"/>
      <c r="F1741" s="1"/>
      <c r="G1741" s="1"/>
      <c r="H1741" s="1"/>
      <c r="I1741" s="1"/>
    </row>
    <row r="1742" ht="15.75" customHeight="1">
      <c r="A1742" s="1" t="s">
        <v>1799</v>
      </c>
      <c r="B1742" s="1" t="s">
        <v>1792</v>
      </c>
      <c r="C1742" s="1"/>
      <c r="D1742" s="1"/>
      <c r="E1742" s="1"/>
      <c r="F1742" s="1"/>
      <c r="G1742" s="1"/>
      <c r="H1742" s="1"/>
      <c r="I1742" s="1"/>
    </row>
    <row r="1743" ht="15.75" customHeight="1">
      <c r="A1743" s="1" t="s">
        <v>1800</v>
      </c>
      <c r="B1743" s="1" t="s">
        <v>1792</v>
      </c>
      <c r="C1743" s="1"/>
      <c r="D1743" s="1"/>
      <c r="E1743" s="1"/>
      <c r="F1743" s="1"/>
      <c r="G1743" s="1"/>
      <c r="H1743" s="1"/>
      <c r="I1743" s="1"/>
    </row>
    <row r="1744" ht="15.75" customHeight="1">
      <c r="A1744" s="1" t="s">
        <v>1801</v>
      </c>
      <c r="B1744" s="1" t="s">
        <v>1792</v>
      </c>
      <c r="C1744" s="1"/>
      <c r="D1744" s="1"/>
      <c r="E1744" s="1"/>
      <c r="F1744" s="1"/>
      <c r="G1744" s="1"/>
      <c r="H1744" s="1"/>
      <c r="I1744" s="1"/>
    </row>
    <row r="1745" ht="15.75" customHeight="1">
      <c r="A1745" s="1" t="s">
        <v>1802</v>
      </c>
      <c r="B1745" s="1" t="s">
        <v>1792</v>
      </c>
      <c r="C1745" s="1"/>
      <c r="D1745" s="1"/>
      <c r="E1745" s="1"/>
      <c r="F1745" s="1"/>
      <c r="G1745" s="1"/>
      <c r="H1745" s="1"/>
      <c r="I1745" s="1"/>
    </row>
    <row r="1746" ht="15.75" customHeight="1">
      <c r="A1746" s="1" t="s">
        <v>1803</v>
      </c>
      <c r="B1746" s="1" t="s">
        <v>1792</v>
      </c>
      <c r="C1746" s="1"/>
      <c r="D1746" s="1"/>
      <c r="E1746" s="1"/>
      <c r="F1746" s="1"/>
      <c r="G1746" s="1"/>
      <c r="H1746" s="1"/>
      <c r="I1746" s="1"/>
    </row>
    <row r="1747" ht="15.75" customHeight="1">
      <c r="A1747" s="1" t="s">
        <v>1804</v>
      </c>
      <c r="B1747" s="1" t="s">
        <v>1792</v>
      </c>
      <c r="C1747" s="1"/>
      <c r="D1747" s="1"/>
      <c r="E1747" s="1"/>
      <c r="F1747" s="1"/>
      <c r="G1747" s="1"/>
      <c r="H1747" s="1"/>
      <c r="I1747" s="1"/>
    </row>
    <row r="1748" ht="15.75" customHeight="1">
      <c r="A1748" s="1" t="s">
        <v>1805</v>
      </c>
      <c r="B1748" s="1" t="s">
        <v>1792</v>
      </c>
      <c r="C1748" s="1"/>
      <c r="D1748" s="1"/>
      <c r="E1748" s="1"/>
      <c r="F1748" s="1"/>
      <c r="G1748" s="1"/>
      <c r="H1748" s="1"/>
      <c r="I1748" s="1"/>
    </row>
    <row r="1749" ht="15.75" customHeight="1">
      <c r="A1749" s="1" t="s">
        <v>1806</v>
      </c>
      <c r="B1749" s="1" t="s">
        <v>1792</v>
      </c>
      <c r="C1749" s="1"/>
      <c r="D1749" s="1"/>
      <c r="E1749" s="1"/>
      <c r="F1749" s="1"/>
      <c r="G1749" s="1"/>
      <c r="H1749" s="1"/>
      <c r="I1749" s="1"/>
    </row>
    <row r="1750" ht="15.75" customHeight="1">
      <c r="A1750" s="1" t="s">
        <v>1807</v>
      </c>
      <c r="B1750" s="1" t="s">
        <v>1792</v>
      </c>
      <c r="C1750" s="1"/>
      <c r="D1750" s="1"/>
      <c r="E1750" s="1"/>
      <c r="F1750" s="1"/>
      <c r="G1750" s="1"/>
      <c r="H1750" s="1"/>
      <c r="I1750" s="1"/>
    </row>
    <row r="1751" ht="15.75" customHeight="1">
      <c r="A1751" s="1" t="s">
        <v>1808</v>
      </c>
      <c r="B1751" s="1" t="s">
        <v>1792</v>
      </c>
      <c r="C1751" s="1"/>
      <c r="D1751" s="1"/>
      <c r="E1751" s="1"/>
      <c r="F1751" s="1"/>
      <c r="G1751" s="1"/>
      <c r="H1751" s="1"/>
      <c r="I1751" s="1"/>
    </row>
    <row r="1752" ht="15.75" customHeight="1">
      <c r="A1752" s="1" t="s">
        <v>1809</v>
      </c>
      <c r="B1752" s="1" t="s">
        <v>1792</v>
      </c>
      <c r="C1752" s="1"/>
      <c r="D1752" s="1"/>
      <c r="E1752" s="1"/>
      <c r="F1752" s="1"/>
      <c r="G1752" s="1"/>
      <c r="H1752" s="1"/>
      <c r="I1752" s="1"/>
    </row>
    <row r="1753" ht="15.75" customHeight="1">
      <c r="A1753" s="1" t="s">
        <v>1810</v>
      </c>
      <c r="B1753" s="1" t="s">
        <v>1792</v>
      </c>
      <c r="C1753" s="1"/>
      <c r="D1753" s="1"/>
      <c r="E1753" s="1"/>
      <c r="F1753" s="1"/>
      <c r="G1753" s="1"/>
      <c r="H1753" s="1"/>
      <c r="I1753" s="1"/>
    </row>
    <row r="1754" ht="15.75" customHeight="1">
      <c r="A1754" s="1" t="s">
        <v>1811</v>
      </c>
      <c r="B1754" s="1" t="s">
        <v>1792</v>
      </c>
      <c r="C1754" s="1"/>
      <c r="D1754" s="1"/>
      <c r="E1754" s="1"/>
      <c r="F1754" s="1"/>
      <c r="G1754" s="1"/>
      <c r="H1754" s="1"/>
      <c r="I1754" s="1"/>
    </row>
    <row r="1755" ht="15.75" customHeight="1">
      <c r="A1755" s="1" t="s">
        <v>1812</v>
      </c>
      <c r="B1755" s="1" t="s">
        <v>1792</v>
      </c>
      <c r="C1755" s="1"/>
      <c r="D1755" s="1"/>
      <c r="E1755" s="1"/>
      <c r="F1755" s="1"/>
      <c r="G1755" s="1"/>
      <c r="H1755" s="1"/>
      <c r="I1755" s="1"/>
    </row>
    <row r="1756" ht="15.75" customHeight="1">
      <c r="A1756" s="1" t="s">
        <v>1813</v>
      </c>
      <c r="B1756" s="1" t="s">
        <v>1792</v>
      </c>
      <c r="C1756" s="1"/>
      <c r="D1756" s="1"/>
      <c r="E1756" s="1"/>
      <c r="F1756" s="1"/>
      <c r="G1756" s="1"/>
      <c r="H1756" s="1"/>
      <c r="I1756" s="1"/>
    </row>
    <row r="1757" ht="15.75" customHeight="1">
      <c r="A1757" s="1" t="s">
        <v>1814</v>
      </c>
      <c r="B1757" s="1" t="s">
        <v>1792</v>
      </c>
      <c r="C1757" s="1"/>
      <c r="D1757" s="1"/>
      <c r="E1757" s="1"/>
      <c r="F1757" s="1"/>
      <c r="G1757" s="1"/>
      <c r="H1757" s="1"/>
      <c r="I1757" s="1"/>
    </row>
    <row r="1758" ht="15.75" customHeight="1">
      <c r="A1758" s="1" t="s">
        <v>1815</v>
      </c>
      <c r="B1758" s="1" t="s">
        <v>1792</v>
      </c>
      <c r="C1758" s="1"/>
      <c r="D1758" s="1"/>
      <c r="E1758" s="1"/>
      <c r="F1758" s="1"/>
      <c r="G1758" s="1"/>
      <c r="H1758" s="1"/>
      <c r="I1758" s="1"/>
    </row>
    <row r="1759" ht="15.75" customHeight="1">
      <c r="A1759" s="1" t="s">
        <v>1816</v>
      </c>
      <c r="B1759" s="1" t="s">
        <v>1792</v>
      </c>
      <c r="C1759" s="1"/>
      <c r="D1759" s="1"/>
      <c r="E1759" s="1"/>
      <c r="F1759" s="1"/>
      <c r="G1759" s="1"/>
      <c r="H1759" s="1"/>
      <c r="I1759" s="1"/>
    </row>
    <row r="1760" ht="15.75" customHeight="1">
      <c r="A1760" s="1" t="s">
        <v>1817</v>
      </c>
      <c r="B1760" s="1" t="s">
        <v>1792</v>
      </c>
      <c r="C1760" s="1"/>
      <c r="D1760" s="1"/>
      <c r="E1760" s="1"/>
      <c r="F1760" s="1"/>
      <c r="G1760" s="1"/>
      <c r="H1760" s="1"/>
      <c r="I1760" s="1"/>
    </row>
    <row r="1761" ht="15.75" customHeight="1">
      <c r="A1761" s="1" t="s">
        <v>1818</v>
      </c>
      <c r="B1761" s="1" t="s">
        <v>1792</v>
      </c>
      <c r="C1761" s="1"/>
      <c r="D1761" s="1"/>
      <c r="E1761" s="1"/>
      <c r="F1761" s="1"/>
      <c r="G1761" s="1"/>
      <c r="H1761" s="1"/>
      <c r="I1761" s="1"/>
    </row>
    <row r="1762" ht="15.75" customHeight="1">
      <c r="A1762" s="1" t="s">
        <v>1819</v>
      </c>
      <c r="B1762" s="1" t="s">
        <v>1792</v>
      </c>
      <c r="C1762" s="1"/>
      <c r="D1762" s="1"/>
      <c r="E1762" s="1"/>
      <c r="F1762" s="1"/>
      <c r="G1762" s="1"/>
      <c r="H1762" s="1"/>
      <c r="I1762" s="1"/>
    </row>
    <row r="1763" ht="15.75" customHeight="1">
      <c r="A1763" s="1" t="s">
        <v>1820</v>
      </c>
      <c r="B1763" s="1" t="s">
        <v>1792</v>
      </c>
      <c r="C1763" s="1"/>
      <c r="D1763" s="1"/>
      <c r="E1763" s="1"/>
      <c r="F1763" s="1"/>
      <c r="G1763" s="1"/>
      <c r="H1763" s="1"/>
      <c r="I1763" s="1"/>
    </row>
    <row r="1764" ht="15.75" customHeight="1">
      <c r="A1764" s="1" t="s">
        <v>1821</v>
      </c>
      <c r="B1764" s="1" t="s">
        <v>1792</v>
      </c>
      <c r="C1764" s="1"/>
      <c r="D1764" s="1"/>
      <c r="E1764" s="1"/>
      <c r="F1764" s="1"/>
      <c r="G1764" s="1"/>
      <c r="H1764" s="1"/>
      <c r="I1764" s="1"/>
    </row>
    <row r="1765" ht="15.75" customHeight="1">
      <c r="A1765" s="1" t="s">
        <v>1822</v>
      </c>
      <c r="B1765" s="1" t="s">
        <v>1792</v>
      </c>
      <c r="C1765" s="1"/>
      <c r="D1765" s="1"/>
      <c r="E1765" s="1"/>
      <c r="F1765" s="1"/>
      <c r="G1765" s="1"/>
      <c r="H1765" s="1"/>
      <c r="I1765" s="1"/>
    </row>
    <row r="1766" ht="15.75" customHeight="1">
      <c r="A1766" s="1" t="s">
        <v>1823</v>
      </c>
      <c r="B1766" s="1" t="s">
        <v>1792</v>
      </c>
      <c r="C1766" s="1"/>
      <c r="D1766" s="1"/>
      <c r="E1766" s="1"/>
      <c r="F1766" s="1"/>
      <c r="G1766" s="1"/>
      <c r="H1766" s="1"/>
      <c r="I1766" s="1"/>
    </row>
    <row r="1767" ht="15.75" customHeight="1">
      <c r="A1767" s="1" t="s">
        <v>1824</v>
      </c>
      <c r="B1767" s="1" t="s">
        <v>1792</v>
      </c>
      <c r="C1767" s="1"/>
      <c r="D1767" s="1"/>
      <c r="E1767" s="1"/>
      <c r="F1767" s="1"/>
      <c r="G1767" s="1"/>
      <c r="H1767" s="1"/>
      <c r="I1767" s="1"/>
    </row>
    <row r="1768" ht="15.75" customHeight="1">
      <c r="A1768" s="1" t="s">
        <v>1825</v>
      </c>
      <c r="B1768" s="1" t="s">
        <v>1792</v>
      </c>
      <c r="C1768" s="1"/>
      <c r="D1768" s="1"/>
      <c r="E1768" s="1"/>
      <c r="F1768" s="1"/>
      <c r="G1768" s="1"/>
      <c r="H1768" s="1"/>
      <c r="I1768" s="1"/>
    </row>
    <row r="1769" ht="15.75" customHeight="1">
      <c r="A1769" s="1" t="s">
        <v>1826</v>
      </c>
      <c r="B1769" s="1" t="s">
        <v>1792</v>
      </c>
      <c r="C1769" s="1"/>
      <c r="D1769" s="1"/>
      <c r="E1769" s="1"/>
      <c r="F1769" s="1"/>
      <c r="G1769" s="1"/>
      <c r="H1769" s="1"/>
      <c r="I1769" s="1"/>
    </row>
    <row r="1770" ht="15.75" customHeight="1">
      <c r="A1770" s="1" t="s">
        <v>1827</v>
      </c>
      <c r="B1770" s="1" t="s">
        <v>1792</v>
      </c>
      <c r="C1770" s="1"/>
      <c r="D1770" s="1"/>
      <c r="E1770" s="1"/>
      <c r="F1770" s="1"/>
      <c r="G1770" s="1"/>
      <c r="H1770" s="1"/>
      <c r="I1770" s="1"/>
    </row>
    <row r="1771" ht="15.75" customHeight="1">
      <c r="A1771" s="1" t="s">
        <v>1828</v>
      </c>
      <c r="B1771" s="1" t="s">
        <v>1792</v>
      </c>
      <c r="C1771" s="1"/>
      <c r="D1771" s="1"/>
      <c r="E1771" s="1"/>
      <c r="F1771" s="1"/>
      <c r="G1771" s="1"/>
      <c r="H1771" s="1"/>
      <c r="I1771" s="1"/>
    </row>
    <row r="1772" ht="15.75" customHeight="1">
      <c r="A1772" s="1" t="s">
        <v>1829</v>
      </c>
      <c r="B1772" s="1" t="s">
        <v>1792</v>
      </c>
      <c r="C1772" s="1"/>
      <c r="D1772" s="1"/>
      <c r="E1772" s="1"/>
      <c r="F1772" s="1"/>
      <c r="G1772" s="1"/>
      <c r="H1772" s="1"/>
      <c r="I1772" s="1"/>
    </row>
    <row r="1773" ht="15.75" customHeight="1">
      <c r="A1773" s="1" t="s">
        <v>1830</v>
      </c>
      <c r="B1773" s="1" t="s">
        <v>1792</v>
      </c>
      <c r="C1773" s="1"/>
      <c r="D1773" s="1"/>
      <c r="E1773" s="1"/>
      <c r="F1773" s="1"/>
      <c r="G1773" s="1"/>
      <c r="H1773" s="1"/>
      <c r="I1773" s="1"/>
    </row>
    <row r="1774" ht="15.75" customHeight="1">
      <c r="A1774" s="1" t="s">
        <v>1831</v>
      </c>
      <c r="B1774" s="1" t="s">
        <v>1792</v>
      </c>
      <c r="C1774" s="1"/>
      <c r="D1774" s="1"/>
      <c r="E1774" s="1"/>
      <c r="F1774" s="1"/>
      <c r="G1774" s="1"/>
      <c r="H1774" s="1"/>
      <c r="I1774" s="1"/>
    </row>
    <row r="1775" ht="15.75" customHeight="1">
      <c r="A1775" s="1" t="s">
        <v>1832</v>
      </c>
      <c r="B1775" s="1" t="s">
        <v>1792</v>
      </c>
      <c r="C1775" s="1"/>
      <c r="D1775" s="1"/>
      <c r="E1775" s="1"/>
      <c r="F1775" s="1"/>
      <c r="G1775" s="1"/>
      <c r="H1775" s="1"/>
      <c r="I1775" s="1"/>
    </row>
    <row r="1776" ht="15.75" customHeight="1">
      <c r="A1776" s="1" t="s">
        <v>1833</v>
      </c>
      <c r="B1776" s="1" t="s">
        <v>1792</v>
      </c>
      <c r="C1776" s="1"/>
      <c r="D1776" s="1"/>
      <c r="E1776" s="1"/>
      <c r="F1776" s="1"/>
      <c r="G1776" s="1"/>
      <c r="H1776" s="1"/>
      <c r="I1776" s="1"/>
    </row>
    <row r="1777" ht="15.75" customHeight="1">
      <c r="A1777" s="1" t="s">
        <v>1834</v>
      </c>
      <c r="B1777" s="1" t="s">
        <v>1792</v>
      </c>
      <c r="C1777" s="1"/>
      <c r="D1777" s="1"/>
      <c r="E1777" s="1"/>
      <c r="F1777" s="1"/>
      <c r="G1777" s="1"/>
      <c r="H1777" s="1"/>
      <c r="I1777" s="1"/>
    </row>
    <row r="1778" ht="15.75" customHeight="1">
      <c r="A1778" s="1" t="s">
        <v>1835</v>
      </c>
      <c r="B1778" s="1" t="s">
        <v>1792</v>
      </c>
      <c r="C1778" s="1"/>
      <c r="D1778" s="1"/>
      <c r="E1778" s="1"/>
      <c r="F1778" s="1"/>
      <c r="G1778" s="1"/>
      <c r="H1778" s="1"/>
      <c r="I1778" s="1"/>
    </row>
    <row r="1779" ht="15.75" customHeight="1">
      <c r="A1779" s="1" t="s">
        <v>1836</v>
      </c>
      <c r="B1779" s="1" t="s">
        <v>1792</v>
      </c>
      <c r="C1779" s="1"/>
      <c r="D1779" s="1"/>
      <c r="E1779" s="1"/>
      <c r="F1779" s="1"/>
      <c r="G1779" s="1"/>
      <c r="H1779" s="1"/>
      <c r="I1779" s="1"/>
    </row>
    <row r="1780" ht="15.75" customHeight="1">
      <c r="A1780" s="1" t="s">
        <v>1837</v>
      </c>
      <c r="B1780" s="1" t="s">
        <v>1792</v>
      </c>
      <c r="C1780" s="1"/>
      <c r="D1780" s="1"/>
      <c r="E1780" s="1"/>
      <c r="F1780" s="1"/>
      <c r="G1780" s="1"/>
      <c r="H1780" s="1"/>
      <c r="I1780" s="1"/>
    </row>
    <row r="1781" ht="15.75" customHeight="1">
      <c r="A1781" s="1" t="s">
        <v>1838</v>
      </c>
      <c r="B1781" s="1" t="s">
        <v>1792</v>
      </c>
      <c r="C1781" s="1"/>
      <c r="D1781" s="1"/>
      <c r="E1781" s="1"/>
      <c r="F1781" s="1"/>
      <c r="G1781" s="1"/>
      <c r="H1781" s="1"/>
      <c r="I1781" s="1"/>
    </row>
    <row r="1782" ht="15.75" customHeight="1">
      <c r="A1782" s="1" t="s">
        <v>1839</v>
      </c>
      <c r="B1782" s="1" t="s">
        <v>1792</v>
      </c>
      <c r="C1782" s="1"/>
      <c r="D1782" s="1"/>
      <c r="E1782" s="1"/>
      <c r="F1782" s="1"/>
      <c r="G1782" s="1"/>
      <c r="H1782" s="1"/>
      <c r="I1782" s="1"/>
    </row>
    <row r="1783" ht="15.75" customHeight="1">
      <c r="A1783" s="1" t="s">
        <v>1840</v>
      </c>
      <c r="B1783" s="1" t="s">
        <v>1792</v>
      </c>
      <c r="C1783" s="1"/>
      <c r="D1783" s="1"/>
      <c r="E1783" s="1"/>
      <c r="F1783" s="1"/>
      <c r="G1783" s="1"/>
      <c r="H1783" s="1"/>
      <c r="I1783" s="1"/>
    </row>
    <row r="1784" ht="15.75" customHeight="1">
      <c r="A1784" s="1" t="s">
        <v>1841</v>
      </c>
      <c r="B1784" s="1" t="s">
        <v>1792</v>
      </c>
      <c r="C1784" s="1"/>
      <c r="D1784" s="1"/>
      <c r="E1784" s="1"/>
      <c r="F1784" s="1"/>
      <c r="G1784" s="1"/>
      <c r="H1784" s="1"/>
      <c r="I1784" s="1"/>
    </row>
    <row r="1785" ht="15.75" customHeight="1">
      <c r="A1785" s="1" t="s">
        <v>1842</v>
      </c>
      <c r="B1785" s="1" t="s">
        <v>1792</v>
      </c>
      <c r="C1785" s="1"/>
      <c r="D1785" s="1"/>
      <c r="E1785" s="1"/>
      <c r="F1785" s="1"/>
      <c r="G1785" s="1"/>
      <c r="H1785" s="1"/>
      <c r="I1785" s="1"/>
    </row>
    <row r="1786" ht="15.75" customHeight="1">
      <c r="A1786" s="1" t="s">
        <v>1843</v>
      </c>
      <c r="B1786" s="1" t="s">
        <v>1792</v>
      </c>
      <c r="C1786" s="1"/>
      <c r="D1786" s="1"/>
      <c r="E1786" s="1"/>
      <c r="F1786" s="1"/>
      <c r="G1786" s="1"/>
      <c r="H1786" s="1"/>
      <c r="I1786" s="1"/>
    </row>
    <row r="1787" ht="15.75" customHeight="1">
      <c r="A1787" s="1" t="s">
        <v>1844</v>
      </c>
      <c r="B1787" s="1" t="s">
        <v>1792</v>
      </c>
      <c r="C1787" s="1"/>
      <c r="D1787" s="1"/>
      <c r="E1787" s="1"/>
      <c r="F1787" s="1"/>
      <c r="G1787" s="1"/>
      <c r="H1787" s="1"/>
      <c r="I1787" s="1"/>
    </row>
    <row r="1788" ht="15.75" customHeight="1">
      <c r="A1788" s="1" t="s">
        <v>1845</v>
      </c>
      <c r="B1788" s="1" t="s">
        <v>1792</v>
      </c>
      <c r="C1788" s="1"/>
      <c r="D1788" s="1"/>
      <c r="E1788" s="1"/>
      <c r="F1788" s="1"/>
      <c r="G1788" s="1"/>
      <c r="H1788" s="1"/>
      <c r="I1788" s="1"/>
    </row>
    <row r="1789" ht="15.75" customHeight="1">
      <c r="A1789" s="1" t="s">
        <v>1846</v>
      </c>
      <c r="B1789" s="1" t="s">
        <v>1792</v>
      </c>
      <c r="C1789" s="1"/>
      <c r="D1789" s="1"/>
      <c r="E1789" s="1"/>
      <c r="F1789" s="1"/>
      <c r="G1789" s="1"/>
      <c r="H1789" s="1"/>
      <c r="I1789" s="1"/>
    </row>
    <row r="1790" ht="15.75" customHeight="1">
      <c r="A1790" s="1" t="s">
        <v>1847</v>
      </c>
      <c r="B1790" s="1" t="s">
        <v>1792</v>
      </c>
      <c r="C1790" s="1"/>
      <c r="D1790" s="1"/>
      <c r="E1790" s="1"/>
      <c r="F1790" s="1"/>
      <c r="G1790" s="1"/>
      <c r="H1790" s="1"/>
      <c r="I1790" s="1"/>
    </row>
    <row r="1791" ht="15.75" customHeight="1">
      <c r="A1791" s="1" t="s">
        <v>1848</v>
      </c>
      <c r="B1791" s="1" t="s">
        <v>1792</v>
      </c>
      <c r="C1791" s="1"/>
      <c r="D1791" s="1"/>
      <c r="E1791" s="1"/>
      <c r="F1791" s="1"/>
      <c r="G1791" s="1"/>
      <c r="H1791" s="1"/>
      <c r="I1791" s="1"/>
    </row>
    <row r="1792" ht="15.75" customHeight="1">
      <c r="A1792" s="1" t="s">
        <v>1849</v>
      </c>
      <c r="B1792" s="1" t="s">
        <v>1792</v>
      </c>
      <c r="C1792" s="1"/>
      <c r="D1792" s="1"/>
      <c r="E1792" s="1"/>
      <c r="F1792" s="1"/>
      <c r="G1792" s="1"/>
      <c r="H1792" s="1"/>
      <c r="I1792" s="1"/>
    </row>
    <row r="1793" ht="15.75" customHeight="1">
      <c r="A1793" s="1" t="s">
        <v>1850</v>
      </c>
      <c r="B1793" s="1" t="s">
        <v>1792</v>
      </c>
      <c r="C1793" s="1"/>
      <c r="D1793" s="1"/>
      <c r="E1793" s="1"/>
      <c r="F1793" s="1"/>
      <c r="G1793" s="1"/>
      <c r="H1793" s="1"/>
      <c r="I1793" s="1"/>
    </row>
    <row r="1794" ht="15.75" customHeight="1">
      <c r="A1794" s="1" t="s">
        <v>1851</v>
      </c>
      <c r="B1794" s="1" t="s">
        <v>1792</v>
      </c>
      <c r="C1794" s="1"/>
      <c r="D1794" s="1"/>
      <c r="E1794" s="1"/>
      <c r="F1794" s="1"/>
      <c r="G1794" s="1"/>
      <c r="H1794" s="1"/>
      <c r="I1794" s="1"/>
    </row>
    <row r="1795" ht="15.75" customHeight="1">
      <c r="A1795" s="1" t="s">
        <v>1852</v>
      </c>
      <c r="B1795" s="1" t="s">
        <v>1792</v>
      </c>
      <c r="C1795" s="1"/>
      <c r="D1795" s="1"/>
      <c r="E1795" s="1"/>
      <c r="F1795" s="1"/>
      <c r="G1795" s="1"/>
      <c r="H1795" s="1"/>
      <c r="I1795" s="1"/>
    </row>
    <row r="1796" ht="15.75" customHeight="1">
      <c r="A1796" s="1" t="s">
        <v>1853</v>
      </c>
      <c r="B1796" s="1" t="s">
        <v>1792</v>
      </c>
      <c r="C1796" s="1"/>
      <c r="D1796" s="1"/>
      <c r="E1796" s="1"/>
      <c r="F1796" s="1"/>
      <c r="G1796" s="1"/>
      <c r="H1796" s="1"/>
      <c r="I1796" s="1"/>
    </row>
    <row r="1797" ht="15.75" customHeight="1">
      <c r="A1797" s="1" t="s">
        <v>1854</v>
      </c>
      <c r="B1797" s="1" t="s">
        <v>1792</v>
      </c>
      <c r="C1797" s="1"/>
      <c r="D1797" s="1"/>
      <c r="E1797" s="1"/>
      <c r="F1797" s="1"/>
      <c r="G1797" s="1"/>
      <c r="H1797" s="1"/>
      <c r="I1797" s="1"/>
    </row>
    <row r="1798" ht="15.75" customHeight="1">
      <c r="A1798" s="1" t="s">
        <v>1855</v>
      </c>
      <c r="B1798" s="1" t="s">
        <v>1792</v>
      </c>
      <c r="C1798" s="1"/>
      <c r="D1798" s="1"/>
      <c r="E1798" s="1"/>
      <c r="F1798" s="1"/>
      <c r="G1798" s="1"/>
      <c r="H1798" s="1"/>
      <c r="I1798" s="1"/>
    </row>
    <row r="1799" ht="15.75" customHeight="1">
      <c r="A1799" s="1" t="s">
        <v>1856</v>
      </c>
      <c r="B1799" s="1" t="s">
        <v>1792</v>
      </c>
      <c r="C1799" s="1"/>
      <c r="D1799" s="1"/>
      <c r="E1799" s="1"/>
      <c r="F1799" s="1"/>
      <c r="G1799" s="1"/>
      <c r="H1799" s="1"/>
      <c r="I1799" s="1"/>
    </row>
    <row r="1800" ht="15.75" customHeight="1">
      <c r="A1800" s="1" t="s">
        <v>1857</v>
      </c>
      <c r="B1800" s="1" t="s">
        <v>1792</v>
      </c>
      <c r="C1800" s="1"/>
      <c r="D1800" s="1"/>
      <c r="E1800" s="1"/>
      <c r="F1800" s="1"/>
      <c r="G1800" s="1"/>
      <c r="H1800" s="1"/>
      <c r="I1800" s="1"/>
    </row>
    <row r="1801" ht="15.75" customHeight="1">
      <c r="A1801" s="1" t="s">
        <v>1858</v>
      </c>
      <c r="B1801" s="1" t="s">
        <v>1792</v>
      </c>
      <c r="C1801" s="1"/>
      <c r="D1801" s="1"/>
      <c r="E1801" s="1"/>
      <c r="F1801" s="1"/>
      <c r="G1801" s="1"/>
      <c r="H1801" s="1"/>
      <c r="I1801" s="1"/>
    </row>
    <row r="1802" ht="15.75" customHeight="1">
      <c r="A1802" s="1" t="s">
        <v>1859</v>
      </c>
      <c r="B1802" s="1" t="s">
        <v>1792</v>
      </c>
      <c r="C1802" s="1"/>
      <c r="D1802" s="1"/>
      <c r="E1802" s="1"/>
      <c r="F1802" s="1"/>
      <c r="G1802" s="1"/>
      <c r="H1802" s="1"/>
      <c r="I1802" s="1"/>
    </row>
    <row r="1803" ht="15.75" customHeight="1">
      <c r="A1803" s="1" t="s">
        <v>1860</v>
      </c>
      <c r="B1803" s="1" t="s">
        <v>1792</v>
      </c>
      <c r="C1803" s="1"/>
      <c r="D1803" s="1"/>
      <c r="E1803" s="1"/>
      <c r="F1803" s="1"/>
      <c r="G1803" s="1"/>
      <c r="H1803" s="1"/>
      <c r="I1803" s="1"/>
    </row>
    <row r="1804" ht="15.75" customHeight="1">
      <c r="A1804" s="1" t="s">
        <v>1861</v>
      </c>
      <c r="B1804" s="1" t="s">
        <v>1792</v>
      </c>
      <c r="C1804" s="1"/>
      <c r="D1804" s="1"/>
      <c r="E1804" s="1"/>
      <c r="F1804" s="1"/>
      <c r="G1804" s="1"/>
      <c r="H1804" s="1"/>
      <c r="I1804" s="1"/>
    </row>
    <row r="1805" ht="15.75" customHeight="1">
      <c r="A1805" s="1" t="s">
        <v>1862</v>
      </c>
      <c r="B1805" s="1" t="s">
        <v>1792</v>
      </c>
      <c r="C1805" s="1"/>
      <c r="D1805" s="1"/>
      <c r="E1805" s="1"/>
      <c r="F1805" s="1"/>
      <c r="G1805" s="1"/>
      <c r="H1805" s="1"/>
      <c r="I1805" s="1"/>
    </row>
    <row r="1806" ht="15.75" customHeight="1">
      <c r="A1806" s="1" t="s">
        <v>1863</v>
      </c>
      <c r="B1806" s="1" t="s">
        <v>1792</v>
      </c>
      <c r="C1806" s="1"/>
      <c r="D1806" s="1"/>
      <c r="E1806" s="1"/>
      <c r="F1806" s="1"/>
      <c r="G1806" s="1"/>
      <c r="H1806" s="1"/>
      <c r="I1806" s="1"/>
    </row>
    <row r="1807" ht="15.75" customHeight="1">
      <c r="A1807" s="1" t="s">
        <v>1864</v>
      </c>
      <c r="B1807" s="1" t="s">
        <v>1792</v>
      </c>
      <c r="C1807" s="1"/>
      <c r="D1807" s="1"/>
      <c r="E1807" s="1"/>
      <c r="F1807" s="1"/>
      <c r="G1807" s="1"/>
      <c r="H1807" s="1"/>
      <c r="I1807" s="1"/>
    </row>
    <row r="1808" ht="15.75" customHeight="1">
      <c r="A1808" s="1" t="s">
        <v>1865</v>
      </c>
      <c r="B1808" s="1" t="s">
        <v>1792</v>
      </c>
      <c r="C1808" s="1"/>
      <c r="D1808" s="1"/>
      <c r="E1808" s="1"/>
      <c r="F1808" s="1"/>
      <c r="G1808" s="1"/>
      <c r="H1808" s="1"/>
      <c r="I1808" s="1"/>
    </row>
    <row r="1809" ht="15.75" customHeight="1">
      <c r="A1809" s="1" t="s">
        <v>1866</v>
      </c>
      <c r="B1809" s="1" t="s">
        <v>1792</v>
      </c>
      <c r="C1809" s="1"/>
      <c r="D1809" s="1"/>
      <c r="E1809" s="1"/>
      <c r="F1809" s="1"/>
      <c r="G1809" s="1"/>
      <c r="H1809" s="1"/>
      <c r="I1809" s="1"/>
    </row>
    <row r="1810" ht="15.75" customHeight="1">
      <c r="A1810" s="1" t="s">
        <v>1867</v>
      </c>
      <c r="B1810" s="1" t="s">
        <v>1792</v>
      </c>
      <c r="C1810" s="1"/>
      <c r="D1810" s="1"/>
      <c r="E1810" s="1"/>
      <c r="F1810" s="1"/>
      <c r="G1810" s="1"/>
      <c r="H1810" s="1"/>
      <c r="I1810" s="1"/>
    </row>
    <row r="1811" ht="15.75" customHeight="1">
      <c r="A1811" s="1" t="s">
        <v>1868</v>
      </c>
      <c r="B1811" s="1" t="s">
        <v>1792</v>
      </c>
      <c r="C1811" s="1"/>
      <c r="D1811" s="1"/>
      <c r="E1811" s="1"/>
      <c r="F1811" s="1"/>
      <c r="G1811" s="1"/>
      <c r="H1811" s="1"/>
      <c r="I1811" s="1"/>
    </row>
    <row r="1812" ht="15.75" customHeight="1">
      <c r="A1812" s="1" t="s">
        <v>1869</v>
      </c>
      <c r="B1812" s="1" t="s">
        <v>1792</v>
      </c>
      <c r="C1812" s="1"/>
      <c r="D1812" s="1"/>
      <c r="E1812" s="1"/>
      <c r="F1812" s="1"/>
      <c r="G1812" s="1"/>
      <c r="H1812" s="1"/>
      <c r="I1812" s="1"/>
    </row>
    <row r="1813" ht="15.75" customHeight="1">
      <c r="A1813" s="1" t="s">
        <v>1870</v>
      </c>
      <c r="B1813" s="1" t="s">
        <v>1792</v>
      </c>
      <c r="C1813" s="1"/>
      <c r="D1813" s="1"/>
      <c r="E1813" s="1"/>
      <c r="F1813" s="1"/>
      <c r="G1813" s="1"/>
      <c r="H1813" s="1"/>
      <c r="I1813" s="1"/>
    </row>
    <row r="1814" ht="15.75" customHeight="1">
      <c r="A1814" s="1" t="s">
        <v>1871</v>
      </c>
      <c r="B1814" s="1" t="s">
        <v>1792</v>
      </c>
      <c r="C1814" s="1"/>
      <c r="D1814" s="1"/>
      <c r="E1814" s="1"/>
      <c r="F1814" s="1"/>
      <c r="G1814" s="1"/>
      <c r="H1814" s="1"/>
      <c r="I1814" s="1"/>
    </row>
    <row r="1815" ht="15.75" customHeight="1">
      <c r="A1815" s="1" t="s">
        <v>1872</v>
      </c>
      <c r="B1815" s="1" t="s">
        <v>1792</v>
      </c>
      <c r="C1815" s="1"/>
      <c r="D1815" s="1"/>
      <c r="E1815" s="1"/>
      <c r="F1815" s="1"/>
      <c r="G1815" s="1"/>
      <c r="H1815" s="1"/>
      <c r="I1815" s="1"/>
    </row>
    <row r="1816" ht="15.75" customHeight="1">
      <c r="A1816" s="1" t="s">
        <v>1873</v>
      </c>
      <c r="B1816" s="1" t="s">
        <v>1792</v>
      </c>
      <c r="C1816" s="1"/>
      <c r="D1816" s="1"/>
      <c r="E1816" s="1"/>
      <c r="F1816" s="1"/>
      <c r="G1816" s="1"/>
      <c r="H1816" s="1"/>
      <c r="I1816" s="1"/>
    </row>
    <row r="1817" ht="15.75" customHeight="1">
      <c r="A1817" s="1" t="s">
        <v>1874</v>
      </c>
      <c r="B1817" s="1" t="s">
        <v>1792</v>
      </c>
      <c r="C1817" s="1"/>
      <c r="D1817" s="1"/>
      <c r="E1817" s="1"/>
      <c r="F1817" s="1"/>
      <c r="G1817" s="1"/>
      <c r="H1817" s="1"/>
      <c r="I1817" s="1"/>
    </row>
    <row r="1818" ht="15.75" customHeight="1">
      <c r="A1818" s="1" t="s">
        <v>1875</v>
      </c>
      <c r="B1818" s="1" t="s">
        <v>1792</v>
      </c>
      <c r="C1818" s="1"/>
      <c r="D1818" s="1"/>
      <c r="E1818" s="1"/>
      <c r="F1818" s="1"/>
      <c r="G1818" s="1"/>
      <c r="H1818" s="1"/>
      <c r="I1818" s="1"/>
    </row>
    <row r="1819" ht="15.75" customHeight="1">
      <c r="A1819" s="1" t="s">
        <v>1876</v>
      </c>
      <c r="B1819" s="1" t="s">
        <v>1792</v>
      </c>
      <c r="C1819" s="1"/>
      <c r="D1819" s="1"/>
      <c r="E1819" s="1"/>
      <c r="F1819" s="1"/>
      <c r="G1819" s="1"/>
      <c r="H1819" s="1"/>
      <c r="I1819" s="1"/>
    </row>
    <row r="1820" ht="15.75" customHeight="1">
      <c r="A1820" s="1" t="s">
        <v>1877</v>
      </c>
      <c r="B1820" s="1" t="s">
        <v>1792</v>
      </c>
      <c r="C1820" s="1"/>
      <c r="D1820" s="1"/>
      <c r="E1820" s="1"/>
      <c r="F1820" s="1"/>
      <c r="G1820" s="1"/>
      <c r="H1820" s="1"/>
      <c r="I1820" s="1"/>
    </row>
    <row r="1821" ht="15.75" customHeight="1">
      <c r="A1821" s="1" t="s">
        <v>1878</v>
      </c>
      <c r="B1821" s="1" t="s">
        <v>1792</v>
      </c>
      <c r="C1821" s="1"/>
      <c r="D1821" s="1"/>
      <c r="E1821" s="1"/>
      <c r="F1821" s="1"/>
      <c r="G1821" s="1"/>
      <c r="H1821" s="1"/>
      <c r="I1821" s="1"/>
    </row>
    <row r="1822" ht="15.75" customHeight="1">
      <c r="A1822" s="1" t="s">
        <v>1879</v>
      </c>
      <c r="B1822" s="1" t="s">
        <v>1792</v>
      </c>
      <c r="C1822" s="1"/>
      <c r="D1822" s="1"/>
      <c r="E1822" s="1"/>
      <c r="F1822" s="1"/>
      <c r="G1822" s="1"/>
      <c r="H1822" s="1"/>
      <c r="I1822" s="1"/>
    </row>
    <row r="1823" ht="15.75" customHeight="1">
      <c r="A1823" s="1" t="s">
        <v>1880</v>
      </c>
      <c r="B1823" s="1" t="s">
        <v>1792</v>
      </c>
      <c r="C1823" s="1"/>
      <c r="D1823" s="1"/>
      <c r="E1823" s="1"/>
      <c r="F1823" s="1"/>
      <c r="G1823" s="1"/>
      <c r="H1823" s="1"/>
      <c r="I1823" s="1"/>
    </row>
    <row r="1824" ht="15.75" customHeight="1">
      <c r="A1824" s="1" t="s">
        <v>1881</v>
      </c>
      <c r="B1824" s="1" t="s">
        <v>1792</v>
      </c>
      <c r="C1824" s="1"/>
      <c r="D1824" s="1"/>
      <c r="E1824" s="1"/>
      <c r="F1824" s="1"/>
      <c r="G1824" s="1"/>
      <c r="H1824" s="1"/>
      <c r="I1824" s="1"/>
    </row>
    <row r="1825" ht="15.75" customHeight="1">
      <c r="A1825" s="1" t="s">
        <v>1882</v>
      </c>
      <c r="B1825" s="1" t="s">
        <v>1792</v>
      </c>
      <c r="C1825" s="1"/>
      <c r="D1825" s="1"/>
      <c r="E1825" s="1"/>
      <c r="F1825" s="1"/>
      <c r="G1825" s="1"/>
      <c r="H1825" s="1"/>
      <c r="I1825" s="1"/>
    </row>
    <row r="1826" ht="15.75" customHeight="1">
      <c r="A1826" s="1" t="s">
        <v>1883</v>
      </c>
      <c r="B1826" s="1" t="s">
        <v>1792</v>
      </c>
      <c r="C1826" s="1"/>
      <c r="D1826" s="1"/>
      <c r="E1826" s="1"/>
      <c r="F1826" s="1"/>
      <c r="G1826" s="1"/>
      <c r="H1826" s="1"/>
      <c r="I1826" s="1"/>
    </row>
    <row r="1827" ht="15.75" customHeight="1">
      <c r="A1827" s="1" t="s">
        <v>1884</v>
      </c>
      <c r="B1827" s="1" t="s">
        <v>1792</v>
      </c>
      <c r="C1827" s="1"/>
      <c r="D1827" s="1"/>
      <c r="E1827" s="1"/>
      <c r="F1827" s="1"/>
      <c r="G1827" s="1"/>
      <c r="H1827" s="1"/>
      <c r="I1827" s="1"/>
    </row>
    <row r="1828" ht="15.75" customHeight="1">
      <c r="A1828" s="1" t="s">
        <v>1885</v>
      </c>
      <c r="B1828" s="1" t="s">
        <v>1792</v>
      </c>
      <c r="C1828" s="1"/>
      <c r="D1828" s="1"/>
      <c r="E1828" s="1"/>
      <c r="F1828" s="1"/>
      <c r="G1828" s="1"/>
      <c r="H1828" s="1"/>
      <c r="I1828" s="1"/>
    </row>
    <row r="1829" ht="15.75" customHeight="1">
      <c r="A1829" s="1" t="s">
        <v>1886</v>
      </c>
      <c r="B1829" s="1" t="s">
        <v>1792</v>
      </c>
      <c r="C1829" s="1"/>
      <c r="D1829" s="1"/>
      <c r="E1829" s="1"/>
      <c r="F1829" s="1"/>
      <c r="G1829" s="1"/>
      <c r="H1829" s="1"/>
      <c r="I1829" s="1"/>
    </row>
    <row r="1830" ht="15.75" customHeight="1">
      <c r="A1830" s="1" t="s">
        <v>1887</v>
      </c>
      <c r="B1830" s="1" t="s">
        <v>1792</v>
      </c>
      <c r="C1830" s="1"/>
      <c r="D1830" s="1"/>
      <c r="E1830" s="1"/>
      <c r="F1830" s="1"/>
      <c r="G1830" s="1"/>
      <c r="H1830" s="1"/>
      <c r="I1830" s="1"/>
    </row>
    <row r="1831" ht="15.75" customHeight="1">
      <c r="A1831" s="1" t="s">
        <v>1888</v>
      </c>
      <c r="B1831" s="1" t="s">
        <v>1792</v>
      </c>
      <c r="C1831" s="1"/>
      <c r="D1831" s="1"/>
      <c r="E1831" s="1"/>
      <c r="F1831" s="1"/>
      <c r="G1831" s="1"/>
      <c r="H1831" s="1"/>
      <c r="I1831" s="1"/>
    </row>
    <row r="1832" ht="15.75" customHeight="1">
      <c r="A1832" s="1" t="s">
        <v>1889</v>
      </c>
      <c r="B1832" s="1" t="s">
        <v>1792</v>
      </c>
      <c r="C1832" s="1"/>
      <c r="D1832" s="1"/>
      <c r="E1832" s="1"/>
      <c r="F1832" s="1"/>
      <c r="G1832" s="1"/>
      <c r="H1832" s="1"/>
      <c r="I1832" s="1"/>
    </row>
    <row r="1833" ht="15.75" customHeight="1">
      <c r="A1833" s="1" t="s">
        <v>1890</v>
      </c>
      <c r="B1833" s="1" t="s">
        <v>1792</v>
      </c>
      <c r="C1833" s="1"/>
      <c r="D1833" s="1"/>
      <c r="E1833" s="1"/>
      <c r="F1833" s="1"/>
      <c r="G1833" s="1"/>
      <c r="H1833" s="1"/>
      <c r="I1833" s="1"/>
    </row>
    <row r="1834" ht="15.75" customHeight="1">
      <c r="A1834" s="1" t="s">
        <v>1891</v>
      </c>
      <c r="B1834" s="1" t="s">
        <v>1792</v>
      </c>
      <c r="C1834" s="1"/>
      <c r="D1834" s="1"/>
      <c r="E1834" s="1"/>
      <c r="F1834" s="1"/>
      <c r="G1834" s="1"/>
      <c r="H1834" s="1"/>
      <c r="I1834" s="1"/>
    </row>
    <row r="1835" ht="15.75" customHeight="1">
      <c r="A1835" s="1" t="s">
        <v>1892</v>
      </c>
      <c r="B1835" s="1" t="s">
        <v>1792</v>
      </c>
      <c r="C1835" s="1"/>
      <c r="D1835" s="1"/>
      <c r="E1835" s="1"/>
      <c r="F1835" s="1"/>
      <c r="G1835" s="1"/>
      <c r="H1835" s="1"/>
      <c r="I1835" s="1"/>
    </row>
    <row r="1836" ht="15.75" customHeight="1">
      <c r="A1836" s="1" t="s">
        <v>1893</v>
      </c>
      <c r="B1836" s="1" t="s">
        <v>1792</v>
      </c>
      <c r="C1836" s="1"/>
      <c r="D1836" s="1"/>
      <c r="E1836" s="1"/>
      <c r="F1836" s="1"/>
      <c r="G1836" s="1"/>
      <c r="H1836" s="1"/>
      <c r="I1836" s="1"/>
    </row>
    <row r="1837" ht="15.75" customHeight="1">
      <c r="A1837" s="1" t="s">
        <v>1894</v>
      </c>
      <c r="B1837" s="1" t="s">
        <v>1792</v>
      </c>
      <c r="C1837" s="1"/>
      <c r="D1837" s="1"/>
      <c r="E1837" s="1"/>
      <c r="F1837" s="1"/>
      <c r="G1837" s="1"/>
      <c r="H1837" s="1"/>
      <c r="I1837" s="1"/>
    </row>
    <row r="1838" ht="15.75" customHeight="1">
      <c r="A1838" s="1" t="s">
        <v>1895</v>
      </c>
      <c r="B1838" s="1" t="s">
        <v>1792</v>
      </c>
      <c r="C1838" s="1"/>
      <c r="D1838" s="1"/>
      <c r="E1838" s="1"/>
      <c r="F1838" s="1"/>
      <c r="G1838" s="1"/>
      <c r="H1838" s="1"/>
      <c r="I1838" s="1"/>
    </row>
    <row r="1839" ht="15.75" customHeight="1">
      <c r="A1839" s="1" t="s">
        <v>1896</v>
      </c>
      <c r="B1839" s="1" t="s">
        <v>1792</v>
      </c>
      <c r="C1839" s="1"/>
      <c r="D1839" s="1"/>
      <c r="E1839" s="1"/>
      <c r="F1839" s="1"/>
      <c r="G1839" s="1"/>
      <c r="H1839" s="1"/>
      <c r="I1839" s="1"/>
    </row>
    <row r="1840" ht="15.75" customHeight="1">
      <c r="A1840" s="1" t="s">
        <v>1897</v>
      </c>
      <c r="B1840" s="1" t="s">
        <v>1792</v>
      </c>
      <c r="C1840" s="1"/>
      <c r="D1840" s="1"/>
      <c r="E1840" s="1"/>
      <c r="F1840" s="1"/>
      <c r="G1840" s="1"/>
      <c r="H1840" s="1"/>
      <c r="I1840" s="1"/>
    </row>
    <row r="1841" ht="15.75" customHeight="1">
      <c r="A1841" s="1" t="s">
        <v>1898</v>
      </c>
      <c r="B1841" s="1" t="s">
        <v>1792</v>
      </c>
      <c r="C1841" s="1"/>
      <c r="D1841" s="1"/>
      <c r="E1841" s="1"/>
      <c r="F1841" s="1"/>
      <c r="G1841" s="1"/>
      <c r="H1841" s="1"/>
      <c r="I1841" s="1"/>
    </row>
    <row r="1842" ht="15.75" customHeight="1">
      <c r="A1842" s="1" t="s">
        <v>1899</v>
      </c>
      <c r="B1842" s="1" t="s">
        <v>1792</v>
      </c>
      <c r="C1842" s="1"/>
      <c r="D1842" s="1"/>
      <c r="E1842" s="1"/>
      <c r="F1842" s="1"/>
      <c r="G1842" s="1"/>
      <c r="H1842" s="1"/>
      <c r="I1842" s="1"/>
    </row>
    <row r="1843" ht="15.75" customHeight="1">
      <c r="A1843" s="1" t="s">
        <v>1900</v>
      </c>
      <c r="B1843" s="1" t="s">
        <v>1792</v>
      </c>
      <c r="C1843" s="1"/>
      <c r="D1843" s="1"/>
      <c r="E1843" s="1"/>
      <c r="F1843" s="1"/>
      <c r="G1843" s="1"/>
      <c r="H1843" s="1"/>
      <c r="I1843" s="1"/>
    </row>
    <row r="1844" ht="15.75" customHeight="1">
      <c r="A1844" s="1" t="s">
        <v>1901</v>
      </c>
      <c r="B1844" s="1" t="s">
        <v>1792</v>
      </c>
      <c r="C1844" s="1"/>
      <c r="D1844" s="1"/>
      <c r="E1844" s="1"/>
      <c r="F1844" s="1"/>
      <c r="G1844" s="1"/>
      <c r="H1844" s="1"/>
      <c r="I1844" s="1"/>
    </row>
    <row r="1845" ht="15.75" customHeight="1">
      <c r="A1845" s="1" t="s">
        <v>1902</v>
      </c>
      <c r="B1845" s="1" t="s">
        <v>1792</v>
      </c>
      <c r="C1845" s="1"/>
      <c r="D1845" s="1"/>
      <c r="E1845" s="1"/>
      <c r="F1845" s="1"/>
      <c r="G1845" s="1"/>
      <c r="H1845" s="1"/>
      <c r="I1845" s="1"/>
    </row>
    <row r="1846" ht="15.75" customHeight="1">
      <c r="A1846" s="1" t="s">
        <v>1903</v>
      </c>
      <c r="B1846" s="1" t="s">
        <v>1792</v>
      </c>
      <c r="C1846" s="1"/>
      <c r="D1846" s="1"/>
      <c r="E1846" s="1"/>
      <c r="F1846" s="1"/>
      <c r="G1846" s="1"/>
      <c r="H1846" s="1"/>
      <c r="I1846" s="1"/>
    </row>
    <row r="1847" ht="15.75" customHeight="1">
      <c r="A1847" s="1" t="s">
        <v>1904</v>
      </c>
      <c r="B1847" s="1" t="s">
        <v>1792</v>
      </c>
      <c r="C1847" s="1"/>
      <c r="D1847" s="1"/>
      <c r="E1847" s="1"/>
      <c r="F1847" s="1"/>
      <c r="G1847" s="1"/>
      <c r="H1847" s="1"/>
      <c r="I1847" s="1"/>
    </row>
    <row r="1848" ht="15.75" customHeight="1">
      <c r="A1848" s="1" t="s">
        <v>1905</v>
      </c>
      <c r="B1848" s="1" t="s">
        <v>1792</v>
      </c>
      <c r="C1848" s="1"/>
      <c r="D1848" s="1"/>
      <c r="E1848" s="1"/>
      <c r="F1848" s="1"/>
      <c r="G1848" s="1"/>
      <c r="H1848" s="1"/>
      <c r="I1848" s="1"/>
    </row>
    <row r="1849" ht="15.75" customHeight="1">
      <c r="A1849" s="1" t="s">
        <v>1906</v>
      </c>
      <c r="B1849" s="1" t="s">
        <v>1792</v>
      </c>
      <c r="C1849" s="1"/>
      <c r="D1849" s="1"/>
      <c r="E1849" s="1"/>
      <c r="F1849" s="1"/>
      <c r="G1849" s="1"/>
      <c r="H1849" s="1"/>
      <c r="I1849" s="1"/>
    </row>
    <row r="1850" ht="15.75" customHeight="1">
      <c r="A1850" s="1" t="s">
        <v>1907</v>
      </c>
      <c r="B1850" s="1" t="s">
        <v>1792</v>
      </c>
      <c r="C1850" s="1"/>
      <c r="D1850" s="1"/>
      <c r="E1850" s="1"/>
      <c r="F1850" s="1"/>
      <c r="G1850" s="1"/>
      <c r="H1850" s="1"/>
      <c r="I1850" s="1"/>
    </row>
    <row r="1851" ht="15.75" customHeight="1">
      <c r="A1851" s="1" t="s">
        <v>1908</v>
      </c>
      <c r="B1851" s="1" t="s">
        <v>1792</v>
      </c>
      <c r="C1851" s="1"/>
      <c r="D1851" s="1"/>
      <c r="E1851" s="1"/>
      <c r="F1851" s="1"/>
      <c r="G1851" s="1"/>
      <c r="H1851" s="1"/>
      <c r="I1851" s="1"/>
    </row>
    <row r="1852" ht="15.75" customHeight="1">
      <c r="A1852" s="1" t="s">
        <v>1909</v>
      </c>
      <c r="B1852" s="1" t="s">
        <v>1792</v>
      </c>
      <c r="C1852" s="1"/>
      <c r="D1852" s="1"/>
      <c r="E1852" s="1"/>
      <c r="F1852" s="1"/>
      <c r="G1852" s="1"/>
      <c r="H1852" s="1"/>
      <c r="I1852" s="1"/>
    </row>
    <row r="1853" ht="15.75" customHeight="1">
      <c r="A1853" s="1" t="s">
        <v>1910</v>
      </c>
      <c r="B1853" s="1" t="s">
        <v>1792</v>
      </c>
      <c r="C1853" s="1"/>
      <c r="D1853" s="1"/>
      <c r="E1853" s="1"/>
      <c r="F1853" s="1"/>
      <c r="G1853" s="1"/>
      <c r="H1853" s="1"/>
      <c r="I1853" s="1"/>
    </row>
    <row r="1854" ht="15.75" customHeight="1">
      <c r="A1854" s="1" t="s">
        <v>1911</v>
      </c>
      <c r="B1854" s="1" t="s">
        <v>1792</v>
      </c>
      <c r="C1854" s="1"/>
      <c r="D1854" s="1"/>
      <c r="E1854" s="1"/>
      <c r="F1854" s="1"/>
      <c r="G1854" s="1"/>
      <c r="H1854" s="1"/>
      <c r="I1854" s="1"/>
    </row>
    <row r="1855" ht="15.75" customHeight="1">
      <c r="A1855" s="1" t="s">
        <v>1912</v>
      </c>
      <c r="B1855" s="1" t="s">
        <v>1792</v>
      </c>
      <c r="C1855" s="1"/>
      <c r="D1855" s="1"/>
      <c r="E1855" s="1"/>
      <c r="F1855" s="1"/>
      <c r="G1855" s="1"/>
      <c r="H1855" s="1"/>
      <c r="I1855" s="1"/>
    </row>
    <row r="1856" ht="15.75" customHeight="1">
      <c r="A1856" s="1" t="s">
        <v>1913</v>
      </c>
      <c r="B1856" s="1" t="s">
        <v>1792</v>
      </c>
      <c r="C1856" s="1"/>
      <c r="D1856" s="1"/>
      <c r="E1856" s="1"/>
      <c r="F1856" s="1"/>
      <c r="G1856" s="1"/>
      <c r="H1856" s="1"/>
      <c r="I1856" s="1"/>
    </row>
    <row r="1857" ht="15.75" customHeight="1">
      <c r="A1857" s="1" t="s">
        <v>1914</v>
      </c>
      <c r="B1857" s="1" t="s">
        <v>1792</v>
      </c>
      <c r="C1857" s="1"/>
      <c r="D1857" s="1"/>
      <c r="E1857" s="1"/>
      <c r="F1857" s="1"/>
      <c r="G1857" s="1"/>
      <c r="H1857" s="1"/>
      <c r="I1857" s="1"/>
    </row>
    <row r="1858" ht="15.75" customHeight="1">
      <c r="A1858" s="1" t="s">
        <v>1915</v>
      </c>
      <c r="B1858" s="1" t="s">
        <v>1792</v>
      </c>
      <c r="C1858" s="1"/>
      <c r="D1858" s="1"/>
      <c r="E1858" s="1"/>
      <c r="F1858" s="1"/>
      <c r="G1858" s="1"/>
      <c r="H1858" s="1"/>
      <c r="I1858" s="1"/>
    </row>
    <row r="1859" ht="15.75" customHeight="1">
      <c r="A1859" s="1" t="s">
        <v>1916</v>
      </c>
      <c r="B1859" s="1" t="s">
        <v>1792</v>
      </c>
      <c r="C1859" s="1"/>
      <c r="D1859" s="1"/>
      <c r="E1859" s="1"/>
      <c r="F1859" s="1"/>
      <c r="G1859" s="1"/>
      <c r="H1859" s="1"/>
      <c r="I1859" s="1"/>
    </row>
    <row r="1860" ht="15.75" customHeight="1">
      <c r="A1860" s="1" t="s">
        <v>1917</v>
      </c>
      <c r="B1860" s="1" t="s">
        <v>1792</v>
      </c>
      <c r="C1860" s="1"/>
      <c r="D1860" s="1"/>
      <c r="E1860" s="1"/>
      <c r="F1860" s="1"/>
      <c r="G1860" s="1"/>
      <c r="H1860" s="1"/>
      <c r="I1860" s="1"/>
    </row>
    <row r="1861" ht="15.75" customHeight="1">
      <c r="A1861" s="1" t="s">
        <v>1918</v>
      </c>
      <c r="B1861" s="1" t="s">
        <v>1792</v>
      </c>
      <c r="C1861" s="1"/>
      <c r="D1861" s="1"/>
      <c r="E1861" s="1"/>
      <c r="F1861" s="1"/>
      <c r="G1861" s="1"/>
      <c r="H1861" s="1"/>
      <c r="I1861" s="1"/>
    </row>
    <row r="1862" ht="15.75" customHeight="1">
      <c r="A1862" s="1" t="s">
        <v>1919</v>
      </c>
      <c r="B1862" s="1" t="s">
        <v>1792</v>
      </c>
      <c r="C1862" s="1"/>
      <c r="D1862" s="1"/>
      <c r="E1862" s="1"/>
      <c r="F1862" s="1"/>
      <c r="G1862" s="1"/>
      <c r="H1862" s="1"/>
      <c r="I1862" s="1"/>
    </row>
    <row r="1863" ht="15.75" customHeight="1">
      <c r="A1863" s="1" t="s">
        <v>1920</v>
      </c>
      <c r="B1863" s="1" t="s">
        <v>1792</v>
      </c>
      <c r="C1863" s="1"/>
      <c r="D1863" s="1"/>
      <c r="E1863" s="1"/>
      <c r="F1863" s="1"/>
      <c r="G1863" s="1"/>
      <c r="H1863" s="1"/>
      <c r="I1863" s="1"/>
    </row>
    <row r="1864" ht="15.75" customHeight="1">
      <c r="A1864" s="1" t="s">
        <v>1921</v>
      </c>
      <c r="B1864" s="1" t="s">
        <v>1792</v>
      </c>
      <c r="C1864" s="1"/>
      <c r="D1864" s="1"/>
      <c r="E1864" s="1"/>
      <c r="F1864" s="1"/>
      <c r="G1864" s="1"/>
      <c r="H1864" s="1"/>
      <c r="I1864" s="1"/>
    </row>
    <row r="1865" ht="15.75" customHeight="1">
      <c r="A1865" s="1" t="s">
        <v>1922</v>
      </c>
      <c r="B1865" s="1" t="s">
        <v>1792</v>
      </c>
      <c r="C1865" s="1"/>
      <c r="D1865" s="1"/>
      <c r="E1865" s="1"/>
      <c r="F1865" s="1"/>
      <c r="G1865" s="1"/>
      <c r="H1865" s="1"/>
      <c r="I1865" s="1"/>
    </row>
    <row r="1866" ht="15.75" customHeight="1">
      <c r="A1866" s="1" t="s">
        <v>1923</v>
      </c>
      <c r="B1866" s="1" t="s">
        <v>1792</v>
      </c>
      <c r="C1866" s="1"/>
      <c r="D1866" s="1"/>
      <c r="E1866" s="1"/>
      <c r="F1866" s="1"/>
      <c r="G1866" s="1"/>
      <c r="H1866" s="1"/>
      <c r="I1866" s="1"/>
    </row>
    <row r="1867" ht="15.75" customHeight="1">
      <c r="A1867" s="1" t="s">
        <v>1924</v>
      </c>
      <c r="B1867" s="1" t="s">
        <v>1792</v>
      </c>
      <c r="C1867" s="1"/>
      <c r="D1867" s="1"/>
      <c r="E1867" s="1"/>
      <c r="F1867" s="1"/>
      <c r="G1867" s="1"/>
      <c r="H1867" s="1"/>
      <c r="I1867" s="1"/>
    </row>
    <row r="1868" ht="15.75" customHeight="1">
      <c r="A1868" s="1" t="s">
        <v>1925</v>
      </c>
      <c r="B1868" s="1" t="s">
        <v>1792</v>
      </c>
      <c r="C1868" s="1"/>
      <c r="D1868" s="1"/>
      <c r="E1868" s="1"/>
      <c r="F1868" s="1"/>
      <c r="G1868" s="1"/>
      <c r="H1868" s="1"/>
      <c r="I1868" s="1"/>
    </row>
    <row r="1869" ht="15.75" customHeight="1">
      <c r="A1869" s="1" t="s">
        <v>1926</v>
      </c>
      <c r="B1869" s="1" t="s">
        <v>1792</v>
      </c>
      <c r="C1869" s="1"/>
      <c r="D1869" s="1"/>
      <c r="E1869" s="1"/>
      <c r="F1869" s="1"/>
      <c r="G1869" s="1"/>
      <c r="H1869" s="1"/>
      <c r="I1869" s="1"/>
    </row>
    <row r="1870" ht="15.75" customHeight="1">
      <c r="A1870" s="1" t="s">
        <v>1927</v>
      </c>
      <c r="B1870" s="1" t="s">
        <v>1792</v>
      </c>
      <c r="C1870" s="1"/>
      <c r="D1870" s="1"/>
      <c r="E1870" s="1"/>
      <c r="F1870" s="1"/>
      <c r="G1870" s="1"/>
      <c r="H1870" s="1"/>
      <c r="I1870" s="1"/>
    </row>
    <row r="1871" ht="15.75" customHeight="1">
      <c r="A1871" s="1" t="s">
        <v>1928</v>
      </c>
      <c r="B1871" s="1" t="s">
        <v>1792</v>
      </c>
      <c r="C1871" s="1"/>
      <c r="D1871" s="1"/>
      <c r="E1871" s="1"/>
      <c r="F1871" s="1"/>
      <c r="G1871" s="1"/>
      <c r="H1871" s="1"/>
      <c r="I1871" s="1"/>
    </row>
    <row r="1872" ht="15.75" customHeight="1">
      <c r="A1872" s="1" t="s">
        <v>1929</v>
      </c>
      <c r="B1872" s="1" t="s">
        <v>1792</v>
      </c>
      <c r="C1872" s="1"/>
      <c r="D1872" s="1"/>
      <c r="E1872" s="1"/>
      <c r="F1872" s="1"/>
      <c r="G1872" s="1"/>
      <c r="H1872" s="1"/>
      <c r="I1872" s="1"/>
    </row>
    <row r="1873" ht="15.75" customHeight="1">
      <c r="A1873" s="1" t="s">
        <v>1930</v>
      </c>
      <c r="B1873" s="1" t="s">
        <v>1792</v>
      </c>
      <c r="C1873" s="1"/>
      <c r="D1873" s="1"/>
      <c r="E1873" s="1"/>
      <c r="F1873" s="1"/>
      <c r="G1873" s="1"/>
      <c r="H1873" s="1"/>
      <c r="I1873" s="1"/>
    </row>
    <row r="1874" ht="15.75" customHeight="1">
      <c r="A1874" s="1" t="s">
        <v>1931</v>
      </c>
      <c r="B1874" s="1" t="s">
        <v>1792</v>
      </c>
      <c r="C1874" s="1"/>
      <c r="D1874" s="1"/>
      <c r="E1874" s="1"/>
      <c r="F1874" s="1"/>
      <c r="G1874" s="1"/>
      <c r="H1874" s="1"/>
      <c r="I1874" s="1"/>
    </row>
    <row r="1875" ht="15.75" customHeight="1">
      <c r="A1875" s="1" t="s">
        <v>1932</v>
      </c>
      <c r="B1875" s="1" t="s">
        <v>1792</v>
      </c>
      <c r="C1875" s="1"/>
      <c r="D1875" s="1"/>
      <c r="E1875" s="1"/>
      <c r="F1875" s="1"/>
      <c r="G1875" s="1"/>
      <c r="H1875" s="1"/>
      <c r="I1875" s="1"/>
    </row>
    <row r="1876" ht="15.75" customHeight="1">
      <c r="A1876" s="1" t="s">
        <v>1933</v>
      </c>
      <c r="B1876" s="1" t="s">
        <v>1792</v>
      </c>
      <c r="C1876" s="1"/>
      <c r="D1876" s="1"/>
      <c r="E1876" s="1"/>
      <c r="F1876" s="1"/>
      <c r="G1876" s="1"/>
      <c r="H1876" s="1"/>
      <c r="I1876" s="1"/>
    </row>
    <row r="1877" ht="15.75" customHeight="1">
      <c r="A1877" s="1" t="s">
        <v>1934</v>
      </c>
      <c r="B1877" s="1" t="s">
        <v>1792</v>
      </c>
      <c r="C1877" s="1"/>
      <c r="D1877" s="1"/>
      <c r="E1877" s="1"/>
      <c r="F1877" s="1"/>
      <c r="G1877" s="1"/>
      <c r="H1877" s="1"/>
      <c r="I1877" s="1"/>
    </row>
    <row r="1878" ht="15.75" customHeight="1">
      <c r="A1878" s="1" t="s">
        <v>1935</v>
      </c>
      <c r="B1878" s="1" t="s">
        <v>1792</v>
      </c>
      <c r="C1878" s="1"/>
      <c r="D1878" s="1"/>
      <c r="E1878" s="1"/>
      <c r="F1878" s="1"/>
      <c r="G1878" s="1"/>
      <c r="H1878" s="1"/>
      <c r="I1878" s="1"/>
    </row>
    <row r="1879" ht="15.75" customHeight="1">
      <c r="A1879" s="1" t="s">
        <v>1936</v>
      </c>
      <c r="B1879" s="1" t="s">
        <v>1792</v>
      </c>
      <c r="C1879" s="1"/>
      <c r="D1879" s="1"/>
      <c r="E1879" s="1"/>
      <c r="F1879" s="1"/>
      <c r="G1879" s="1"/>
      <c r="H1879" s="1"/>
      <c r="I1879" s="1"/>
    </row>
    <row r="1880" ht="15.75" customHeight="1">
      <c r="A1880" s="1" t="s">
        <v>1937</v>
      </c>
      <c r="B1880" s="1" t="s">
        <v>1792</v>
      </c>
      <c r="C1880" s="1"/>
      <c r="D1880" s="1"/>
      <c r="E1880" s="1"/>
      <c r="F1880" s="1"/>
      <c r="G1880" s="1"/>
      <c r="H1880" s="1"/>
      <c r="I1880" s="1"/>
    </row>
    <row r="1881" ht="15.75" customHeight="1">
      <c r="A1881" s="1" t="s">
        <v>1938</v>
      </c>
      <c r="B1881" s="1" t="s">
        <v>1792</v>
      </c>
      <c r="C1881" s="1"/>
      <c r="D1881" s="1"/>
      <c r="E1881" s="1"/>
      <c r="F1881" s="1"/>
      <c r="G1881" s="1"/>
      <c r="H1881" s="1"/>
      <c r="I1881" s="1"/>
    </row>
    <row r="1882" ht="15.75" customHeight="1">
      <c r="A1882" s="1" t="s">
        <v>1939</v>
      </c>
      <c r="B1882" s="1" t="s">
        <v>1792</v>
      </c>
      <c r="C1882" s="1"/>
      <c r="D1882" s="1"/>
      <c r="E1882" s="1"/>
      <c r="F1882" s="1"/>
      <c r="G1882" s="1"/>
      <c r="H1882" s="1"/>
      <c r="I1882" s="1"/>
    </row>
    <row r="1883" ht="15.75" customHeight="1">
      <c r="A1883" s="1" t="s">
        <v>1940</v>
      </c>
      <c r="B1883" s="1" t="s">
        <v>1792</v>
      </c>
      <c r="C1883" s="1"/>
      <c r="D1883" s="1"/>
      <c r="E1883" s="1"/>
      <c r="F1883" s="1"/>
      <c r="G1883" s="1"/>
      <c r="H1883" s="1"/>
      <c r="I1883" s="1"/>
    </row>
    <row r="1884" ht="15.75" customHeight="1">
      <c r="A1884" s="1" t="s">
        <v>1941</v>
      </c>
      <c r="B1884" s="1" t="s">
        <v>1792</v>
      </c>
      <c r="C1884" s="1"/>
      <c r="D1884" s="1"/>
      <c r="E1884" s="1"/>
      <c r="F1884" s="1"/>
      <c r="G1884" s="1"/>
      <c r="H1884" s="1"/>
      <c r="I1884" s="1"/>
    </row>
    <row r="1885" ht="15.75" customHeight="1">
      <c r="A1885" s="1" t="s">
        <v>1942</v>
      </c>
      <c r="B1885" s="1" t="s">
        <v>1792</v>
      </c>
      <c r="C1885" s="1"/>
      <c r="D1885" s="1"/>
      <c r="E1885" s="1"/>
      <c r="F1885" s="1"/>
      <c r="G1885" s="1"/>
      <c r="H1885" s="1"/>
      <c r="I1885" s="1"/>
    </row>
    <row r="1886" ht="15.75" customHeight="1">
      <c r="A1886" s="1" t="s">
        <v>1943</v>
      </c>
      <c r="B1886" s="1" t="s">
        <v>1792</v>
      </c>
      <c r="C1886" s="1"/>
      <c r="D1886" s="1"/>
      <c r="E1886" s="1"/>
      <c r="F1886" s="1"/>
      <c r="G1886" s="1"/>
      <c r="H1886" s="1"/>
      <c r="I1886" s="1"/>
    </row>
    <row r="1887" ht="15.75" customHeight="1">
      <c r="A1887" s="1" t="s">
        <v>1944</v>
      </c>
      <c r="B1887" s="1" t="s">
        <v>1792</v>
      </c>
      <c r="C1887" s="1"/>
      <c r="D1887" s="1"/>
      <c r="E1887" s="1"/>
      <c r="F1887" s="1"/>
      <c r="G1887" s="1"/>
      <c r="H1887" s="1"/>
      <c r="I1887" s="1"/>
    </row>
    <row r="1888" ht="15.75" customHeight="1">
      <c r="A1888" s="1" t="s">
        <v>1945</v>
      </c>
      <c r="B1888" s="1" t="s">
        <v>1792</v>
      </c>
      <c r="C1888" s="1"/>
      <c r="D1888" s="1"/>
      <c r="E1888" s="1"/>
      <c r="F1888" s="1"/>
      <c r="G1888" s="1"/>
      <c r="H1888" s="1"/>
      <c r="I1888" s="1"/>
    </row>
    <row r="1889" ht="15.75" customHeight="1">
      <c r="A1889" s="1" t="s">
        <v>1946</v>
      </c>
      <c r="B1889" s="1" t="s">
        <v>1792</v>
      </c>
      <c r="C1889" s="1"/>
      <c r="D1889" s="1"/>
      <c r="E1889" s="1"/>
      <c r="F1889" s="1"/>
      <c r="G1889" s="1"/>
      <c r="H1889" s="1"/>
      <c r="I1889" s="1"/>
    </row>
    <row r="1890" ht="15.75" customHeight="1">
      <c r="A1890" s="1" t="s">
        <v>1947</v>
      </c>
      <c r="B1890" s="1" t="s">
        <v>1792</v>
      </c>
      <c r="C1890" s="1"/>
      <c r="D1890" s="1"/>
      <c r="E1890" s="1"/>
      <c r="F1890" s="1"/>
      <c r="G1890" s="1"/>
      <c r="H1890" s="1"/>
      <c r="I1890" s="1"/>
    </row>
    <row r="1891" ht="15.75" customHeight="1">
      <c r="A1891" s="1" t="s">
        <v>1948</v>
      </c>
      <c r="B1891" s="1" t="s">
        <v>1792</v>
      </c>
      <c r="C1891" s="1"/>
      <c r="D1891" s="1"/>
      <c r="E1891" s="1"/>
      <c r="F1891" s="1"/>
      <c r="G1891" s="1"/>
      <c r="H1891" s="1"/>
      <c r="I1891" s="1"/>
    </row>
    <row r="1892" ht="15.75" customHeight="1">
      <c r="A1892" s="1" t="s">
        <v>1949</v>
      </c>
      <c r="B1892" s="1" t="s">
        <v>1950</v>
      </c>
      <c r="C1892" s="1"/>
      <c r="D1892" s="1"/>
      <c r="E1892" s="1"/>
      <c r="F1892" s="1"/>
      <c r="G1892" s="1"/>
      <c r="H1892" s="1"/>
      <c r="I1892" s="1"/>
    </row>
    <row r="1893" ht="15.75" customHeight="1">
      <c r="A1893" s="1" t="s">
        <v>1951</v>
      </c>
      <c r="B1893" s="1" t="s">
        <v>1950</v>
      </c>
      <c r="C1893" s="1"/>
      <c r="D1893" s="1"/>
      <c r="E1893" s="1"/>
      <c r="F1893" s="1"/>
      <c r="G1893" s="1"/>
      <c r="H1893" s="1"/>
      <c r="I1893" s="1"/>
    </row>
    <row r="1894" ht="15.75" customHeight="1">
      <c r="A1894" s="1" t="s">
        <v>1952</v>
      </c>
      <c r="B1894" s="1" t="s">
        <v>1950</v>
      </c>
      <c r="C1894" s="1"/>
      <c r="D1894" s="1"/>
      <c r="E1894" s="1"/>
      <c r="F1894" s="1"/>
      <c r="G1894" s="1"/>
      <c r="H1894" s="1"/>
      <c r="I1894" s="1"/>
    </row>
    <row r="1895" ht="15.75" customHeight="1">
      <c r="A1895" s="1" t="s">
        <v>1953</v>
      </c>
      <c r="B1895" s="1" t="s">
        <v>1950</v>
      </c>
      <c r="C1895" s="1"/>
      <c r="D1895" s="1"/>
      <c r="E1895" s="1"/>
      <c r="F1895" s="1"/>
      <c r="G1895" s="1"/>
      <c r="H1895" s="1"/>
      <c r="I1895" s="1"/>
    </row>
    <row r="1896" ht="15.75" customHeight="1">
      <c r="A1896" s="1" t="s">
        <v>1954</v>
      </c>
      <c r="B1896" s="1" t="s">
        <v>1950</v>
      </c>
      <c r="C1896" s="1"/>
      <c r="D1896" s="1"/>
      <c r="E1896" s="1"/>
      <c r="F1896" s="1"/>
      <c r="G1896" s="1"/>
      <c r="H1896" s="1"/>
      <c r="I1896" s="1"/>
    </row>
    <row r="1897" ht="15.75" customHeight="1">
      <c r="A1897" s="1" t="s">
        <v>1955</v>
      </c>
      <c r="B1897" s="1" t="s">
        <v>1950</v>
      </c>
      <c r="C1897" s="1"/>
      <c r="D1897" s="1"/>
      <c r="E1897" s="1"/>
      <c r="F1897" s="1"/>
      <c r="G1897" s="1"/>
      <c r="H1897" s="1"/>
      <c r="I1897" s="1"/>
    </row>
    <row r="1898" ht="15.75" customHeight="1">
      <c r="A1898" s="1" t="s">
        <v>1956</v>
      </c>
      <c r="B1898" s="1" t="s">
        <v>1950</v>
      </c>
      <c r="C1898" s="1"/>
      <c r="D1898" s="1"/>
      <c r="E1898" s="1"/>
      <c r="F1898" s="1"/>
      <c r="G1898" s="1"/>
      <c r="H1898" s="1"/>
      <c r="I1898" s="1"/>
    </row>
    <row r="1899" ht="15.75" customHeight="1">
      <c r="A1899" s="1" t="s">
        <v>1957</v>
      </c>
      <c r="B1899" s="1" t="s">
        <v>1950</v>
      </c>
      <c r="C1899" s="1"/>
      <c r="D1899" s="1"/>
      <c r="E1899" s="1"/>
      <c r="F1899" s="1"/>
      <c r="G1899" s="1"/>
      <c r="H1899" s="1"/>
      <c r="I1899" s="1"/>
    </row>
    <row r="1900" ht="15.75" customHeight="1">
      <c r="A1900" s="1" t="s">
        <v>1958</v>
      </c>
      <c r="B1900" s="1" t="s">
        <v>1950</v>
      </c>
      <c r="C1900" s="1"/>
      <c r="D1900" s="1"/>
      <c r="E1900" s="1"/>
      <c r="F1900" s="1"/>
      <c r="G1900" s="1"/>
      <c r="H1900" s="1"/>
      <c r="I1900" s="1"/>
    </row>
    <row r="1901" ht="15.75" customHeight="1">
      <c r="A1901" s="1" t="s">
        <v>1959</v>
      </c>
      <c r="B1901" s="1" t="s">
        <v>1950</v>
      </c>
      <c r="C1901" s="1"/>
      <c r="D1901" s="1"/>
      <c r="E1901" s="1"/>
      <c r="F1901" s="1"/>
      <c r="G1901" s="1"/>
      <c r="H1901" s="1"/>
      <c r="I1901" s="1"/>
    </row>
    <row r="1902" ht="15.75" customHeight="1">
      <c r="A1902" s="1" t="s">
        <v>1960</v>
      </c>
      <c r="B1902" s="1" t="s">
        <v>1950</v>
      </c>
      <c r="C1902" s="1"/>
      <c r="D1902" s="1"/>
      <c r="E1902" s="1"/>
      <c r="F1902" s="1"/>
      <c r="G1902" s="1"/>
      <c r="H1902" s="1"/>
      <c r="I1902" s="1"/>
    </row>
    <row r="1903" ht="15.75" customHeight="1">
      <c r="A1903" s="1" t="s">
        <v>1961</v>
      </c>
      <c r="B1903" s="1" t="s">
        <v>1950</v>
      </c>
      <c r="C1903" s="1"/>
      <c r="D1903" s="1"/>
      <c r="E1903" s="1"/>
      <c r="F1903" s="1"/>
      <c r="G1903" s="1"/>
      <c r="H1903" s="1"/>
      <c r="I1903" s="1"/>
    </row>
    <row r="1904" ht="15.75" customHeight="1">
      <c r="A1904" s="1" t="s">
        <v>1962</v>
      </c>
      <c r="B1904" s="1" t="s">
        <v>1950</v>
      </c>
      <c r="C1904" s="1"/>
      <c r="D1904" s="1"/>
      <c r="E1904" s="1"/>
      <c r="F1904" s="1"/>
      <c r="G1904" s="1"/>
      <c r="H1904" s="1"/>
      <c r="I1904" s="1"/>
    </row>
    <row r="1905" ht="15.75" customHeight="1">
      <c r="A1905" s="1" t="s">
        <v>1963</v>
      </c>
      <c r="B1905" s="1" t="s">
        <v>1950</v>
      </c>
      <c r="C1905" s="1"/>
      <c r="D1905" s="1"/>
      <c r="E1905" s="1"/>
      <c r="F1905" s="1"/>
      <c r="G1905" s="1"/>
      <c r="H1905" s="1"/>
      <c r="I1905" s="1"/>
    </row>
    <row r="1906" ht="15.75" customHeight="1">
      <c r="A1906" s="1" t="s">
        <v>1964</v>
      </c>
      <c r="B1906" s="1" t="s">
        <v>1950</v>
      </c>
      <c r="C1906" s="1"/>
      <c r="D1906" s="1"/>
      <c r="E1906" s="1"/>
      <c r="F1906" s="1"/>
      <c r="G1906" s="1"/>
      <c r="H1906" s="1"/>
      <c r="I1906" s="1"/>
    </row>
    <row r="1907" ht="15.75" customHeight="1">
      <c r="A1907" s="1" t="s">
        <v>1965</v>
      </c>
      <c r="B1907" s="1" t="s">
        <v>1950</v>
      </c>
      <c r="C1907" s="1"/>
      <c r="D1907" s="1"/>
      <c r="E1907" s="1"/>
      <c r="F1907" s="1"/>
      <c r="G1907" s="1"/>
      <c r="H1907" s="1"/>
      <c r="I1907" s="1"/>
    </row>
    <row r="1908" ht="15.75" customHeight="1">
      <c r="A1908" s="1" t="s">
        <v>1966</v>
      </c>
      <c r="B1908" s="1" t="s">
        <v>1950</v>
      </c>
      <c r="C1908" s="1"/>
      <c r="D1908" s="1"/>
      <c r="E1908" s="1"/>
      <c r="F1908" s="1"/>
      <c r="G1908" s="1"/>
      <c r="H1908" s="1"/>
      <c r="I1908" s="1"/>
    </row>
    <row r="1909" ht="15.75" customHeight="1">
      <c r="A1909" s="1" t="s">
        <v>1967</v>
      </c>
      <c r="B1909" s="1" t="s">
        <v>1950</v>
      </c>
      <c r="C1909" s="1"/>
      <c r="D1909" s="1"/>
      <c r="E1909" s="1"/>
      <c r="F1909" s="1"/>
      <c r="G1909" s="1"/>
      <c r="H1909" s="1"/>
      <c r="I1909" s="1"/>
    </row>
    <row r="1910" ht="15.75" customHeight="1">
      <c r="A1910" s="1" t="s">
        <v>1968</v>
      </c>
      <c r="B1910" s="1" t="s">
        <v>1950</v>
      </c>
      <c r="C1910" s="1"/>
      <c r="D1910" s="1"/>
      <c r="E1910" s="1"/>
      <c r="F1910" s="1"/>
      <c r="G1910" s="1"/>
      <c r="H1910" s="1"/>
      <c r="I1910" s="1"/>
    </row>
    <row r="1911" ht="15.75" customHeight="1">
      <c r="A1911" s="1" t="s">
        <v>1969</v>
      </c>
      <c r="B1911" s="1" t="s">
        <v>1970</v>
      </c>
      <c r="C1911" s="1"/>
      <c r="D1911" s="1"/>
      <c r="E1911" s="1"/>
      <c r="F1911" s="1"/>
      <c r="G1911" s="1"/>
      <c r="H1911" s="1"/>
      <c r="I1911" s="1"/>
    </row>
    <row r="1912" ht="15.75" customHeight="1">
      <c r="A1912" s="1" t="s">
        <v>1971</v>
      </c>
      <c r="B1912" s="1" t="s">
        <v>1970</v>
      </c>
      <c r="C1912" s="1"/>
      <c r="D1912" s="1"/>
      <c r="E1912" s="1"/>
      <c r="F1912" s="1"/>
      <c r="G1912" s="1"/>
      <c r="H1912" s="1"/>
      <c r="I1912" s="1"/>
    </row>
    <row r="1913" ht="15.75" customHeight="1">
      <c r="A1913" s="1" t="s">
        <v>1972</v>
      </c>
      <c r="B1913" s="1" t="s">
        <v>1970</v>
      </c>
      <c r="C1913" s="1"/>
      <c r="D1913" s="1"/>
      <c r="E1913" s="1"/>
      <c r="F1913" s="1"/>
      <c r="G1913" s="1"/>
      <c r="H1913" s="1"/>
      <c r="I1913" s="1"/>
    </row>
    <row r="1914" ht="15.75" customHeight="1">
      <c r="A1914" s="1" t="s">
        <v>1973</v>
      </c>
      <c r="B1914" s="1" t="s">
        <v>1970</v>
      </c>
      <c r="C1914" s="1"/>
      <c r="D1914" s="1"/>
      <c r="E1914" s="1"/>
      <c r="F1914" s="1"/>
      <c r="G1914" s="1"/>
      <c r="H1914" s="1"/>
      <c r="I1914" s="1"/>
    </row>
    <row r="1915" ht="15.75" customHeight="1">
      <c r="A1915" s="1" t="s">
        <v>1974</v>
      </c>
      <c r="B1915" s="1" t="s">
        <v>1970</v>
      </c>
      <c r="C1915" s="1"/>
      <c r="D1915" s="1"/>
      <c r="E1915" s="1"/>
      <c r="F1915" s="1"/>
      <c r="G1915" s="1"/>
      <c r="H1915" s="1"/>
      <c r="I1915" s="1"/>
    </row>
    <row r="1916" ht="15.75" customHeight="1">
      <c r="A1916" s="1" t="s">
        <v>1975</v>
      </c>
      <c r="B1916" s="1" t="s">
        <v>1970</v>
      </c>
      <c r="C1916" s="1"/>
      <c r="D1916" s="1"/>
      <c r="E1916" s="1"/>
      <c r="F1916" s="1"/>
      <c r="G1916" s="1"/>
      <c r="H1916" s="1"/>
      <c r="I1916" s="1"/>
    </row>
    <row r="1917" ht="15.75" customHeight="1">
      <c r="A1917" s="1" t="s">
        <v>1976</v>
      </c>
      <c r="B1917" s="1" t="s">
        <v>1970</v>
      </c>
      <c r="C1917" s="1"/>
      <c r="D1917" s="1"/>
      <c r="E1917" s="1"/>
      <c r="F1917" s="1"/>
      <c r="G1917" s="1"/>
      <c r="H1917" s="1"/>
      <c r="I1917" s="1"/>
    </row>
    <row r="1918" ht="15.75" customHeight="1">
      <c r="A1918" s="1" t="s">
        <v>1977</v>
      </c>
      <c r="B1918" s="1" t="s">
        <v>1978</v>
      </c>
      <c r="C1918" s="1"/>
      <c r="D1918" s="1"/>
      <c r="E1918" s="1"/>
      <c r="F1918" s="1"/>
      <c r="G1918" s="1"/>
      <c r="H1918" s="1"/>
      <c r="I1918" s="1"/>
    </row>
    <row r="1919" ht="15.75" customHeight="1">
      <c r="A1919" s="1" t="s">
        <v>1979</v>
      </c>
      <c r="B1919" s="1" t="s">
        <v>1978</v>
      </c>
      <c r="C1919" s="1"/>
      <c r="D1919" s="1"/>
      <c r="E1919" s="1"/>
      <c r="F1919" s="1"/>
      <c r="G1919" s="1"/>
      <c r="H1919" s="1"/>
      <c r="I1919" s="1"/>
    </row>
    <row r="1920" ht="15.75" customHeight="1">
      <c r="A1920" s="1" t="s">
        <v>1980</v>
      </c>
      <c r="B1920" s="1" t="s">
        <v>1978</v>
      </c>
      <c r="C1920" s="1"/>
      <c r="D1920" s="1"/>
      <c r="E1920" s="1"/>
      <c r="F1920" s="1"/>
      <c r="G1920" s="1"/>
      <c r="H1920" s="1"/>
      <c r="I1920" s="1"/>
    </row>
    <row r="1921" ht="15.75" customHeight="1">
      <c r="A1921" s="1" t="s">
        <v>1981</v>
      </c>
      <c r="B1921" s="1" t="s">
        <v>1978</v>
      </c>
      <c r="C1921" s="1"/>
      <c r="D1921" s="1"/>
      <c r="E1921" s="1"/>
      <c r="F1921" s="1"/>
      <c r="G1921" s="1"/>
      <c r="H1921" s="1"/>
      <c r="I1921" s="1"/>
    </row>
    <row r="1922" ht="15.75" customHeight="1">
      <c r="A1922" s="1" t="s">
        <v>1982</v>
      </c>
      <c r="B1922" s="1" t="s">
        <v>1978</v>
      </c>
      <c r="C1922" s="1"/>
      <c r="D1922" s="1"/>
      <c r="E1922" s="1"/>
      <c r="F1922" s="1"/>
      <c r="G1922" s="1"/>
      <c r="H1922" s="1"/>
      <c r="I1922" s="1"/>
    </row>
    <row r="1923" ht="15.75" customHeight="1">
      <c r="A1923" s="1" t="s">
        <v>1983</v>
      </c>
      <c r="B1923" s="1" t="s">
        <v>1984</v>
      </c>
      <c r="C1923" s="1"/>
      <c r="D1923" s="1"/>
      <c r="E1923" s="1"/>
      <c r="F1923" s="1"/>
      <c r="G1923" s="1"/>
      <c r="H1923" s="1"/>
      <c r="I1923" s="1"/>
    </row>
    <row r="1924" ht="15.75" customHeight="1">
      <c r="A1924" s="1" t="s">
        <v>1985</v>
      </c>
      <c r="B1924" s="1" t="s">
        <v>1984</v>
      </c>
      <c r="C1924" s="1"/>
      <c r="D1924" s="1"/>
      <c r="E1924" s="1"/>
      <c r="F1924" s="1"/>
      <c r="G1924" s="1"/>
      <c r="H1924" s="1"/>
      <c r="I1924" s="1"/>
    </row>
    <row r="1925" ht="15.75" customHeight="1">
      <c r="A1925" s="1" t="s">
        <v>1986</v>
      </c>
      <c r="B1925" s="1" t="s">
        <v>1984</v>
      </c>
      <c r="C1925" s="1"/>
      <c r="D1925" s="1"/>
      <c r="E1925" s="1"/>
      <c r="F1925" s="1"/>
      <c r="G1925" s="1"/>
      <c r="H1925" s="1"/>
      <c r="I1925" s="1"/>
    </row>
    <row r="1926" ht="15.75" customHeight="1">
      <c r="A1926" s="1" t="s">
        <v>1987</v>
      </c>
      <c r="B1926" s="1" t="s">
        <v>1984</v>
      </c>
      <c r="C1926" s="1"/>
      <c r="D1926" s="1"/>
      <c r="E1926" s="1"/>
      <c r="F1926" s="1"/>
      <c r="G1926" s="1"/>
      <c r="H1926" s="1"/>
      <c r="I1926" s="1"/>
    </row>
    <row r="1927" ht="15.75" customHeight="1">
      <c r="A1927" s="1" t="s">
        <v>1988</v>
      </c>
      <c r="B1927" s="1" t="s">
        <v>1984</v>
      </c>
      <c r="C1927" s="1"/>
      <c r="D1927" s="1"/>
      <c r="E1927" s="1"/>
      <c r="F1927" s="1"/>
      <c r="G1927" s="1"/>
      <c r="H1927" s="1"/>
      <c r="I1927" s="1"/>
    </row>
    <row r="1928" ht="15.75" customHeight="1">
      <c r="A1928" s="1" t="s">
        <v>1989</v>
      </c>
      <c r="B1928" s="1" t="s">
        <v>1984</v>
      </c>
      <c r="C1928" s="1"/>
      <c r="D1928" s="1"/>
      <c r="E1928" s="1"/>
      <c r="F1928" s="1"/>
      <c r="G1928" s="1"/>
      <c r="H1928" s="1"/>
      <c r="I1928" s="1"/>
    </row>
    <row r="1929" ht="15.75" customHeight="1">
      <c r="A1929" s="1" t="s">
        <v>1990</v>
      </c>
      <c r="B1929" s="1" t="s">
        <v>1984</v>
      </c>
      <c r="C1929" s="1"/>
      <c r="D1929" s="1"/>
      <c r="E1929" s="1"/>
      <c r="F1929" s="1"/>
      <c r="G1929" s="1"/>
      <c r="H1929" s="1"/>
      <c r="I1929" s="1"/>
    </row>
    <row r="1930" ht="15.75" customHeight="1">
      <c r="A1930" s="1" t="s">
        <v>1991</v>
      </c>
      <c r="B1930" s="1" t="s">
        <v>1984</v>
      </c>
      <c r="C1930" s="1"/>
      <c r="D1930" s="1"/>
      <c r="E1930" s="1"/>
      <c r="F1930" s="1"/>
      <c r="G1930" s="1"/>
      <c r="H1930" s="1"/>
      <c r="I1930" s="1"/>
    </row>
    <row r="1931" ht="15.75" customHeight="1">
      <c r="A1931" s="1" t="s">
        <v>1992</v>
      </c>
      <c r="B1931" s="1" t="s">
        <v>1984</v>
      </c>
      <c r="C1931" s="1"/>
      <c r="D1931" s="1"/>
      <c r="E1931" s="1"/>
      <c r="F1931" s="1"/>
      <c r="G1931" s="1"/>
      <c r="H1931" s="1"/>
      <c r="I1931" s="1"/>
    </row>
    <row r="1932" ht="15.75" customHeight="1">
      <c r="A1932" s="1" t="s">
        <v>1993</v>
      </c>
      <c r="B1932" s="1" t="s">
        <v>1984</v>
      </c>
      <c r="C1932" s="1"/>
      <c r="D1932" s="1"/>
      <c r="E1932" s="1"/>
      <c r="F1932" s="1"/>
      <c r="G1932" s="1"/>
      <c r="H1932" s="1"/>
      <c r="I1932" s="1"/>
    </row>
    <row r="1933" ht="15.75" customHeight="1">
      <c r="A1933" s="1" t="s">
        <v>1994</v>
      </c>
      <c r="B1933" s="1" t="s">
        <v>1984</v>
      </c>
      <c r="C1933" s="1"/>
      <c r="D1933" s="1"/>
      <c r="E1933" s="1"/>
      <c r="F1933" s="1"/>
      <c r="G1933" s="1"/>
      <c r="H1933" s="1"/>
      <c r="I1933" s="1"/>
    </row>
    <row r="1934" ht="15.75" customHeight="1">
      <c r="A1934" s="1" t="s">
        <v>1995</v>
      </c>
      <c r="B1934" s="1" t="s">
        <v>1984</v>
      </c>
      <c r="C1934" s="1"/>
      <c r="D1934" s="1"/>
      <c r="E1934" s="1"/>
      <c r="F1934" s="1"/>
      <c r="G1934" s="1"/>
      <c r="H1934" s="1"/>
      <c r="I1934" s="1"/>
    </row>
    <row r="1935" ht="15.75" customHeight="1">
      <c r="A1935" s="1" t="s">
        <v>1996</v>
      </c>
      <c r="B1935" s="1" t="s">
        <v>1984</v>
      </c>
      <c r="C1935" s="1"/>
      <c r="D1935" s="1"/>
      <c r="E1935" s="1"/>
      <c r="F1935" s="1"/>
      <c r="G1935" s="1"/>
      <c r="H1935" s="1"/>
      <c r="I1935" s="1"/>
    </row>
    <row r="1936" ht="15.75" customHeight="1">
      <c r="A1936" s="1" t="s">
        <v>1997</v>
      </c>
      <c r="B1936" s="1" t="s">
        <v>1984</v>
      </c>
      <c r="C1936" s="1"/>
      <c r="D1936" s="1"/>
      <c r="E1936" s="1"/>
      <c r="F1936" s="1"/>
      <c r="G1936" s="1"/>
      <c r="H1936" s="1"/>
      <c r="I1936" s="1"/>
    </row>
    <row r="1937" ht="15.75" customHeight="1">
      <c r="A1937" s="1" t="s">
        <v>1998</v>
      </c>
      <c r="B1937" s="1" t="s">
        <v>1984</v>
      </c>
      <c r="C1937" s="1"/>
      <c r="D1937" s="1"/>
      <c r="E1937" s="1"/>
      <c r="F1937" s="1"/>
      <c r="G1937" s="1"/>
      <c r="H1937" s="1"/>
      <c r="I1937" s="1"/>
    </row>
    <row r="1938" ht="15.75" customHeight="1">
      <c r="A1938" s="1" t="s">
        <v>1999</v>
      </c>
      <c r="B1938" s="1" t="s">
        <v>1984</v>
      </c>
      <c r="C1938" s="1"/>
      <c r="D1938" s="1"/>
      <c r="E1938" s="1"/>
      <c r="F1938" s="1"/>
      <c r="G1938" s="1"/>
      <c r="H1938" s="1"/>
      <c r="I1938" s="1"/>
    </row>
    <row r="1939" ht="15.75" customHeight="1">
      <c r="A1939" s="1" t="s">
        <v>2000</v>
      </c>
      <c r="B1939" s="1" t="s">
        <v>1984</v>
      </c>
      <c r="C1939" s="1"/>
      <c r="D1939" s="1"/>
      <c r="E1939" s="1"/>
      <c r="F1939" s="1"/>
      <c r="G1939" s="1"/>
      <c r="H1939" s="1"/>
      <c r="I1939" s="1"/>
    </row>
    <row r="1940" ht="15.75" customHeight="1">
      <c r="A1940" s="1" t="s">
        <v>2001</v>
      </c>
      <c r="B1940" s="1" t="s">
        <v>1984</v>
      </c>
      <c r="C1940" s="1"/>
      <c r="D1940" s="1"/>
      <c r="E1940" s="1"/>
      <c r="F1940" s="1"/>
      <c r="G1940" s="1"/>
      <c r="H1940" s="1"/>
      <c r="I1940" s="1"/>
    </row>
    <row r="1941" ht="15.75" customHeight="1">
      <c r="A1941" s="1" t="s">
        <v>2002</v>
      </c>
      <c r="B1941" s="1" t="s">
        <v>1984</v>
      </c>
      <c r="C1941" s="1"/>
      <c r="D1941" s="1"/>
      <c r="E1941" s="1"/>
      <c r="F1941" s="1"/>
      <c r="G1941" s="1"/>
      <c r="H1941" s="1"/>
      <c r="I1941" s="1"/>
    </row>
    <row r="1942" ht="15.75" customHeight="1">
      <c r="A1942" s="1" t="s">
        <v>2003</v>
      </c>
      <c r="B1942" s="1" t="s">
        <v>1984</v>
      </c>
      <c r="C1942" s="1"/>
      <c r="D1942" s="1"/>
      <c r="E1942" s="1"/>
      <c r="F1942" s="1"/>
      <c r="G1942" s="1"/>
      <c r="H1942" s="1"/>
      <c r="I1942" s="1"/>
    </row>
    <row r="1943" ht="15.75" customHeight="1">
      <c r="A1943" s="1" t="s">
        <v>2004</v>
      </c>
      <c r="B1943" s="1" t="s">
        <v>2005</v>
      </c>
      <c r="C1943" s="1"/>
      <c r="D1943" s="1"/>
      <c r="E1943" s="1"/>
      <c r="F1943" s="1"/>
      <c r="G1943" s="1"/>
      <c r="H1943" s="1"/>
      <c r="I1943" s="1"/>
    </row>
    <row r="1944" ht="15.75" customHeight="1">
      <c r="A1944" s="1" t="s">
        <v>2006</v>
      </c>
      <c r="B1944" s="1" t="s">
        <v>2005</v>
      </c>
      <c r="C1944" s="1"/>
      <c r="D1944" s="1"/>
      <c r="E1944" s="1"/>
      <c r="F1944" s="1"/>
      <c r="G1944" s="1"/>
      <c r="H1944" s="1"/>
      <c r="I1944" s="1"/>
    </row>
    <row r="1945" ht="15.75" customHeight="1">
      <c r="A1945" s="1" t="s">
        <v>2007</v>
      </c>
      <c r="B1945" s="1" t="s">
        <v>2005</v>
      </c>
      <c r="C1945" s="1"/>
      <c r="D1945" s="1"/>
      <c r="E1945" s="1"/>
      <c r="F1945" s="1"/>
      <c r="G1945" s="1"/>
      <c r="H1945" s="1"/>
      <c r="I1945" s="1"/>
    </row>
    <row r="1946" ht="15.75" customHeight="1">
      <c r="A1946" s="1" t="s">
        <v>2008</v>
      </c>
      <c r="B1946" s="1" t="s">
        <v>2005</v>
      </c>
      <c r="C1946" s="1"/>
      <c r="D1946" s="1"/>
      <c r="E1946" s="1"/>
      <c r="F1946" s="1"/>
      <c r="G1946" s="1"/>
      <c r="H1946" s="1"/>
      <c r="I1946" s="1"/>
    </row>
    <row r="1947" ht="15.75" customHeight="1">
      <c r="A1947" s="1" t="s">
        <v>2009</v>
      </c>
      <c r="B1947" s="1" t="s">
        <v>2010</v>
      </c>
      <c r="C1947" s="1"/>
      <c r="D1947" s="1"/>
      <c r="E1947" s="1"/>
      <c r="F1947" s="1"/>
      <c r="G1947" s="1"/>
      <c r="H1947" s="1"/>
      <c r="I1947" s="1"/>
    </row>
    <row r="1948" ht="15.75" customHeight="1">
      <c r="A1948" s="1" t="s">
        <v>2011</v>
      </c>
      <c r="B1948" s="1" t="s">
        <v>2010</v>
      </c>
      <c r="C1948" s="1"/>
      <c r="D1948" s="1"/>
      <c r="E1948" s="1"/>
      <c r="F1948" s="1"/>
      <c r="G1948" s="1"/>
      <c r="H1948" s="1"/>
      <c r="I1948" s="1"/>
    </row>
    <row r="1949" ht="15.75" customHeight="1">
      <c r="A1949" s="1" t="s">
        <v>2012</v>
      </c>
      <c r="B1949" s="1" t="s">
        <v>2010</v>
      </c>
      <c r="C1949" s="1"/>
      <c r="D1949" s="1"/>
      <c r="E1949" s="1"/>
      <c r="F1949" s="1"/>
      <c r="G1949" s="1"/>
      <c r="H1949" s="1"/>
      <c r="I1949" s="1"/>
    </row>
    <row r="1950" ht="15.75" customHeight="1">
      <c r="A1950" s="1" t="s">
        <v>2013</v>
      </c>
      <c r="B1950" s="1" t="s">
        <v>2010</v>
      </c>
      <c r="C1950" s="1"/>
      <c r="D1950" s="1"/>
      <c r="E1950" s="1"/>
      <c r="F1950" s="1"/>
      <c r="G1950" s="1"/>
      <c r="H1950" s="1"/>
      <c r="I1950" s="1"/>
    </row>
    <row r="1951" ht="15.75" customHeight="1">
      <c r="A1951" s="1" t="s">
        <v>2014</v>
      </c>
      <c r="B1951" s="1" t="s">
        <v>2010</v>
      </c>
      <c r="C1951" s="1"/>
      <c r="D1951" s="1"/>
      <c r="E1951" s="1"/>
      <c r="F1951" s="1"/>
      <c r="G1951" s="1"/>
      <c r="H1951" s="1"/>
      <c r="I1951" s="1"/>
    </row>
    <row r="1952" ht="15.75" customHeight="1">
      <c r="A1952" s="1" t="s">
        <v>2015</v>
      </c>
      <c r="B1952" s="1" t="s">
        <v>2010</v>
      </c>
      <c r="C1952" s="1"/>
      <c r="D1952" s="1"/>
      <c r="E1952" s="1"/>
      <c r="F1952" s="1"/>
      <c r="G1952" s="1"/>
      <c r="H1952" s="1"/>
      <c r="I1952" s="1"/>
    </row>
    <row r="1953" ht="15.75" customHeight="1">
      <c r="A1953" s="1" t="s">
        <v>2016</v>
      </c>
      <c r="B1953" s="1" t="s">
        <v>2010</v>
      </c>
      <c r="C1953" s="1"/>
      <c r="D1953" s="1"/>
      <c r="E1953" s="1"/>
      <c r="F1953" s="1"/>
      <c r="G1953" s="1"/>
      <c r="H1953" s="1"/>
      <c r="I1953" s="1"/>
    </row>
    <row r="1954" ht="15.75" customHeight="1">
      <c r="A1954" s="1" t="s">
        <v>2017</v>
      </c>
      <c r="B1954" s="1" t="s">
        <v>2010</v>
      </c>
      <c r="C1954" s="1"/>
      <c r="D1954" s="1"/>
      <c r="E1954" s="1"/>
      <c r="F1954" s="1"/>
      <c r="G1954" s="1"/>
      <c r="H1954" s="1"/>
      <c r="I1954" s="1"/>
    </row>
    <row r="1955" ht="15.75" customHeight="1">
      <c r="A1955" s="1" t="s">
        <v>2018</v>
      </c>
      <c r="B1955" s="1" t="s">
        <v>2010</v>
      </c>
      <c r="C1955" s="1"/>
      <c r="D1955" s="1"/>
      <c r="E1955" s="1"/>
      <c r="F1955" s="1"/>
      <c r="G1955" s="1"/>
      <c r="H1955" s="1"/>
      <c r="I1955" s="1"/>
    </row>
    <row r="1956" ht="15.75" customHeight="1">
      <c r="A1956" s="1" t="s">
        <v>2019</v>
      </c>
      <c r="B1956" s="1" t="s">
        <v>2010</v>
      </c>
      <c r="C1956" s="1"/>
      <c r="D1956" s="1"/>
      <c r="E1956" s="1"/>
      <c r="F1956" s="1"/>
      <c r="G1956" s="1"/>
      <c r="H1956" s="1"/>
      <c r="I1956" s="1"/>
    </row>
    <row r="1957" ht="15.75" customHeight="1">
      <c r="A1957" s="1" t="s">
        <v>2020</v>
      </c>
      <c r="B1957" s="1" t="s">
        <v>2010</v>
      </c>
      <c r="C1957" s="1"/>
      <c r="D1957" s="1"/>
      <c r="E1957" s="1"/>
      <c r="F1957" s="1"/>
      <c r="G1957" s="1"/>
      <c r="H1957" s="1"/>
      <c r="I1957" s="1"/>
    </row>
    <row r="1958" ht="15.75" customHeight="1">
      <c r="A1958" s="1" t="s">
        <v>2021</v>
      </c>
      <c r="B1958" s="1" t="s">
        <v>2010</v>
      </c>
      <c r="C1958" s="1"/>
      <c r="D1958" s="1"/>
      <c r="E1958" s="1"/>
      <c r="F1958" s="1"/>
      <c r="G1958" s="1"/>
      <c r="H1958" s="1"/>
      <c r="I1958" s="1"/>
    </row>
    <row r="1959" ht="15.75" customHeight="1">
      <c r="A1959" s="1" t="s">
        <v>2022</v>
      </c>
      <c r="B1959" s="1" t="s">
        <v>2010</v>
      </c>
      <c r="C1959" s="1"/>
      <c r="D1959" s="1"/>
      <c r="E1959" s="1"/>
      <c r="F1959" s="1"/>
      <c r="G1959" s="1"/>
      <c r="H1959" s="1"/>
      <c r="I1959" s="1"/>
    </row>
    <row r="1960" ht="15.75" customHeight="1">
      <c r="A1960" s="1" t="s">
        <v>2023</v>
      </c>
      <c r="B1960" s="1" t="s">
        <v>2010</v>
      </c>
      <c r="C1960" s="1"/>
      <c r="D1960" s="1"/>
      <c r="E1960" s="1"/>
      <c r="F1960" s="1"/>
      <c r="G1960" s="1"/>
      <c r="H1960" s="1"/>
      <c r="I1960" s="1"/>
    </row>
    <row r="1961" ht="15.75" customHeight="1">
      <c r="A1961" s="1" t="s">
        <v>2024</v>
      </c>
      <c r="B1961" s="1" t="s">
        <v>2010</v>
      </c>
      <c r="C1961" s="1"/>
      <c r="D1961" s="1"/>
      <c r="E1961" s="1"/>
      <c r="F1961" s="1"/>
      <c r="G1961" s="1"/>
      <c r="H1961" s="1"/>
      <c r="I1961" s="1"/>
    </row>
    <row r="1962" ht="15.75" customHeight="1">
      <c r="A1962" s="1" t="s">
        <v>2025</v>
      </c>
      <c r="B1962" s="1" t="s">
        <v>2010</v>
      </c>
      <c r="C1962" s="1"/>
      <c r="D1962" s="1"/>
      <c r="E1962" s="1"/>
      <c r="F1962" s="1"/>
      <c r="G1962" s="1"/>
      <c r="H1962" s="1"/>
      <c r="I1962" s="1"/>
    </row>
    <row r="1963" ht="15.75" customHeight="1">
      <c r="A1963" s="1" t="s">
        <v>2026</v>
      </c>
      <c r="B1963" s="1" t="s">
        <v>2010</v>
      </c>
      <c r="C1963" s="1"/>
      <c r="D1963" s="1"/>
      <c r="E1963" s="1"/>
      <c r="F1963" s="1"/>
      <c r="G1963" s="1"/>
      <c r="H1963" s="1"/>
      <c r="I1963" s="1"/>
    </row>
    <row r="1964" ht="15.75" customHeight="1">
      <c r="A1964" s="1" t="s">
        <v>2027</v>
      </c>
      <c r="B1964" s="1" t="s">
        <v>2010</v>
      </c>
      <c r="C1964" s="1"/>
      <c r="D1964" s="1"/>
      <c r="E1964" s="1"/>
      <c r="F1964" s="1"/>
      <c r="G1964" s="1"/>
      <c r="H1964" s="1"/>
      <c r="I1964" s="1"/>
    </row>
    <row r="1965" ht="15.75" customHeight="1">
      <c r="A1965" s="1" t="s">
        <v>2028</v>
      </c>
      <c r="B1965" s="1" t="s">
        <v>2010</v>
      </c>
      <c r="C1965" s="1"/>
      <c r="D1965" s="1"/>
      <c r="E1965" s="1"/>
      <c r="F1965" s="1"/>
      <c r="G1965" s="1"/>
      <c r="H1965" s="1"/>
      <c r="I1965" s="1"/>
    </row>
    <row r="1966" ht="15.75" customHeight="1">
      <c r="A1966" s="1" t="s">
        <v>2029</v>
      </c>
      <c r="B1966" s="1" t="s">
        <v>2010</v>
      </c>
      <c r="C1966" s="1"/>
      <c r="D1966" s="1"/>
      <c r="E1966" s="1"/>
      <c r="F1966" s="1"/>
      <c r="G1966" s="1"/>
      <c r="H1966" s="1"/>
      <c r="I1966" s="1"/>
    </row>
    <row r="1967" ht="15.75" customHeight="1">
      <c r="A1967" s="1" t="s">
        <v>2030</v>
      </c>
      <c r="B1967" s="1" t="s">
        <v>2010</v>
      </c>
      <c r="C1967" s="1"/>
      <c r="D1967" s="1"/>
      <c r="E1967" s="1"/>
      <c r="F1967" s="1"/>
      <c r="G1967" s="1"/>
      <c r="H1967" s="1"/>
      <c r="I1967" s="1"/>
    </row>
    <row r="1968" ht="15.75" customHeight="1">
      <c r="A1968" s="1" t="s">
        <v>2031</v>
      </c>
      <c r="B1968" s="1" t="s">
        <v>2010</v>
      </c>
      <c r="C1968" s="1"/>
      <c r="D1968" s="1"/>
      <c r="E1968" s="1"/>
      <c r="F1968" s="1"/>
      <c r="G1968" s="1"/>
      <c r="H1968" s="1"/>
      <c r="I1968" s="1"/>
    </row>
    <row r="1969" ht="15.75" customHeight="1">
      <c r="A1969" s="1" t="s">
        <v>2032</v>
      </c>
      <c r="B1969" s="1" t="s">
        <v>2010</v>
      </c>
      <c r="C1969" s="1"/>
      <c r="D1969" s="1"/>
      <c r="E1969" s="1"/>
      <c r="F1969" s="1"/>
      <c r="G1969" s="1"/>
      <c r="H1969" s="1"/>
      <c r="I1969" s="1"/>
    </row>
    <row r="1970" ht="15.75" customHeight="1">
      <c r="A1970" s="1" t="s">
        <v>2033</v>
      </c>
      <c r="B1970" s="1" t="s">
        <v>2010</v>
      </c>
      <c r="C1970" s="1"/>
      <c r="D1970" s="1"/>
      <c r="E1970" s="1"/>
      <c r="F1970" s="1"/>
      <c r="G1970" s="1"/>
      <c r="H1970" s="1"/>
      <c r="I1970" s="1"/>
    </row>
    <row r="1971" ht="15.75" customHeight="1">
      <c r="A1971" s="1" t="s">
        <v>2034</v>
      </c>
      <c r="B1971" s="1" t="s">
        <v>2010</v>
      </c>
      <c r="C1971" s="1"/>
      <c r="D1971" s="1"/>
      <c r="E1971" s="1"/>
      <c r="F1971" s="1"/>
      <c r="G1971" s="1"/>
      <c r="H1971" s="1"/>
      <c r="I1971" s="1"/>
    </row>
    <row r="1972" ht="15.75" customHeight="1">
      <c r="A1972" s="1" t="s">
        <v>2035</v>
      </c>
      <c r="B1972" s="1" t="s">
        <v>2010</v>
      </c>
      <c r="C1972" s="1"/>
      <c r="D1972" s="1"/>
      <c r="E1972" s="1"/>
      <c r="F1972" s="1"/>
      <c r="G1972" s="1"/>
      <c r="H1972" s="1"/>
      <c r="I1972" s="1"/>
    </row>
    <row r="1973" ht="15.75" customHeight="1">
      <c r="A1973" s="1" t="s">
        <v>2036</v>
      </c>
      <c r="B1973" s="1" t="s">
        <v>2010</v>
      </c>
      <c r="C1973" s="1"/>
      <c r="D1973" s="1"/>
      <c r="E1973" s="1"/>
      <c r="F1973" s="1"/>
      <c r="G1973" s="1"/>
      <c r="H1973" s="1"/>
      <c r="I1973" s="1"/>
    </row>
    <row r="1974" ht="15.75" customHeight="1">
      <c r="A1974" s="1" t="s">
        <v>2037</v>
      </c>
      <c r="B1974" s="1" t="s">
        <v>2010</v>
      </c>
      <c r="C1974" s="1"/>
      <c r="D1974" s="1"/>
      <c r="E1974" s="1"/>
      <c r="F1974" s="1"/>
      <c r="G1974" s="1"/>
      <c r="H1974" s="1"/>
      <c r="I1974" s="1"/>
    </row>
    <row r="1975" ht="15.75" customHeight="1">
      <c r="A1975" s="1" t="s">
        <v>2038</v>
      </c>
      <c r="B1975" s="1" t="s">
        <v>2010</v>
      </c>
      <c r="C1975" s="1"/>
      <c r="D1975" s="1"/>
      <c r="E1975" s="1"/>
      <c r="F1975" s="1"/>
      <c r="G1975" s="1"/>
      <c r="H1975" s="1"/>
      <c r="I1975" s="1"/>
    </row>
    <row r="1976" ht="15.75" customHeight="1">
      <c r="A1976" s="1" t="s">
        <v>2039</v>
      </c>
      <c r="B1976" s="1" t="s">
        <v>2010</v>
      </c>
      <c r="C1976" s="1"/>
      <c r="D1976" s="1"/>
      <c r="E1976" s="1"/>
      <c r="F1976" s="1"/>
      <c r="G1976" s="1"/>
      <c r="H1976" s="1"/>
      <c r="I1976" s="1"/>
    </row>
    <row r="1977" ht="15.75" customHeight="1">
      <c r="A1977" s="1" t="s">
        <v>2040</v>
      </c>
      <c r="B1977" s="1" t="s">
        <v>2010</v>
      </c>
      <c r="C1977" s="1"/>
      <c r="D1977" s="1"/>
      <c r="E1977" s="1"/>
      <c r="F1977" s="1"/>
      <c r="G1977" s="1"/>
      <c r="H1977" s="1"/>
      <c r="I1977" s="1"/>
    </row>
    <row r="1978" ht="15.75" customHeight="1">
      <c r="A1978" s="1" t="s">
        <v>2041</v>
      </c>
      <c r="B1978" s="1" t="s">
        <v>2010</v>
      </c>
      <c r="C1978" s="1"/>
      <c r="D1978" s="1"/>
      <c r="E1978" s="1"/>
      <c r="F1978" s="1"/>
      <c r="G1978" s="1"/>
      <c r="H1978" s="1"/>
      <c r="I1978" s="1"/>
    </row>
    <row r="1979" ht="15.75" customHeight="1">
      <c r="A1979" s="1" t="s">
        <v>2042</v>
      </c>
      <c r="B1979" s="1" t="s">
        <v>2043</v>
      </c>
      <c r="C1979" s="1"/>
      <c r="D1979" s="1"/>
      <c r="E1979" s="1"/>
      <c r="F1979" s="1"/>
      <c r="G1979" s="1"/>
      <c r="H1979" s="1"/>
      <c r="I1979" s="1"/>
    </row>
    <row r="1980" ht="15.75" customHeight="1">
      <c r="A1980" s="1" t="s">
        <v>2044</v>
      </c>
      <c r="B1980" s="1" t="s">
        <v>2043</v>
      </c>
      <c r="C1980" s="1"/>
      <c r="D1980" s="1"/>
      <c r="E1980" s="1"/>
      <c r="F1980" s="1"/>
      <c r="G1980" s="1"/>
      <c r="H1980" s="1"/>
      <c r="I1980" s="1"/>
    </row>
    <row r="1981" ht="15.75" customHeight="1">
      <c r="A1981" s="1" t="s">
        <v>2045</v>
      </c>
      <c r="B1981" s="1" t="s">
        <v>2043</v>
      </c>
      <c r="C1981" s="1"/>
      <c r="D1981" s="1"/>
      <c r="E1981" s="1"/>
      <c r="F1981" s="1"/>
      <c r="G1981" s="1"/>
      <c r="H1981" s="1"/>
      <c r="I1981" s="1"/>
    </row>
    <row r="1982" ht="15.75" customHeight="1">
      <c r="A1982" s="1" t="s">
        <v>2046</v>
      </c>
      <c r="B1982" s="1" t="s">
        <v>2043</v>
      </c>
      <c r="C1982" s="1"/>
      <c r="D1982" s="1"/>
      <c r="E1982" s="1"/>
      <c r="F1982" s="1"/>
      <c r="G1982" s="1"/>
      <c r="H1982" s="1"/>
      <c r="I1982" s="1"/>
    </row>
    <row r="1983" ht="15.75" customHeight="1">
      <c r="A1983" s="1" t="s">
        <v>2047</v>
      </c>
      <c r="B1983" s="1" t="s">
        <v>2043</v>
      </c>
      <c r="C1983" s="1"/>
      <c r="D1983" s="1"/>
      <c r="E1983" s="1"/>
      <c r="F1983" s="1"/>
      <c r="G1983" s="1"/>
      <c r="H1983" s="1"/>
      <c r="I1983" s="1"/>
    </row>
    <row r="1984" ht="15.75" customHeight="1">
      <c r="A1984" s="1" t="s">
        <v>2048</v>
      </c>
      <c r="B1984" s="1" t="s">
        <v>2043</v>
      </c>
      <c r="C1984" s="1"/>
      <c r="D1984" s="1"/>
      <c r="E1984" s="1"/>
      <c r="F1984" s="1"/>
      <c r="G1984" s="1"/>
      <c r="H1984" s="1"/>
      <c r="I1984" s="1"/>
    </row>
    <row r="1985" ht="15.75" customHeight="1">
      <c r="A1985" s="1" t="s">
        <v>2049</v>
      </c>
      <c r="B1985" s="1" t="s">
        <v>2043</v>
      </c>
      <c r="C1985" s="1"/>
      <c r="D1985" s="1"/>
      <c r="E1985" s="1"/>
      <c r="F1985" s="1"/>
      <c r="G1985" s="1"/>
      <c r="H1985" s="1"/>
      <c r="I1985" s="1"/>
    </row>
    <row r="1986" ht="15.75" customHeight="1">
      <c r="A1986" s="1" t="s">
        <v>2050</v>
      </c>
      <c r="B1986" s="1" t="s">
        <v>2043</v>
      </c>
      <c r="C1986" s="1"/>
      <c r="D1986" s="1"/>
      <c r="E1986" s="1"/>
      <c r="F1986" s="1"/>
      <c r="G1986" s="1"/>
      <c r="H1986" s="1"/>
      <c r="I1986" s="1"/>
    </row>
    <row r="1987" ht="15.75" customHeight="1">
      <c r="A1987" s="1" t="s">
        <v>2051</v>
      </c>
      <c r="B1987" s="1" t="s">
        <v>2043</v>
      </c>
      <c r="C1987" s="1"/>
      <c r="D1987" s="1"/>
      <c r="E1987" s="1"/>
      <c r="F1987" s="1"/>
      <c r="G1987" s="1"/>
      <c r="H1987" s="1"/>
      <c r="I1987" s="1"/>
    </row>
    <row r="1988" ht="15.75" customHeight="1">
      <c r="A1988" s="1" t="s">
        <v>2052</v>
      </c>
      <c r="B1988" s="1" t="s">
        <v>2043</v>
      </c>
      <c r="C1988" s="1"/>
      <c r="D1988" s="1"/>
      <c r="E1988" s="1"/>
      <c r="F1988" s="1"/>
      <c r="G1988" s="1"/>
      <c r="H1988" s="1"/>
      <c r="I1988" s="1"/>
    </row>
    <row r="1989" ht="15.75" customHeight="1">
      <c r="A1989" s="1" t="s">
        <v>2053</v>
      </c>
      <c r="B1989" s="1" t="s">
        <v>2043</v>
      </c>
      <c r="C1989" s="1"/>
      <c r="D1989" s="1"/>
      <c r="E1989" s="1"/>
      <c r="F1989" s="1"/>
      <c r="G1989" s="1"/>
      <c r="H1989" s="1"/>
      <c r="I1989" s="1"/>
    </row>
    <row r="1990" ht="15.75" customHeight="1">
      <c r="A1990" s="1" t="s">
        <v>2054</v>
      </c>
      <c r="B1990" s="1" t="s">
        <v>2043</v>
      </c>
      <c r="C1990" s="1"/>
      <c r="D1990" s="1"/>
      <c r="E1990" s="1"/>
      <c r="F1990" s="1"/>
      <c r="G1990" s="1"/>
      <c r="H1990" s="1"/>
      <c r="I1990" s="1"/>
    </row>
    <row r="1991" ht="15.75" customHeight="1">
      <c r="A1991" s="1" t="s">
        <v>2055</v>
      </c>
      <c r="B1991" s="1" t="s">
        <v>2043</v>
      </c>
      <c r="C1991" s="1"/>
      <c r="D1991" s="1"/>
      <c r="E1991" s="1"/>
      <c r="F1991" s="1"/>
      <c r="G1991" s="1"/>
      <c r="H1991" s="1"/>
      <c r="I1991" s="1"/>
    </row>
    <row r="1992" ht="15.75" customHeight="1">
      <c r="A1992" s="1" t="s">
        <v>2056</v>
      </c>
      <c r="B1992" s="1" t="s">
        <v>2043</v>
      </c>
      <c r="C1992" s="1"/>
      <c r="D1992" s="1"/>
      <c r="E1992" s="1"/>
      <c r="F1992" s="1"/>
      <c r="G1992" s="1"/>
      <c r="H1992" s="1"/>
      <c r="I1992" s="1"/>
    </row>
    <row r="1993" ht="15.75" customHeight="1">
      <c r="A1993" s="1" t="s">
        <v>2057</v>
      </c>
      <c r="B1993" s="1" t="s">
        <v>2043</v>
      </c>
      <c r="C1993" s="1"/>
      <c r="D1993" s="1"/>
      <c r="E1993" s="1"/>
      <c r="F1993" s="1"/>
      <c r="G1993" s="1"/>
      <c r="H1993" s="1"/>
      <c r="I1993" s="1"/>
    </row>
    <row r="1994" ht="15.75" customHeight="1">
      <c r="A1994" s="1" t="s">
        <v>2058</v>
      </c>
      <c r="B1994" s="1" t="s">
        <v>2043</v>
      </c>
      <c r="C1994" s="1"/>
      <c r="D1994" s="1"/>
      <c r="E1994" s="1"/>
      <c r="F1994" s="1"/>
      <c r="G1994" s="1"/>
      <c r="H1994" s="1"/>
      <c r="I1994" s="1"/>
    </row>
    <row r="1995" ht="15.75" customHeight="1">
      <c r="A1995" s="1" t="s">
        <v>2059</v>
      </c>
      <c r="B1995" s="1" t="s">
        <v>2043</v>
      </c>
      <c r="C1995" s="1"/>
      <c r="D1995" s="1"/>
      <c r="E1995" s="1"/>
      <c r="F1995" s="1"/>
      <c r="G1995" s="1"/>
      <c r="H1995" s="1"/>
      <c r="I1995" s="1"/>
    </row>
    <row r="1996" ht="15.75" customHeight="1">
      <c r="A1996" s="1" t="s">
        <v>2060</v>
      </c>
      <c r="B1996" s="1" t="s">
        <v>2043</v>
      </c>
      <c r="C1996" s="1"/>
      <c r="D1996" s="1"/>
      <c r="E1996" s="1"/>
      <c r="F1996" s="1"/>
      <c r="G1996" s="1"/>
      <c r="H1996" s="1"/>
      <c r="I1996" s="1"/>
    </row>
    <row r="1997" ht="15.75" customHeight="1">
      <c r="A1997" s="1" t="s">
        <v>2061</v>
      </c>
      <c r="B1997" s="1" t="s">
        <v>2043</v>
      </c>
      <c r="C1997" s="1"/>
      <c r="D1997" s="1"/>
      <c r="E1997" s="1"/>
      <c r="F1997" s="1"/>
      <c r="G1997" s="1"/>
      <c r="H1997" s="1"/>
      <c r="I1997" s="1"/>
    </row>
    <row r="1998" ht="15.75" customHeight="1">
      <c r="A1998" s="1" t="s">
        <v>2062</v>
      </c>
      <c r="B1998" s="1" t="s">
        <v>2043</v>
      </c>
      <c r="C1998" s="1"/>
      <c r="D1998" s="1"/>
      <c r="E1998" s="1"/>
      <c r="F1998" s="1"/>
      <c r="G1998" s="1"/>
      <c r="H1998" s="1"/>
      <c r="I1998" s="1"/>
    </row>
    <row r="1999" ht="15.75" customHeight="1">
      <c r="A1999" s="1" t="s">
        <v>2063</v>
      </c>
      <c r="B1999" s="1" t="s">
        <v>2064</v>
      </c>
      <c r="C1999" s="1"/>
      <c r="D1999" s="1"/>
      <c r="E1999" s="1"/>
      <c r="F1999" s="1"/>
      <c r="G1999" s="1"/>
      <c r="H1999" s="1"/>
      <c r="I1999" s="1"/>
    </row>
    <row r="2000" ht="15.75" customHeight="1">
      <c r="A2000" s="1" t="s">
        <v>2065</v>
      </c>
      <c r="B2000" s="1" t="s">
        <v>2064</v>
      </c>
      <c r="C2000" s="1"/>
      <c r="D2000" s="1"/>
      <c r="E2000" s="1"/>
      <c r="F2000" s="1"/>
      <c r="G2000" s="1"/>
      <c r="H2000" s="1"/>
      <c r="I2000" s="1"/>
    </row>
    <row r="2001" ht="15.75" customHeight="1">
      <c r="A2001" s="1" t="s">
        <v>2066</v>
      </c>
      <c r="B2001" s="1" t="s">
        <v>2064</v>
      </c>
      <c r="C2001" s="1"/>
      <c r="D2001" s="1"/>
      <c r="E2001" s="1"/>
      <c r="F2001" s="1"/>
      <c r="G2001" s="1"/>
      <c r="H2001" s="1"/>
      <c r="I2001" s="1"/>
    </row>
    <row r="2002" ht="15.75" customHeight="1">
      <c r="A2002" s="1" t="s">
        <v>2067</v>
      </c>
      <c r="B2002" s="1" t="s">
        <v>2064</v>
      </c>
      <c r="C2002" s="1"/>
      <c r="D2002" s="1"/>
      <c r="E2002" s="1"/>
      <c r="F2002" s="1"/>
      <c r="G2002" s="1"/>
      <c r="H2002" s="1"/>
      <c r="I2002" s="1"/>
    </row>
    <row r="2003" ht="15.75" customHeight="1">
      <c r="A2003" s="1" t="s">
        <v>2068</v>
      </c>
      <c r="B2003" s="1" t="s">
        <v>2064</v>
      </c>
      <c r="C2003" s="1"/>
      <c r="D2003" s="1"/>
      <c r="E2003" s="1"/>
      <c r="F2003" s="1"/>
      <c r="G2003" s="1"/>
      <c r="H2003" s="1"/>
      <c r="I2003" s="1"/>
    </row>
    <row r="2004" ht="15.75" customHeight="1">
      <c r="A2004" s="1" t="s">
        <v>2069</v>
      </c>
      <c r="B2004" s="1" t="s">
        <v>2064</v>
      </c>
      <c r="C2004" s="1"/>
      <c r="D2004" s="1"/>
      <c r="E2004" s="1"/>
      <c r="F2004" s="1"/>
      <c r="G2004" s="1"/>
      <c r="H2004" s="1"/>
      <c r="I2004" s="1"/>
    </row>
    <row r="2005" ht="15.75" customHeight="1">
      <c r="A2005" s="1" t="s">
        <v>2070</v>
      </c>
      <c r="B2005" s="1" t="s">
        <v>2064</v>
      </c>
      <c r="C2005" s="1"/>
      <c r="D2005" s="1"/>
      <c r="E2005" s="1"/>
      <c r="F2005" s="1"/>
      <c r="G2005" s="1"/>
      <c r="H2005" s="1"/>
      <c r="I2005" s="1"/>
    </row>
    <row r="2006" ht="15.75" customHeight="1">
      <c r="A2006" s="1" t="s">
        <v>2071</v>
      </c>
      <c r="B2006" s="1" t="s">
        <v>2064</v>
      </c>
      <c r="C2006" s="1"/>
      <c r="D2006" s="1"/>
      <c r="E2006" s="1"/>
      <c r="F2006" s="1"/>
      <c r="G2006" s="1"/>
      <c r="H2006" s="1"/>
      <c r="I2006" s="1"/>
    </row>
    <row r="2007" ht="15.75" customHeight="1">
      <c r="A2007" s="1" t="s">
        <v>2072</v>
      </c>
      <c r="B2007" s="1" t="s">
        <v>2064</v>
      </c>
      <c r="C2007" s="1"/>
      <c r="D2007" s="1"/>
      <c r="E2007" s="1"/>
      <c r="F2007" s="1"/>
      <c r="G2007" s="1"/>
      <c r="H2007" s="1"/>
      <c r="I2007" s="1"/>
    </row>
    <row r="2008" ht="15.75" customHeight="1">
      <c r="A2008" s="1" t="s">
        <v>2073</v>
      </c>
      <c r="B2008" s="1" t="s">
        <v>2064</v>
      </c>
      <c r="C2008" s="1"/>
      <c r="D2008" s="1"/>
      <c r="E2008" s="1"/>
      <c r="F2008" s="1"/>
      <c r="G2008" s="1"/>
      <c r="H2008" s="1"/>
      <c r="I2008" s="1"/>
    </row>
    <row r="2009" ht="15.75" customHeight="1">
      <c r="A2009" s="1" t="s">
        <v>2074</v>
      </c>
      <c r="B2009" s="1" t="s">
        <v>2064</v>
      </c>
      <c r="C2009" s="1"/>
      <c r="D2009" s="1"/>
      <c r="E2009" s="1"/>
      <c r="F2009" s="1"/>
      <c r="G2009" s="1"/>
      <c r="H2009" s="1"/>
      <c r="I2009" s="1"/>
    </row>
    <row r="2010" ht="15.75" customHeight="1">
      <c r="A2010" s="1" t="s">
        <v>2075</v>
      </c>
      <c r="B2010" s="1" t="s">
        <v>2064</v>
      </c>
      <c r="C2010" s="1"/>
      <c r="D2010" s="1"/>
      <c r="E2010" s="1"/>
      <c r="F2010" s="1"/>
      <c r="G2010" s="1"/>
      <c r="H2010" s="1"/>
      <c r="I2010" s="1"/>
    </row>
    <row r="2011" ht="15.75" customHeight="1">
      <c r="A2011" s="1" t="s">
        <v>2076</v>
      </c>
      <c r="B2011" s="1" t="s">
        <v>2064</v>
      </c>
      <c r="C2011" s="1"/>
      <c r="D2011" s="1"/>
      <c r="E2011" s="1"/>
      <c r="F2011" s="1"/>
      <c r="G2011" s="1"/>
      <c r="H2011" s="1"/>
      <c r="I2011" s="1"/>
    </row>
    <row r="2012" ht="15.75" customHeight="1">
      <c r="A2012" s="1" t="s">
        <v>2077</v>
      </c>
      <c r="B2012" s="1" t="s">
        <v>2064</v>
      </c>
      <c r="C2012" s="1"/>
      <c r="D2012" s="1"/>
      <c r="E2012" s="1"/>
      <c r="F2012" s="1"/>
      <c r="G2012" s="1"/>
      <c r="H2012" s="1"/>
      <c r="I2012" s="1"/>
    </row>
    <row r="2013" ht="15.75" customHeight="1">
      <c r="A2013" s="1" t="s">
        <v>2078</v>
      </c>
      <c r="B2013" s="1" t="s">
        <v>2064</v>
      </c>
      <c r="C2013" s="1"/>
      <c r="D2013" s="1"/>
      <c r="E2013" s="1"/>
      <c r="F2013" s="1"/>
      <c r="G2013" s="1"/>
      <c r="H2013" s="1"/>
      <c r="I2013" s="1"/>
    </row>
    <row r="2014" ht="15.75" customHeight="1">
      <c r="A2014" s="1" t="s">
        <v>2079</v>
      </c>
      <c r="B2014" s="1" t="s">
        <v>2064</v>
      </c>
      <c r="C2014" s="1"/>
      <c r="D2014" s="1"/>
      <c r="E2014" s="1"/>
      <c r="F2014" s="1"/>
      <c r="G2014" s="1"/>
      <c r="H2014" s="1"/>
      <c r="I2014" s="1"/>
    </row>
    <row r="2015" ht="15.75" customHeight="1">
      <c r="A2015" s="1" t="s">
        <v>2080</v>
      </c>
      <c r="B2015" s="1" t="s">
        <v>2064</v>
      </c>
      <c r="C2015" s="1"/>
      <c r="D2015" s="1"/>
      <c r="E2015" s="1"/>
      <c r="F2015" s="1"/>
      <c r="G2015" s="1"/>
      <c r="H2015" s="1"/>
      <c r="I2015" s="1"/>
    </row>
    <row r="2016" ht="15.75" customHeight="1">
      <c r="A2016" s="1" t="s">
        <v>2081</v>
      </c>
      <c r="B2016" s="1" t="s">
        <v>2064</v>
      </c>
      <c r="C2016" s="1"/>
      <c r="D2016" s="1"/>
      <c r="E2016" s="1"/>
      <c r="F2016" s="1"/>
      <c r="G2016" s="1"/>
      <c r="H2016" s="1"/>
      <c r="I2016" s="1"/>
    </row>
    <row r="2017" ht="15.75" customHeight="1">
      <c r="A2017" s="1" t="s">
        <v>2082</v>
      </c>
      <c r="B2017" s="1" t="s">
        <v>2064</v>
      </c>
      <c r="C2017" s="1"/>
      <c r="D2017" s="1"/>
      <c r="E2017" s="1"/>
      <c r="F2017" s="1"/>
      <c r="G2017" s="1"/>
      <c r="H2017" s="1"/>
      <c r="I2017" s="1"/>
    </row>
    <row r="2018" ht="15.75" customHeight="1">
      <c r="A2018" s="1" t="s">
        <v>2083</v>
      </c>
      <c r="B2018" s="1" t="s">
        <v>2064</v>
      </c>
      <c r="C2018" s="1"/>
      <c r="D2018" s="1"/>
      <c r="E2018" s="1"/>
      <c r="F2018" s="1"/>
      <c r="G2018" s="1"/>
      <c r="H2018" s="1"/>
      <c r="I2018" s="1"/>
    </row>
    <row r="2019" ht="15.75" customHeight="1">
      <c r="A2019" s="1" t="s">
        <v>2084</v>
      </c>
      <c r="B2019" s="1" t="s">
        <v>2064</v>
      </c>
      <c r="C2019" s="1"/>
      <c r="D2019" s="1"/>
      <c r="E2019" s="1"/>
      <c r="F2019" s="1"/>
      <c r="G2019" s="1"/>
      <c r="H2019" s="1"/>
      <c r="I2019" s="1"/>
    </row>
    <row r="2020" ht="15.75" customHeight="1">
      <c r="A2020" s="1" t="s">
        <v>2085</v>
      </c>
      <c r="B2020" s="1" t="s">
        <v>2064</v>
      </c>
      <c r="C2020" s="1"/>
      <c r="D2020" s="1"/>
      <c r="E2020" s="1"/>
      <c r="F2020" s="1"/>
      <c r="G2020" s="1"/>
      <c r="H2020" s="1"/>
      <c r="I2020" s="1"/>
    </row>
    <row r="2021" ht="15.75" customHeight="1">
      <c r="A2021" s="1" t="s">
        <v>2086</v>
      </c>
      <c r="B2021" s="1" t="s">
        <v>2064</v>
      </c>
      <c r="C2021" s="1"/>
      <c r="D2021" s="1"/>
      <c r="E2021" s="1"/>
      <c r="F2021" s="1"/>
      <c r="G2021" s="1"/>
      <c r="H2021" s="1"/>
      <c r="I2021" s="1"/>
    </row>
    <row r="2022" ht="15.75" customHeight="1">
      <c r="A2022" s="1" t="s">
        <v>2087</v>
      </c>
      <c r="B2022" s="1" t="s">
        <v>2064</v>
      </c>
      <c r="C2022" s="1"/>
      <c r="D2022" s="1"/>
      <c r="E2022" s="1"/>
      <c r="F2022" s="1"/>
      <c r="G2022" s="1"/>
      <c r="H2022" s="1"/>
      <c r="I2022" s="1"/>
    </row>
    <row r="2023" ht="15.75" customHeight="1">
      <c r="A2023" s="1" t="s">
        <v>2088</v>
      </c>
      <c r="B2023" s="1" t="s">
        <v>2064</v>
      </c>
      <c r="C2023" s="1"/>
      <c r="D2023" s="1"/>
      <c r="E2023" s="1"/>
      <c r="F2023" s="1"/>
      <c r="G2023" s="1"/>
      <c r="H2023" s="1"/>
      <c r="I2023" s="1"/>
    </row>
    <row r="2024" ht="15.75" customHeight="1">
      <c r="A2024" s="1" t="s">
        <v>2089</v>
      </c>
      <c r="B2024" s="1" t="s">
        <v>2064</v>
      </c>
      <c r="C2024" s="1"/>
      <c r="D2024" s="1"/>
      <c r="E2024" s="1"/>
      <c r="F2024" s="1"/>
      <c r="G2024" s="1"/>
      <c r="H2024" s="1"/>
      <c r="I2024" s="1"/>
    </row>
    <row r="2025" ht="15.75" customHeight="1">
      <c r="A2025" s="1" t="s">
        <v>2090</v>
      </c>
      <c r="B2025" s="1" t="s">
        <v>2064</v>
      </c>
      <c r="C2025" s="1"/>
      <c r="D2025" s="1"/>
      <c r="E2025" s="1"/>
      <c r="F2025" s="1"/>
      <c r="G2025" s="1"/>
      <c r="H2025" s="1"/>
      <c r="I2025" s="1"/>
    </row>
    <row r="2026" ht="15.75" customHeight="1">
      <c r="A2026" s="1" t="s">
        <v>2091</v>
      </c>
      <c r="B2026" s="1" t="s">
        <v>2064</v>
      </c>
      <c r="C2026" s="1"/>
      <c r="D2026" s="1"/>
      <c r="E2026" s="1"/>
      <c r="F2026" s="1"/>
      <c r="G2026" s="1"/>
      <c r="H2026" s="1"/>
      <c r="I2026" s="1"/>
    </row>
    <row r="2027" ht="15.75" customHeight="1">
      <c r="A2027" s="1" t="s">
        <v>2092</v>
      </c>
      <c r="B2027" s="1" t="s">
        <v>2064</v>
      </c>
      <c r="C2027" s="1"/>
      <c r="D2027" s="1"/>
      <c r="E2027" s="1"/>
      <c r="F2027" s="1"/>
      <c r="G2027" s="1"/>
      <c r="H2027" s="1"/>
      <c r="I2027" s="1"/>
    </row>
    <row r="2028" ht="15.75" customHeight="1">
      <c r="A2028" s="1" t="s">
        <v>2093</v>
      </c>
      <c r="B2028" s="1" t="s">
        <v>2064</v>
      </c>
      <c r="C2028" s="1"/>
      <c r="D2028" s="1"/>
      <c r="E2028" s="1"/>
      <c r="F2028" s="1"/>
      <c r="G2028" s="1"/>
      <c r="H2028" s="1"/>
      <c r="I2028" s="1"/>
    </row>
    <row r="2029" ht="15.75" customHeight="1">
      <c r="A2029" s="1" t="s">
        <v>2094</v>
      </c>
      <c r="B2029" s="1" t="s">
        <v>2064</v>
      </c>
      <c r="C2029" s="1"/>
      <c r="D2029" s="1"/>
      <c r="E2029" s="1"/>
      <c r="F2029" s="1"/>
      <c r="G2029" s="1"/>
      <c r="H2029" s="1"/>
      <c r="I2029" s="1"/>
    </row>
    <row r="2030" ht="15.75" customHeight="1">
      <c r="A2030" s="1" t="s">
        <v>2095</v>
      </c>
      <c r="B2030" s="1" t="s">
        <v>2064</v>
      </c>
      <c r="C2030" s="1"/>
      <c r="D2030" s="1"/>
      <c r="E2030" s="1"/>
      <c r="F2030" s="1"/>
      <c r="G2030" s="1"/>
      <c r="H2030" s="1"/>
      <c r="I2030" s="1"/>
    </row>
    <row r="2031" ht="15.75" customHeight="1">
      <c r="A2031" s="1" t="s">
        <v>2096</v>
      </c>
      <c r="B2031" s="1" t="s">
        <v>2064</v>
      </c>
      <c r="C2031" s="1"/>
      <c r="D2031" s="1"/>
      <c r="E2031" s="1"/>
      <c r="F2031" s="1"/>
      <c r="G2031" s="1"/>
      <c r="H2031" s="1"/>
      <c r="I2031" s="1"/>
    </row>
    <row r="2032" ht="15.75" customHeight="1">
      <c r="A2032" s="1" t="s">
        <v>2097</v>
      </c>
      <c r="B2032" s="1" t="s">
        <v>2064</v>
      </c>
      <c r="C2032" s="1"/>
      <c r="D2032" s="1"/>
      <c r="E2032" s="1"/>
      <c r="F2032" s="1"/>
      <c r="G2032" s="1"/>
      <c r="H2032" s="1"/>
      <c r="I2032" s="1"/>
    </row>
    <row r="2033" ht="15.75" customHeight="1">
      <c r="A2033" s="1" t="s">
        <v>2098</v>
      </c>
      <c r="B2033" s="1" t="s">
        <v>2064</v>
      </c>
      <c r="C2033" s="1"/>
      <c r="D2033" s="1"/>
      <c r="E2033" s="1"/>
      <c r="F2033" s="1"/>
      <c r="G2033" s="1"/>
      <c r="H2033" s="1"/>
      <c r="I2033" s="1"/>
    </row>
    <row r="2034" ht="15.75" customHeight="1">
      <c r="A2034" s="1" t="s">
        <v>2099</v>
      </c>
      <c r="B2034" s="1" t="s">
        <v>2064</v>
      </c>
      <c r="C2034" s="1"/>
      <c r="D2034" s="1"/>
      <c r="E2034" s="1"/>
      <c r="F2034" s="1"/>
      <c r="G2034" s="1"/>
      <c r="H2034" s="1"/>
      <c r="I2034" s="1"/>
    </row>
    <row r="2035" ht="15.75" customHeight="1">
      <c r="A2035" s="1" t="s">
        <v>2100</v>
      </c>
      <c r="B2035" s="1" t="s">
        <v>2064</v>
      </c>
      <c r="C2035" s="1"/>
      <c r="D2035" s="1"/>
      <c r="E2035" s="1"/>
      <c r="F2035" s="1"/>
      <c r="G2035" s="1"/>
      <c r="H2035" s="1"/>
      <c r="I2035" s="1"/>
    </row>
    <row r="2036" ht="15.75" customHeight="1">
      <c r="A2036" s="1" t="s">
        <v>2101</v>
      </c>
      <c r="B2036" s="1" t="s">
        <v>2064</v>
      </c>
      <c r="C2036" s="1"/>
      <c r="D2036" s="1"/>
      <c r="E2036" s="1"/>
      <c r="F2036" s="1"/>
      <c r="G2036" s="1"/>
      <c r="H2036" s="1"/>
      <c r="I2036" s="1"/>
    </row>
    <row r="2037" ht="15.75" customHeight="1">
      <c r="A2037" s="1" t="s">
        <v>2102</v>
      </c>
      <c r="B2037" s="1" t="s">
        <v>2064</v>
      </c>
      <c r="C2037" s="1"/>
      <c r="D2037" s="1"/>
      <c r="E2037" s="1"/>
      <c r="F2037" s="1"/>
      <c r="G2037" s="1"/>
      <c r="H2037" s="1"/>
      <c r="I2037" s="1"/>
    </row>
    <row r="2038" ht="15.75" customHeight="1">
      <c r="A2038" s="1" t="s">
        <v>2103</v>
      </c>
      <c r="B2038" s="1" t="s">
        <v>2064</v>
      </c>
      <c r="C2038" s="1"/>
      <c r="D2038" s="1"/>
      <c r="E2038" s="1"/>
      <c r="F2038" s="1"/>
      <c r="G2038" s="1"/>
      <c r="H2038" s="1"/>
      <c r="I2038" s="1"/>
    </row>
    <row r="2039" ht="15.75" customHeight="1">
      <c r="A2039" s="1" t="s">
        <v>2104</v>
      </c>
      <c r="B2039" s="1" t="s">
        <v>2064</v>
      </c>
      <c r="C2039" s="1"/>
      <c r="D2039" s="1"/>
      <c r="E2039" s="1"/>
      <c r="F2039" s="1"/>
      <c r="G2039" s="1"/>
      <c r="H2039" s="1"/>
      <c r="I2039" s="1"/>
    </row>
    <row r="2040" ht="15.75" customHeight="1">
      <c r="A2040" s="1" t="s">
        <v>2105</v>
      </c>
      <c r="B2040" s="1" t="s">
        <v>2064</v>
      </c>
      <c r="C2040" s="1"/>
      <c r="D2040" s="1"/>
      <c r="E2040" s="1"/>
      <c r="F2040" s="1"/>
      <c r="G2040" s="1"/>
      <c r="H2040" s="1"/>
      <c r="I2040" s="1"/>
    </row>
    <row r="2041" ht="15.75" customHeight="1">
      <c r="A2041" s="1" t="s">
        <v>2106</v>
      </c>
      <c r="B2041" s="1" t="s">
        <v>2064</v>
      </c>
      <c r="C2041" s="1"/>
      <c r="D2041" s="1"/>
      <c r="E2041" s="1"/>
      <c r="F2041" s="1"/>
      <c r="G2041" s="1"/>
      <c r="H2041" s="1"/>
      <c r="I2041" s="1"/>
    </row>
    <row r="2042" ht="15.75" customHeight="1">
      <c r="A2042" s="1" t="s">
        <v>2107</v>
      </c>
      <c r="B2042" s="1" t="s">
        <v>2064</v>
      </c>
      <c r="C2042" s="1"/>
      <c r="D2042" s="1"/>
      <c r="E2042" s="1"/>
      <c r="F2042" s="1"/>
      <c r="G2042" s="1"/>
      <c r="H2042" s="1"/>
      <c r="I2042" s="1"/>
    </row>
    <row r="2043" ht="15.75" customHeight="1">
      <c r="A2043" s="1" t="s">
        <v>2108</v>
      </c>
      <c r="B2043" s="1" t="s">
        <v>2064</v>
      </c>
      <c r="C2043" s="1"/>
      <c r="D2043" s="1"/>
      <c r="E2043" s="1"/>
      <c r="F2043" s="1"/>
      <c r="G2043" s="1"/>
      <c r="H2043" s="1"/>
      <c r="I2043" s="1"/>
    </row>
    <row r="2044" ht="15.75" customHeight="1">
      <c r="A2044" s="1" t="s">
        <v>2109</v>
      </c>
      <c r="B2044" s="1" t="s">
        <v>2064</v>
      </c>
      <c r="C2044" s="1"/>
      <c r="D2044" s="1"/>
      <c r="E2044" s="1"/>
      <c r="F2044" s="1"/>
      <c r="G2044" s="1"/>
      <c r="H2044" s="1"/>
      <c r="I2044" s="1"/>
    </row>
    <row r="2045" ht="15.75" customHeight="1">
      <c r="A2045" s="1" t="s">
        <v>2110</v>
      </c>
      <c r="B2045" s="1" t="s">
        <v>2064</v>
      </c>
      <c r="C2045" s="1"/>
      <c r="D2045" s="1"/>
      <c r="E2045" s="1"/>
      <c r="F2045" s="1"/>
      <c r="G2045" s="1"/>
      <c r="H2045" s="1"/>
      <c r="I2045" s="1"/>
    </row>
    <row r="2046" ht="15.75" customHeight="1">
      <c r="A2046" s="1" t="s">
        <v>2111</v>
      </c>
      <c r="B2046" s="1" t="s">
        <v>2064</v>
      </c>
      <c r="C2046" s="1"/>
      <c r="D2046" s="1"/>
      <c r="E2046" s="1"/>
      <c r="F2046" s="1"/>
      <c r="G2046" s="1"/>
      <c r="H2046" s="1"/>
      <c r="I2046" s="1"/>
    </row>
    <row r="2047" ht="15.75" customHeight="1">
      <c r="A2047" s="1" t="s">
        <v>2112</v>
      </c>
      <c r="B2047" s="1" t="s">
        <v>2064</v>
      </c>
      <c r="C2047" s="1"/>
      <c r="D2047" s="1"/>
      <c r="E2047" s="1"/>
      <c r="F2047" s="1"/>
      <c r="G2047" s="1"/>
      <c r="H2047" s="1"/>
      <c r="I2047" s="1"/>
    </row>
    <row r="2048" ht="15.75" customHeight="1">
      <c r="A2048" s="1" t="s">
        <v>2113</v>
      </c>
      <c r="B2048" s="1" t="s">
        <v>2064</v>
      </c>
      <c r="C2048" s="1"/>
      <c r="D2048" s="1"/>
      <c r="E2048" s="1"/>
      <c r="F2048" s="1"/>
      <c r="G2048" s="1"/>
      <c r="H2048" s="1"/>
      <c r="I2048" s="1"/>
    </row>
    <row r="2049" ht="15.75" customHeight="1">
      <c r="A2049" s="1" t="s">
        <v>2114</v>
      </c>
      <c r="B2049" s="1" t="s">
        <v>2064</v>
      </c>
      <c r="C2049" s="1"/>
      <c r="D2049" s="1"/>
      <c r="E2049" s="1"/>
      <c r="F2049" s="1"/>
      <c r="G2049" s="1"/>
      <c r="H2049" s="1"/>
      <c r="I2049" s="1"/>
    </row>
    <row r="2050" ht="15.75" customHeight="1">
      <c r="A2050" s="1" t="s">
        <v>2115</v>
      </c>
      <c r="B2050" s="1" t="s">
        <v>2064</v>
      </c>
      <c r="C2050" s="1"/>
      <c r="D2050" s="1"/>
      <c r="E2050" s="1"/>
      <c r="F2050" s="1"/>
      <c r="G2050" s="1"/>
      <c r="H2050" s="1"/>
      <c r="I2050" s="1"/>
    </row>
    <row r="2051" ht="15.75" customHeight="1">
      <c r="A2051" s="1" t="s">
        <v>2116</v>
      </c>
      <c r="B2051" s="1" t="s">
        <v>2064</v>
      </c>
      <c r="C2051" s="1"/>
      <c r="D2051" s="1"/>
      <c r="E2051" s="1"/>
      <c r="F2051" s="1"/>
      <c r="G2051" s="1"/>
      <c r="H2051" s="1"/>
      <c r="I2051" s="1"/>
    </row>
    <row r="2052" ht="15.75" customHeight="1">
      <c r="A2052" s="1" t="s">
        <v>2117</v>
      </c>
      <c r="B2052" s="1" t="s">
        <v>2064</v>
      </c>
      <c r="C2052" s="1"/>
      <c r="D2052" s="1"/>
      <c r="E2052" s="1"/>
      <c r="F2052" s="1"/>
      <c r="G2052" s="1"/>
      <c r="H2052" s="1"/>
      <c r="I2052" s="1"/>
    </row>
    <row r="2053" ht="15.75" customHeight="1">
      <c r="A2053" s="1" t="s">
        <v>2118</v>
      </c>
      <c r="B2053" s="1" t="s">
        <v>2064</v>
      </c>
      <c r="C2053" s="1"/>
      <c r="D2053" s="1"/>
      <c r="E2053" s="1"/>
      <c r="F2053" s="1"/>
      <c r="G2053" s="1"/>
      <c r="H2053" s="1"/>
      <c r="I2053" s="1"/>
    </row>
    <row r="2054" ht="15.75" customHeight="1">
      <c r="A2054" s="1" t="s">
        <v>2119</v>
      </c>
      <c r="B2054" s="1" t="s">
        <v>2064</v>
      </c>
      <c r="C2054" s="1"/>
      <c r="D2054" s="1"/>
      <c r="E2054" s="1"/>
      <c r="F2054" s="1"/>
      <c r="G2054" s="1"/>
      <c r="H2054" s="1"/>
      <c r="I2054" s="1"/>
    </row>
    <row r="2055" ht="15.75" customHeight="1">
      <c r="A2055" s="1" t="s">
        <v>2120</v>
      </c>
      <c r="B2055" s="1" t="s">
        <v>2064</v>
      </c>
      <c r="C2055" s="1"/>
      <c r="D2055" s="1"/>
      <c r="E2055" s="1"/>
      <c r="F2055" s="1"/>
      <c r="G2055" s="1"/>
      <c r="H2055" s="1"/>
      <c r="I2055" s="1"/>
    </row>
    <row r="2056" ht="15.75" customHeight="1">
      <c r="A2056" s="1" t="s">
        <v>2121</v>
      </c>
      <c r="B2056" s="1" t="s">
        <v>2064</v>
      </c>
      <c r="C2056" s="1"/>
      <c r="D2056" s="1"/>
      <c r="E2056" s="1"/>
      <c r="F2056" s="1"/>
      <c r="G2056" s="1"/>
      <c r="H2056" s="1"/>
      <c r="I2056" s="1"/>
    </row>
    <row r="2057" ht="15.75" customHeight="1">
      <c r="A2057" s="1" t="s">
        <v>2122</v>
      </c>
      <c r="B2057" s="1" t="s">
        <v>2064</v>
      </c>
      <c r="C2057" s="1"/>
      <c r="D2057" s="1"/>
      <c r="E2057" s="1"/>
      <c r="F2057" s="1"/>
      <c r="G2057" s="1"/>
      <c r="H2057" s="1"/>
      <c r="I2057" s="1"/>
    </row>
    <row r="2058" ht="15.75" customHeight="1">
      <c r="A2058" s="1" t="s">
        <v>2123</v>
      </c>
      <c r="B2058" s="1" t="s">
        <v>2064</v>
      </c>
      <c r="C2058" s="1"/>
      <c r="D2058" s="1"/>
      <c r="E2058" s="1"/>
      <c r="F2058" s="1"/>
      <c r="G2058" s="1"/>
      <c r="H2058" s="1"/>
      <c r="I2058" s="1"/>
    </row>
    <row r="2059" ht="15.75" customHeight="1">
      <c r="A2059" s="1" t="s">
        <v>2124</v>
      </c>
      <c r="B2059" s="1" t="s">
        <v>2064</v>
      </c>
      <c r="C2059" s="1"/>
      <c r="D2059" s="1"/>
      <c r="E2059" s="1"/>
      <c r="F2059" s="1"/>
      <c r="G2059" s="1"/>
      <c r="H2059" s="1"/>
      <c r="I2059" s="1"/>
    </row>
    <row r="2060" ht="15.75" customHeight="1">
      <c r="A2060" s="1" t="s">
        <v>2125</v>
      </c>
      <c r="B2060" s="1" t="s">
        <v>2064</v>
      </c>
      <c r="C2060" s="1"/>
      <c r="D2060" s="1"/>
      <c r="E2060" s="1"/>
      <c r="F2060" s="1"/>
      <c r="G2060" s="1"/>
      <c r="H2060" s="1"/>
      <c r="I2060" s="1"/>
    </row>
    <row r="2061" ht="15.75" customHeight="1">
      <c r="A2061" s="1" t="s">
        <v>2126</v>
      </c>
      <c r="B2061" s="1" t="s">
        <v>2064</v>
      </c>
      <c r="C2061" s="1"/>
      <c r="D2061" s="1"/>
      <c r="E2061" s="1"/>
      <c r="F2061" s="1"/>
      <c r="G2061" s="1"/>
      <c r="H2061" s="1"/>
      <c r="I2061" s="1"/>
    </row>
    <row r="2062" ht="15.75" customHeight="1">
      <c r="A2062" s="1" t="s">
        <v>2127</v>
      </c>
      <c r="B2062" s="1" t="s">
        <v>2064</v>
      </c>
      <c r="C2062" s="1"/>
      <c r="D2062" s="1"/>
      <c r="E2062" s="1"/>
      <c r="F2062" s="1"/>
      <c r="G2062" s="1"/>
      <c r="H2062" s="1"/>
      <c r="I2062" s="1"/>
    </row>
    <row r="2063" ht="15.75" customHeight="1">
      <c r="A2063" s="1" t="s">
        <v>2128</v>
      </c>
      <c r="B2063" s="1" t="s">
        <v>2064</v>
      </c>
      <c r="C2063" s="1"/>
      <c r="D2063" s="1"/>
      <c r="E2063" s="1"/>
      <c r="F2063" s="1"/>
      <c r="G2063" s="1"/>
      <c r="H2063" s="1"/>
      <c r="I2063" s="1"/>
    </row>
    <row r="2064" ht="15.75" customHeight="1">
      <c r="A2064" s="1" t="s">
        <v>2129</v>
      </c>
      <c r="B2064" s="1" t="s">
        <v>2064</v>
      </c>
      <c r="C2064" s="1"/>
      <c r="D2064" s="1"/>
      <c r="E2064" s="1"/>
      <c r="F2064" s="1"/>
      <c r="G2064" s="1"/>
      <c r="H2064" s="1"/>
      <c r="I2064" s="1"/>
    </row>
    <row r="2065" ht="15.75" customHeight="1">
      <c r="A2065" s="1" t="s">
        <v>2130</v>
      </c>
      <c r="B2065" s="1" t="s">
        <v>2064</v>
      </c>
      <c r="C2065" s="1"/>
      <c r="D2065" s="1"/>
      <c r="E2065" s="1"/>
      <c r="F2065" s="1"/>
      <c r="G2065" s="1"/>
      <c r="H2065" s="1"/>
      <c r="I2065" s="1"/>
    </row>
    <row r="2066" ht="15.75" customHeight="1">
      <c r="A2066" s="1" t="s">
        <v>2131</v>
      </c>
      <c r="B2066" s="1" t="s">
        <v>2064</v>
      </c>
      <c r="C2066" s="1"/>
      <c r="D2066" s="1"/>
      <c r="E2066" s="1"/>
      <c r="F2066" s="1"/>
      <c r="G2066" s="1"/>
      <c r="H2066" s="1"/>
      <c r="I2066" s="1"/>
    </row>
    <row r="2067" ht="15.75" customHeight="1">
      <c r="A2067" s="1" t="s">
        <v>2132</v>
      </c>
      <c r="B2067" s="1" t="s">
        <v>2064</v>
      </c>
      <c r="C2067" s="1"/>
      <c r="D2067" s="1"/>
      <c r="E2067" s="1"/>
      <c r="F2067" s="1"/>
      <c r="G2067" s="1"/>
      <c r="H2067" s="1"/>
      <c r="I2067" s="1"/>
    </row>
    <row r="2068" ht="15.75" customHeight="1">
      <c r="A2068" s="1" t="s">
        <v>2133</v>
      </c>
      <c r="B2068" s="1" t="s">
        <v>2064</v>
      </c>
      <c r="C2068" s="1"/>
      <c r="D2068" s="1"/>
      <c r="E2068" s="1"/>
      <c r="F2068" s="1"/>
      <c r="G2068" s="1"/>
      <c r="H2068" s="1"/>
      <c r="I2068" s="1"/>
    </row>
    <row r="2069" ht="15.75" customHeight="1">
      <c r="A2069" s="1" t="s">
        <v>2134</v>
      </c>
      <c r="B2069" s="1" t="s">
        <v>2064</v>
      </c>
      <c r="C2069" s="1"/>
      <c r="D2069" s="1"/>
      <c r="E2069" s="1"/>
      <c r="F2069" s="1"/>
      <c r="G2069" s="1"/>
      <c r="H2069" s="1"/>
      <c r="I2069" s="1"/>
    </row>
    <row r="2070" ht="15.75" customHeight="1">
      <c r="A2070" s="1" t="s">
        <v>2135</v>
      </c>
      <c r="B2070" s="1" t="s">
        <v>2064</v>
      </c>
      <c r="C2070" s="1"/>
      <c r="D2070" s="1"/>
      <c r="E2070" s="1"/>
      <c r="F2070" s="1"/>
      <c r="G2070" s="1"/>
      <c r="H2070" s="1"/>
      <c r="I2070" s="1"/>
    </row>
    <row r="2071" ht="15.75" customHeight="1">
      <c r="A2071" s="1" t="s">
        <v>2136</v>
      </c>
      <c r="B2071" s="1" t="s">
        <v>2064</v>
      </c>
      <c r="C2071" s="1"/>
      <c r="D2071" s="1"/>
      <c r="E2071" s="1"/>
      <c r="F2071" s="1"/>
      <c r="G2071" s="1"/>
      <c r="H2071" s="1"/>
      <c r="I2071" s="1"/>
    </row>
    <row r="2072" ht="15.75" customHeight="1">
      <c r="A2072" s="1" t="s">
        <v>2137</v>
      </c>
      <c r="B2072" s="1" t="s">
        <v>2064</v>
      </c>
      <c r="C2072" s="1"/>
      <c r="D2072" s="1"/>
      <c r="E2072" s="1"/>
      <c r="F2072" s="1"/>
      <c r="G2072" s="1"/>
      <c r="H2072" s="1"/>
      <c r="I2072" s="1"/>
    </row>
    <row r="2073" ht="15.75" customHeight="1">
      <c r="A2073" s="1" t="s">
        <v>2138</v>
      </c>
      <c r="B2073" s="1" t="s">
        <v>2064</v>
      </c>
      <c r="C2073" s="1"/>
      <c r="D2073" s="1"/>
      <c r="E2073" s="1"/>
      <c r="F2073" s="1"/>
      <c r="G2073" s="1"/>
      <c r="H2073" s="1"/>
      <c r="I2073" s="1"/>
    </row>
    <row r="2074" ht="15.75" customHeight="1">
      <c r="A2074" s="1" t="s">
        <v>2139</v>
      </c>
      <c r="B2074" s="1" t="s">
        <v>2064</v>
      </c>
      <c r="C2074" s="1"/>
      <c r="D2074" s="1"/>
      <c r="E2074" s="1"/>
      <c r="F2074" s="1"/>
      <c r="G2074" s="1"/>
      <c r="H2074" s="1"/>
      <c r="I2074" s="1"/>
    </row>
    <row r="2075" ht="15.75" customHeight="1">
      <c r="A2075" s="1" t="s">
        <v>2140</v>
      </c>
      <c r="B2075" s="1" t="s">
        <v>2064</v>
      </c>
      <c r="C2075" s="1"/>
      <c r="D2075" s="1"/>
      <c r="E2075" s="1"/>
      <c r="F2075" s="1"/>
      <c r="G2075" s="1"/>
      <c r="H2075" s="1"/>
      <c r="I2075" s="1"/>
    </row>
    <row r="2076" ht="15.75" customHeight="1">
      <c r="A2076" s="1" t="s">
        <v>2141</v>
      </c>
      <c r="B2076" s="1" t="s">
        <v>2064</v>
      </c>
      <c r="C2076" s="1"/>
      <c r="D2076" s="1"/>
      <c r="E2076" s="1"/>
      <c r="F2076" s="1"/>
      <c r="G2076" s="1"/>
      <c r="H2076" s="1"/>
      <c r="I2076" s="1"/>
    </row>
    <row r="2077" ht="15.75" customHeight="1">
      <c r="A2077" s="1" t="s">
        <v>2142</v>
      </c>
      <c r="B2077" s="1" t="s">
        <v>2064</v>
      </c>
      <c r="C2077" s="1"/>
      <c r="D2077" s="1"/>
      <c r="E2077" s="1"/>
      <c r="F2077" s="1"/>
      <c r="G2077" s="1"/>
      <c r="H2077" s="1"/>
      <c r="I2077" s="1"/>
    </row>
    <row r="2078" ht="15.75" customHeight="1">
      <c r="A2078" s="1" t="s">
        <v>2143</v>
      </c>
      <c r="B2078" s="1" t="s">
        <v>2064</v>
      </c>
      <c r="C2078" s="1"/>
      <c r="D2078" s="1"/>
      <c r="E2078" s="1"/>
      <c r="F2078" s="1"/>
      <c r="G2078" s="1"/>
      <c r="H2078" s="1"/>
      <c r="I2078" s="1"/>
    </row>
    <row r="2079" ht="15.75" customHeight="1">
      <c r="A2079" s="1" t="s">
        <v>2144</v>
      </c>
      <c r="B2079" s="1" t="s">
        <v>2064</v>
      </c>
      <c r="C2079" s="1"/>
      <c r="D2079" s="1"/>
      <c r="E2079" s="1"/>
      <c r="F2079" s="1"/>
      <c r="G2079" s="1"/>
      <c r="H2079" s="1"/>
      <c r="I2079" s="1"/>
    </row>
    <row r="2080" ht="15.75" customHeight="1">
      <c r="A2080" s="1" t="s">
        <v>2145</v>
      </c>
      <c r="B2080" s="1" t="s">
        <v>2064</v>
      </c>
      <c r="C2080" s="1"/>
      <c r="D2080" s="1"/>
      <c r="E2080" s="1"/>
      <c r="F2080" s="1"/>
      <c r="G2080" s="1"/>
      <c r="H2080" s="1"/>
      <c r="I2080" s="1"/>
    </row>
    <row r="2081" ht="15.75" customHeight="1">
      <c r="A2081" s="1" t="s">
        <v>2146</v>
      </c>
      <c r="B2081" s="1" t="s">
        <v>2064</v>
      </c>
      <c r="C2081" s="1"/>
      <c r="D2081" s="1"/>
      <c r="E2081" s="1"/>
      <c r="F2081" s="1"/>
      <c r="G2081" s="1"/>
      <c r="H2081" s="1"/>
      <c r="I2081" s="1"/>
    </row>
    <row r="2082" ht="15.75" customHeight="1">
      <c r="A2082" s="1" t="s">
        <v>2147</v>
      </c>
      <c r="B2082" s="1" t="s">
        <v>2064</v>
      </c>
      <c r="C2082" s="1"/>
      <c r="D2082" s="1"/>
      <c r="E2082" s="1"/>
      <c r="F2082" s="1"/>
      <c r="G2082" s="1"/>
      <c r="H2082" s="1"/>
      <c r="I2082" s="1"/>
    </row>
    <row r="2083" ht="15.75" customHeight="1">
      <c r="A2083" s="1" t="s">
        <v>2148</v>
      </c>
      <c r="B2083" s="1" t="s">
        <v>2064</v>
      </c>
      <c r="C2083" s="1"/>
      <c r="D2083" s="1"/>
      <c r="E2083" s="1"/>
      <c r="F2083" s="1"/>
      <c r="G2083" s="1"/>
      <c r="H2083" s="1"/>
      <c r="I2083" s="1"/>
    </row>
    <row r="2084" ht="15.75" customHeight="1">
      <c r="A2084" s="1" t="s">
        <v>2149</v>
      </c>
      <c r="B2084" s="1" t="s">
        <v>2064</v>
      </c>
      <c r="C2084" s="1"/>
      <c r="D2084" s="1"/>
      <c r="E2084" s="1"/>
      <c r="F2084" s="1"/>
      <c r="G2084" s="1"/>
      <c r="H2084" s="1"/>
      <c r="I2084" s="1"/>
    </row>
    <row r="2085" ht="15.75" customHeight="1">
      <c r="A2085" s="1" t="s">
        <v>2150</v>
      </c>
      <c r="B2085" s="1" t="s">
        <v>2064</v>
      </c>
      <c r="C2085" s="1"/>
      <c r="D2085" s="1"/>
      <c r="E2085" s="1"/>
      <c r="F2085" s="1"/>
      <c r="G2085" s="1"/>
      <c r="H2085" s="1"/>
      <c r="I2085" s="1"/>
    </row>
    <row r="2086" ht="15.75" customHeight="1">
      <c r="A2086" s="1" t="s">
        <v>2151</v>
      </c>
      <c r="B2086" s="1" t="s">
        <v>2064</v>
      </c>
      <c r="C2086" s="1"/>
      <c r="D2086" s="1"/>
      <c r="E2086" s="1"/>
      <c r="F2086" s="1"/>
      <c r="G2086" s="1"/>
      <c r="H2086" s="1"/>
      <c r="I2086" s="1"/>
    </row>
    <row r="2087" ht="15.75" customHeight="1">
      <c r="A2087" s="1" t="s">
        <v>2152</v>
      </c>
      <c r="B2087" s="1" t="s">
        <v>2064</v>
      </c>
      <c r="C2087" s="1"/>
      <c r="D2087" s="1"/>
      <c r="E2087" s="1"/>
      <c r="F2087" s="1"/>
      <c r="G2087" s="1"/>
      <c r="H2087" s="1"/>
      <c r="I2087" s="1"/>
    </row>
    <row r="2088" ht="15.75" customHeight="1">
      <c r="A2088" s="1" t="s">
        <v>2153</v>
      </c>
      <c r="B2088" s="1" t="s">
        <v>2064</v>
      </c>
      <c r="C2088" s="1"/>
      <c r="D2088" s="1"/>
      <c r="E2088" s="1"/>
      <c r="F2088" s="1"/>
      <c r="G2088" s="1"/>
      <c r="H2088" s="1"/>
      <c r="I2088" s="1"/>
    </row>
    <row r="2089" ht="15.75" customHeight="1">
      <c r="A2089" s="1" t="s">
        <v>2154</v>
      </c>
      <c r="B2089" s="1" t="s">
        <v>2064</v>
      </c>
      <c r="C2089" s="1"/>
      <c r="D2089" s="1"/>
      <c r="E2089" s="1"/>
      <c r="F2089" s="1"/>
      <c r="G2089" s="1"/>
      <c r="H2089" s="1"/>
      <c r="I2089" s="1"/>
    </row>
    <row r="2090" ht="15.75" customHeight="1">
      <c r="A2090" s="1" t="s">
        <v>2155</v>
      </c>
      <c r="B2090" s="1" t="s">
        <v>2064</v>
      </c>
      <c r="C2090" s="1"/>
      <c r="D2090" s="1"/>
      <c r="E2090" s="1"/>
      <c r="F2090" s="1"/>
      <c r="G2090" s="1"/>
      <c r="H2090" s="1"/>
      <c r="I2090" s="1"/>
    </row>
    <row r="2091" ht="15.75" customHeight="1">
      <c r="A2091" s="1" t="s">
        <v>2156</v>
      </c>
      <c r="B2091" s="1" t="s">
        <v>2064</v>
      </c>
      <c r="C2091" s="1"/>
      <c r="D2091" s="1"/>
      <c r="E2091" s="1"/>
      <c r="F2091" s="1"/>
      <c r="G2091" s="1"/>
      <c r="H2091" s="1"/>
      <c r="I2091" s="1"/>
    </row>
    <row r="2092" ht="15.75" customHeight="1">
      <c r="A2092" s="1" t="s">
        <v>2157</v>
      </c>
      <c r="B2092" s="1" t="s">
        <v>2064</v>
      </c>
      <c r="C2092" s="1"/>
      <c r="D2092" s="1"/>
      <c r="E2092" s="1"/>
      <c r="F2092" s="1"/>
      <c r="G2092" s="1"/>
      <c r="H2092" s="1"/>
      <c r="I2092" s="1"/>
    </row>
    <row r="2093" ht="15.75" customHeight="1">
      <c r="A2093" s="1" t="s">
        <v>2158</v>
      </c>
      <c r="B2093" s="1" t="s">
        <v>2064</v>
      </c>
      <c r="C2093" s="1"/>
      <c r="D2093" s="1"/>
      <c r="E2093" s="1"/>
      <c r="F2093" s="1"/>
      <c r="G2093" s="1"/>
      <c r="H2093" s="1"/>
      <c r="I2093" s="1"/>
    </row>
    <row r="2094" ht="15.75" customHeight="1">
      <c r="A2094" s="1" t="s">
        <v>2159</v>
      </c>
      <c r="B2094" s="1" t="s">
        <v>2064</v>
      </c>
      <c r="C2094" s="1"/>
      <c r="D2094" s="1"/>
      <c r="E2094" s="1"/>
      <c r="F2094" s="1"/>
      <c r="G2094" s="1"/>
      <c r="H2094" s="1"/>
      <c r="I2094" s="1"/>
    </row>
    <row r="2095" ht="15.75" customHeight="1">
      <c r="A2095" s="1" t="s">
        <v>2160</v>
      </c>
      <c r="B2095" s="1" t="s">
        <v>2064</v>
      </c>
      <c r="C2095" s="1"/>
      <c r="D2095" s="1"/>
      <c r="E2095" s="1"/>
      <c r="F2095" s="1"/>
      <c r="G2095" s="1"/>
      <c r="H2095" s="1"/>
      <c r="I2095" s="1"/>
    </row>
    <row r="2096" ht="15.75" customHeight="1">
      <c r="A2096" s="1" t="s">
        <v>2161</v>
      </c>
      <c r="B2096" s="1" t="s">
        <v>2064</v>
      </c>
      <c r="C2096" s="1"/>
      <c r="D2096" s="1"/>
      <c r="E2096" s="1"/>
      <c r="F2096" s="1"/>
      <c r="G2096" s="1"/>
      <c r="H2096" s="1"/>
      <c r="I2096" s="1"/>
    </row>
    <row r="2097" ht="15.75" customHeight="1">
      <c r="A2097" s="1" t="s">
        <v>2162</v>
      </c>
      <c r="B2097" s="1" t="s">
        <v>2064</v>
      </c>
      <c r="C2097" s="1"/>
      <c r="D2097" s="1"/>
      <c r="E2097" s="1"/>
      <c r="F2097" s="1"/>
      <c r="G2097" s="1"/>
      <c r="H2097" s="1"/>
      <c r="I2097" s="1"/>
    </row>
    <row r="2098" ht="15.75" customHeight="1">
      <c r="A2098" s="1" t="s">
        <v>2163</v>
      </c>
      <c r="B2098" s="1" t="s">
        <v>2064</v>
      </c>
      <c r="C2098" s="1"/>
      <c r="D2098" s="1"/>
      <c r="E2098" s="1"/>
      <c r="F2098" s="1"/>
      <c r="G2098" s="1"/>
      <c r="H2098" s="1"/>
      <c r="I2098" s="1"/>
    </row>
    <row r="2099" ht="15.75" customHeight="1">
      <c r="A2099" s="1" t="s">
        <v>2164</v>
      </c>
      <c r="B2099" s="1" t="s">
        <v>2064</v>
      </c>
      <c r="C2099" s="1"/>
      <c r="D2099" s="1"/>
      <c r="E2099" s="1"/>
      <c r="F2099" s="1"/>
      <c r="G2099" s="1"/>
      <c r="H2099" s="1"/>
      <c r="I2099" s="1"/>
    </row>
    <row r="2100" ht="15.75" customHeight="1">
      <c r="A2100" s="1" t="s">
        <v>2165</v>
      </c>
      <c r="B2100" s="1" t="s">
        <v>2064</v>
      </c>
      <c r="C2100" s="1"/>
      <c r="D2100" s="1"/>
      <c r="E2100" s="1"/>
      <c r="F2100" s="1"/>
      <c r="G2100" s="1"/>
      <c r="H2100" s="1"/>
      <c r="I2100" s="1"/>
    </row>
    <row r="2101" ht="15.75" customHeight="1">
      <c r="A2101" s="1" t="s">
        <v>2166</v>
      </c>
      <c r="B2101" s="1" t="s">
        <v>2064</v>
      </c>
      <c r="C2101" s="1"/>
      <c r="D2101" s="1"/>
      <c r="E2101" s="1"/>
      <c r="F2101" s="1"/>
      <c r="G2101" s="1"/>
      <c r="H2101" s="1"/>
      <c r="I2101" s="1"/>
    </row>
    <row r="2102" ht="15.75" customHeight="1">
      <c r="A2102" s="1" t="s">
        <v>2167</v>
      </c>
      <c r="B2102" s="1" t="s">
        <v>2064</v>
      </c>
      <c r="C2102" s="1"/>
      <c r="D2102" s="1"/>
      <c r="E2102" s="1"/>
      <c r="F2102" s="1"/>
      <c r="G2102" s="1"/>
      <c r="H2102" s="1"/>
      <c r="I2102" s="1"/>
    </row>
    <row r="2103" ht="15.75" customHeight="1">
      <c r="A2103" s="1" t="s">
        <v>2168</v>
      </c>
      <c r="B2103" s="1" t="s">
        <v>2064</v>
      </c>
      <c r="C2103" s="1"/>
      <c r="D2103" s="1"/>
      <c r="E2103" s="1"/>
      <c r="F2103" s="1"/>
      <c r="G2103" s="1"/>
      <c r="H2103" s="1"/>
      <c r="I2103" s="1"/>
    </row>
    <row r="2104" ht="15.75" customHeight="1">
      <c r="A2104" s="1" t="s">
        <v>2169</v>
      </c>
      <c r="B2104" s="1" t="s">
        <v>2064</v>
      </c>
      <c r="C2104" s="1"/>
      <c r="D2104" s="1"/>
      <c r="E2104" s="1"/>
      <c r="F2104" s="1"/>
      <c r="G2104" s="1"/>
      <c r="H2104" s="1"/>
      <c r="I2104" s="1"/>
    </row>
    <row r="2105" ht="15.75" customHeight="1">
      <c r="A2105" s="1" t="s">
        <v>2170</v>
      </c>
      <c r="B2105" s="1" t="s">
        <v>2064</v>
      </c>
      <c r="C2105" s="1"/>
      <c r="D2105" s="1"/>
      <c r="E2105" s="1"/>
      <c r="F2105" s="1"/>
      <c r="G2105" s="1"/>
      <c r="H2105" s="1"/>
      <c r="I2105" s="1"/>
    </row>
    <row r="2106" ht="15.75" customHeight="1">
      <c r="A2106" s="1" t="s">
        <v>2171</v>
      </c>
      <c r="B2106" s="1" t="s">
        <v>2064</v>
      </c>
      <c r="C2106" s="1"/>
      <c r="D2106" s="1"/>
      <c r="E2106" s="1"/>
      <c r="F2106" s="1"/>
      <c r="G2106" s="1"/>
      <c r="H2106" s="1"/>
      <c r="I2106" s="1"/>
    </row>
    <row r="2107" ht="15.75" customHeight="1">
      <c r="A2107" s="1" t="s">
        <v>2172</v>
      </c>
      <c r="B2107" s="1" t="s">
        <v>2064</v>
      </c>
      <c r="C2107" s="1"/>
      <c r="D2107" s="1"/>
      <c r="E2107" s="1"/>
      <c r="F2107" s="1"/>
      <c r="G2107" s="1"/>
      <c r="H2107" s="1"/>
      <c r="I2107" s="1"/>
    </row>
    <row r="2108" ht="15.75" customHeight="1">
      <c r="A2108" s="1" t="s">
        <v>2173</v>
      </c>
      <c r="B2108" s="1" t="s">
        <v>2064</v>
      </c>
      <c r="C2108" s="1"/>
      <c r="D2108" s="1"/>
      <c r="E2108" s="1"/>
      <c r="F2108" s="1"/>
      <c r="G2108" s="1"/>
      <c r="H2108" s="1"/>
      <c r="I2108" s="1"/>
    </row>
    <row r="2109" ht="15.75" customHeight="1">
      <c r="A2109" s="1" t="s">
        <v>2174</v>
      </c>
      <c r="B2109" s="1" t="s">
        <v>2064</v>
      </c>
      <c r="C2109" s="1"/>
      <c r="D2109" s="1"/>
      <c r="E2109" s="1"/>
      <c r="F2109" s="1"/>
      <c r="G2109" s="1"/>
      <c r="H2109" s="1"/>
      <c r="I2109" s="1"/>
    </row>
    <row r="2110" ht="15.75" customHeight="1">
      <c r="A2110" s="1" t="s">
        <v>2175</v>
      </c>
      <c r="B2110" s="1" t="s">
        <v>2064</v>
      </c>
      <c r="C2110" s="1"/>
      <c r="D2110" s="1"/>
      <c r="E2110" s="1"/>
      <c r="F2110" s="1"/>
      <c r="G2110" s="1"/>
      <c r="H2110" s="1"/>
      <c r="I2110" s="1"/>
    </row>
    <row r="2111" ht="15.75" customHeight="1">
      <c r="A2111" s="1" t="s">
        <v>2176</v>
      </c>
      <c r="B2111" s="1" t="s">
        <v>2064</v>
      </c>
      <c r="C2111" s="1"/>
      <c r="D2111" s="1"/>
      <c r="E2111" s="1"/>
      <c r="F2111" s="1"/>
      <c r="G2111" s="1"/>
      <c r="H2111" s="1"/>
      <c r="I2111" s="1"/>
    </row>
    <row r="2112" ht="15.75" customHeight="1">
      <c r="A2112" s="1" t="s">
        <v>2177</v>
      </c>
      <c r="B2112" s="1" t="s">
        <v>2064</v>
      </c>
      <c r="C2112" s="1"/>
      <c r="D2112" s="1"/>
      <c r="E2112" s="1"/>
      <c r="F2112" s="1"/>
      <c r="G2112" s="1"/>
      <c r="H2112" s="1"/>
      <c r="I2112" s="1"/>
    </row>
    <row r="2113" ht="15.75" customHeight="1">
      <c r="A2113" s="1" t="s">
        <v>2178</v>
      </c>
      <c r="B2113" s="1" t="s">
        <v>2064</v>
      </c>
      <c r="C2113" s="1"/>
      <c r="D2113" s="1"/>
      <c r="E2113" s="1"/>
      <c r="F2113" s="1"/>
      <c r="G2113" s="1"/>
      <c r="H2113" s="1"/>
      <c r="I2113" s="1"/>
    </row>
    <row r="2114" ht="15.75" customHeight="1">
      <c r="A2114" s="1" t="s">
        <v>2179</v>
      </c>
      <c r="B2114" s="1" t="s">
        <v>2064</v>
      </c>
      <c r="C2114" s="1"/>
      <c r="D2114" s="1"/>
      <c r="E2114" s="1"/>
      <c r="F2114" s="1"/>
      <c r="G2114" s="1"/>
      <c r="H2114" s="1"/>
      <c r="I2114" s="1"/>
    </row>
    <row r="2115" ht="15.75" customHeight="1">
      <c r="A2115" s="1" t="s">
        <v>2180</v>
      </c>
      <c r="B2115" s="1" t="s">
        <v>2064</v>
      </c>
      <c r="C2115" s="1"/>
      <c r="D2115" s="1"/>
      <c r="E2115" s="1"/>
      <c r="F2115" s="1"/>
      <c r="G2115" s="1"/>
      <c r="H2115" s="1"/>
      <c r="I2115" s="1"/>
    </row>
    <row r="2116" ht="15.75" customHeight="1">
      <c r="A2116" s="1" t="s">
        <v>2181</v>
      </c>
      <c r="B2116" s="1" t="s">
        <v>2064</v>
      </c>
      <c r="C2116" s="1"/>
      <c r="D2116" s="1"/>
      <c r="E2116" s="1"/>
      <c r="F2116" s="1"/>
      <c r="G2116" s="1"/>
      <c r="H2116" s="1"/>
      <c r="I2116" s="1"/>
    </row>
    <row r="2117" ht="15.75" customHeight="1">
      <c r="A2117" s="1" t="s">
        <v>2182</v>
      </c>
      <c r="B2117" s="1" t="s">
        <v>2064</v>
      </c>
      <c r="C2117" s="1"/>
      <c r="D2117" s="1"/>
      <c r="E2117" s="1"/>
      <c r="F2117" s="1"/>
      <c r="G2117" s="1"/>
      <c r="H2117" s="1"/>
      <c r="I2117" s="1"/>
    </row>
    <row r="2118" ht="15.75" customHeight="1">
      <c r="A2118" s="1" t="s">
        <v>2183</v>
      </c>
      <c r="B2118" s="1" t="s">
        <v>2064</v>
      </c>
      <c r="C2118" s="1"/>
      <c r="D2118" s="1"/>
      <c r="E2118" s="1"/>
      <c r="F2118" s="1"/>
      <c r="G2118" s="1"/>
      <c r="H2118" s="1"/>
      <c r="I2118" s="1"/>
    </row>
    <row r="2119" ht="15.75" customHeight="1">
      <c r="A2119" s="1" t="s">
        <v>2184</v>
      </c>
      <c r="B2119" s="1" t="s">
        <v>2064</v>
      </c>
      <c r="C2119" s="1"/>
      <c r="D2119" s="1"/>
      <c r="E2119" s="1"/>
      <c r="F2119" s="1"/>
      <c r="G2119" s="1"/>
      <c r="H2119" s="1"/>
      <c r="I2119" s="1"/>
    </row>
    <row r="2120" ht="15.75" customHeight="1">
      <c r="A2120" s="1" t="s">
        <v>2185</v>
      </c>
      <c r="B2120" s="1" t="s">
        <v>2064</v>
      </c>
      <c r="C2120" s="1"/>
      <c r="D2120" s="1"/>
      <c r="E2120" s="1"/>
      <c r="F2120" s="1"/>
      <c r="G2120" s="1"/>
      <c r="H2120" s="1"/>
      <c r="I2120" s="1"/>
    </row>
    <row r="2121" ht="15.75" customHeight="1">
      <c r="A2121" s="1" t="s">
        <v>2186</v>
      </c>
      <c r="B2121" s="1" t="s">
        <v>2064</v>
      </c>
      <c r="C2121" s="1"/>
      <c r="D2121" s="1"/>
      <c r="E2121" s="1"/>
      <c r="F2121" s="1"/>
      <c r="G2121" s="1"/>
      <c r="H2121" s="1"/>
      <c r="I2121" s="1"/>
    </row>
    <row r="2122" ht="15.75" customHeight="1">
      <c r="A2122" s="1" t="s">
        <v>2187</v>
      </c>
      <c r="B2122" s="1" t="s">
        <v>2064</v>
      </c>
      <c r="C2122" s="1"/>
      <c r="D2122" s="1"/>
      <c r="E2122" s="1"/>
      <c r="F2122" s="1"/>
      <c r="G2122" s="1"/>
      <c r="H2122" s="1"/>
      <c r="I2122" s="1"/>
    </row>
    <row r="2123" ht="15.75" customHeight="1">
      <c r="A2123" s="1" t="s">
        <v>2188</v>
      </c>
      <c r="B2123" s="1" t="s">
        <v>2064</v>
      </c>
      <c r="C2123" s="1"/>
      <c r="D2123" s="1"/>
      <c r="E2123" s="1"/>
      <c r="F2123" s="1"/>
      <c r="G2123" s="1"/>
      <c r="H2123" s="1"/>
      <c r="I2123" s="1"/>
    </row>
    <row r="2124" ht="15.75" customHeight="1">
      <c r="A2124" s="1" t="s">
        <v>2189</v>
      </c>
      <c r="B2124" s="1" t="s">
        <v>2064</v>
      </c>
      <c r="C2124" s="1"/>
      <c r="D2124" s="1"/>
      <c r="E2124" s="1"/>
      <c r="F2124" s="1"/>
      <c r="G2124" s="1"/>
      <c r="H2124" s="1"/>
      <c r="I2124" s="1"/>
    </row>
    <row r="2125" ht="15.75" customHeight="1">
      <c r="A2125" s="1" t="s">
        <v>2190</v>
      </c>
      <c r="B2125" s="1" t="s">
        <v>2064</v>
      </c>
      <c r="C2125" s="1"/>
      <c r="D2125" s="1"/>
      <c r="E2125" s="1"/>
      <c r="F2125" s="1"/>
      <c r="G2125" s="1"/>
      <c r="H2125" s="1"/>
      <c r="I2125" s="1"/>
    </row>
    <row r="2126" ht="15.75" customHeight="1">
      <c r="A2126" s="1" t="s">
        <v>2191</v>
      </c>
      <c r="B2126" s="1" t="s">
        <v>2064</v>
      </c>
      <c r="C2126" s="1"/>
      <c r="D2126" s="1"/>
      <c r="E2126" s="1"/>
      <c r="F2126" s="1"/>
      <c r="G2126" s="1"/>
      <c r="H2126" s="1"/>
      <c r="I2126" s="1"/>
    </row>
    <row r="2127" ht="15.75" customHeight="1">
      <c r="A2127" s="1" t="s">
        <v>2192</v>
      </c>
      <c r="B2127" s="1" t="s">
        <v>2064</v>
      </c>
      <c r="C2127" s="1"/>
      <c r="D2127" s="1"/>
      <c r="E2127" s="1"/>
      <c r="F2127" s="1"/>
      <c r="G2127" s="1"/>
      <c r="H2127" s="1"/>
      <c r="I2127" s="1"/>
    </row>
    <row r="2128" ht="15.75" customHeight="1">
      <c r="A2128" s="1" t="s">
        <v>2193</v>
      </c>
      <c r="B2128" s="1" t="s">
        <v>2064</v>
      </c>
      <c r="C2128" s="1"/>
      <c r="D2128" s="1"/>
      <c r="E2128" s="1"/>
      <c r="F2128" s="1"/>
      <c r="G2128" s="1"/>
      <c r="H2128" s="1"/>
      <c r="I2128" s="1"/>
    </row>
    <row r="2129" ht="15.75" customHeight="1">
      <c r="A2129" s="1" t="s">
        <v>2194</v>
      </c>
      <c r="B2129" s="1" t="s">
        <v>2064</v>
      </c>
      <c r="C2129" s="1"/>
      <c r="D2129" s="1"/>
      <c r="E2129" s="1"/>
      <c r="F2129" s="1"/>
      <c r="G2129" s="1"/>
      <c r="H2129" s="1"/>
      <c r="I2129" s="1"/>
    </row>
    <row r="2130" ht="15.75" customHeight="1">
      <c r="A2130" s="1" t="s">
        <v>2195</v>
      </c>
      <c r="B2130" s="1" t="s">
        <v>2064</v>
      </c>
      <c r="C2130" s="1"/>
      <c r="D2130" s="1"/>
      <c r="E2130" s="1"/>
      <c r="F2130" s="1"/>
      <c r="G2130" s="1"/>
      <c r="H2130" s="1"/>
      <c r="I2130" s="1"/>
    </row>
    <row r="2131" ht="15.75" customHeight="1">
      <c r="A2131" s="1" t="s">
        <v>2196</v>
      </c>
      <c r="B2131" s="1" t="s">
        <v>2064</v>
      </c>
      <c r="C2131" s="1"/>
      <c r="D2131" s="1"/>
      <c r="E2131" s="1"/>
      <c r="F2131" s="1"/>
      <c r="G2131" s="1"/>
      <c r="H2131" s="1"/>
      <c r="I2131" s="1"/>
    </row>
    <row r="2132" ht="15.75" customHeight="1">
      <c r="A2132" s="1" t="s">
        <v>2197</v>
      </c>
      <c r="B2132" s="1" t="s">
        <v>2064</v>
      </c>
      <c r="C2132" s="1"/>
      <c r="D2132" s="1"/>
      <c r="E2132" s="1"/>
      <c r="F2132" s="1"/>
      <c r="G2132" s="1"/>
      <c r="H2132" s="1"/>
      <c r="I2132" s="1"/>
    </row>
    <row r="2133" ht="15.75" customHeight="1">
      <c r="A2133" s="1" t="s">
        <v>2198</v>
      </c>
      <c r="B2133" s="1" t="s">
        <v>2064</v>
      </c>
      <c r="C2133" s="1"/>
      <c r="D2133" s="1"/>
      <c r="E2133" s="1"/>
      <c r="F2133" s="1"/>
      <c r="G2133" s="1"/>
      <c r="H2133" s="1"/>
      <c r="I2133" s="1"/>
    </row>
    <row r="2134" ht="15.75" customHeight="1">
      <c r="A2134" s="1" t="s">
        <v>2199</v>
      </c>
      <c r="B2134" s="1" t="s">
        <v>2064</v>
      </c>
      <c r="C2134" s="1"/>
      <c r="D2134" s="1"/>
      <c r="E2134" s="1"/>
      <c r="F2134" s="1"/>
      <c r="G2134" s="1"/>
      <c r="H2134" s="1"/>
      <c r="I2134" s="1"/>
    </row>
    <row r="2135" ht="15.75" customHeight="1">
      <c r="A2135" s="1" t="s">
        <v>2200</v>
      </c>
      <c r="B2135" s="1" t="s">
        <v>2064</v>
      </c>
      <c r="C2135" s="1"/>
      <c r="D2135" s="1"/>
      <c r="E2135" s="1"/>
      <c r="F2135" s="1"/>
      <c r="G2135" s="1"/>
      <c r="H2135" s="1"/>
      <c r="I2135" s="1"/>
    </row>
    <row r="2136" ht="15.75" customHeight="1">
      <c r="A2136" s="1" t="s">
        <v>2201</v>
      </c>
      <c r="B2136" s="1" t="s">
        <v>2064</v>
      </c>
      <c r="C2136" s="1"/>
      <c r="D2136" s="1"/>
      <c r="E2136" s="1"/>
      <c r="F2136" s="1"/>
      <c r="G2136" s="1"/>
      <c r="H2136" s="1"/>
      <c r="I2136" s="1"/>
    </row>
    <row r="2137" ht="15.75" customHeight="1">
      <c r="A2137" s="1" t="s">
        <v>2202</v>
      </c>
      <c r="B2137" s="1" t="s">
        <v>2064</v>
      </c>
      <c r="C2137" s="1"/>
      <c r="D2137" s="1"/>
      <c r="E2137" s="1"/>
      <c r="F2137" s="1"/>
      <c r="G2137" s="1"/>
      <c r="H2137" s="1"/>
      <c r="I2137" s="1"/>
    </row>
    <row r="2138" ht="15.75" customHeight="1">
      <c r="A2138" s="1" t="s">
        <v>2203</v>
      </c>
      <c r="B2138" s="1" t="s">
        <v>2064</v>
      </c>
      <c r="C2138" s="1"/>
      <c r="D2138" s="1"/>
      <c r="E2138" s="1"/>
      <c r="F2138" s="1"/>
      <c r="G2138" s="1"/>
      <c r="H2138" s="1"/>
      <c r="I2138" s="1"/>
    </row>
    <row r="2139" ht="15.75" customHeight="1">
      <c r="A2139" s="1" t="s">
        <v>2204</v>
      </c>
      <c r="B2139" s="1" t="s">
        <v>2064</v>
      </c>
      <c r="C2139" s="1"/>
      <c r="D2139" s="1"/>
      <c r="E2139" s="1"/>
      <c r="F2139" s="1"/>
      <c r="G2139" s="1"/>
      <c r="H2139" s="1"/>
      <c r="I2139" s="1"/>
    </row>
    <row r="2140" ht="15.75" customHeight="1">
      <c r="A2140" s="1" t="s">
        <v>2205</v>
      </c>
      <c r="B2140" s="1" t="s">
        <v>2064</v>
      </c>
      <c r="C2140" s="1"/>
      <c r="D2140" s="1"/>
      <c r="E2140" s="1"/>
      <c r="F2140" s="1"/>
      <c r="G2140" s="1"/>
      <c r="H2140" s="1"/>
      <c r="I2140" s="1"/>
    </row>
    <row r="2141" ht="15.75" customHeight="1">
      <c r="A2141" s="1" t="s">
        <v>2206</v>
      </c>
      <c r="B2141" s="1" t="s">
        <v>2064</v>
      </c>
      <c r="C2141" s="1"/>
      <c r="D2141" s="1"/>
      <c r="E2141" s="1"/>
      <c r="F2141" s="1"/>
      <c r="G2141" s="1"/>
      <c r="H2141" s="1"/>
      <c r="I2141" s="1"/>
    </row>
    <row r="2142" ht="15.75" customHeight="1">
      <c r="A2142" s="1" t="s">
        <v>2207</v>
      </c>
      <c r="B2142" s="1" t="s">
        <v>2064</v>
      </c>
      <c r="C2142" s="1"/>
      <c r="D2142" s="1"/>
      <c r="E2142" s="1"/>
      <c r="F2142" s="1"/>
      <c r="G2142" s="1"/>
      <c r="H2142" s="1"/>
      <c r="I2142" s="1"/>
    </row>
    <row r="2143" ht="15.75" customHeight="1">
      <c r="A2143" s="1" t="s">
        <v>2208</v>
      </c>
      <c r="B2143" s="1" t="s">
        <v>2064</v>
      </c>
      <c r="C2143" s="1"/>
      <c r="D2143" s="1"/>
      <c r="E2143" s="1"/>
      <c r="F2143" s="1"/>
      <c r="G2143" s="1"/>
      <c r="H2143" s="1"/>
      <c r="I2143" s="1"/>
    </row>
    <row r="2144" ht="15.75" customHeight="1">
      <c r="A2144" s="1" t="s">
        <v>2209</v>
      </c>
      <c r="B2144" s="1" t="s">
        <v>2064</v>
      </c>
      <c r="C2144" s="1"/>
      <c r="D2144" s="1"/>
      <c r="E2144" s="1"/>
      <c r="F2144" s="1"/>
      <c r="G2144" s="1"/>
      <c r="H2144" s="1"/>
      <c r="I2144" s="1"/>
    </row>
    <row r="2145" ht="15.75" customHeight="1">
      <c r="A2145" s="1" t="s">
        <v>2210</v>
      </c>
      <c r="B2145" s="1" t="s">
        <v>2064</v>
      </c>
      <c r="C2145" s="1"/>
      <c r="D2145" s="1"/>
      <c r="E2145" s="1"/>
      <c r="F2145" s="1"/>
      <c r="G2145" s="1"/>
      <c r="H2145" s="1"/>
      <c r="I2145" s="1"/>
    </row>
    <row r="2146" ht="15.75" customHeight="1">
      <c r="A2146" s="1" t="s">
        <v>2211</v>
      </c>
      <c r="B2146" s="1" t="s">
        <v>2064</v>
      </c>
      <c r="C2146" s="1"/>
      <c r="D2146" s="1"/>
      <c r="E2146" s="1"/>
      <c r="F2146" s="1"/>
      <c r="G2146" s="1"/>
      <c r="H2146" s="1"/>
      <c r="I2146" s="1"/>
    </row>
    <row r="2147" ht="15.75" customHeight="1">
      <c r="A2147" s="1" t="s">
        <v>2212</v>
      </c>
      <c r="B2147" s="1" t="s">
        <v>2064</v>
      </c>
      <c r="C2147" s="1"/>
      <c r="D2147" s="1"/>
      <c r="E2147" s="1"/>
      <c r="F2147" s="1"/>
      <c r="G2147" s="1"/>
      <c r="H2147" s="1"/>
      <c r="I2147" s="1"/>
    </row>
    <row r="2148" ht="15.75" customHeight="1">
      <c r="A2148" s="1" t="s">
        <v>2213</v>
      </c>
      <c r="B2148" s="1" t="s">
        <v>2064</v>
      </c>
      <c r="C2148" s="1"/>
      <c r="D2148" s="1"/>
      <c r="E2148" s="1"/>
      <c r="F2148" s="1"/>
      <c r="G2148" s="1"/>
      <c r="H2148" s="1"/>
      <c r="I2148" s="1"/>
    </row>
    <row r="2149" ht="15.75" customHeight="1">
      <c r="A2149" s="1" t="s">
        <v>2214</v>
      </c>
      <c r="B2149" s="1" t="s">
        <v>2064</v>
      </c>
      <c r="C2149" s="1"/>
      <c r="D2149" s="1"/>
      <c r="E2149" s="1"/>
      <c r="F2149" s="1"/>
      <c r="G2149" s="1"/>
      <c r="H2149" s="1"/>
      <c r="I2149" s="1"/>
    </row>
    <row r="2150" ht="15.75" customHeight="1">
      <c r="A2150" s="1" t="s">
        <v>2215</v>
      </c>
      <c r="B2150" s="1" t="s">
        <v>2064</v>
      </c>
      <c r="C2150" s="1"/>
      <c r="D2150" s="1"/>
      <c r="E2150" s="1"/>
      <c r="F2150" s="1"/>
      <c r="G2150" s="1"/>
      <c r="H2150" s="1"/>
      <c r="I2150" s="1"/>
    </row>
    <row r="2151" ht="15.75" customHeight="1">
      <c r="A2151" s="1" t="s">
        <v>2216</v>
      </c>
      <c r="B2151" s="1" t="s">
        <v>2064</v>
      </c>
      <c r="C2151" s="1"/>
      <c r="D2151" s="1"/>
      <c r="E2151" s="1"/>
      <c r="F2151" s="1"/>
      <c r="G2151" s="1"/>
      <c r="H2151" s="1"/>
      <c r="I2151" s="1"/>
    </row>
    <row r="2152" ht="15.75" customHeight="1">
      <c r="A2152" s="1" t="s">
        <v>2217</v>
      </c>
      <c r="B2152" s="1" t="s">
        <v>2064</v>
      </c>
      <c r="C2152" s="1"/>
      <c r="D2152" s="1"/>
      <c r="E2152" s="1"/>
      <c r="F2152" s="1"/>
      <c r="G2152" s="1"/>
      <c r="H2152" s="1"/>
      <c r="I2152" s="1"/>
    </row>
    <row r="2153" ht="15.75" customHeight="1">
      <c r="A2153" s="1" t="s">
        <v>2218</v>
      </c>
      <c r="B2153" s="1" t="s">
        <v>2064</v>
      </c>
      <c r="C2153" s="1"/>
      <c r="D2153" s="1"/>
      <c r="E2153" s="1"/>
      <c r="F2153" s="1"/>
      <c r="G2153" s="1"/>
      <c r="H2153" s="1"/>
      <c r="I2153" s="1"/>
    </row>
    <row r="2154" ht="15.75" customHeight="1">
      <c r="A2154" s="1" t="s">
        <v>2219</v>
      </c>
      <c r="B2154" s="1" t="s">
        <v>2064</v>
      </c>
      <c r="C2154" s="1"/>
      <c r="D2154" s="1"/>
      <c r="E2154" s="1"/>
      <c r="F2154" s="1"/>
      <c r="G2154" s="1"/>
      <c r="H2154" s="1"/>
      <c r="I2154" s="1"/>
    </row>
    <row r="2155" ht="15.75" customHeight="1">
      <c r="A2155" s="1" t="s">
        <v>2220</v>
      </c>
      <c r="B2155" s="1" t="s">
        <v>2064</v>
      </c>
      <c r="C2155" s="1"/>
      <c r="D2155" s="1"/>
      <c r="E2155" s="1"/>
      <c r="F2155" s="1"/>
      <c r="G2155" s="1"/>
      <c r="H2155" s="1"/>
      <c r="I2155" s="1"/>
    </row>
    <row r="2156" ht="15.75" customHeight="1">
      <c r="A2156" s="1" t="s">
        <v>2221</v>
      </c>
      <c r="B2156" s="1" t="s">
        <v>2064</v>
      </c>
      <c r="C2156" s="1"/>
      <c r="D2156" s="1"/>
      <c r="E2156" s="1"/>
      <c r="F2156" s="1"/>
      <c r="G2156" s="1"/>
      <c r="H2156" s="1"/>
      <c r="I2156" s="1"/>
    </row>
    <row r="2157" ht="15.75" customHeight="1">
      <c r="A2157" s="1" t="s">
        <v>2222</v>
      </c>
      <c r="B2157" s="1" t="s">
        <v>2064</v>
      </c>
      <c r="C2157" s="1"/>
      <c r="D2157" s="1"/>
      <c r="E2157" s="1"/>
      <c r="F2157" s="1"/>
      <c r="G2157" s="1"/>
      <c r="H2157" s="1"/>
      <c r="I2157" s="1"/>
    </row>
    <row r="2158" ht="15.75" customHeight="1">
      <c r="A2158" s="1" t="s">
        <v>2223</v>
      </c>
      <c r="B2158" s="1" t="s">
        <v>2064</v>
      </c>
      <c r="C2158" s="1"/>
      <c r="D2158" s="1"/>
      <c r="E2158" s="1"/>
      <c r="F2158" s="1"/>
      <c r="G2158" s="1"/>
      <c r="H2158" s="1"/>
      <c r="I2158" s="1"/>
    </row>
    <row r="2159" ht="15.75" customHeight="1">
      <c r="A2159" s="1" t="s">
        <v>2224</v>
      </c>
      <c r="B2159" s="1" t="s">
        <v>2064</v>
      </c>
      <c r="C2159" s="1"/>
      <c r="D2159" s="1"/>
      <c r="E2159" s="1"/>
      <c r="F2159" s="1"/>
      <c r="G2159" s="1"/>
      <c r="H2159" s="1"/>
      <c r="I2159" s="1"/>
    </row>
    <row r="2160" ht="15.75" customHeight="1">
      <c r="A2160" s="1" t="s">
        <v>2225</v>
      </c>
      <c r="B2160" s="1" t="s">
        <v>2064</v>
      </c>
      <c r="C2160" s="1"/>
      <c r="D2160" s="1"/>
      <c r="E2160" s="1"/>
      <c r="F2160" s="1"/>
      <c r="G2160" s="1"/>
      <c r="H2160" s="1"/>
      <c r="I2160" s="1"/>
    </row>
    <row r="2161" ht="15.75" customHeight="1">
      <c r="A2161" s="1" t="s">
        <v>2226</v>
      </c>
      <c r="B2161" s="1" t="s">
        <v>2064</v>
      </c>
      <c r="C2161" s="1"/>
      <c r="D2161" s="1"/>
      <c r="E2161" s="1"/>
      <c r="F2161" s="1"/>
      <c r="G2161" s="1"/>
      <c r="H2161" s="1"/>
      <c r="I2161" s="1"/>
    </row>
    <row r="2162" ht="15.75" customHeight="1">
      <c r="A2162" s="1" t="s">
        <v>2227</v>
      </c>
      <c r="B2162" s="1" t="s">
        <v>2064</v>
      </c>
      <c r="C2162" s="1"/>
      <c r="D2162" s="1"/>
      <c r="E2162" s="1"/>
      <c r="F2162" s="1"/>
      <c r="G2162" s="1"/>
      <c r="H2162" s="1"/>
      <c r="I2162" s="1"/>
    </row>
    <row r="2163" ht="15.75" customHeight="1">
      <c r="A2163" s="1" t="s">
        <v>2228</v>
      </c>
      <c r="B2163" s="1" t="s">
        <v>2064</v>
      </c>
      <c r="C2163" s="1"/>
      <c r="D2163" s="1"/>
      <c r="E2163" s="1"/>
      <c r="F2163" s="1"/>
      <c r="G2163" s="1"/>
      <c r="H2163" s="1"/>
      <c r="I2163" s="1"/>
    </row>
    <row r="2164" ht="15.75" customHeight="1">
      <c r="A2164" s="1" t="s">
        <v>2229</v>
      </c>
      <c r="B2164" s="1" t="s">
        <v>2064</v>
      </c>
      <c r="C2164" s="1"/>
      <c r="D2164" s="1"/>
      <c r="E2164" s="1"/>
      <c r="F2164" s="1"/>
      <c r="G2164" s="1"/>
      <c r="H2164" s="1"/>
      <c r="I2164" s="1"/>
    </row>
    <row r="2165" ht="15.75" customHeight="1">
      <c r="A2165" s="1" t="s">
        <v>2230</v>
      </c>
      <c r="B2165" s="1" t="s">
        <v>2064</v>
      </c>
      <c r="C2165" s="1"/>
      <c r="D2165" s="1"/>
      <c r="E2165" s="1"/>
      <c r="F2165" s="1"/>
      <c r="G2165" s="1"/>
      <c r="H2165" s="1"/>
      <c r="I2165" s="1"/>
    </row>
    <row r="2166" ht="15.75" customHeight="1">
      <c r="A2166" s="1" t="s">
        <v>2231</v>
      </c>
      <c r="B2166" s="1" t="s">
        <v>2064</v>
      </c>
      <c r="C2166" s="1"/>
      <c r="D2166" s="1"/>
      <c r="E2166" s="1"/>
      <c r="F2166" s="1"/>
      <c r="G2166" s="1"/>
      <c r="H2166" s="1"/>
      <c r="I2166" s="1"/>
    </row>
    <row r="2167" ht="15.75" customHeight="1">
      <c r="A2167" s="1" t="s">
        <v>2232</v>
      </c>
      <c r="B2167" s="1" t="s">
        <v>2064</v>
      </c>
      <c r="C2167" s="1"/>
      <c r="D2167" s="1"/>
      <c r="E2167" s="1"/>
      <c r="F2167" s="1"/>
      <c r="G2167" s="1"/>
      <c r="H2167" s="1"/>
      <c r="I2167" s="1"/>
    </row>
    <row r="2168" ht="15.75" customHeight="1">
      <c r="A2168" s="1" t="s">
        <v>2233</v>
      </c>
      <c r="B2168" s="1" t="s">
        <v>2064</v>
      </c>
      <c r="C2168" s="1"/>
      <c r="D2168" s="1"/>
      <c r="E2168" s="1"/>
      <c r="F2168" s="1"/>
      <c r="G2168" s="1"/>
      <c r="H2168" s="1"/>
      <c r="I2168" s="1"/>
    </row>
    <row r="2169" ht="15.75" customHeight="1">
      <c r="A2169" s="1" t="s">
        <v>2234</v>
      </c>
      <c r="B2169" s="1" t="s">
        <v>2064</v>
      </c>
      <c r="C2169" s="1"/>
      <c r="D2169" s="1"/>
      <c r="E2169" s="1"/>
      <c r="F2169" s="1"/>
      <c r="G2169" s="1"/>
      <c r="H2169" s="1"/>
      <c r="I2169" s="1"/>
    </row>
    <row r="2170" ht="15.75" customHeight="1">
      <c r="A2170" s="1" t="s">
        <v>2235</v>
      </c>
      <c r="B2170" s="1" t="s">
        <v>2064</v>
      </c>
      <c r="C2170" s="1"/>
      <c r="D2170" s="1"/>
      <c r="E2170" s="1"/>
      <c r="F2170" s="1"/>
      <c r="G2170" s="1"/>
      <c r="H2170" s="1"/>
      <c r="I2170" s="1"/>
    </row>
    <row r="2171" ht="15.75" customHeight="1">
      <c r="A2171" s="1" t="s">
        <v>2236</v>
      </c>
      <c r="B2171" s="1" t="s">
        <v>2064</v>
      </c>
      <c r="C2171" s="1"/>
      <c r="D2171" s="1"/>
      <c r="E2171" s="1"/>
      <c r="F2171" s="1"/>
      <c r="G2171" s="1"/>
      <c r="H2171" s="1"/>
      <c r="I2171" s="1"/>
    </row>
    <row r="2172" ht="15.75" customHeight="1">
      <c r="A2172" s="1" t="s">
        <v>2237</v>
      </c>
      <c r="B2172" s="1" t="s">
        <v>2064</v>
      </c>
      <c r="C2172" s="1"/>
      <c r="D2172" s="1"/>
      <c r="E2172" s="1"/>
      <c r="F2172" s="1"/>
      <c r="G2172" s="1"/>
      <c r="H2172" s="1"/>
      <c r="I2172" s="1"/>
    </row>
    <row r="2173" ht="15.75" customHeight="1">
      <c r="A2173" s="1" t="s">
        <v>2238</v>
      </c>
      <c r="B2173" s="1" t="s">
        <v>2064</v>
      </c>
      <c r="C2173" s="1"/>
      <c r="D2173" s="1"/>
      <c r="E2173" s="1"/>
      <c r="F2173" s="1"/>
      <c r="G2173" s="1"/>
      <c r="H2173" s="1"/>
      <c r="I2173" s="1"/>
    </row>
    <row r="2174" ht="15.75" customHeight="1">
      <c r="A2174" s="1" t="s">
        <v>2239</v>
      </c>
      <c r="B2174" s="1" t="s">
        <v>2064</v>
      </c>
      <c r="C2174" s="1"/>
      <c r="D2174" s="1"/>
      <c r="E2174" s="1"/>
      <c r="F2174" s="1"/>
      <c r="G2174" s="1"/>
      <c r="H2174" s="1"/>
      <c r="I2174" s="1"/>
    </row>
    <row r="2175" ht="15.75" customHeight="1">
      <c r="A2175" s="1" t="s">
        <v>2240</v>
      </c>
      <c r="B2175" s="1" t="s">
        <v>2064</v>
      </c>
      <c r="C2175" s="1"/>
      <c r="D2175" s="1"/>
      <c r="E2175" s="1"/>
      <c r="F2175" s="1"/>
      <c r="G2175" s="1"/>
      <c r="H2175" s="1"/>
      <c r="I2175" s="1"/>
    </row>
    <row r="2176" ht="15.75" customHeight="1">
      <c r="A2176" s="1" t="s">
        <v>2241</v>
      </c>
      <c r="B2176" s="1" t="s">
        <v>2064</v>
      </c>
      <c r="C2176" s="1"/>
      <c r="D2176" s="1"/>
      <c r="E2176" s="1"/>
      <c r="F2176" s="1"/>
      <c r="G2176" s="1"/>
      <c r="H2176" s="1"/>
      <c r="I2176" s="1"/>
    </row>
    <row r="2177" ht="15.75" customHeight="1">
      <c r="A2177" s="1" t="s">
        <v>2242</v>
      </c>
      <c r="B2177" s="1" t="s">
        <v>2064</v>
      </c>
      <c r="C2177" s="1"/>
      <c r="D2177" s="1"/>
      <c r="E2177" s="1"/>
      <c r="F2177" s="1"/>
      <c r="G2177" s="1"/>
      <c r="H2177" s="1"/>
      <c r="I2177" s="1"/>
    </row>
    <row r="2178" ht="15.75" customHeight="1">
      <c r="A2178" s="1" t="s">
        <v>2243</v>
      </c>
      <c r="B2178" s="1" t="s">
        <v>2064</v>
      </c>
      <c r="C2178" s="1"/>
      <c r="D2178" s="1"/>
      <c r="E2178" s="1"/>
      <c r="F2178" s="1"/>
      <c r="G2178" s="1"/>
      <c r="H2178" s="1"/>
      <c r="I2178" s="1"/>
    </row>
    <row r="2179" ht="15.75" customHeight="1">
      <c r="A2179" s="1" t="s">
        <v>2244</v>
      </c>
      <c r="B2179" s="1" t="s">
        <v>2064</v>
      </c>
      <c r="C2179" s="1"/>
      <c r="D2179" s="1"/>
      <c r="E2179" s="1"/>
      <c r="F2179" s="1"/>
      <c r="G2179" s="1"/>
      <c r="H2179" s="1"/>
      <c r="I2179" s="1"/>
    </row>
    <row r="2180" ht="15.75" customHeight="1">
      <c r="A2180" s="1" t="s">
        <v>2245</v>
      </c>
      <c r="B2180" s="1" t="s">
        <v>2064</v>
      </c>
      <c r="C2180" s="1"/>
      <c r="D2180" s="1"/>
      <c r="E2180" s="1"/>
      <c r="F2180" s="1"/>
      <c r="G2180" s="1"/>
      <c r="H2180" s="1"/>
      <c r="I2180" s="1"/>
    </row>
    <row r="2181" ht="15.75" customHeight="1">
      <c r="A2181" s="1" t="s">
        <v>2246</v>
      </c>
      <c r="B2181" s="1" t="s">
        <v>2064</v>
      </c>
      <c r="C2181" s="1"/>
      <c r="D2181" s="1"/>
      <c r="E2181" s="1"/>
      <c r="F2181" s="1"/>
      <c r="G2181" s="1"/>
      <c r="H2181" s="1"/>
      <c r="I2181" s="1"/>
    </row>
    <row r="2182" ht="15.75" customHeight="1">
      <c r="A2182" s="1" t="s">
        <v>2247</v>
      </c>
      <c r="B2182" s="1" t="s">
        <v>2064</v>
      </c>
      <c r="C2182" s="1"/>
      <c r="D2182" s="1"/>
      <c r="E2182" s="1"/>
      <c r="F2182" s="1"/>
      <c r="G2182" s="1"/>
      <c r="H2182" s="1"/>
      <c r="I2182" s="1"/>
    </row>
    <row r="2183" ht="15.75" customHeight="1">
      <c r="A2183" s="1" t="s">
        <v>2248</v>
      </c>
      <c r="B2183" s="1" t="s">
        <v>2064</v>
      </c>
      <c r="C2183" s="1"/>
      <c r="D2183" s="1"/>
      <c r="E2183" s="1"/>
      <c r="F2183" s="1"/>
      <c r="G2183" s="1"/>
      <c r="H2183" s="1"/>
      <c r="I2183" s="1"/>
    </row>
    <row r="2184" ht="15.75" customHeight="1">
      <c r="A2184" s="1" t="s">
        <v>2249</v>
      </c>
      <c r="B2184" s="1" t="s">
        <v>2064</v>
      </c>
      <c r="C2184" s="1"/>
      <c r="D2184" s="1"/>
      <c r="E2184" s="1"/>
      <c r="F2184" s="1"/>
      <c r="G2184" s="1"/>
      <c r="H2184" s="1"/>
      <c r="I2184" s="1"/>
    </row>
    <row r="2185" ht="15.75" customHeight="1">
      <c r="A2185" s="1" t="s">
        <v>2250</v>
      </c>
      <c r="B2185" s="1" t="s">
        <v>2064</v>
      </c>
      <c r="C2185" s="1"/>
      <c r="D2185" s="1"/>
      <c r="E2185" s="1"/>
      <c r="F2185" s="1"/>
      <c r="G2185" s="1"/>
      <c r="H2185" s="1"/>
      <c r="I2185" s="1"/>
    </row>
    <row r="2186" ht="15.75" customHeight="1">
      <c r="A2186" s="1" t="s">
        <v>2251</v>
      </c>
      <c r="B2186" s="1" t="s">
        <v>2064</v>
      </c>
      <c r="C2186" s="1"/>
      <c r="D2186" s="1"/>
      <c r="E2186" s="1"/>
      <c r="F2186" s="1"/>
      <c r="G2186" s="1"/>
      <c r="H2186" s="1"/>
      <c r="I2186" s="1"/>
    </row>
    <row r="2187" ht="15.75" customHeight="1">
      <c r="A2187" s="1" t="s">
        <v>2252</v>
      </c>
      <c r="B2187" s="1" t="s">
        <v>2064</v>
      </c>
      <c r="C2187" s="1"/>
      <c r="D2187" s="1"/>
      <c r="E2187" s="1"/>
      <c r="F2187" s="1"/>
      <c r="G2187" s="1"/>
      <c r="H2187" s="1"/>
      <c r="I2187" s="1"/>
    </row>
    <row r="2188" ht="15.75" customHeight="1">
      <c r="A2188" s="1" t="s">
        <v>2253</v>
      </c>
      <c r="B2188" s="1" t="s">
        <v>2064</v>
      </c>
      <c r="C2188" s="1"/>
      <c r="D2188" s="1"/>
      <c r="E2188" s="1"/>
      <c r="F2188" s="1"/>
      <c r="G2188" s="1"/>
      <c r="H2188" s="1"/>
      <c r="I2188" s="1"/>
    </row>
    <row r="2189" ht="15.75" customHeight="1">
      <c r="A2189" s="1" t="s">
        <v>2254</v>
      </c>
      <c r="B2189" s="1" t="s">
        <v>2064</v>
      </c>
      <c r="C2189" s="1"/>
      <c r="D2189" s="1"/>
      <c r="E2189" s="1"/>
      <c r="F2189" s="1"/>
      <c r="G2189" s="1"/>
      <c r="H2189" s="1"/>
      <c r="I2189" s="1"/>
    </row>
    <row r="2190" ht="15.75" customHeight="1">
      <c r="A2190" s="1" t="s">
        <v>2255</v>
      </c>
      <c r="B2190" s="1" t="s">
        <v>2064</v>
      </c>
      <c r="C2190" s="1"/>
      <c r="D2190" s="1"/>
      <c r="E2190" s="1"/>
      <c r="F2190" s="1"/>
      <c r="G2190" s="1"/>
      <c r="H2190" s="1"/>
      <c r="I2190" s="1"/>
    </row>
    <row r="2191" ht="15.75" customHeight="1">
      <c r="A2191" s="1" t="s">
        <v>2256</v>
      </c>
      <c r="B2191" s="1" t="s">
        <v>2064</v>
      </c>
      <c r="C2191" s="1"/>
      <c r="D2191" s="1"/>
      <c r="E2191" s="1"/>
      <c r="F2191" s="1"/>
      <c r="G2191" s="1"/>
      <c r="H2191" s="1"/>
      <c r="I2191" s="1"/>
    </row>
    <row r="2192" ht="15.75" customHeight="1">
      <c r="A2192" s="1" t="s">
        <v>2257</v>
      </c>
      <c r="B2192" s="1" t="s">
        <v>2064</v>
      </c>
      <c r="C2192" s="1"/>
      <c r="D2192" s="1"/>
      <c r="E2192" s="1"/>
      <c r="F2192" s="1"/>
      <c r="G2192" s="1"/>
      <c r="H2192" s="1"/>
      <c r="I2192" s="1"/>
    </row>
    <row r="2193" ht="15.75" customHeight="1">
      <c r="A2193" s="1" t="s">
        <v>2258</v>
      </c>
      <c r="B2193" s="1" t="s">
        <v>2064</v>
      </c>
      <c r="C2193" s="1"/>
      <c r="D2193" s="1"/>
      <c r="E2193" s="1"/>
      <c r="F2193" s="1"/>
      <c r="G2193" s="1"/>
      <c r="H2193" s="1"/>
      <c r="I2193" s="1"/>
    </row>
    <row r="2194" ht="15.75" customHeight="1">
      <c r="A2194" s="1" t="s">
        <v>2259</v>
      </c>
      <c r="B2194" s="1" t="s">
        <v>2064</v>
      </c>
      <c r="C2194" s="1"/>
      <c r="D2194" s="1"/>
      <c r="E2194" s="1"/>
      <c r="F2194" s="1"/>
      <c r="G2194" s="1"/>
      <c r="H2194" s="1"/>
      <c r="I2194" s="1"/>
    </row>
    <row r="2195" ht="15.75" customHeight="1">
      <c r="A2195" s="1" t="s">
        <v>2260</v>
      </c>
      <c r="B2195" s="1" t="s">
        <v>2064</v>
      </c>
      <c r="C2195" s="1"/>
      <c r="D2195" s="1"/>
      <c r="E2195" s="1"/>
      <c r="F2195" s="1"/>
      <c r="G2195" s="1"/>
      <c r="H2195" s="1"/>
      <c r="I2195" s="1"/>
    </row>
    <row r="2196" ht="15.75" customHeight="1">
      <c r="A2196" s="1" t="s">
        <v>2261</v>
      </c>
      <c r="B2196" s="1" t="s">
        <v>2064</v>
      </c>
      <c r="C2196" s="1"/>
      <c r="D2196" s="1"/>
      <c r="E2196" s="1"/>
      <c r="F2196" s="1"/>
      <c r="G2196" s="1"/>
      <c r="H2196" s="1"/>
      <c r="I2196" s="1"/>
    </row>
    <row r="2197" ht="15.75" customHeight="1">
      <c r="A2197" s="1" t="s">
        <v>2262</v>
      </c>
      <c r="B2197" s="1" t="s">
        <v>2064</v>
      </c>
      <c r="C2197" s="1"/>
      <c r="D2197" s="1"/>
      <c r="E2197" s="1"/>
      <c r="F2197" s="1"/>
      <c r="G2197" s="1"/>
      <c r="H2197" s="1"/>
      <c r="I2197" s="1"/>
    </row>
    <row r="2198" ht="15.75" customHeight="1">
      <c r="A2198" s="1" t="s">
        <v>2263</v>
      </c>
      <c r="B2198" s="1" t="s">
        <v>2064</v>
      </c>
      <c r="C2198" s="1"/>
      <c r="D2198" s="1"/>
      <c r="E2198" s="1"/>
      <c r="F2198" s="1"/>
      <c r="G2198" s="1"/>
      <c r="H2198" s="1"/>
      <c r="I2198" s="1"/>
    </row>
    <row r="2199" ht="15.75" customHeight="1">
      <c r="A2199" s="1" t="s">
        <v>2264</v>
      </c>
      <c r="B2199" s="1" t="s">
        <v>2064</v>
      </c>
      <c r="C2199" s="1"/>
      <c r="D2199" s="1"/>
      <c r="E2199" s="1"/>
      <c r="F2199" s="1"/>
      <c r="G2199" s="1"/>
      <c r="H2199" s="1"/>
      <c r="I2199" s="1"/>
    </row>
    <row r="2200" ht="15.75" customHeight="1">
      <c r="A2200" s="1" t="s">
        <v>2265</v>
      </c>
      <c r="B2200" s="1" t="s">
        <v>2064</v>
      </c>
      <c r="C2200" s="1"/>
      <c r="D2200" s="1"/>
      <c r="E2200" s="1"/>
      <c r="F2200" s="1"/>
      <c r="G2200" s="1"/>
      <c r="H2200" s="1"/>
      <c r="I2200" s="1"/>
    </row>
    <row r="2201" ht="15.75" customHeight="1">
      <c r="A2201" s="1" t="s">
        <v>2266</v>
      </c>
      <c r="B2201" s="1" t="s">
        <v>2064</v>
      </c>
      <c r="C2201" s="1"/>
      <c r="D2201" s="1"/>
      <c r="E2201" s="1"/>
      <c r="F2201" s="1"/>
      <c r="G2201" s="1"/>
      <c r="H2201" s="1"/>
      <c r="I2201" s="1"/>
    </row>
    <row r="2202" ht="15.75" customHeight="1">
      <c r="A2202" s="1" t="s">
        <v>2267</v>
      </c>
      <c r="B2202" s="1" t="s">
        <v>2064</v>
      </c>
      <c r="C2202" s="1"/>
      <c r="D2202" s="1"/>
      <c r="E2202" s="1"/>
      <c r="F2202" s="1"/>
      <c r="G2202" s="1"/>
      <c r="H2202" s="1"/>
      <c r="I2202" s="1"/>
    </row>
    <row r="2203" ht="15.75" customHeight="1">
      <c r="A2203" s="1" t="s">
        <v>2268</v>
      </c>
      <c r="B2203" s="1" t="s">
        <v>2064</v>
      </c>
      <c r="C2203" s="1"/>
      <c r="D2203" s="1"/>
      <c r="E2203" s="1"/>
      <c r="F2203" s="1"/>
      <c r="G2203" s="1"/>
      <c r="H2203" s="1"/>
      <c r="I2203" s="1"/>
    </row>
    <row r="2204" ht="15.75" customHeight="1">
      <c r="A2204" s="1" t="s">
        <v>2269</v>
      </c>
      <c r="B2204" s="1" t="s">
        <v>2064</v>
      </c>
      <c r="C2204" s="1"/>
      <c r="D2204" s="1"/>
      <c r="E2204" s="1"/>
      <c r="F2204" s="1"/>
      <c r="G2204" s="1"/>
      <c r="H2204" s="1"/>
      <c r="I2204" s="1"/>
    </row>
    <row r="2205" ht="15.75" customHeight="1">
      <c r="A2205" s="1" t="s">
        <v>2270</v>
      </c>
      <c r="B2205" s="1" t="s">
        <v>2064</v>
      </c>
      <c r="C2205" s="1"/>
      <c r="D2205" s="1"/>
      <c r="E2205" s="1"/>
      <c r="F2205" s="1"/>
      <c r="G2205" s="1"/>
      <c r="H2205" s="1"/>
      <c r="I2205" s="1"/>
    </row>
    <row r="2206" ht="15.75" customHeight="1">
      <c r="A2206" s="1" t="s">
        <v>2271</v>
      </c>
      <c r="B2206" s="1" t="s">
        <v>2064</v>
      </c>
      <c r="C2206" s="1"/>
      <c r="D2206" s="1"/>
      <c r="E2206" s="1"/>
      <c r="F2206" s="1"/>
      <c r="G2206" s="1"/>
      <c r="H2206" s="1"/>
      <c r="I2206" s="1"/>
    </row>
    <row r="2207" ht="15.75" customHeight="1">
      <c r="A2207" s="1" t="s">
        <v>2272</v>
      </c>
      <c r="B2207" s="1" t="s">
        <v>2064</v>
      </c>
      <c r="C2207" s="1"/>
      <c r="D2207" s="1"/>
      <c r="E2207" s="1"/>
      <c r="F2207" s="1"/>
      <c r="G2207" s="1"/>
      <c r="H2207" s="1"/>
      <c r="I2207" s="1"/>
    </row>
    <row r="2208" ht="15.75" customHeight="1">
      <c r="A2208" s="1" t="s">
        <v>2273</v>
      </c>
      <c r="B2208" s="1" t="s">
        <v>2064</v>
      </c>
      <c r="C2208" s="1"/>
      <c r="D2208" s="1"/>
      <c r="E2208" s="1"/>
      <c r="F2208" s="1"/>
      <c r="G2208" s="1"/>
      <c r="H2208" s="1"/>
      <c r="I2208" s="1"/>
    </row>
    <row r="2209" ht="15.75" customHeight="1">
      <c r="A2209" s="1" t="s">
        <v>2274</v>
      </c>
      <c r="B2209" s="1" t="s">
        <v>2064</v>
      </c>
      <c r="C2209" s="1"/>
      <c r="D2209" s="1"/>
      <c r="E2209" s="1"/>
      <c r="F2209" s="1"/>
      <c r="G2209" s="1"/>
      <c r="H2209" s="1"/>
      <c r="I2209" s="1"/>
    </row>
    <row r="2210" ht="15.75" customHeight="1">
      <c r="A2210" s="1" t="s">
        <v>2275</v>
      </c>
      <c r="B2210" s="1" t="s">
        <v>2064</v>
      </c>
      <c r="C2210" s="1"/>
      <c r="D2210" s="1"/>
      <c r="E2210" s="1"/>
      <c r="F2210" s="1"/>
      <c r="G2210" s="1"/>
      <c r="H2210" s="1"/>
      <c r="I2210" s="1"/>
    </row>
    <row r="2211" ht="15.75" customHeight="1">
      <c r="A2211" s="1" t="s">
        <v>2276</v>
      </c>
      <c r="B2211" s="1" t="s">
        <v>2064</v>
      </c>
      <c r="C2211" s="1"/>
      <c r="D2211" s="1"/>
      <c r="E2211" s="1"/>
      <c r="F2211" s="1"/>
      <c r="G2211" s="1"/>
      <c r="H2211" s="1"/>
      <c r="I2211" s="1"/>
    </row>
    <row r="2212" ht="15.75" customHeight="1">
      <c r="A2212" s="1" t="s">
        <v>2277</v>
      </c>
      <c r="B2212" s="1" t="s">
        <v>2064</v>
      </c>
      <c r="C2212" s="1"/>
      <c r="D2212" s="1"/>
      <c r="E2212" s="1"/>
      <c r="F2212" s="1"/>
      <c r="G2212" s="1"/>
      <c r="H2212" s="1"/>
      <c r="I2212" s="1"/>
    </row>
    <row r="2213" ht="15.75" customHeight="1">
      <c r="A2213" s="1" t="s">
        <v>2278</v>
      </c>
      <c r="B2213" s="1" t="s">
        <v>2064</v>
      </c>
      <c r="C2213" s="1"/>
      <c r="D2213" s="1"/>
      <c r="E2213" s="1"/>
      <c r="F2213" s="1"/>
      <c r="G2213" s="1"/>
      <c r="H2213" s="1"/>
      <c r="I2213" s="1"/>
    </row>
    <row r="2214" ht="15.75" customHeight="1">
      <c r="A2214" s="1" t="s">
        <v>2279</v>
      </c>
      <c r="B2214" s="1" t="s">
        <v>2064</v>
      </c>
      <c r="C2214" s="1"/>
      <c r="D2214" s="1"/>
      <c r="E2214" s="1"/>
      <c r="F2214" s="1"/>
      <c r="G2214" s="1"/>
      <c r="H2214" s="1"/>
      <c r="I2214" s="1"/>
    </row>
    <row r="2215" ht="15.75" customHeight="1">
      <c r="A2215" s="1" t="s">
        <v>2280</v>
      </c>
      <c r="B2215" s="1" t="s">
        <v>2064</v>
      </c>
      <c r="C2215" s="1"/>
      <c r="D2215" s="1"/>
      <c r="E2215" s="1"/>
      <c r="F2215" s="1"/>
      <c r="G2215" s="1"/>
      <c r="H2215" s="1"/>
      <c r="I2215" s="1"/>
    </row>
    <row r="2216" ht="15.75" customHeight="1">
      <c r="A2216" s="1" t="s">
        <v>2281</v>
      </c>
      <c r="B2216" s="1" t="s">
        <v>2064</v>
      </c>
      <c r="C2216" s="1"/>
      <c r="D2216" s="1"/>
      <c r="E2216" s="1"/>
      <c r="F2216" s="1"/>
      <c r="G2216" s="1"/>
      <c r="H2216" s="1"/>
      <c r="I2216" s="1"/>
    </row>
    <row r="2217" ht="15.75" customHeight="1">
      <c r="A2217" s="1" t="s">
        <v>2282</v>
      </c>
      <c r="B2217" s="1" t="s">
        <v>2064</v>
      </c>
      <c r="C2217" s="1"/>
      <c r="D2217" s="1"/>
      <c r="E2217" s="1"/>
      <c r="F2217" s="1"/>
      <c r="G2217" s="1"/>
      <c r="H2217" s="1"/>
      <c r="I2217" s="1"/>
    </row>
    <row r="2218" ht="15.75" customHeight="1">
      <c r="A2218" s="1" t="s">
        <v>2283</v>
      </c>
      <c r="B2218" s="1" t="s">
        <v>2064</v>
      </c>
      <c r="C2218" s="1"/>
      <c r="D2218" s="1"/>
      <c r="E2218" s="1"/>
      <c r="F2218" s="1"/>
      <c r="G2218" s="1"/>
      <c r="H2218" s="1"/>
      <c r="I2218" s="1"/>
    </row>
    <row r="2219" ht="15.75" customHeight="1">
      <c r="A2219" s="1" t="s">
        <v>2284</v>
      </c>
      <c r="B2219" s="1" t="s">
        <v>2064</v>
      </c>
      <c r="C2219" s="1"/>
      <c r="D2219" s="1"/>
      <c r="E2219" s="1"/>
      <c r="F2219" s="1"/>
      <c r="G2219" s="1"/>
      <c r="H2219" s="1"/>
      <c r="I2219" s="1"/>
    </row>
    <row r="2220" ht="15.75" customHeight="1">
      <c r="A2220" s="1" t="s">
        <v>2285</v>
      </c>
      <c r="B2220" s="1" t="s">
        <v>2064</v>
      </c>
      <c r="C2220" s="1"/>
      <c r="D2220" s="1"/>
      <c r="E2220" s="1"/>
      <c r="F2220" s="1"/>
      <c r="G2220" s="1"/>
      <c r="H2220" s="1"/>
      <c r="I2220" s="1"/>
    </row>
    <row r="2221" ht="15.75" customHeight="1">
      <c r="A2221" s="1" t="s">
        <v>2286</v>
      </c>
      <c r="B2221" s="1" t="s">
        <v>2064</v>
      </c>
      <c r="C2221" s="1"/>
      <c r="D2221" s="1"/>
      <c r="E2221" s="1"/>
      <c r="F2221" s="1"/>
      <c r="G2221" s="1"/>
      <c r="H2221" s="1"/>
      <c r="I2221" s="1"/>
    </row>
    <row r="2222" ht="15.75" customHeight="1">
      <c r="A2222" s="1" t="s">
        <v>2287</v>
      </c>
      <c r="B2222" s="1" t="s">
        <v>2064</v>
      </c>
      <c r="C2222" s="1"/>
      <c r="D2222" s="1"/>
      <c r="E2222" s="1"/>
      <c r="F2222" s="1"/>
      <c r="G2222" s="1"/>
      <c r="H2222" s="1"/>
      <c r="I2222" s="1"/>
    </row>
    <row r="2223" ht="15.75" customHeight="1">
      <c r="A2223" s="1" t="s">
        <v>2288</v>
      </c>
      <c r="B2223" s="1" t="s">
        <v>2064</v>
      </c>
      <c r="C2223" s="1"/>
      <c r="D2223" s="1"/>
      <c r="E2223" s="1"/>
      <c r="F2223" s="1"/>
      <c r="G2223" s="1"/>
      <c r="H2223" s="1"/>
      <c r="I2223" s="1"/>
    </row>
    <row r="2224" ht="15.75" customHeight="1">
      <c r="A2224" s="1" t="s">
        <v>2289</v>
      </c>
      <c r="B2224" s="1" t="s">
        <v>2064</v>
      </c>
      <c r="C2224" s="1"/>
      <c r="D2224" s="1"/>
      <c r="E2224" s="1"/>
      <c r="F2224" s="1"/>
      <c r="G2224" s="1"/>
      <c r="H2224" s="1"/>
      <c r="I2224" s="1"/>
    </row>
    <row r="2225" ht="15.75" customHeight="1">
      <c r="A2225" s="1" t="s">
        <v>2290</v>
      </c>
      <c r="B2225" s="1" t="s">
        <v>2064</v>
      </c>
      <c r="C2225" s="1"/>
      <c r="D2225" s="1"/>
      <c r="E2225" s="1"/>
      <c r="F2225" s="1"/>
      <c r="G2225" s="1"/>
      <c r="H2225" s="1"/>
      <c r="I2225" s="1"/>
    </row>
    <row r="2226" ht="15.75" customHeight="1">
      <c r="A2226" s="1" t="s">
        <v>2291</v>
      </c>
      <c r="B2226" s="1" t="s">
        <v>2064</v>
      </c>
      <c r="C2226" s="1"/>
      <c r="D2226" s="1"/>
      <c r="E2226" s="1"/>
      <c r="F2226" s="1"/>
      <c r="G2226" s="1"/>
      <c r="H2226" s="1"/>
      <c r="I2226" s="1"/>
    </row>
    <row r="2227" ht="15.75" customHeight="1">
      <c r="A2227" s="1" t="s">
        <v>2292</v>
      </c>
      <c r="B2227" s="1" t="s">
        <v>2064</v>
      </c>
      <c r="C2227" s="1"/>
      <c r="D2227" s="1"/>
      <c r="E2227" s="1"/>
      <c r="F2227" s="1"/>
      <c r="G2227" s="1"/>
      <c r="H2227" s="1"/>
      <c r="I2227" s="1"/>
    </row>
    <row r="2228" ht="15.75" customHeight="1">
      <c r="A2228" s="1" t="s">
        <v>2293</v>
      </c>
      <c r="B2228" s="1" t="s">
        <v>2064</v>
      </c>
      <c r="C2228" s="1"/>
      <c r="D2228" s="1"/>
      <c r="E2228" s="1"/>
      <c r="F2228" s="1"/>
      <c r="G2228" s="1"/>
      <c r="H2228" s="1"/>
      <c r="I2228" s="1"/>
    </row>
    <row r="2229" ht="15.75" customHeight="1">
      <c r="A2229" s="1" t="s">
        <v>2294</v>
      </c>
      <c r="B2229" s="1" t="s">
        <v>2064</v>
      </c>
      <c r="C2229" s="1"/>
      <c r="D2229" s="1"/>
      <c r="E2229" s="1"/>
      <c r="F2229" s="1"/>
      <c r="G2229" s="1"/>
      <c r="H2229" s="1"/>
      <c r="I2229" s="1"/>
    </row>
    <row r="2230" ht="15.75" customHeight="1">
      <c r="A2230" s="1" t="s">
        <v>2295</v>
      </c>
      <c r="B2230" s="1" t="s">
        <v>2064</v>
      </c>
      <c r="C2230" s="1"/>
      <c r="D2230" s="1"/>
      <c r="E2230" s="1"/>
      <c r="F2230" s="1"/>
      <c r="G2230" s="1"/>
      <c r="H2230" s="1"/>
      <c r="I2230" s="1"/>
    </row>
    <row r="2231" ht="15.75" customHeight="1">
      <c r="A2231" s="1" t="s">
        <v>2296</v>
      </c>
      <c r="B2231" s="1" t="s">
        <v>2064</v>
      </c>
      <c r="C2231" s="1"/>
      <c r="D2231" s="1"/>
      <c r="E2231" s="1"/>
      <c r="F2231" s="1"/>
      <c r="G2231" s="1"/>
      <c r="H2231" s="1"/>
      <c r="I2231" s="1"/>
    </row>
    <row r="2232" ht="15.75" customHeight="1">
      <c r="A2232" s="1" t="s">
        <v>2297</v>
      </c>
      <c r="B2232" s="1" t="s">
        <v>2064</v>
      </c>
      <c r="C2232" s="1"/>
      <c r="D2232" s="1"/>
      <c r="E2232" s="1"/>
      <c r="F2232" s="1"/>
      <c r="G2232" s="1"/>
      <c r="H2232" s="1"/>
      <c r="I2232" s="1"/>
    </row>
    <row r="2233" ht="15.75" customHeight="1">
      <c r="A2233" s="1" t="s">
        <v>2298</v>
      </c>
      <c r="B2233" s="1" t="s">
        <v>2064</v>
      </c>
      <c r="C2233" s="1"/>
      <c r="D2233" s="1"/>
      <c r="E2233" s="1"/>
      <c r="F2233" s="1"/>
      <c r="G2233" s="1"/>
      <c r="H2233" s="1"/>
      <c r="I2233" s="1"/>
    </row>
    <row r="2234" ht="15.75" customHeight="1">
      <c r="A2234" s="1" t="s">
        <v>2299</v>
      </c>
      <c r="B2234" s="1" t="s">
        <v>2064</v>
      </c>
      <c r="C2234" s="1"/>
      <c r="D2234" s="1"/>
      <c r="E2234" s="1"/>
      <c r="F2234" s="1"/>
      <c r="G2234" s="1"/>
      <c r="H2234" s="1"/>
      <c r="I2234" s="1"/>
    </row>
    <row r="2235" ht="15.75" customHeight="1">
      <c r="A2235" s="1" t="s">
        <v>2300</v>
      </c>
      <c r="B2235" s="1" t="s">
        <v>2064</v>
      </c>
      <c r="C2235" s="1"/>
      <c r="D2235" s="1"/>
      <c r="E2235" s="1"/>
      <c r="F2235" s="1"/>
      <c r="G2235" s="1"/>
      <c r="H2235" s="1"/>
      <c r="I2235" s="1"/>
    </row>
    <row r="2236" ht="15.75" customHeight="1">
      <c r="A2236" s="1" t="s">
        <v>2301</v>
      </c>
      <c r="B2236" s="1" t="s">
        <v>2064</v>
      </c>
      <c r="C2236" s="1"/>
      <c r="D2236" s="1"/>
      <c r="E2236" s="1"/>
      <c r="F2236" s="1"/>
      <c r="G2236" s="1"/>
      <c r="H2236" s="1"/>
      <c r="I2236" s="1"/>
    </row>
    <row r="2237" ht="15.75" customHeight="1">
      <c r="A2237" s="1" t="s">
        <v>2302</v>
      </c>
      <c r="B2237" s="1" t="s">
        <v>2064</v>
      </c>
      <c r="C2237" s="1"/>
      <c r="D2237" s="1"/>
      <c r="E2237" s="1"/>
      <c r="F2237" s="1"/>
      <c r="G2237" s="1"/>
      <c r="H2237" s="1"/>
      <c r="I2237" s="1"/>
    </row>
    <row r="2238" ht="15.75" customHeight="1">
      <c r="A2238" s="1" t="s">
        <v>2303</v>
      </c>
      <c r="B2238" s="1" t="s">
        <v>2064</v>
      </c>
      <c r="C2238" s="1"/>
      <c r="D2238" s="1"/>
      <c r="E2238" s="1"/>
      <c r="F2238" s="1"/>
      <c r="G2238" s="1"/>
      <c r="H2238" s="1"/>
      <c r="I2238" s="1"/>
    </row>
    <row r="2239" ht="15.75" customHeight="1">
      <c r="A2239" s="1" t="s">
        <v>2304</v>
      </c>
      <c r="B2239" s="1" t="s">
        <v>2064</v>
      </c>
      <c r="C2239" s="1"/>
      <c r="D2239" s="1"/>
      <c r="E2239" s="1"/>
      <c r="F2239" s="1"/>
      <c r="G2239" s="1"/>
      <c r="H2239" s="1"/>
      <c r="I2239" s="1"/>
    </row>
    <row r="2240" ht="15.75" customHeight="1">
      <c r="A2240" s="1" t="s">
        <v>2305</v>
      </c>
      <c r="B2240" s="1" t="s">
        <v>2064</v>
      </c>
      <c r="C2240" s="1"/>
      <c r="D2240" s="1"/>
      <c r="E2240" s="1"/>
      <c r="F2240" s="1"/>
      <c r="G2240" s="1"/>
      <c r="H2240" s="1"/>
      <c r="I2240" s="1"/>
    </row>
    <row r="2241" ht="15.75" customHeight="1">
      <c r="A2241" s="1" t="s">
        <v>2306</v>
      </c>
      <c r="B2241" s="1" t="s">
        <v>2064</v>
      </c>
      <c r="C2241" s="1"/>
      <c r="D2241" s="1"/>
      <c r="E2241" s="1"/>
      <c r="F2241" s="1"/>
      <c r="G2241" s="1"/>
      <c r="H2241" s="1"/>
      <c r="I2241" s="1"/>
    </row>
    <row r="2242" ht="15.75" customHeight="1">
      <c r="A2242" s="1" t="s">
        <v>2307</v>
      </c>
      <c r="B2242" s="1" t="s">
        <v>2064</v>
      </c>
      <c r="C2242" s="1"/>
      <c r="D2242" s="1"/>
      <c r="E2242" s="1"/>
      <c r="F2242" s="1"/>
      <c r="G2242" s="1"/>
      <c r="H2242" s="1"/>
      <c r="I2242" s="1"/>
    </row>
    <row r="2243" ht="15.75" customHeight="1">
      <c r="A2243" s="1" t="s">
        <v>2308</v>
      </c>
      <c r="B2243" s="1" t="s">
        <v>2064</v>
      </c>
      <c r="C2243" s="1"/>
      <c r="D2243" s="1"/>
      <c r="E2243" s="1"/>
      <c r="F2243" s="1"/>
      <c r="G2243" s="1"/>
      <c r="H2243" s="1"/>
      <c r="I2243" s="1"/>
    </row>
    <row r="2244" ht="15.75" customHeight="1">
      <c r="A2244" s="1" t="s">
        <v>2309</v>
      </c>
      <c r="B2244" s="1" t="s">
        <v>2064</v>
      </c>
      <c r="C2244" s="1"/>
      <c r="D2244" s="1"/>
      <c r="E2244" s="1"/>
      <c r="F2244" s="1"/>
      <c r="G2244" s="1"/>
      <c r="H2244" s="1"/>
      <c r="I2244" s="1"/>
    </row>
    <row r="2245" ht="15.75" customHeight="1">
      <c r="A2245" s="1" t="s">
        <v>2310</v>
      </c>
      <c r="B2245" s="1" t="s">
        <v>2064</v>
      </c>
      <c r="C2245" s="1"/>
      <c r="D2245" s="1"/>
      <c r="E2245" s="1"/>
      <c r="F2245" s="1"/>
      <c r="G2245" s="1"/>
      <c r="H2245" s="1"/>
      <c r="I2245" s="1"/>
    </row>
    <row r="2246" ht="15.75" customHeight="1">
      <c r="A2246" s="1" t="s">
        <v>2311</v>
      </c>
      <c r="B2246" s="1" t="s">
        <v>2064</v>
      </c>
      <c r="C2246" s="1"/>
      <c r="D2246" s="1"/>
      <c r="E2246" s="1"/>
      <c r="F2246" s="1"/>
      <c r="G2246" s="1"/>
      <c r="H2246" s="1"/>
      <c r="I2246" s="1"/>
    </row>
    <row r="2247" ht="15.75" customHeight="1">
      <c r="A2247" s="1" t="s">
        <v>2312</v>
      </c>
      <c r="B2247" s="1" t="s">
        <v>2064</v>
      </c>
      <c r="C2247" s="1"/>
      <c r="D2247" s="1"/>
      <c r="E2247" s="1"/>
      <c r="F2247" s="1"/>
      <c r="G2247" s="1"/>
      <c r="H2247" s="1"/>
      <c r="I2247" s="1"/>
    </row>
    <row r="2248" ht="15.75" customHeight="1">
      <c r="A2248" s="1" t="s">
        <v>2313</v>
      </c>
      <c r="B2248" s="1" t="s">
        <v>2064</v>
      </c>
      <c r="C2248" s="1"/>
      <c r="D2248" s="1"/>
      <c r="E2248" s="1"/>
      <c r="F2248" s="1"/>
      <c r="G2248" s="1"/>
      <c r="H2248" s="1"/>
      <c r="I2248" s="1"/>
    </row>
    <row r="2249" ht="15.75" customHeight="1">
      <c r="A2249" s="1" t="s">
        <v>2314</v>
      </c>
      <c r="B2249" s="1" t="s">
        <v>2064</v>
      </c>
      <c r="C2249" s="1"/>
      <c r="D2249" s="1"/>
      <c r="E2249" s="1"/>
      <c r="F2249" s="1"/>
      <c r="G2249" s="1"/>
      <c r="H2249" s="1"/>
      <c r="I2249" s="1"/>
    </row>
    <row r="2250" ht="15.75" customHeight="1">
      <c r="A2250" s="1" t="s">
        <v>2315</v>
      </c>
      <c r="B2250" s="1" t="s">
        <v>2064</v>
      </c>
      <c r="C2250" s="1"/>
      <c r="D2250" s="1"/>
      <c r="E2250" s="1"/>
      <c r="F2250" s="1"/>
      <c r="G2250" s="1"/>
      <c r="H2250" s="1"/>
      <c r="I2250" s="1"/>
    </row>
    <row r="2251" ht="15.75" customHeight="1">
      <c r="A2251" s="1" t="s">
        <v>2316</v>
      </c>
      <c r="B2251" s="1" t="s">
        <v>2064</v>
      </c>
      <c r="C2251" s="1"/>
      <c r="D2251" s="1"/>
      <c r="E2251" s="1"/>
      <c r="F2251" s="1"/>
      <c r="G2251" s="1"/>
      <c r="H2251" s="1"/>
      <c r="I2251" s="1"/>
    </row>
    <row r="2252" ht="15.75" customHeight="1">
      <c r="A2252" s="1" t="s">
        <v>2317</v>
      </c>
      <c r="B2252" s="1" t="s">
        <v>2064</v>
      </c>
      <c r="C2252" s="1"/>
      <c r="D2252" s="1"/>
      <c r="E2252" s="1"/>
      <c r="F2252" s="1"/>
      <c r="G2252" s="1"/>
      <c r="H2252" s="1"/>
      <c r="I2252" s="1"/>
    </row>
    <row r="2253" ht="15.75" customHeight="1">
      <c r="A2253" s="1" t="s">
        <v>2318</v>
      </c>
      <c r="B2253" s="1" t="s">
        <v>2064</v>
      </c>
      <c r="C2253" s="1"/>
      <c r="D2253" s="1"/>
      <c r="E2253" s="1"/>
      <c r="F2253" s="1"/>
      <c r="G2253" s="1"/>
      <c r="H2253" s="1"/>
      <c r="I2253" s="1"/>
    </row>
    <row r="2254" ht="15.75" customHeight="1">
      <c r="A2254" s="1" t="s">
        <v>2319</v>
      </c>
      <c r="B2254" s="1" t="s">
        <v>2064</v>
      </c>
      <c r="C2254" s="1"/>
      <c r="D2254" s="1"/>
      <c r="E2254" s="1"/>
      <c r="F2254" s="1"/>
      <c r="G2254" s="1"/>
      <c r="H2254" s="1"/>
      <c r="I2254" s="1"/>
    </row>
    <row r="2255" ht="15.75" customHeight="1">
      <c r="A2255" s="1" t="s">
        <v>2320</v>
      </c>
      <c r="B2255" s="1" t="s">
        <v>2064</v>
      </c>
      <c r="C2255" s="1"/>
      <c r="D2255" s="1"/>
      <c r="E2255" s="1"/>
      <c r="F2255" s="1"/>
      <c r="G2255" s="1"/>
      <c r="H2255" s="1"/>
      <c r="I2255" s="1"/>
    </row>
    <row r="2256" ht="15.75" customHeight="1">
      <c r="A2256" s="1" t="s">
        <v>2321</v>
      </c>
      <c r="B2256" s="1" t="s">
        <v>2064</v>
      </c>
      <c r="C2256" s="1"/>
      <c r="D2256" s="1"/>
      <c r="E2256" s="1"/>
      <c r="F2256" s="1"/>
      <c r="G2256" s="1"/>
      <c r="H2256" s="1"/>
      <c r="I2256" s="1"/>
    </row>
    <row r="2257" ht="15.75" customHeight="1">
      <c r="A2257" s="1" t="s">
        <v>2322</v>
      </c>
      <c r="B2257" s="1" t="s">
        <v>2323</v>
      </c>
      <c r="C2257" s="1"/>
      <c r="D2257" s="1"/>
      <c r="E2257" s="1"/>
      <c r="F2257" s="1"/>
      <c r="G2257" s="1"/>
      <c r="H2257" s="1"/>
      <c r="I2257" s="1"/>
    </row>
    <row r="2258" ht="15.75" customHeight="1">
      <c r="A2258" s="1" t="s">
        <v>2324</v>
      </c>
      <c r="B2258" s="1" t="s">
        <v>2323</v>
      </c>
      <c r="C2258" s="1"/>
      <c r="D2258" s="1"/>
      <c r="E2258" s="1"/>
      <c r="F2258" s="1"/>
      <c r="G2258" s="1"/>
      <c r="H2258" s="1"/>
      <c r="I2258" s="1"/>
    </row>
    <row r="2259" ht="15.75" customHeight="1">
      <c r="A2259" s="1" t="s">
        <v>2325</v>
      </c>
      <c r="B2259" s="1" t="s">
        <v>2323</v>
      </c>
      <c r="C2259" s="1"/>
      <c r="D2259" s="1"/>
      <c r="E2259" s="1"/>
      <c r="F2259" s="1"/>
      <c r="G2259" s="1"/>
      <c r="H2259" s="1"/>
      <c r="I2259" s="1"/>
    </row>
    <row r="2260" ht="15.75" customHeight="1">
      <c r="A2260" s="1" t="s">
        <v>2326</v>
      </c>
      <c r="B2260" s="1" t="s">
        <v>2323</v>
      </c>
      <c r="C2260" s="1"/>
      <c r="D2260" s="1"/>
      <c r="E2260" s="1"/>
      <c r="F2260" s="1"/>
      <c r="G2260" s="1"/>
      <c r="H2260" s="1"/>
      <c r="I2260" s="1"/>
    </row>
    <row r="2261" ht="15.75" customHeight="1">
      <c r="A2261" s="1" t="s">
        <v>2327</v>
      </c>
      <c r="B2261" s="1" t="s">
        <v>2323</v>
      </c>
      <c r="C2261" s="1"/>
      <c r="D2261" s="1"/>
      <c r="E2261" s="1"/>
      <c r="F2261" s="1"/>
      <c r="G2261" s="1"/>
      <c r="H2261" s="1"/>
      <c r="I2261" s="1"/>
    </row>
    <row r="2262" ht="15.75" customHeight="1">
      <c r="A2262" s="1" t="s">
        <v>2328</v>
      </c>
      <c r="B2262" s="1" t="s">
        <v>2323</v>
      </c>
      <c r="C2262" s="1"/>
      <c r="D2262" s="1"/>
      <c r="E2262" s="1"/>
      <c r="F2262" s="1"/>
      <c r="G2262" s="1"/>
      <c r="H2262" s="1"/>
      <c r="I2262" s="1"/>
    </row>
    <row r="2263" ht="15.75" customHeight="1">
      <c r="A2263" s="1" t="s">
        <v>2329</v>
      </c>
      <c r="B2263" s="1" t="s">
        <v>2323</v>
      </c>
      <c r="C2263" s="1"/>
      <c r="D2263" s="1"/>
      <c r="E2263" s="1"/>
      <c r="F2263" s="1"/>
      <c r="G2263" s="1"/>
      <c r="H2263" s="1"/>
      <c r="I2263" s="1"/>
    </row>
    <row r="2264" ht="15.75" customHeight="1">
      <c r="A2264" s="1" t="s">
        <v>2330</v>
      </c>
      <c r="B2264" s="1" t="s">
        <v>2323</v>
      </c>
      <c r="C2264" s="1"/>
      <c r="D2264" s="1"/>
      <c r="E2264" s="1"/>
      <c r="F2264" s="1"/>
      <c r="G2264" s="1"/>
      <c r="H2264" s="1"/>
      <c r="I2264" s="1"/>
    </row>
    <row r="2265" ht="15.75" customHeight="1">
      <c r="A2265" s="1" t="s">
        <v>2331</v>
      </c>
      <c r="B2265" s="1" t="s">
        <v>2323</v>
      </c>
      <c r="C2265" s="1"/>
      <c r="D2265" s="1"/>
      <c r="E2265" s="1"/>
      <c r="F2265" s="1"/>
      <c r="G2265" s="1"/>
      <c r="H2265" s="1"/>
      <c r="I2265" s="1"/>
    </row>
    <row r="2266" ht="15.75" customHeight="1">
      <c r="A2266" s="1" t="s">
        <v>2332</v>
      </c>
      <c r="B2266" s="1" t="s">
        <v>2323</v>
      </c>
      <c r="C2266" s="1"/>
      <c r="D2266" s="1"/>
      <c r="E2266" s="1"/>
      <c r="F2266" s="1"/>
      <c r="G2266" s="1"/>
      <c r="H2266" s="1"/>
      <c r="I2266" s="1"/>
    </row>
    <row r="2267" ht="15.75" customHeight="1">
      <c r="A2267" s="1" t="s">
        <v>2333</v>
      </c>
      <c r="B2267" s="1" t="s">
        <v>2323</v>
      </c>
      <c r="C2267" s="1"/>
      <c r="D2267" s="1"/>
      <c r="E2267" s="1"/>
      <c r="F2267" s="1"/>
      <c r="G2267" s="1"/>
      <c r="H2267" s="1"/>
      <c r="I2267" s="1"/>
    </row>
    <row r="2268" ht="15.75" customHeight="1">
      <c r="A2268" s="1" t="s">
        <v>2334</v>
      </c>
      <c r="B2268" s="1" t="s">
        <v>2323</v>
      </c>
      <c r="C2268" s="1"/>
      <c r="D2268" s="1"/>
      <c r="E2268" s="1"/>
      <c r="F2268" s="1"/>
      <c r="G2268" s="1"/>
      <c r="H2268" s="1"/>
      <c r="I2268" s="1"/>
    </row>
    <row r="2269" ht="15.75" customHeight="1">
      <c r="A2269" s="1" t="s">
        <v>2335</v>
      </c>
      <c r="B2269" s="1" t="s">
        <v>2323</v>
      </c>
      <c r="C2269" s="1"/>
      <c r="D2269" s="1"/>
      <c r="E2269" s="1"/>
      <c r="F2269" s="1"/>
      <c r="G2269" s="1"/>
      <c r="H2269" s="1"/>
      <c r="I2269" s="1"/>
    </row>
    <row r="2270" ht="15.75" customHeight="1">
      <c r="A2270" s="1" t="s">
        <v>2336</v>
      </c>
      <c r="B2270" s="1" t="s">
        <v>2323</v>
      </c>
      <c r="C2270" s="1"/>
      <c r="D2270" s="1"/>
      <c r="E2270" s="1"/>
      <c r="F2270" s="1"/>
      <c r="G2270" s="1"/>
      <c r="H2270" s="1"/>
      <c r="I2270" s="1"/>
    </row>
    <row r="2271" ht="15.75" customHeight="1">
      <c r="A2271" s="1" t="s">
        <v>2337</v>
      </c>
      <c r="B2271" s="1" t="s">
        <v>2323</v>
      </c>
      <c r="C2271" s="1"/>
      <c r="D2271" s="1"/>
      <c r="E2271" s="1"/>
      <c r="F2271" s="1"/>
      <c r="G2271" s="1"/>
      <c r="H2271" s="1"/>
      <c r="I2271" s="1"/>
    </row>
    <row r="2272" ht="15.75" customHeight="1">
      <c r="A2272" s="1" t="s">
        <v>2338</v>
      </c>
      <c r="B2272" s="1" t="s">
        <v>2323</v>
      </c>
      <c r="C2272" s="1"/>
      <c r="D2272" s="1"/>
      <c r="E2272" s="1"/>
      <c r="F2272" s="1"/>
      <c r="G2272" s="1"/>
      <c r="H2272" s="1"/>
      <c r="I2272" s="1"/>
    </row>
    <row r="2273" ht="15.75" customHeight="1">
      <c r="A2273" s="1" t="s">
        <v>2339</v>
      </c>
      <c r="B2273" s="1" t="s">
        <v>2323</v>
      </c>
      <c r="C2273" s="1"/>
      <c r="D2273" s="1"/>
      <c r="E2273" s="1"/>
      <c r="F2273" s="1"/>
      <c r="G2273" s="1"/>
      <c r="H2273" s="1"/>
      <c r="I2273" s="1"/>
    </row>
    <row r="2274" ht="15.75" customHeight="1">
      <c r="A2274" s="1" t="s">
        <v>2340</v>
      </c>
      <c r="B2274" s="1" t="s">
        <v>2323</v>
      </c>
      <c r="C2274" s="1"/>
      <c r="D2274" s="1"/>
      <c r="E2274" s="1"/>
      <c r="F2274" s="1"/>
      <c r="G2274" s="1"/>
      <c r="H2274" s="1"/>
      <c r="I2274" s="1"/>
    </row>
    <row r="2275" ht="15.75" customHeight="1">
      <c r="A2275" s="1" t="s">
        <v>2341</v>
      </c>
      <c r="B2275" s="1" t="s">
        <v>2323</v>
      </c>
      <c r="C2275" s="1"/>
      <c r="D2275" s="1"/>
      <c r="E2275" s="1"/>
      <c r="F2275" s="1"/>
      <c r="G2275" s="1"/>
      <c r="H2275" s="1"/>
      <c r="I2275" s="1"/>
    </row>
    <row r="2276" ht="15.75" customHeight="1">
      <c r="A2276" s="1" t="s">
        <v>2342</v>
      </c>
      <c r="B2276" s="1" t="s">
        <v>2323</v>
      </c>
      <c r="C2276" s="1"/>
      <c r="D2276" s="1"/>
      <c r="E2276" s="1"/>
      <c r="F2276" s="1"/>
      <c r="G2276" s="1"/>
      <c r="H2276" s="1"/>
      <c r="I2276" s="1"/>
    </row>
    <row r="2277" ht="15.75" customHeight="1">
      <c r="A2277" s="1" t="s">
        <v>2343</v>
      </c>
      <c r="B2277" s="1" t="s">
        <v>2323</v>
      </c>
      <c r="C2277" s="1"/>
      <c r="D2277" s="1"/>
      <c r="E2277" s="1"/>
      <c r="F2277" s="1"/>
      <c r="G2277" s="1"/>
      <c r="H2277" s="1"/>
      <c r="I2277" s="1"/>
    </row>
    <row r="2278" ht="15.75" customHeight="1">
      <c r="A2278" s="1" t="s">
        <v>2344</v>
      </c>
      <c r="B2278" s="1" t="s">
        <v>2323</v>
      </c>
      <c r="C2278" s="1"/>
      <c r="D2278" s="1"/>
      <c r="E2278" s="1"/>
      <c r="F2278" s="1"/>
      <c r="G2278" s="1"/>
      <c r="H2278" s="1"/>
      <c r="I2278" s="1"/>
    </row>
    <row r="2279" ht="15.75" customHeight="1">
      <c r="A2279" s="1" t="s">
        <v>2345</v>
      </c>
      <c r="B2279" s="1" t="s">
        <v>2323</v>
      </c>
      <c r="C2279" s="1"/>
      <c r="D2279" s="1"/>
      <c r="E2279" s="1"/>
      <c r="F2279" s="1"/>
      <c r="G2279" s="1"/>
      <c r="H2279" s="1"/>
      <c r="I2279" s="1"/>
    </row>
    <row r="2280" ht="15.75" customHeight="1">
      <c r="A2280" s="1" t="s">
        <v>2346</v>
      </c>
      <c r="B2280" s="1" t="s">
        <v>2323</v>
      </c>
      <c r="C2280" s="1"/>
      <c r="D2280" s="1"/>
      <c r="E2280" s="1"/>
      <c r="F2280" s="1"/>
      <c r="G2280" s="1"/>
      <c r="H2280" s="1"/>
      <c r="I2280" s="1"/>
    </row>
    <row r="2281" ht="15.75" customHeight="1">
      <c r="A2281" s="1" t="s">
        <v>2347</v>
      </c>
      <c r="B2281" s="1" t="s">
        <v>2323</v>
      </c>
      <c r="C2281" s="1"/>
      <c r="D2281" s="1"/>
      <c r="E2281" s="1"/>
      <c r="F2281" s="1"/>
      <c r="G2281" s="1"/>
      <c r="H2281" s="1"/>
      <c r="I2281" s="1"/>
    </row>
    <row r="2282" ht="15.75" customHeight="1">
      <c r="A2282" s="1" t="s">
        <v>2348</v>
      </c>
      <c r="B2282" s="1" t="s">
        <v>2323</v>
      </c>
      <c r="C2282" s="1"/>
      <c r="D2282" s="1"/>
      <c r="E2282" s="1"/>
      <c r="F2282" s="1"/>
      <c r="G2282" s="1"/>
      <c r="H2282" s="1"/>
      <c r="I2282" s="1"/>
    </row>
    <row r="2283" ht="15.75" customHeight="1">
      <c r="A2283" s="1" t="s">
        <v>2349</v>
      </c>
      <c r="B2283" s="1" t="s">
        <v>2323</v>
      </c>
      <c r="C2283" s="1"/>
      <c r="D2283" s="1"/>
      <c r="E2283" s="1"/>
      <c r="F2283" s="1"/>
      <c r="G2283" s="1"/>
      <c r="H2283" s="1"/>
      <c r="I2283" s="1"/>
    </row>
    <row r="2284" ht="15.75" customHeight="1">
      <c r="A2284" s="1" t="s">
        <v>2350</v>
      </c>
      <c r="B2284" s="1" t="s">
        <v>2323</v>
      </c>
      <c r="C2284" s="1"/>
      <c r="D2284" s="1"/>
      <c r="E2284" s="1"/>
      <c r="F2284" s="1"/>
      <c r="G2284" s="1"/>
      <c r="H2284" s="1"/>
      <c r="I2284" s="1"/>
    </row>
    <row r="2285" ht="15.75" customHeight="1">
      <c r="A2285" s="1" t="s">
        <v>2351</v>
      </c>
      <c r="B2285" s="1" t="s">
        <v>2323</v>
      </c>
      <c r="C2285" s="1"/>
      <c r="D2285" s="1"/>
      <c r="E2285" s="1"/>
      <c r="F2285" s="1"/>
      <c r="G2285" s="1"/>
      <c r="H2285" s="1"/>
      <c r="I2285" s="1"/>
    </row>
    <row r="2286" ht="15.75" customHeight="1">
      <c r="A2286" s="1" t="s">
        <v>2352</v>
      </c>
      <c r="B2286" s="1" t="s">
        <v>2323</v>
      </c>
      <c r="C2286" s="1"/>
      <c r="D2286" s="1"/>
      <c r="E2286" s="1"/>
      <c r="F2286" s="1"/>
      <c r="G2286" s="1"/>
      <c r="H2286" s="1"/>
      <c r="I2286" s="1"/>
    </row>
    <row r="2287" ht="15.75" customHeight="1">
      <c r="A2287" s="1" t="s">
        <v>2353</v>
      </c>
      <c r="B2287" s="1" t="s">
        <v>2323</v>
      </c>
      <c r="C2287" s="1"/>
      <c r="D2287" s="1"/>
      <c r="E2287" s="1"/>
      <c r="F2287" s="1"/>
      <c r="G2287" s="1"/>
      <c r="H2287" s="1"/>
      <c r="I2287" s="1"/>
    </row>
    <row r="2288" ht="15.75" customHeight="1">
      <c r="A2288" s="1" t="s">
        <v>2354</v>
      </c>
      <c r="B2288" s="1" t="s">
        <v>2323</v>
      </c>
      <c r="C2288" s="1"/>
      <c r="D2288" s="1"/>
      <c r="E2288" s="1"/>
      <c r="F2288" s="1"/>
      <c r="G2288" s="1"/>
      <c r="H2288" s="1"/>
      <c r="I2288" s="1"/>
    </row>
    <row r="2289" ht="15.75" customHeight="1">
      <c r="A2289" s="1" t="s">
        <v>2355</v>
      </c>
      <c r="B2289" s="1" t="s">
        <v>2356</v>
      </c>
      <c r="C2289" s="1"/>
      <c r="D2289" s="1"/>
      <c r="E2289" s="1"/>
      <c r="F2289" s="1"/>
      <c r="G2289" s="1"/>
      <c r="H2289" s="1"/>
      <c r="I2289" s="1"/>
    </row>
    <row r="2290" ht="15.75" customHeight="1">
      <c r="A2290" s="1" t="s">
        <v>2357</v>
      </c>
      <c r="B2290" s="1" t="s">
        <v>2356</v>
      </c>
      <c r="C2290" s="1"/>
      <c r="D2290" s="1"/>
      <c r="E2290" s="1"/>
      <c r="F2290" s="1"/>
      <c r="G2290" s="1"/>
      <c r="H2290" s="1"/>
      <c r="I2290" s="1"/>
    </row>
    <row r="2291" ht="15.75" customHeight="1">
      <c r="A2291" s="1" t="s">
        <v>2358</v>
      </c>
      <c r="B2291" s="1" t="s">
        <v>2356</v>
      </c>
      <c r="C2291" s="1"/>
      <c r="D2291" s="1"/>
      <c r="E2291" s="1"/>
      <c r="F2291" s="1"/>
      <c r="G2291" s="1"/>
      <c r="H2291" s="1"/>
      <c r="I2291" s="1"/>
    </row>
    <row r="2292" ht="15.75" customHeight="1">
      <c r="A2292" s="1" t="s">
        <v>2359</v>
      </c>
      <c r="B2292" s="1" t="s">
        <v>2356</v>
      </c>
      <c r="C2292" s="1"/>
      <c r="D2292" s="1"/>
      <c r="E2292" s="1"/>
      <c r="F2292" s="1"/>
      <c r="G2292" s="1"/>
      <c r="H2292" s="1"/>
      <c r="I2292" s="1"/>
    </row>
    <row r="2293" ht="15.75" customHeight="1">
      <c r="A2293" s="1" t="s">
        <v>2360</v>
      </c>
      <c r="B2293" s="1" t="s">
        <v>2356</v>
      </c>
      <c r="C2293" s="1"/>
      <c r="D2293" s="1"/>
      <c r="E2293" s="1"/>
      <c r="F2293" s="1"/>
      <c r="G2293" s="1"/>
      <c r="H2293" s="1"/>
      <c r="I2293" s="1"/>
    </row>
    <row r="2294" ht="15.75" customHeight="1">
      <c r="A2294" s="1" t="s">
        <v>2361</v>
      </c>
      <c r="B2294" s="1" t="s">
        <v>2356</v>
      </c>
      <c r="C2294" s="1"/>
      <c r="D2294" s="1"/>
      <c r="E2294" s="1"/>
      <c r="F2294" s="1"/>
      <c r="G2294" s="1"/>
      <c r="H2294" s="1"/>
      <c r="I2294" s="1"/>
    </row>
    <row r="2295" ht="15.75" customHeight="1">
      <c r="A2295" s="1" t="s">
        <v>2362</v>
      </c>
      <c r="B2295" s="1" t="s">
        <v>2356</v>
      </c>
      <c r="C2295" s="1"/>
      <c r="D2295" s="1"/>
      <c r="E2295" s="1"/>
      <c r="F2295" s="1"/>
      <c r="G2295" s="1"/>
      <c r="H2295" s="1"/>
      <c r="I2295" s="1"/>
    </row>
    <row r="2296" ht="15.75" customHeight="1">
      <c r="A2296" s="1" t="s">
        <v>2363</v>
      </c>
      <c r="B2296" s="1" t="s">
        <v>2356</v>
      </c>
      <c r="C2296" s="1"/>
      <c r="D2296" s="1"/>
      <c r="E2296" s="1"/>
      <c r="F2296" s="1"/>
      <c r="G2296" s="1"/>
      <c r="H2296" s="1"/>
      <c r="I2296" s="1"/>
    </row>
    <row r="2297" ht="15.75" customHeight="1">
      <c r="A2297" s="1" t="s">
        <v>2364</v>
      </c>
      <c r="B2297" s="1" t="s">
        <v>2356</v>
      </c>
      <c r="C2297" s="1"/>
      <c r="D2297" s="1"/>
      <c r="E2297" s="1"/>
      <c r="F2297" s="1"/>
      <c r="G2297" s="1"/>
      <c r="H2297" s="1"/>
      <c r="I2297" s="1"/>
    </row>
    <row r="2298" ht="15.75" customHeight="1">
      <c r="A2298" s="1" t="s">
        <v>2365</v>
      </c>
      <c r="B2298" s="1" t="s">
        <v>2356</v>
      </c>
      <c r="C2298" s="1"/>
      <c r="D2298" s="1"/>
      <c r="E2298" s="1"/>
      <c r="F2298" s="1"/>
      <c r="G2298" s="1"/>
      <c r="H2298" s="1"/>
      <c r="I2298" s="1"/>
    </row>
    <row r="2299" ht="15.75" customHeight="1">
      <c r="A2299" s="1" t="s">
        <v>2366</v>
      </c>
      <c r="B2299" s="1" t="s">
        <v>2356</v>
      </c>
      <c r="C2299" s="1"/>
      <c r="D2299" s="1"/>
      <c r="E2299" s="1"/>
      <c r="F2299" s="1"/>
      <c r="G2299" s="1"/>
      <c r="H2299" s="1"/>
      <c r="I2299" s="1"/>
    </row>
    <row r="2300" ht="15.75" customHeight="1">
      <c r="A2300" s="1" t="s">
        <v>2367</v>
      </c>
      <c r="B2300" s="1" t="s">
        <v>2356</v>
      </c>
      <c r="C2300" s="1"/>
      <c r="D2300" s="1"/>
      <c r="E2300" s="1"/>
      <c r="F2300" s="1"/>
      <c r="G2300" s="1"/>
      <c r="H2300" s="1"/>
      <c r="I2300" s="1"/>
    </row>
    <row r="2301" ht="15.75" customHeight="1">
      <c r="A2301" s="1" t="s">
        <v>2368</v>
      </c>
      <c r="B2301" s="1" t="s">
        <v>2356</v>
      </c>
      <c r="C2301" s="1"/>
      <c r="D2301" s="1"/>
      <c r="E2301" s="1"/>
      <c r="F2301" s="1"/>
      <c r="G2301" s="1"/>
      <c r="H2301" s="1"/>
      <c r="I2301" s="1"/>
    </row>
    <row r="2302" ht="15.75" customHeight="1">
      <c r="A2302" s="1" t="s">
        <v>2369</v>
      </c>
      <c r="B2302" s="1" t="s">
        <v>2356</v>
      </c>
      <c r="C2302" s="1"/>
      <c r="D2302" s="1"/>
      <c r="E2302" s="1"/>
      <c r="F2302" s="1"/>
      <c r="G2302" s="1"/>
      <c r="H2302" s="1"/>
      <c r="I2302" s="1"/>
    </row>
    <row r="2303" ht="15.75" customHeight="1">
      <c r="A2303" s="1" t="s">
        <v>2370</v>
      </c>
      <c r="B2303" s="1" t="s">
        <v>2356</v>
      </c>
      <c r="C2303" s="1"/>
      <c r="D2303" s="1"/>
      <c r="E2303" s="1"/>
      <c r="F2303" s="1"/>
      <c r="G2303" s="1"/>
      <c r="H2303" s="1"/>
      <c r="I2303" s="1"/>
    </row>
    <row r="2304" ht="15.75" customHeight="1">
      <c r="A2304" s="1" t="s">
        <v>2371</v>
      </c>
      <c r="B2304" s="1" t="s">
        <v>2356</v>
      </c>
      <c r="C2304" s="1"/>
      <c r="D2304" s="1"/>
      <c r="E2304" s="1"/>
      <c r="F2304" s="1"/>
      <c r="G2304" s="1"/>
      <c r="H2304" s="1"/>
      <c r="I2304" s="1"/>
    </row>
    <row r="2305" ht="15.75" customHeight="1">
      <c r="A2305" s="1" t="s">
        <v>2372</v>
      </c>
      <c r="B2305" s="1" t="s">
        <v>2356</v>
      </c>
      <c r="C2305" s="1"/>
      <c r="D2305" s="1"/>
      <c r="E2305" s="1"/>
      <c r="F2305" s="1"/>
      <c r="G2305" s="1"/>
      <c r="H2305" s="1"/>
      <c r="I2305" s="1"/>
    </row>
    <row r="2306" ht="15.75" customHeight="1">
      <c r="A2306" s="1" t="s">
        <v>2373</v>
      </c>
      <c r="B2306" s="1" t="s">
        <v>2356</v>
      </c>
      <c r="C2306" s="1"/>
      <c r="D2306" s="1"/>
      <c r="E2306" s="1"/>
      <c r="F2306" s="1"/>
      <c r="G2306" s="1"/>
      <c r="H2306" s="1"/>
      <c r="I2306" s="1"/>
    </row>
    <row r="2307" ht="15.75" customHeight="1">
      <c r="A2307" s="1" t="s">
        <v>2374</v>
      </c>
      <c r="B2307" s="1" t="s">
        <v>2356</v>
      </c>
      <c r="C2307" s="1"/>
      <c r="D2307" s="1"/>
      <c r="E2307" s="1"/>
      <c r="F2307" s="1"/>
      <c r="G2307" s="1"/>
      <c r="H2307" s="1"/>
      <c r="I2307" s="1"/>
    </row>
    <row r="2308" ht="15.75" customHeight="1">
      <c r="A2308" s="1" t="s">
        <v>2375</v>
      </c>
      <c r="B2308" s="1" t="s">
        <v>2356</v>
      </c>
      <c r="C2308" s="1"/>
      <c r="D2308" s="1"/>
      <c r="E2308" s="1"/>
      <c r="F2308" s="1"/>
      <c r="G2308" s="1"/>
      <c r="H2308" s="1"/>
      <c r="I2308" s="1"/>
    </row>
    <row r="2309" ht="15.75" customHeight="1">
      <c r="A2309" s="1" t="s">
        <v>2376</v>
      </c>
      <c r="B2309" s="1" t="s">
        <v>2356</v>
      </c>
      <c r="C2309" s="1"/>
      <c r="D2309" s="1"/>
      <c r="E2309" s="1"/>
      <c r="F2309" s="1"/>
      <c r="G2309" s="1"/>
      <c r="H2309" s="1"/>
      <c r="I2309" s="1"/>
    </row>
    <row r="2310" ht="15.75" customHeight="1">
      <c r="A2310" s="1" t="s">
        <v>2377</v>
      </c>
      <c r="B2310" s="1" t="s">
        <v>2378</v>
      </c>
      <c r="C2310" s="1"/>
      <c r="D2310" s="1"/>
      <c r="E2310" s="1"/>
      <c r="F2310" s="1"/>
      <c r="G2310" s="1"/>
      <c r="H2310" s="1"/>
      <c r="I2310" s="1"/>
    </row>
    <row r="2311" ht="15.75" customHeight="1">
      <c r="A2311" s="1" t="s">
        <v>2379</v>
      </c>
      <c r="B2311" s="1" t="s">
        <v>2378</v>
      </c>
      <c r="C2311" s="1"/>
      <c r="D2311" s="1"/>
      <c r="E2311" s="1"/>
      <c r="F2311" s="1"/>
      <c r="G2311" s="1"/>
      <c r="H2311" s="1"/>
      <c r="I2311" s="1"/>
    </row>
    <row r="2312" ht="15.75" customHeight="1">
      <c r="A2312" s="1" t="s">
        <v>2380</v>
      </c>
      <c r="B2312" s="1" t="s">
        <v>2378</v>
      </c>
      <c r="C2312" s="1"/>
      <c r="D2312" s="1"/>
      <c r="E2312" s="1"/>
      <c r="F2312" s="1"/>
      <c r="G2312" s="1"/>
      <c r="H2312" s="1"/>
      <c r="I2312" s="1"/>
    </row>
    <row r="2313" ht="15.75" customHeight="1">
      <c r="A2313" s="1" t="s">
        <v>2381</v>
      </c>
      <c r="B2313" s="1" t="s">
        <v>2378</v>
      </c>
      <c r="C2313" s="1"/>
      <c r="D2313" s="1"/>
      <c r="E2313" s="1"/>
      <c r="F2313" s="1"/>
      <c r="G2313" s="1"/>
      <c r="H2313" s="1"/>
      <c r="I2313" s="1"/>
    </row>
    <row r="2314" ht="15.75" customHeight="1">
      <c r="A2314" s="1" t="s">
        <v>2382</v>
      </c>
      <c r="B2314" s="1" t="s">
        <v>2378</v>
      </c>
      <c r="C2314" s="1"/>
      <c r="D2314" s="1"/>
      <c r="E2314" s="1"/>
      <c r="F2314" s="1"/>
      <c r="G2314" s="1"/>
      <c r="H2314" s="1"/>
      <c r="I2314" s="1"/>
    </row>
    <row r="2315" ht="15.75" customHeight="1">
      <c r="A2315" s="1" t="s">
        <v>2383</v>
      </c>
      <c r="B2315" s="1" t="s">
        <v>2378</v>
      </c>
      <c r="C2315" s="1"/>
      <c r="D2315" s="1"/>
      <c r="E2315" s="1"/>
      <c r="F2315" s="1"/>
      <c r="G2315" s="1"/>
      <c r="H2315" s="1"/>
      <c r="I2315" s="1"/>
    </row>
    <row r="2316" ht="15.75" customHeight="1">
      <c r="A2316" s="1" t="s">
        <v>2384</v>
      </c>
      <c r="B2316" s="1" t="s">
        <v>2378</v>
      </c>
      <c r="C2316" s="1"/>
      <c r="D2316" s="1"/>
      <c r="E2316" s="1"/>
      <c r="F2316" s="1"/>
      <c r="G2316" s="1"/>
      <c r="H2316" s="1"/>
      <c r="I2316" s="1"/>
    </row>
    <row r="2317" ht="15.75" customHeight="1">
      <c r="A2317" s="1" t="s">
        <v>2385</v>
      </c>
      <c r="B2317" s="1" t="s">
        <v>2378</v>
      </c>
      <c r="C2317" s="1"/>
      <c r="D2317" s="1"/>
      <c r="E2317" s="1"/>
      <c r="F2317" s="1"/>
      <c r="G2317" s="1"/>
      <c r="H2317" s="1"/>
      <c r="I2317" s="1"/>
    </row>
    <row r="2318" ht="15.75" customHeight="1">
      <c r="A2318" s="1" t="s">
        <v>2386</v>
      </c>
      <c r="B2318" s="1" t="s">
        <v>2378</v>
      </c>
      <c r="C2318" s="1"/>
      <c r="D2318" s="1"/>
      <c r="E2318" s="1"/>
      <c r="F2318" s="1"/>
      <c r="G2318" s="1"/>
      <c r="H2318" s="1"/>
      <c r="I2318" s="1"/>
    </row>
    <row r="2319" ht="15.75" customHeight="1">
      <c r="A2319" s="1" t="s">
        <v>2387</v>
      </c>
      <c r="B2319" s="1" t="s">
        <v>2378</v>
      </c>
      <c r="C2319" s="1"/>
      <c r="D2319" s="1"/>
      <c r="E2319" s="1"/>
      <c r="F2319" s="1"/>
      <c r="G2319" s="1"/>
      <c r="H2319" s="1"/>
      <c r="I2319" s="1"/>
    </row>
    <row r="2320" ht="15.75" customHeight="1">
      <c r="A2320" s="1" t="s">
        <v>2388</v>
      </c>
      <c r="B2320" s="1" t="s">
        <v>2378</v>
      </c>
      <c r="C2320" s="1"/>
      <c r="D2320" s="1"/>
      <c r="E2320" s="1"/>
      <c r="F2320" s="1"/>
      <c r="G2320" s="1"/>
      <c r="H2320" s="1"/>
      <c r="I2320" s="1"/>
    </row>
    <row r="2321" ht="15.75" customHeight="1">
      <c r="A2321" s="1" t="s">
        <v>2389</v>
      </c>
      <c r="B2321" s="1" t="s">
        <v>2378</v>
      </c>
      <c r="C2321" s="1"/>
      <c r="D2321" s="1"/>
      <c r="E2321" s="1"/>
      <c r="F2321" s="1"/>
      <c r="G2321" s="1"/>
      <c r="H2321" s="1"/>
      <c r="I2321" s="1"/>
    </row>
    <row r="2322" ht="15.75" customHeight="1">
      <c r="A2322" s="1" t="s">
        <v>2390</v>
      </c>
      <c r="B2322" s="1" t="s">
        <v>2378</v>
      </c>
      <c r="C2322" s="1"/>
      <c r="D2322" s="1"/>
      <c r="E2322" s="1"/>
      <c r="F2322" s="1"/>
      <c r="G2322" s="1"/>
      <c r="H2322" s="1"/>
      <c r="I2322" s="1"/>
    </row>
    <row r="2323" ht="15.75" customHeight="1">
      <c r="A2323" s="1" t="s">
        <v>2391</v>
      </c>
      <c r="B2323" s="1" t="s">
        <v>2378</v>
      </c>
      <c r="C2323" s="1"/>
      <c r="D2323" s="1"/>
      <c r="E2323" s="1"/>
      <c r="F2323" s="1"/>
      <c r="G2323" s="1"/>
      <c r="H2323" s="1"/>
      <c r="I2323" s="1"/>
    </row>
    <row r="2324" ht="15.75" customHeight="1">
      <c r="A2324" s="1" t="s">
        <v>2392</v>
      </c>
      <c r="B2324" s="1" t="s">
        <v>2378</v>
      </c>
      <c r="C2324" s="1"/>
      <c r="D2324" s="1"/>
      <c r="E2324" s="1"/>
      <c r="F2324" s="1"/>
      <c r="G2324" s="1"/>
      <c r="H2324" s="1"/>
      <c r="I2324" s="1"/>
    </row>
    <row r="2325" ht="15.75" customHeight="1">
      <c r="A2325" s="1" t="s">
        <v>2393</v>
      </c>
      <c r="B2325" s="1" t="s">
        <v>2378</v>
      </c>
      <c r="C2325" s="1"/>
      <c r="D2325" s="1"/>
      <c r="E2325" s="1"/>
      <c r="F2325" s="1"/>
      <c r="G2325" s="1"/>
      <c r="H2325" s="1"/>
      <c r="I2325" s="1"/>
    </row>
    <row r="2326" ht="15.75" customHeight="1">
      <c r="A2326" s="1" t="s">
        <v>2394</v>
      </c>
      <c r="B2326" s="1" t="s">
        <v>2378</v>
      </c>
      <c r="C2326" s="1"/>
      <c r="D2326" s="1"/>
      <c r="E2326" s="1"/>
      <c r="F2326" s="1"/>
      <c r="G2326" s="1"/>
      <c r="H2326" s="1"/>
      <c r="I2326" s="1"/>
    </row>
    <row r="2327" ht="15.75" customHeight="1">
      <c r="A2327" s="1" t="s">
        <v>2395</v>
      </c>
      <c r="B2327" s="1" t="s">
        <v>2378</v>
      </c>
      <c r="C2327" s="1"/>
      <c r="D2327" s="1"/>
      <c r="E2327" s="1"/>
      <c r="F2327" s="1"/>
      <c r="G2327" s="1"/>
      <c r="H2327" s="1"/>
      <c r="I2327" s="1"/>
    </row>
    <row r="2328" ht="15.75" customHeight="1">
      <c r="A2328" s="1" t="s">
        <v>2396</v>
      </c>
      <c r="B2328" s="1" t="s">
        <v>2378</v>
      </c>
      <c r="C2328" s="1"/>
      <c r="D2328" s="1"/>
      <c r="E2328" s="1"/>
      <c r="F2328" s="1"/>
      <c r="G2328" s="1"/>
      <c r="H2328" s="1"/>
      <c r="I2328" s="1"/>
    </row>
    <row r="2329" ht="15.75" customHeight="1">
      <c r="A2329" s="1" t="s">
        <v>2397</v>
      </c>
      <c r="B2329" s="1" t="s">
        <v>2378</v>
      </c>
      <c r="C2329" s="1"/>
      <c r="D2329" s="1"/>
      <c r="E2329" s="1"/>
      <c r="F2329" s="1"/>
      <c r="G2329" s="1"/>
      <c r="H2329" s="1"/>
      <c r="I2329" s="1"/>
    </row>
    <row r="2330" ht="15.75" customHeight="1">
      <c r="A2330" s="1" t="s">
        <v>2398</v>
      </c>
      <c r="B2330" s="1" t="s">
        <v>2378</v>
      </c>
      <c r="C2330" s="1"/>
      <c r="D2330" s="1"/>
      <c r="E2330" s="1"/>
      <c r="F2330" s="1"/>
      <c r="G2330" s="1"/>
      <c r="H2330" s="1"/>
      <c r="I2330" s="1"/>
    </row>
    <row r="2331" ht="15.75" customHeight="1">
      <c r="A2331" s="1" t="s">
        <v>2399</v>
      </c>
      <c r="B2331" s="1" t="s">
        <v>2378</v>
      </c>
      <c r="C2331" s="1"/>
      <c r="D2331" s="1"/>
      <c r="E2331" s="1"/>
      <c r="F2331" s="1"/>
      <c r="G2331" s="1"/>
      <c r="H2331" s="1"/>
      <c r="I2331" s="1"/>
    </row>
    <row r="2332" ht="15.75" customHeight="1">
      <c r="A2332" s="1" t="s">
        <v>2400</v>
      </c>
      <c r="B2332" s="1" t="s">
        <v>2378</v>
      </c>
      <c r="C2332" s="1"/>
      <c r="D2332" s="1"/>
      <c r="E2332" s="1"/>
      <c r="F2332" s="1"/>
      <c r="G2332" s="1"/>
      <c r="H2332" s="1"/>
      <c r="I2332" s="1"/>
    </row>
    <row r="2333" ht="15.75" customHeight="1">
      <c r="A2333" s="1" t="s">
        <v>2401</v>
      </c>
      <c r="B2333" s="1" t="s">
        <v>2378</v>
      </c>
      <c r="C2333" s="1"/>
      <c r="D2333" s="1"/>
      <c r="E2333" s="1"/>
      <c r="F2333" s="1"/>
      <c r="G2333" s="1"/>
      <c r="H2333" s="1"/>
      <c r="I2333" s="1"/>
    </row>
    <row r="2334" ht="15.75" customHeight="1">
      <c r="A2334" s="1" t="s">
        <v>2402</v>
      </c>
      <c r="B2334" s="1" t="s">
        <v>2378</v>
      </c>
      <c r="C2334" s="1"/>
      <c r="D2334" s="1"/>
      <c r="E2334" s="1"/>
      <c r="F2334" s="1"/>
      <c r="G2334" s="1"/>
      <c r="H2334" s="1"/>
      <c r="I2334" s="1"/>
    </row>
    <row r="2335" ht="15.75" customHeight="1">
      <c r="A2335" s="1" t="s">
        <v>2403</v>
      </c>
      <c r="B2335" s="1" t="s">
        <v>2378</v>
      </c>
      <c r="C2335" s="1"/>
      <c r="D2335" s="1"/>
      <c r="E2335" s="1"/>
      <c r="F2335" s="1"/>
      <c r="G2335" s="1"/>
      <c r="H2335" s="1"/>
      <c r="I2335" s="1"/>
    </row>
    <row r="2336" ht="15.75" customHeight="1">
      <c r="A2336" s="1" t="s">
        <v>2404</v>
      </c>
      <c r="B2336" s="1" t="s">
        <v>2378</v>
      </c>
      <c r="C2336" s="1"/>
      <c r="D2336" s="1"/>
      <c r="E2336" s="1"/>
      <c r="F2336" s="1"/>
      <c r="G2336" s="1"/>
      <c r="H2336" s="1"/>
      <c r="I2336" s="1"/>
    </row>
    <row r="2337" ht="15.75" customHeight="1">
      <c r="A2337" s="1" t="s">
        <v>2405</v>
      </c>
      <c r="B2337" s="1" t="s">
        <v>2378</v>
      </c>
      <c r="C2337" s="1"/>
      <c r="D2337" s="1"/>
      <c r="E2337" s="1"/>
      <c r="F2337" s="1"/>
      <c r="G2337" s="1"/>
      <c r="H2337" s="1"/>
      <c r="I2337" s="1"/>
    </row>
    <row r="2338" ht="15.75" customHeight="1">
      <c r="A2338" s="1" t="s">
        <v>2406</v>
      </c>
      <c r="B2338" s="1" t="s">
        <v>2407</v>
      </c>
      <c r="C2338" s="1"/>
      <c r="D2338" s="1"/>
      <c r="E2338" s="1"/>
      <c r="F2338" s="1"/>
      <c r="G2338" s="1"/>
      <c r="H2338" s="1"/>
      <c r="I2338" s="1"/>
    </row>
    <row r="2339" ht="15.75" customHeight="1">
      <c r="A2339" s="1" t="s">
        <v>2408</v>
      </c>
      <c r="B2339" s="1" t="s">
        <v>2407</v>
      </c>
      <c r="C2339" s="1"/>
      <c r="D2339" s="1"/>
      <c r="E2339" s="1"/>
      <c r="F2339" s="1"/>
      <c r="G2339" s="1"/>
      <c r="H2339" s="1"/>
      <c r="I2339" s="1"/>
    </row>
    <row r="2340" ht="15.75" customHeight="1">
      <c r="A2340" s="1" t="s">
        <v>2409</v>
      </c>
      <c r="B2340" s="1" t="s">
        <v>2407</v>
      </c>
      <c r="C2340" s="1"/>
      <c r="D2340" s="1"/>
      <c r="E2340" s="1"/>
      <c r="F2340" s="1"/>
      <c r="G2340" s="1"/>
      <c r="H2340" s="1"/>
      <c r="I2340" s="1"/>
    </row>
    <row r="2341" ht="15.75" customHeight="1">
      <c r="A2341" s="1" t="s">
        <v>2410</v>
      </c>
      <c r="B2341" s="1" t="s">
        <v>2407</v>
      </c>
      <c r="C2341" s="1"/>
      <c r="D2341" s="1"/>
      <c r="E2341" s="1"/>
      <c r="F2341" s="1"/>
      <c r="G2341" s="1"/>
      <c r="H2341" s="1"/>
      <c r="I2341" s="1"/>
    </row>
    <row r="2342" ht="15.75" customHeight="1">
      <c r="A2342" s="1" t="s">
        <v>2411</v>
      </c>
      <c r="B2342" s="1" t="s">
        <v>2407</v>
      </c>
      <c r="C2342" s="1"/>
      <c r="D2342" s="1"/>
      <c r="E2342" s="1"/>
      <c r="F2342" s="1"/>
      <c r="G2342" s="1"/>
      <c r="H2342" s="1"/>
      <c r="I2342" s="1"/>
    </row>
    <row r="2343" ht="15.75" customHeight="1">
      <c r="A2343" s="1" t="s">
        <v>2412</v>
      </c>
      <c r="B2343" s="1" t="s">
        <v>2407</v>
      </c>
      <c r="C2343" s="1"/>
      <c r="D2343" s="1"/>
      <c r="E2343" s="1"/>
      <c r="F2343" s="1"/>
      <c r="G2343" s="1"/>
      <c r="H2343" s="1"/>
      <c r="I2343" s="1"/>
    </row>
    <row r="2344" ht="15.75" customHeight="1">
      <c r="A2344" s="1" t="s">
        <v>2413</v>
      </c>
      <c r="B2344" s="1" t="s">
        <v>2407</v>
      </c>
      <c r="C2344" s="1"/>
      <c r="D2344" s="1"/>
      <c r="E2344" s="1"/>
      <c r="F2344" s="1"/>
      <c r="G2344" s="1"/>
      <c r="H2344" s="1"/>
      <c r="I2344" s="1"/>
    </row>
    <row r="2345" ht="15.75" customHeight="1">
      <c r="A2345" s="1" t="s">
        <v>2414</v>
      </c>
      <c r="B2345" s="1" t="s">
        <v>2407</v>
      </c>
      <c r="C2345" s="1"/>
      <c r="D2345" s="1"/>
      <c r="E2345" s="1"/>
      <c r="F2345" s="1"/>
      <c r="G2345" s="1"/>
      <c r="H2345" s="1"/>
      <c r="I2345" s="1"/>
    </row>
    <row r="2346" ht="15.75" customHeight="1">
      <c r="A2346" s="1" t="s">
        <v>2415</v>
      </c>
      <c r="B2346" s="1" t="s">
        <v>2407</v>
      </c>
      <c r="C2346" s="1"/>
      <c r="D2346" s="1"/>
      <c r="E2346" s="1"/>
      <c r="F2346" s="1"/>
      <c r="G2346" s="1"/>
      <c r="H2346" s="1"/>
      <c r="I2346" s="1"/>
    </row>
    <row r="2347" ht="15.75" customHeight="1">
      <c r="A2347" s="1" t="s">
        <v>2416</v>
      </c>
      <c r="B2347" s="1" t="s">
        <v>2407</v>
      </c>
      <c r="C2347" s="1"/>
      <c r="D2347" s="1"/>
      <c r="E2347" s="1"/>
      <c r="F2347" s="1"/>
      <c r="G2347" s="1"/>
      <c r="H2347" s="1"/>
      <c r="I2347" s="1"/>
    </row>
    <row r="2348" ht="15.75" customHeight="1">
      <c r="A2348" s="1" t="s">
        <v>2417</v>
      </c>
      <c r="B2348" s="1" t="s">
        <v>2407</v>
      </c>
      <c r="C2348" s="1"/>
      <c r="D2348" s="1"/>
      <c r="E2348" s="1"/>
      <c r="F2348" s="1"/>
      <c r="G2348" s="1"/>
      <c r="H2348" s="1"/>
      <c r="I2348" s="1"/>
    </row>
    <row r="2349" ht="15.75" customHeight="1">
      <c r="A2349" s="1" t="s">
        <v>2418</v>
      </c>
      <c r="B2349" s="1" t="s">
        <v>2407</v>
      </c>
      <c r="C2349" s="1"/>
      <c r="D2349" s="1"/>
      <c r="E2349" s="1"/>
      <c r="F2349" s="1"/>
      <c r="G2349" s="1"/>
      <c r="H2349" s="1"/>
      <c r="I2349" s="1"/>
    </row>
    <row r="2350" ht="15.75" customHeight="1">
      <c r="A2350" s="1" t="s">
        <v>2419</v>
      </c>
      <c r="B2350" s="1" t="s">
        <v>2407</v>
      </c>
      <c r="C2350" s="1"/>
      <c r="D2350" s="1"/>
      <c r="E2350" s="1"/>
      <c r="F2350" s="1"/>
      <c r="G2350" s="1"/>
      <c r="H2350" s="1"/>
      <c r="I2350" s="1"/>
    </row>
    <row r="2351" ht="15.75" customHeight="1">
      <c r="A2351" s="1" t="s">
        <v>2420</v>
      </c>
      <c r="B2351" s="1" t="s">
        <v>2407</v>
      </c>
      <c r="C2351" s="1"/>
      <c r="D2351" s="1"/>
      <c r="E2351" s="1"/>
      <c r="F2351" s="1"/>
      <c r="G2351" s="1"/>
      <c r="H2351" s="1"/>
      <c r="I2351" s="1"/>
    </row>
    <row r="2352" ht="15.75" customHeight="1">
      <c r="A2352" s="1" t="s">
        <v>2421</v>
      </c>
      <c r="B2352" s="1" t="s">
        <v>2407</v>
      </c>
      <c r="C2352" s="1"/>
      <c r="D2352" s="1"/>
      <c r="E2352" s="1"/>
      <c r="F2352" s="1"/>
      <c r="G2352" s="1"/>
      <c r="H2352" s="1"/>
      <c r="I2352" s="1"/>
    </row>
    <row r="2353" ht="15.75" customHeight="1">
      <c r="A2353" s="1" t="s">
        <v>2422</v>
      </c>
      <c r="B2353" s="1" t="s">
        <v>2407</v>
      </c>
      <c r="C2353" s="1"/>
      <c r="D2353" s="1"/>
      <c r="E2353" s="1"/>
      <c r="F2353" s="1"/>
      <c r="G2353" s="1"/>
      <c r="H2353" s="1"/>
      <c r="I2353" s="1"/>
    </row>
    <row r="2354" ht="15.75" customHeight="1">
      <c r="A2354" s="1" t="s">
        <v>2423</v>
      </c>
      <c r="B2354" s="1" t="s">
        <v>2407</v>
      </c>
      <c r="C2354" s="1"/>
      <c r="D2354" s="1"/>
      <c r="E2354" s="1"/>
      <c r="F2354" s="1"/>
      <c r="G2354" s="1"/>
      <c r="H2354" s="1"/>
      <c r="I2354" s="1"/>
    </row>
    <row r="2355" ht="15.75" customHeight="1">
      <c r="A2355" s="1" t="s">
        <v>2424</v>
      </c>
      <c r="B2355" s="1" t="s">
        <v>2425</v>
      </c>
      <c r="C2355" s="1"/>
      <c r="D2355" s="1"/>
      <c r="E2355" s="1"/>
      <c r="F2355" s="1"/>
      <c r="G2355" s="1"/>
      <c r="H2355" s="1"/>
      <c r="I2355" s="1"/>
    </row>
    <row r="2356" ht="15.75" customHeight="1">
      <c r="A2356" s="1" t="s">
        <v>2426</v>
      </c>
      <c r="B2356" s="1" t="s">
        <v>2425</v>
      </c>
      <c r="C2356" s="1"/>
      <c r="D2356" s="1"/>
      <c r="E2356" s="1"/>
      <c r="F2356" s="1"/>
      <c r="G2356" s="1"/>
      <c r="H2356" s="1"/>
      <c r="I2356" s="1"/>
    </row>
    <row r="2357" ht="15.75" customHeight="1">
      <c r="A2357" s="1" t="s">
        <v>2427</v>
      </c>
      <c r="B2357" s="1" t="s">
        <v>2425</v>
      </c>
      <c r="C2357" s="1"/>
      <c r="D2357" s="1"/>
      <c r="E2357" s="1"/>
      <c r="F2357" s="1"/>
      <c r="G2357" s="1"/>
      <c r="H2357" s="1"/>
      <c r="I2357" s="1"/>
    </row>
    <row r="2358" ht="15.75" customHeight="1">
      <c r="A2358" s="1" t="s">
        <v>2428</v>
      </c>
      <c r="B2358" s="1" t="s">
        <v>2425</v>
      </c>
      <c r="C2358" s="1"/>
      <c r="D2358" s="1"/>
      <c r="E2358" s="1"/>
      <c r="F2358" s="1"/>
      <c r="G2358" s="1"/>
      <c r="H2358" s="1"/>
      <c r="I2358" s="1"/>
    </row>
    <row r="2359" ht="15.75" customHeight="1">
      <c r="A2359" s="1" t="s">
        <v>2429</v>
      </c>
      <c r="B2359" s="1" t="s">
        <v>2425</v>
      </c>
      <c r="C2359" s="1"/>
      <c r="D2359" s="1"/>
      <c r="E2359" s="1"/>
      <c r="F2359" s="1"/>
      <c r="G2359" s="1"/>
      <c r="H2359" s="1"/>
      <c r="I2359" s="1"/>
    </row>
    <row r="2360" ht="15.75" customHeight="1">
      <c r="A2360" s="1" t="s">
        <v>2430</v>
      </c>
      <c r="B2360" s="1" t="s">
        <v>2425</v>
      </c>
      <c r="C2360" s="1"/>
      <c r="D2360" s="1"/>
      <c r="E2360" s="1"/>
      <c r="F2360" s="1"/>
      <c r="G2360" s="1"/>
      <c r="H2360" s="1"/>
      <c r="I2360" s="1"/>
    </row>
    <row r="2361" ht="15.75" customHeight="1">
      <c r="A2361" s="1" t="s">
        <v>2431</v>
      </c>
      <c r="B2361" s="1" t="s">
        <v>2425</v>
      </c>
      <c r="C2361" s="1"/>
      <c r="D2361" s="1"/>
      <c r="E2361" s="1"/>
      <c r="F2361" s="1"/>
      <c r="G2361" s="1"/>
      <c r="H2361" s="1"/>
      <c r="I2361" s="1"/>
    </row>
    <row r="2362" ht="15.75" customHeight="1">
      <c r="A2362" s="1" t="s">
        <v>2432</v>
      </c>
      <c r="B2362" s="1" t="s">
        <v>2425</v>
      </c>
      <c r="C2362" s="1"/>
      <c r="D2362" s="1"/>
      <c r="E2362" s="1"/>
      <c r="F2362" s="1"/>
      <c r="G2362" s="1"/>
      <c r="H2362" s="1"/>
      <c r="I2362" s="1"/>
    </row>
    <row r="2363" ht="15.75" customHeight="1">
      <c r="A2363" s="1" t="s">
        <v>2433</v>
      </c>
      <c r="B2363" s="1" t="s">
        <v>2425</v>
      </c>
      <c r="C2363" s="1"/>
      <c r="D2363" s="1"/>
      <c r="E2363" s="1"/>
      <c r="F2363" s="1"/>
      <c r="G2363" s="1"/>
      <c r="H2363" s="1"/>
      <c r="I2363" s="1"/>
    </row>
    <row r="2364" ht="15.75" customHeight="1">
      <c r="A2364" s="1" t="s">
        <v>2434</v>
      </c>
      <c r="B2364" s="1" t="s">
        <v>2425</v>
      </c>
      <c r="C2364" s="1"/>
      <c r="D2364" s="1"/>
      <c r="E2364" s="1"/>
      <c r="F2364" s="1"/>
      <c r="G2364" s="1"/>
      <c r="H2364" s="1"/>
      <c r="I2364" s="1"/>
    </row>
    <row r="2365" ht="15.75" customHeight="1">
      <c r="A2365" s="1" t="s">
        <v>2435</v>
      </c>
      <c r="B2365" s="1" t="s">
        <v>2425</v>
      </c>
      <c r="C2365" s="1"/>
      <c r="D2365" s="1"/>
      <c r="E2365" s="1"/>
      <c r="F2365" s="1"/>
      <c r="G2365" s="1"/>
      <c r="H2365" s="1"/>
      <c r="I2365" s="1"/>
    </row>
    <row r="2366" ht="15.75" customHeight="1">
      <c r="A2366" s="1" t="s">
        <v>2436</v>
      </c>
      <c r="B2366" s="1" t="s">
        <v>2425</v>
      </c>
      <c r="C2366" s="1"/>
      <c r="D2366" s="1"/>
      <c r="E2366" s="1"/>
      <c r="F2366" s="1"/>
      <c r="G2366" s="1"/>
      <c r="H2366" s="1"/>
      <c r="I2366" s="1"/>
    </row>
    <row r="2367" ht="15.75" customHeight="1">
      <c r="A2367" s="1" t="s">
        <v>2437</v>
      </c>
      <c r="B2367" s="1" t="s">
        <v>2425</v>
      </c>
      <c r="C2367" s="1"/>
      <c r="D2367" s="1"/>
      <c r="E2367" s="1"/>
      <c r="F2367" s="1"/>
      <c r="G2367" s="1"/>
      <c r="H2367" s="1"/>
      <c r="I2367" s="1"/>
    </row>
    <row r="2368" ht="15.75" customHeight="1">
      <c r="A2368" s="1" t="s">
        <v>2438</v>
      </c>
      <c r="B2368" s="1" t="s">
        <v>2425</v>
      </c>
      <c r="C2368" s="1"/>
      <c r="D2368" s="1"/>
      <c r="E2368" s="1"/>
      <c r="F2368" s="1"/>
      <c r="G2368" s="1"/>
      <c r="H2368" s="1"/>
      <c r="I2368" s="1"/>
    </row>
    <row r="2369" ht="15.75" customHeight="1">
      <c r="A2369" s="1" t="s">
        <v>2439</v>
      </c>
      <c r="B2369" s="1" t="s">
        <v>2425</v>
      </c>
      <c r="C2369" s="1"/>
      <c r="D2369" s="1"/>
      <c r="E2369" s="1"/>
      <c r="F2369" s="1"/>
      <c r="G2369" s="1"/>
      <c r="H2369" s="1"/>
      <c r="I2369" s="1"/>
    </row>
    <row r="2370" ht="15.75" customHeight="1">
      <c r="A2370" s="1" t="s">
        <v>2440</v>
      </c>
      <c r="B2370" s="1" t="s">
        <v>2425</v>
      </c>
      <c r="C2370" s="1"/>
      <c r="D2370" s="1"/>
      <c r="E2370" s="1"/>
      <c r="F2370" s="1"/>
      <c r="G2370" s="1"/>
      <c r="H2370" s="1"/>
      <c r="I2370" s="1"/>
    </row>
    <row r="2371" ht="15.75" customHeight="1">
      <c r="A2371" s="1" t="s">
        <v>2441</v>
      </c>
      <c r="B2371" s="1" t="s">
        <v>2425</v>
      </c>
      <c r="C2371" s="1"/>
      <c r="D2371" s="1"/>
      <c r="E2371" s="1"/>
      <c r="F2371" s="1"/>
      <c r="G2371" s="1"/>
      <c r="H2371" s="1"/>
      <c r="I2371" s="1"/>
    </row>
    <row r="2372" ht="15.75" customHeight="1">
      <c r="A2372" s="1" t="s">
        <v>2442</v>
      </c>
      <c r="B2372" s="1" t="s">
        <v>2425</v>
      </c>
      <c r="C2372" s="1"/>
      <c r="D2372" s="1"/>
      <c r="E2372" s="1"/>
      <c r="F2372" s="1"/>
      <c r="G2372" s="1"/>
      <c r="H2372" s="1"/>
      <c r="I2372" s="1"/>
    </row>
    <row r="2373" ht="15.75" customHeight="1">
      <c r="A2373" s="1" t="s">
        <v>2443</v>
      </c>
      <c r="B2373" s="1" t="s">
        <v>2425</v>
      </c>
      <c r="C2373" s="1"/>
      <c r="D2373" s="1"/>
      <c r="E2373" s="1"/>
      <c r="F2373" s="1"/>
      <c r="G2373" s="1"/>
      <c r="H2373" s="1"/>
      <c r="I2373" s="1"/>
    </row>
    <row r="2374" ht="15.75" customHeight="1">
      <c r="A2374" s="1" t="s">
        <v>2444</v>
      </c>
      <c r="B2374" s="1" t="s">
        <v>2425</v>
      </c>
      <c r="C2374" s="1"/>
      <c r="D2374" s="1"/>
      <c r="E2374" s="1"/>
      <c r="F2374" s="1"/>
      <c r="G2374" s="1"/>
      <c r="H2374" s="1"/>
      <c r="I2374" s="1"/>
    </row>
    <row r="2375" ht="15.75" customHeight="1">
      <c r="A2375" s="1" t="s">
        <v>2445</v>
      </c>
      <c r="B2375" s="1" t="s">
        <v>2425</v>
      </c>
      <c r="C2375" s="1"/>
      <c r="D2375" s="1"/>
      <c r="E2375" s="1"/>
      <c r="F2375" s="1"/>
      <c r="G2375" s="1"/>
      <c r="H2375" s="1"/>
      <c r="I2375" s="1"/>
    </row>
    <row r="2376" ht="15.75" customHeight="1">
      <c r="A2376" s="1" t="s">
        <v>2446</v>
      </c>
      <c r="B2376" s="1" t="s">
        <v>2425</v>
      </c>
      <c r="C2376" s="1"/>
      <c r="D2376" s="1"/>
      <c r="E2376" s="1"/>
      <c r="F2376" s="1"/>
      <c r="G2376" s="1"/>
      <c r="H2376" s="1"/>
      <c r="I2376" s="1"/>
    </row>
    <row r="2377" ht="15.75" customHeight="1">
      <c r="A2377" s="1" t="s">
        <v>2447</v>
      </c>
      <c r="B2377" s="1" t="s">
        <v>2425</v>
      </c>
      <c r="C2377" s="1"/>
      <c r="D2377" s="1"/>
      <c r="E2377" s="1"/>
      <c r="F2377" s="1"/>
      <c r="G2377" s="1"/>
      <c r="H2377" s="1"/>
      <c r="I2377" s="1"/>
    </row>
    <row r="2378" ht="15.75" customHeight="1">
      <c r="A2378" s="1" t="s">
        <v>2448</v>
      </c>
      <c r="B2378" s="1" t="s">
        <v>2449</v>
      </c>
      <c r="C2378" s="1"/>
      <c r="D2378" s="1"/>
      <c r="E2378" s="1"/>
      <c r="F2378" s="1"/>
      <c r="G2378" s="1"/>
      <c r="H2378" s="1"/>
      <c r="I2378" s="1"/>
    </row>
    <row r="2379" ht="15.75" customHeight="1">
      <c r="A2379" s="1" t="s">
        <v>2450</v>
      </c>
      <c r="B2379" s="1" t="s">
        <v>2449</v>
      </c>
      <c r="C2379" s="1"/>
      <c r="D2379" s="1"/>
      <c r="E2379" s="1"/>
      <c r="F2379" s="1"/>
      <c r="G2379" s="1"/>
      <c r="H2379" s="1"/>
      <c r="I2379" s="1"/>
    </row>
    <row r="2380" ht="15.75" customHeight="1">
      <c r="A2380" s="1" t="s">
        <v>2451</v>
      </c>
      <c r="B2380" s="1" t="s">
        <v>2449</v>
      </c>
      <c r="C2380" s="1"/>
      <c r="D2380" s="1"/>
      <c r="E2380" s="1"/>
      <c r="F2380" s="1"/>
      <c r="G2380" s="1"/>
      <c r="H2380" s="1"/>
      <c r="I2380" s="1"/>
    </row>
    <row r="2381" ht="15.75" customHeight="1">
      <c r="A2381" s="1" t="s">
        <v>2452</v>
      </c>
      <c r="B2381" s="1" t="s">
        <v>2449</v>
      </c>
      <c r="C2381" s="1"/>
      <c r="D2381" s="1"/>
      <c r="E2381" s="1"/>
      <c r="F2381" s="1"/>
      <c r="G2381" s="1"/>
      <c r="H2381" s="1"/>
      <c r="I2381" s="1"/>
    </row>
    <row r="2382" ht="15.75" customHeight="1">
      <c r="A2382" s="1" t="s">
        <v>2453</v>
      </c>
      <c r="B2382" s="1" t="s">
        <v>2449</v>
      </c>
      <c r="C2382" s="1"/>
      <c r="D2382" s="1"/>
      <c r="E2382" s="1"/>
      <c r="F2382" s="1"/>
      <c r="G2382" s="1"/>
      <c r="H2382" s="1"/>
      <c r="I2382" s="1"/>
    </row>
    <row r="2383" ht="15.75" customHeight="1">
      <c r="A2383" s="1" t="s">
        <v>2454</v>
      </c>
      <c r="B2383" s="1" t="s">
        <v>2449</v>
      </c>
      <c r="C2383" s="1"/>
      <c r="D2383" s="1"/>
      <c r="E2383" s="1"/>
      <c r="F2383" s="1"/>
      <c r="G2383" s="1"/>
      <c r="H2383" s="1"/>
      <c r="I2383" s="1"/>
    </row>
    <row r="2384" ht="15.75" customHeight="1">
      <c r="A2384" s="1" t="s">
        <v>2455</v>
      </c>
      <c r="B2384" s="1" t="s">
        <v>2449</v>
      </c>
      <c r="C2384" s="1"/>
      <c r="D2384" s="1"/>
      <c r="E2384" s="1"/>
      <c r="F2384" s="1"/>
      <c r="G2384" s="1"/>
      <c r="H2384" s="1"/>
      <c r="I2384" s="1"/>
    </row>
    <row r="2385" ht="15.75" customHeight="1">
      <c r="A2385" s="1" t="s">
        <v>2456</v>
      </c>
      <c r="B2385" s="1" t="s">
        <v>2449</v>
      </c>
      <c r="C2385" s="1"/>
      <c r="D2385" s="1"/>
      <c r="E2385" s="1"/>
      <c r="F2385" s="1"/>
      <c r="G2385" s="1"/>
      <c r="H2385" s="1"/>
      <c r="I2385" s="1"/>
    </row>
    <row r="2386" ht="15.75" customHeight="1">
      <c r="A2386" s="1" t="s">
        <v>2457</v>
      </c>
      <c r="B2386" s="1" t="s">
        <v>2449</v>
      </c>
      <c r="C2386" s="1"/>
      <c r="D2386" s="1"/>
      <c r="E2386" s="1"/>
      <c r="F2386" s="1"/>
      <c r="G2386" s="1"/>
      <c r="H2386" s="1"/>
      <c r="I2386" s="1"/>
    </row>
    <row r="2387" ht="15.75" customHeight="1">
      <c r="A2387" s="1" t="s">
        <v>2458</v>
      </c>
      <c r="B2387" s="1" t="s">
        <v>2449</v>
      </c>
      <c r="C2387" s="1"/>
      <c r="D2387" s="1"/>
      <c r="E2387" s="1"/>
      <c r="F2387" s="1"/>
      <c r="G2387" s="1"/>
      <c r="H2387" s="1"/>
      <c r="I2387" s="1"/>
    </row>
    <row r="2388" ht="15.75" customHeight="1">
      <c r="A2388" s="1" t="s">
        <v>2459</v>
      </c>
      <c r="B2388" s="1" t="s">
        <v>2449</v>
      </c>
      <c r="C2388" s="1"/>
      <c r="D2388" s="1"/>
      <c r="E2388" s="1"/>
      <c r="F2388" s="1"/>
      <c r="G2388" s="1"/>
      <c r="H2388" s="1"/>
      <c r="I2388" s="1"/>
    </row>
    <row r="2389" ht="15.75" customHeight="1">
      <c r="A2389" s="1" t="s">
        <v>2460</v>
      </c>
      <c r="B2389" s="1" t="s">
        <v>2449</v>
      </c>
      <c r="C2389" s="1"/>
      <c r="D2389" s="1"/>
      <c r="E2389" s="1"/>
      <c r="F2389" s="1"/>
      <c r="G2389" s="1"/>
      <c r="H2389" s="1"/>
      <c r="I2389" s="1"/>
    </row>
    <row r="2390" ht="15.75" customHeight="1">
      <c r="A2390" s="1" t="s">
        <v>2461</v>
      </c>
      <c r="B2390" s="1" t="s">
        <v>2462</v>
      </c>
      <c r="C2390" s="1"/>
      <c r="D2390" s="1"/>
      <c r="E2390" s="1"/>
      <c r="F2390" s="1"/>
      <c r="G2390" s="1"/>
      <c r="H2390" s="1"/>
      <c r="I2390" s="1"/>
    </row>
    <row r="2391" ht="15.75" customHeight="1">
      <c r="A2391" s="1" t="s">
        <v>2463</v>
      </c>
      <c r="B2391" s="1" t="s">
        <v>2462</v>
      </c>
      <c r="C2391" s="1"/>
      <c r="D2391" s="1"/>
      <c r="E2391" s="1"/>
      <c r="F2391" s="1"/>
      <c r="G2391" s="1"/>
      <c r="H2391" s="1"/>
      <c r="I2391" s="1"/>
    </row>
    <row r="2392" ht="15.75" customHeight="1">
      <c r="A2392" s="1" t="s">
        <v>2464</v>
      </c>
      <c r="B2392" s="1" t="s">
        <v>2462</v>
      </c>
      <c r="C2392" s="1"/>
      <c r="D2392" s="1"/>
      <c r="E2392" s="1"/>
      <c r="F2392" s="1"/>
      <c r="G2392" s="1"/>
      <c r="H2392" s="1"/>
      <c r="I2392" s="1"/>
    </row>
    <row r="2393" ht="15.75" customHeight="1">
      <c r="A2393" s="1" t="s">
        <v>2465</v>
      </c>
      <c r="B2393" s="1" t="s">
        <v>2462</v>
      </c>
      <c r="C2393" s="1"/>
      <c r="D2393" s="1"/>
      <c r="E2393" s="1"/>
      <c r="F2393" s="1"/>
      <c r="G2393" s="1"/>
      <c r="H2393" s="1"/>
      <c r="I2393" s="1"/>
    </row>
    <row r="2394" ht="15.75" customHeight="1">
      <c r="A2394" s="1" t="s">
        <v>2466</v>
      </c>
      <c r="B2394" s="1" t="s">
        <v>2462</v>
      </c>
      <c r="C2394" s="1"/>
      <c r="D2394" s="1"/>
      <c r="E2394" s="1"/>
      <c r="F2394" s="1"/>
      <c r="G2394" s="1"/>
      <c r="H2394" s="1"/>
      <c r="I2394" s="1"/>
    </row>
    <row r="2395" ht="15.75" customHeight="1">
      <c r="A2395" s="1" t="s">
        <v>2467</v>
      </c>
      <c r="B2395" s="1" t="s">
        <v>2462</v>
      </c>
      <c r="C2395" s="1"/>
      <c r="D2395" s="1"/>
      <c r="E2395" s="1"/>
      <c r="F2395" s="1"/>
      <c r="G2395" s="1"/>
      <c r="H2395" s="1"/>
      <c r="I2395" s="1"/>
    </row>
    <row r="2396" ht="15.75" customHeight="1">
      <c r="A2396" s="1" t="s">
        <v>2468</v>
      </c>
      <c r="B2396" s="1" t="s">
        <v>2469</v>
      </c>
      <c r="C2396" s="1"/>
      <c r="D2396" s="1"/>
      <c r="E2396" s="1"/>
      <c r="F2396" s="1"/>
      <c r="G2396" s="1"/>
      <c r="H2396" s="1"/>
      <c r="I2396" s="1"/>
    </row>
    <row r="2397" ht="15.75" customHeight="1">
      <c r="A2397" s="1" t="s">
        <v>2470</v>
      </c>
      <c r="B2397" s="1" t="s">
        <v>2469</v>
      </c>
      <c r="C2397" s="1"/>
      <c r="D2397" s="1"/>
      <c r="E2397" s="1"/>
      <c r="F2397" s="1"/>
      <c r="G2397" s="1"/>
      <c r="H2397" s="1"/>
      <c r="I2397" s="1"/>
    </row>
    <row r="2398" ht="15.75" customHeight="1">
      <c r="A2398" s="1" t="s">
        <v>2471</v>
      </c>
      <c r="B2398" s="1" t="s">
        <v>2469</v>
      </c>
      <c r="C2398" s="1"/>
      <c r="D2398" s="1"/>
      <c r="E2398" s="1"/>
      <c r="F2398" s="1"/>
      <c r="G2398" s="1"/>
      <c r="H2398" s="1"/>
      <c r="I2398" s="1"/>
    </row>
    <row r="2399" ht="15.75" customHeight="1">
      <c r="A2399" s="1" t="s">
        <v>2472</v>
      </c>
      <c r="B2399" s="1" t="s">
        <v>2469</v>
      </c>
      <c r="C2399" s="1"/>
      <c r="D2399" s="1"/>
      <c r="E2399" s="1"/>
      <c r="F2399" s="1"/>
      <c r="G2399" s="1"/>
      <c r="H2399" s="1"/>
      <c r="I2399" s="1"/>
    </row>
    <row r="2400" ht="15.75" customHeight="1">
      <c r="A2400" s="1" t="s">
        <v>2473</v>
      </c>
      <c r="B2400" s="1" t="s">
        <v>2474</v>
      </c>
      <c r="C2400" s="1"/>
      <c r="D2400" s="1"/>
      <c r="E2400" s="1"/>
      <c r="F2400" s="1"/>
      <c r="G2400" s="1"/>
      <c r="H2400" s="1"/>
      <c r="I2400" s="1"/>
    </row>
    <row r="2401" ht="15.75" customHeight="1">
      <c r="A2401" s="1" t="s">
        <v>2475</v>
      </c>
      <c r="B2401" s="1" t="s">
        <v>2474</v>
      </c>
      <c r="C2401" s="1"/>
      <c r="D2401" s="1"/>
      <c r="E2401" s="1"/>
      <c r="F2401" s="1"/>
      <c r="G2401" s="1"/>
      <c r="H2401" s="1"/>
      <c r="I2401" s="1"/>
    </row>
    <row r="2402" ht="15.75" customHeight="1">
      <c r="A2402" s="1" t="s">
        <v>2476</v>
      </c>
      <c r="B2402" s="1" t="s">
        <v>2474</v>
      </c>
      <c r="C2402" s="1"/>
      <c r="D2402" s="1"/>
      <c r="E2402" s="1"/>
      <c r="F2402" s="1"/>
      <c r="G2402" s="1"/>
      <c r="H2402" s="1"/>
      <c r="I2402" s="1"/>
    </row>
    <row r="2403" ht="15.75" customHeight="1">
      <c r="A2403" s="1" t="s">
        <v>2477</v>
      </c>
      <c r="B2403" s="1" t="s">
        <v>2474</v>
      </c>
      <c r="C2403" s="1"/>
      <c r="D2403" s="1"/>
      <c r="E2403" s="1"/>
      <c r="F2403" s="1"/>
      <c r="G2403" s="1"/>
      <c r="H2403" s="1"/>
      <c r="I2403" s="1"/>
    </row>
    <row r="2404" ht="15.75" customHeight="1">
      <c r="A2404" s="1" t="s">
        <v>2478</v>
      </c>
      <c r="B2404" s="1" t="s">
        <v>2474</v>
      </c>
      <c r="C2404" s="1"/>
      <c r="D2404" s="1"/>
      <c r="E2404" s="1"/>
      <c r="F2404" s="1"/>
      <c r="G2404" s="1"/>
      <c r="H2404" s="1"/>
      <c r="I2404" s="1"/>
    </row>
    <row r="2405" ht="15.75" customHeight="1">
      <c r="A2405" s="1" t="s">
        <v>2479</v>
      </c>
      <c r="B2405" s="1" t="s">
        <v>2474</v>
      </c>
      <c r="C2405" s="1"/>
      <c r="D2405" s="1"/>
      <c r="E2405" s="1"/>
      <c r="F2405" s="1"/>
      <c r="G2405" s="1"/>
      <c r="H2405" s="1"/>
      <c r="I2405" s="1"/>
    </row>
    <row r="2406" ht="15.75" customHeight="1">
      <c r="A2406" s="1" t="s">
        <v>2480</v>
      </c>
      <c r="B2406" s="1" t="s">
        <v>2474</v>
      </c>
      <c r="C2406" s="1"/>
      <c r="D2406" s="1"/>
      <c r="E2406" s="1"/>
      <c r="F2406" s="1"/>
      <c r="G2406" s="1"/>
      <c r="H2406" s="1"/>
      <c r="I2406" s="1"/>
    </row>
    <row r="2407" ht="15.75" customHeight="1">
      <c r="A2407" s="1" t="s">
        <v>2481</v>
      </c>
      <c r="B2407" s="1" t="s">
        <v>2474</v>
      </c>
      <c r="C2407" s="1"/>
      <c r="D2407" s="1"/>
      <c r="E2407" s="1"/>
      <c r="F2407" s="1"/>
      <c r="G2407" s="1"/>
      <c r="H2407" s="1"/>
      <c r="I2407" s="1"/>
    </row>
    <row r="2408" ht="15.75" customHeight="1">
      <c r="A2408" s="1" t="s">
        <v>2482</v>
      </c>
      <c r="B2408" s="1" t="s">
        <v>2474</v>
      </c>
      <c r="C2408" s="1"/>
      <c r="D2408" s="1"/>
      <c r="E2408" s="1"/>
      <c r="F2408" s="1"/>
      <c r="G2408" s="1"/>
      <c r="H2408" s="1"/>
      <c r="I2408" s="1"/>
    </row>
    <row r="2409" ht="15.75" customHeight="1">
      <c r="A2409" s="1" t="s">
        <v>2483</v>
      </c>
      <c r="B2409" s="1" t="s">
        <v>2474</v>
      </c>
      <c r="C2409" s="1"/>
      <c r="D2409" s="1"/>
      <c r="E2409" s="1"/>
      <c r="F2409" s="1"/>
      <c r="G2409" s="1"/>
      <c r="H2409" s="1"/>
      <c r="I2409" s="1"/>
    </row>
    <row r="2410" ht="15.75" customHeight="1">
      <c r="A2410" s="1" t="s">
        <v>2484</v>
      </c>
      <c r="B2410" s="1" t="s">
        <v>2474</v>
      </c>
      <c r="C2410" s="1"/>
      <c r="D2410" s="1"/>
      <c r="E2410" s="1"/>
      <c r="F2410" s="1"/>
      <c r="G2410" s="1"/>
      <c r="H2410" s="1"/>
      <c r="I2410" s="1"/>
    </row>
    <row r="2411" ht="15.75" customHeight="1">
      <c r="A2411" s="1" t="s">
        <v>2485</v>
      </c>
      <c r="B2411" s="1" t="s">
        <v>2474</v>
      </c>
      <c r="C2411" s="1"/>
      <c r="D2411" s="1"/>
      <c r="E2411" s="1"/>
      <c r="F2411" s="1"/>
      <c r="G2411" s="1"/>
      <c r="H2411" s="1"/>
      <c r="I2411" s="1"/>
    </row>
    <row r="2412" ht="15.75" customHeight="1">
      <c r="A2412" s="1" t="s">
        <v>2486</v>
      </c>
      <c r="B2412" s="1" t="s">
        <v>2474</v>
      </c>
      <c r="C2412" s="1"/>
      <c r="D2412" s="1"/>
      <c r="E2412" s="1"/>
      <c r="F2412" s="1"/>
      <c r="G2412" s="1"/>
      <c r="H2412" s="1"/>
      <c r="I2412" s="1"/>
    </row>
    <row r="2413" ht="15.75" customHeight="1">
      <c r="A2413" s="1" t="s">
        <v>2487</v>
      </c>
      <c r="B2413" s="1" t="s">
        <v>2474</v>
      </c>
      <c r="C2413" s="1"/>
      <c r="D2413" s="1"/>
      <c r="E2413" s="1"/>
      <c r="F2413" s="1"/>
      <c r="G2413" s="1"/>
      <c r="H2413" s="1"/>
      <c r="I2413" s="1"/>
    </row>
    <row r="2414" ht="15.75" customHeight="1">
      <c r="A2414" s="1" t="s">
        <v>2488</v>
      </c>
      <c r="B2414" s="1" t="s">
        <v>2474</v>
      </c>
      <c r="C2414" s="1"/>
      <c r="D2414" s="1"/>
      <c r="E2414" s="1"/>
      <c r="F2414" s="1"/>
      <c r="G2414" s="1"/>
      <c r="H2414" s="1"/>
      <c r="I2414" s="1"/>
    </row>
    <row r="2415" ht="15.75" customHeight="1">
      <c r="A2415" s="1" t="s">
        <v>2489</v>
      </c>
      <c r="B2415" s="1" t="s">
        <v>2474</v>
      </c>
      <c r="C2415" s="1"/>
      <c r="D2415" s="1"/>
      <c r="E2415" s="1"/>
      <c r="F2415" s="1"/>
      <c r="G2415" s="1"/>
      <c r="H2415" s="1"/>
      <c r="I2415" s="1"/>
    </row>
    <row r="2416" ht="15.75" customHeight="1">
      <c r="A2416" s="1" t="s">
        <v>2490</v>
      </c>
      <c r="B2416" s="1" t="s">
        <v>2474</v>
      </c>
      <c r="C2416" s="1"/>
      <c r="D2416" s="1"/>
      <c r="E2416" s="1"/>
      <c r="F2416" s="1"/>
      <c r="G2416" s="1"/>
      <c r="H2416" s="1"/>
      <c r="I2416" s="1"/>
    </row>
    <row r="2417" ht="15.75" customHeight="1">
      <c r="A2417" s="1" t="s">
        <v>2491</v>
      </c>
      <c r="B2417" s="1" t="s">
        <v>2474</v>
      </c>
      <c r="C2417" s="1"/>
      <c r="D2417" s="1"/>
      <c r="E2417" s="1"/>
      <c r="F2417" s="1"/>
      <c r="G2417" s="1"/>
      <c r="H2417" s="1"/>
      <c r="I2417" s="1"/>
    </row>
    <row r="2418" ht="15.75" customHeight="1">
      <c r="A2418" s="1" t="s">
        <v>2492</v>
      </c>
      <c r="B2418" s="1" t="s">
        <v>2474</v>
      </c>
      <c r="C2418" s="1"/>
      <c r="D2418" s="1"/>
      <c r="E2418" s="1"/>
      <c r="F2418" s="1"/>
      <c r="G2418" s="1"/>
      <c r="H2418" s="1"/>
      <c r="I2418" s="1"/>
    </row>
    <row r="2419" ht="15.75" customHeight="1">
      <c r="A2419" s="1" t="s">
        <v>2493</v>
      </c>
      <c r="B2419" s="1" t="s">
        <v>2474</v>
      </c>
      <c r="C2419" s="1"/>
      <c r="D2419" s="1"/>
      <c r="E2419" s="1"/>
      <c r="F2419" s="1"/>
      <c r="G2419" s="1"/>
      <c r="H2419" s="1"/>
      <c r="I2419" s="1"/>
    </row>
    <row r="2420" ht="15.75" customHeight="1">
      <c r="A2420" s="1" t="s">
        <v>2494</v>
      </c>
      <c r="B2420" s="1" t="s">
        <v>2495</v>
      </c>
      <c r="C2420" s="1"/>
      <c r="D2420" s="1"/>
      <c r="E2420" s="1"/>
      <c r="F2420" s="1"/>
      <c r="G2420" s="1"/>
      <c r="H2420" s="1"/>
      <c r="I2420" s="1"/>
    </row>
    <row r="2421" ht="15.75" customHeight="1">
      <c r="A2421" s="1" t="s">
        <v>2496</v>
      </c>
      <c r="B2421" s="1" t="s">
        <v>2495</v>
      </c>
      <c r="C2421" s="1"/>
      <c r="D2421" s="1"/>
      <c r="E2421" s="1"/>
      <c r="F2421" s="1"/>
      <c r="G2421" s="1"/>
      <c r="H2421" s="1"/>
      <c r="I2421" s="1"/>
    </row>
    <row r="2422" ht="15.75" customHeight="1">
      <c r="A2422" s="1" t="s">
        <v>2497</v>
      </c>
      <c r="B2422" s="1" t="s">
        <v>2495</v>
      </c>
      <c r="C2422" s="1"/>
      <c r="D2422" s="1"/>
      <c r="E2422" s="1"/>
      <c r="F2422" s="1"/>
      <c r="G2422" s="1"/>
      <c r="H2422" s="1"/>
      <c r="I2422" s="1"/>
    </row>
    <row r="2423" ht="15.75" customHeight="1">
      <c r="A2423" s="1" t="s">
        <v>2498</v>
      </c>
      <c r="B2423" s="1" t="s">
        <v>2495</v>
      </c>
      <c r="C2423" s="1"/>
      <c r="D2423" s="1"/>
      <c r="E2423" s="1"/>
      <c r="F2423" s="1"/>
      <c r="G2423" s="1"/>
      <c r="H2423" s="1"/>
      <c r="I2423" s="1"/>
    </row>
    <row r="2424" ht="15.75" customHeight="1">
      <c r="A2424" s="1" t="s">
        <v>2499</v>
      </c>
      <c r="B2424" s="1" t="s">
        <v>2495</v>
      </c>
      <c r="C2424" s="1"/>
      <c r="D2424" s="1"/>
      <c r="E2424" s="1"/>
      <c r="F2424" s="1"/>
      <c r="G2424" s="1"/>
      <c r="H2424" s="1"/>
      <c r="I2424" s="1"/>
    </row>
    <row r="2425" ht="15.75" customHeight="1">
      <c r="A2425" s="1" t="s">
        <v>2500</v>
      </c>
      <c r="B2425" s="1" t="s">
        <v>2495</v>
      </c>
      <c r="C2425" s="1"/>
      <c r="D2425" s="1"/>
      <c r="E2425" s="1"/>
      <c r="F2425" s="1"/>
      <c r="G2425" s="1"/>
      <c r="H2425" s="1"/>
      <c r="I2425" s="1"/>
    </row>
    <row r="2426" ht="15.75" customHeight="1">
      <c r="A2426" s="1" t="s">
        <v>2501</v>
      </c>
      <c r="B2426" s="1" t="s">
        <v>2495</v>
      </c>
      <c r="C2426" s="1"/>
      <c r="D2426" s="1"/>
      <c r="E2426" s="1"/>
      <c r="F2426" s="1"/>
      <c r="G2426" s="1"/>
      <c r="H2426" s="1"/>
      <c r="I2426" s="1"/>
    </row>
    <row r="2427" ht="15.75" customHeight="1">
      <c r="A2427" s="1" t="s">
        <v>2502</v>
      </c>
      <c r="B2427" s="1" t="s">
        <v>2495</v>
      </c>
      <c r="C2427" s="1"/>
      <c r="D2427" s="1"/>
      <c r="E2427" s="1"/>
      <c r="F2427" s="1"/>
      <c r="G2427" s="1"/>
      <c r="H2427" s="1"/>
      <c r="I2427" s="1"/>
    </row>
    <row r="2428" ht="15.75" customHeight="1">
      <c r="A2428" s="1" t="s">
        <v>2503</v>
      </c>
      <c r="B2428" s="1" t="s">
        <v>2495</v>
      </c>
      <c r="C2428" s="1"/>
      <c r="D2428" s="1"/>
      <c r="E2428" s="1"/>
      <c r="F2428" s="1"/>
      <c r="G2428" s="1"/>
      <c r="H2428" s="1"/>
      <c r="I2428" s="1"/>
    </row>
    <row r="2429" ht="15.75" customHeight="1">
      <c r="A2429" s="1" t="s">
        <v>2504</v>
      </c>
      <c r="B2429" s="1" t="s">
        <v>2495</v>
      </c>
      <c r="C2429" s="1"/>
      <c r="D2429" s="1"/>
      <c r="E2429" s="1"/>
      <c r="F2429" s="1"/>
      <c r="G2429" s="1"/>
      <c r="H2429" s="1"/>
      <c r="I2429" s="1"/>
    </row>
    <row r="2430" ht="15.75" customHeight="1">
      <c r="A2430" s="1" t="s">
        <v>2505</v>
      </c>
      <c r="B2430" s="1" t="s">
        <v>2495</v>
      </c>
      <c r="C2430" s="1"/>
      <c r="D2430" s="1"/>
      <c r="E2430" s="1"/>
      <c r="F2430" s="1"/>
      <c r="G2430" s="1"/>
      <c r="H2430" s="1"/>
      <c r="I2430" s="1"/>
    </row>
    <row r="2431" ht="15.75" customHeight="1">
      <c r="A2431" s="1" t="s">
        <v>2506</v>
      </c>
      <c r="B2431" s="1" t="s">
        <v>2495</v>
      </c>
      <c r="C2431" s="1"/>
      <c r="D2431" s="1"/>
      <c r="E2431" s="1"/>
      <c r="F2431" s="1"/>
      <c r="G2431" s="1"/>
      <c r="H2431" s="1"/>
      <c r="I2431" s="1"/>
    </row>
    <row r="2432" ht="15.75" customHeight="1">
      <c r="A2432" s="1" t="s">
        <v>2507</v>
      </c>
      <c r="B2432" s="1" t="s">
        <v>2495</v>
      </c>
      <c r="C2432" s="1"/>
      <c r="D2432" s="1"/>
      <c r="E2432" s="1"/>
      <c r="F2432" s="1"/>
      <c r="G2432" s="1"/>
      <c r="H2432" s="1"/>
      <c r="I2432" s="1"/>
    </row>
    <row r="2433" ht="15.75" customHeight="1">
      <c r="A2433" s="1" t="s">
        <v>2508</v>
      </c>
      <c r="B2433" s="1" t="s">
        <v>2495</v>
      </c>
      <c r="C2433" s="1"/>
      <c r="D2433" s="1"/>
      <c r="E2433" s="1"/>
      <c r="F2433" s="1"/>
      <c r="G2433" s="1"/>
      <c r="H2433" s="1"/>
      <c r="I2433" s="1"/>
    </row>
    <row r="2434" ht="15.75" customHeight="1">
      <c r="A2434" s="1" t="s">
        <v>2509</v>
      </c>
      <c r="B2434" s="1" t="s">
        <v>2495</v>
      </c>
      <c r="C2434" s="1"/>
      <c r="D2434" s="1"/>
      <c r="E2434" s="1"/>
      <c r="F2434" s="1"/>
      <c r="G2434" s="1"/>
      <c r="H2434" s="1"/>
      <c r="I2434" s="1"/>
    </row>
    <row r="2435" ht="15.75" customHeight="1">
      <c r="A2435" s="1" t="s">
        <v>2510</v>
      </c>
      <c r="B2435" s="1" t="s">
        <v>2495</v>
      </c>
      <c r="C2435" s="1"/>
      <c r="D2435" s="1"/>
      <c r="E2435" s="1"/>
      <c r="F2435" s="1"/>
      <c r="G2435" s="1"/>
      <c r="H2435" s="1"/>
      <c r="I2435" s="1"/>
    </row>
    <row r="2436" ht="15.75" customHeight="1">
      <c r="A2436" s="1" t="s">
        <v>2511</v>
      </c>
      <c r="B2436" s="1" t="s">
        <v>2495</v>
      </c>
      <c r="C2436" s="1"/>
      <c r="D2436" s="1"/>
      <c r="E2436" s="1"/>
      <c r="F2436" s="1"/>
      <c r="G2436" s="1"/>
      <c r="H2436" s="1"/>
      <c r="I2436" s="1"/>
    </row>
    <row r="2437" ht="15.75" customHeight="1">
      <c r="A2437" s="1" t="s">
        <v>2512</v>
      </c>
      <c r="B2437" s="1" t="s">
        <v>2495</v>
      </c>
      <c r="C2437" s="1"/>
      <c r="D2437" s="1"/>
      <c r="E2437" s="1"/>
      <c r="F2437" s="1"/>
      <c r="G2437" s="1"/>
      <c r="H2437" s="1"/>
      <c r="I2437" s="1"/>
    </row>
    <row r="2438" ht="15.75" customHeight="1">
      <c r="A2438" s="1" t="s">
        <v>2513</v>
      </c>
      <c r="B2438" s="1" t="s">
        <v>2495</v>
      </c>
      <c r="C2438" s="1"/>
      <c r="D2438" s="1"/>
      <c r="E2438" s="1"/>
      <c r="F2438" s="1"/>
      <c r="G2438" s="1"/>
      <c r="H2438" s="1"/>
      <c r="I2438" s="1"/>
    </row>
    <row r="2439" ht="15.75" customHeight="1">
      <c r="A2439" s="1" t="s">
        <v>2514</v>
      </c>
      <c r="B2439" s="1" t="s">
        <v>2495</v>
      </c>
      <c r="C2439" s="1"/>
      <c r="D2439" s="1"/>
      <c r="E2439" s="1"/>
      <c r="F2439" s="1"/>
      <c r="G2439" s="1"/>
      <c r="H2439" s="1"/>
      <c r="I2439" s="1"/>
    </row>
    <row r="2440" ht="15.75" customHeight="1">
      <c r="A2440" s="1" t="s">
        <v>2515</v>
      </c>
      <c r="B2440" s="1" t="s">
        <v>2495</v>
      </c>
      <c r="C2440" s="1"/>
      <c r="D2440" s="1"/>
      <c r="E2440" s="1"/>
      <c r="F2440" s="1"/>
      <c r="G2440" s="1"/>
      <c r="H2440" s="1"/>
      <c r="I2440" s="1"/>
    </row>
    <row r="2441" ht="15.75" customHeight="1">
      <c r="A2441" s="1" t="s">
        <v>2516</v>
      </c>
      <c r="B2441" s="1" t="s">
        <v>2495</v>
      </c>
      <c r="C2441" s="1"/>
      <c r="D2441" s="1"/>
      <c r="E2441" s="1"/>
      <c r="F2441" s="1"/>
      <c r="G2441" s="1"/>
      <c r="H2441" s="1"/>
      <c r="I2441" s="1"/>
    </row>
    <row r="2442" ht="15.75" customHeight="1">
      <c r="A2442" s="1" t="s">
        <v>2517</v>
      </c>
      <c r="B2442" s="1" t="s">
        <v>2495</v>
      </c>
      <c r="C2442" s="1"/>
      <c r="D2442" s="1"/>
      <c r="E2442" s="1"/>
      <c r="F2442" s="1"/>
      <c r="G2442" s="1"/>
      <c r="H2442" s="1"/>
      <c r="I2442" s="1"/>
    </row>
    <row r="2443" ht="15.75" customHeight="1">
      <c r="A2443" s="1" t="s">
        <v>2518</v>
      </c>
      <c r="B2443" s="1" t="s">
        <v>2495</v>
      </c>
      <c r="C2443" s="1"/>
      <c r="D2443" s="1"/>
      <c r="E2443" s="1"/>
      <c r="F2443" s="1"/>
      <c r="G2443" s="1"/>
      <c r="H2443" s="1"/>
      <c r="I2443" s="1"/>
    </row>
    <row r="2444" ht="15.75" customHeight="1">
      <c r="A2444" s="1" t="s">
        <v>2519</v>
      </c>
      <c r="B2444" s="1" t="s">
        <v>2495</v>
      </c>
      <c r="C2444" s="1"/>
      <c r="D2444" s="1"/>
      <c r="E2444" s="1"/>
      <c r="F2444" s="1"/>
      <c r="G2444" s="1"/>
      <c r="H2444" s="1"/>
      <c r="I2444" s="1"/>
    </row>
    <row r="2445" ht="15.75" customHeight="1">
      <c r="A2445" s="1" t="s">
        <v>2520</v>
      </c>
      <c r="B2445" s="1" t="s">
        <v>2495</v>
      </c>
      <c r="C2445" s="1"/>
      <c r="D2445" s="1"/>
      <c r="E2445" s="1"/>
      <c r="F2445" s="1"/>
      <c r="G2445" s="1"/>
      <c r="H2445" s="1"/>
      <c r="I2445" s="1"/>
    </row>
    <row r="2446" ht="15.75" customHeight="1">
      <c r="A2446" s="1" t="s">
        <v>2521</v>
      </c>
      <c r="B2446" s="1" t="s">
        <v>2495</v>
      </c>
      <c r="C2446" s="1"/>
      <c r="D2446" s="1"/>
      <c r="E2446" s="1"/>
      <c r="F2446" s="1"/>
      <c r="G2446" s="1"/>
      <c r="H2446" s="1"/>
      <c r="I2446" s="1"/>
    </row>
    <row r="2447" ht="15.75" customHeight="1">
      <c r="A2447" s="1" t="s">
        <v>2522</v>
      </c>
      <c r="B2447" s="1" t="s">
        <v>2495</v>
      </c>
      <c r="C2447" s="1"/>
      <c r="D2447" s="1"/>
      <c r="E2447" s="1"/>
      <c r="F2447" s="1"/>
      <c r="G2447" s="1"/>
      <c r="H2447" s="1"/>
      <c r="I2447" s="1"/>
    </row>
    <row r="2448" ht="15.75" customHeight="1">
      <c r="A2448" s="1" t="s">
        <v>2523</v>
      </c>
      <c r="B2448" s="1" t="s">
        <v>2495</v>
      </c>
      <c r="C2448" s="1"/>
      <c r="D2448" s="1"/>
      <c r="E2448" s="1"/>
      <c r="F2448" s="1"/>
      <c r="G2448" s="1"/>
      <c r="H2448" s="1"/>
      <c r="I2448" s="1"/>
    </row>
    <row r="2449" ht="15.75" customHeight="1">
      <c r="A2449" s="1" t="s">
        <v>2524</v>
      </c>
      <c r="B2449" s="1" t="s">
        <v>2495</v>
      </c>
      <c r="C2449" s="1"/>
      <c r="D2449" s="1"/>
      <c r="E2449" s="1"/>
      <c r="F2449" s="1"/>
      <c r="G2449" s="1"/>
      <c r="H2449" s="1"/>
      <c r="I2449" s="1"/>
    </row>
    <row r="2450" ht="15.75" customHeight="1">
      <c r="A2450" s="1" t="s">
        <v>2525</v>
      </c>
      <c r="B2450" s="1" t="s">
        <v>2495</v>
      </c>
      <c r="C2450" s="1"/>
      <c r="D2450" s="1"/>
      <c r="E2450" s="1"/>
      <c r="F2450" s="1"/>
      <c r="G2450" s="1"/>
      <c r="H2450" s="1"/>
      <c r="I2450" s="1"/>
    </row>
    <row r="2451" ht="15.75" customHeight="1">
      <c r="A2451" s="1" t="s">
        <v>2526</v>
      </c>
      <c r="B2451" s="1" t="s">
        <v>2495</v>
      </c>
      <c r="C2451" s="1"/>
      <c r="D2451" s="1"/>
      <c r="E2451" s="1"/>
      <c r="F2451" s="1"/>
      <c r="G2451" s="1"/>
      <c r="H2451" s="1"/>
      <c r="I2451" s="1"/>
    </row>
    <row r="2452" ht="15.75" customHeight="1">
      <c r="A2452" s="1" t="s">
        <v>2527</v>
      </c>
      <c r="B2452" s="1" t="s">
        <v>2495</v>
      </c>
      <c r="C2452" s="1"/>
      <c r="D2452" s="1"/>
      <c r="E2452" s="1"/>
      <c r="F2452" s="1"/>
      <c r="G2452" s="1"/>
      <c r="H2452" s="1"/>
      <c r="I2452" s="1"/>
    </row>
    <row r="2453" ht="15.75" customHeight="1">
      <c r="A2453" s="1" t="s">
        <v>2528</v>
      </c>
      <c r="B2453" s="1" t="s">
        <v>2495</v>
      </c>
      <c r="C2453" s="1"/>
      <c r="D2453" s="1"/>
      <c r="E2453" s="1"/>
      <c r="F2453" s="1"/>
      <c r="G2453" s="1"/>
      <c r="H2453" s="1"/>
      <c r="I2453" s="1"/>
    </row>
    <row r="2454" ht="15.75" customHeight="1">
      <c r="A2454" s="1" t="s">
        <v>2529</v>
      </c>
      <c r="B2454" s="1" t="s">
        <v>2495</v>
      </c>
      <c r="C2454" s="1"/>
      <c r="D2454" s="1"/>
      <c r="E2454" s="1"/>
      <c r="F2454" s="1"/>
      <c r="G2454" s="1"/>
      <c r="H2454" s="1"/>
      <c r="I2454" s="1"/>
    </row>
    <row r="2455" ht="15.75" customHeight="1">
      <c r="A2455" s="1" t="s">
        <v>2530</v>
      </c>
      <c r="B2455" s="1" t="s">
        <v>2495</v>
      </c>
      <c r="C2455" s="1"/>
      <c r="D2455" s="1"/>
      <c r="E2455" s="1"/>
      <c r="F2455" s="1"/>
      <c r="G2455" s="1"/>
      <c r="H2455" s="1"/>
      <c r="I2455" s="1"/>
    </row>
    <row r="2456" ht="15.75" customHeight="1">
      <c r="A2456" s="1" t="s">
        <v>2531</v>
      </c>
      <c r="B2456" s="1" t="s">
        <v>2495</v>
      </c>
      <c r="C2456" s="1"/>
      <c r="D2456" s="1"/>
      <c r="E2456" s="1"/>
      <c r="F2456" s="1"/>
      <c r="G2456" s="1"/>
      <c r="H2456" s="1"/>
      <c r="I2456" s="1"/>
    </row>
    <row r="2457" ht="15.75" customHeight="1">
      <c r="A2457" s="1" t="s">
        <v>2532</v>
      </c>
      <c r="B2457" s="1" t="s">
        <v>2495</v>
      </c>
      <c r="C2457" s="1"/>
      <c r="D2457" s="1"/>
      <c r="E2457" s="1"/>
      <c r="F2457" s="1"/>
      <c r="G2457" s="1"/>
      <c r="H2457" s="1"/>
      <c r="I2457" s="1"/>
    </row>
    <row r="2458" ht="15.75" customHeight="1">
      <c r="A2458" s="1" t="s">
        <v>2533</v>
      </c>
      <c r="B2458" s="1" t="s">
        <v>2495</v>
      </c>
      <c r="C2458" s="1"/>
      <c r="D2458" s="1"/>
      <c r="E2458" s="1"/>
      <c r="F2458" s="1"/>
      <c r="G2458" s="1"/>
      <c r="H2458" s="1"/>
      <c r="I2458" s="1"/>
    </row>
    <row r="2459" ht="15.75" customHeight="1">
      <c r="A2459" s="1" t="s">
        <v>2534</v>
      </c>
      <c r="B2459" s="1" t="s">
        <v>2495</v>
      </c>
      <c r="C2459" s="1"/>
      <c r="D2459" s="1"/>
      <c r="E2459" s="1"/>
      <c r="F2459" s="1"/>
      <c r="G2459" s="1"/>
      <c r="H2459" s="1"/>
      <c r="I2459" s="1"/>
    </row>
    <row r="2460" ht="15.75" customHeight="1">
      <c r="A2460" s="1" t="s">
        <v>2535</v>
      </c>
      <c r="B2460" s="1" t="s">
        <v>2495</v>
      </c>
      <c r="C2460" s="1"/>
      <c r="D2460" s="1"/>
      <c r="E2460" s="1"/>
      <c r="F2460" s="1"/>
      <c r="G2460" s="1"/>
      <c r="H2460" s="1"/>
      <c r="I2460" s="1"/>
    </row>
    <row r="2461" ht="15.75" customHeight="1">
      <c r="A2461" s="1" t="s">
        <v>2536</v>
      </c>
      <c r="B2461" s="1" t="s">
        <v>2495</v>
      </c>
      <c r="C2461" s="1"/>
      <c r="D2461" s="1"/>
      <c r="E2461" s="1"/>
      <c r="F2461" s="1"/>
      <c r="G2461" s="1"/>
      <c r="H2461" s="1"/>
      <c r="I2461" s="1"/>
    </row>
    <row r="2462" ht="15.75" customHeight="1">
      <c r="A2462" s="1" t="s">
        <v>2537</v>
      </c>
      <c r="B2462" s="1" t="s">
        <v>2495</v>
      </c>
      <c r="C2462" s="1"/>
      <c r="D2462" s="1"/>
      <c r="E2462" s="1"/>
      <c r="F2462" s="1"/>
      <c r="G2462" s="1"/>
      <c r="H2462" s="1"/>
      <c r="I2462" s="1"/>
    </row>
    <row r="2463" ht="15.75" customHeight="1">
      <c r="A2463" s="1" t="s">
        <v>2538</v>
      </c>
      <c r="B2463" s="1" t="s">
        <v>2495</v>
      </c>
      <c r="C2463" s="1"/>
      <c r="D2463" s="1"/>
      <c r="E2463" s="1"/>
      <c r="F2463" s="1"/>
      <c r="G2463" s="1"/>
      <c r="H2463" s="1"/>
      <c r="I2463" s="1"/>
    </row>
    <row r="2464" ht="15.75" customHeight="1">
      <c r="A2464" s="1" t="s">
        <v>2539</v>
      </c>
      <c r="B2464" s="1" t="s">
        <v>2495</v>
      </c>
      <c r="C2464" s="1"/>
      <c r="D2464" s="1"/>
      <c r="E2464" s="1"/>
      <c r="F2464" s="1"/>
      <c r="G2464" s="1"/>
      <c r="H2464" s="1"/>
      <c r="I2464" s="1"/>
    </row>
    <row r="2465" ht="15.75" customHeight="1">
      <c r="A2465" s="1" t="s">
        <v>2540</v>
      </c>
      <c r="B2465" s="1" t="s">
        <v>2495</v>
      </c>
      <c r="C2465" s="1"/>
      <c r="D2465" s="1"/>
      <c r="E2465" s="1"/>
      <c r="F2465" s="1"/>
      <c r="G2465" s="1"/>
      <c r="H2465" s="1"/>
      <c r="I2465" s="1"/>
    </row>
    <row r="2466" ht="15.75" customHeight="1">
      <c r="A2466" s="1" t="s">
        <v>2541</v>
      </c>
      <c r="B2466" s="1" t="s">
        <v>2495</v>
      </c>
      <c r="C2466" s="1"/>
      <c r="D2466" s="1"/>
      <c r="E2466" s="1"/>
      <c r="F2466" s="1"/>
      <c r="G2466" s="1"/>
      <c r="H2466" s="1"/>
      <c r="I2466" s="1"/>
    </row>
    <row r="2467" ht="15.75" customHeight="1">
      <c r="A2467" s="1" t="s">
        <v>2542</v>
      </c>
      <c r="B2467" s="1" t="s">
        <v>2495</v>
      </c>
      <c r="C2467" s="1"/>
      <c r="D2467" s="1"/>
      <c r="E2467" s="1"/>
      <c r="F2467" s="1"/>
      <c r="G2467" s="1"/>
      <c r="H2467" s="1"/>
      <c r="I2467" s="1"/>
    </row>
    <row r="2468" ht="15.75" customHeight="1">
      <c r="A2468" s="1" t="s">
        <v>2543</v>
      </c>
      <c r="B2468" s="1" t="s">
        <v>2495</v>
      </c>
      <c r="C2468" s="1"/>
      <c r="D2468" s="1"/>
      <c r="E2468" s="1"/>
      <c r="F2468" s="1"/>
      <c r="G2468" s="1"/>
      <c r="H2468" s="1"/>
      <c r="I2468" s="1"/>
    </row>
    <row r="2469" ht="15.75" customHeight="1">
      <c r="A2469" s="1" t="s">
        <v>2544</v>
      </c>
      <c r="B2469" s="1" t="s">
        <v>2495</v>
      </c>
      <c r="C2469" s="1"/>
      <c r="D2469" s="1"/>
      <c r="E2469" s="1"/>
      <c r="F2469" s="1"/>
      <c r="G2469" s="1"/>
      <c r="H2469" s="1"/>
      <c r="I2469" s="1"/>
    </row>
    <row r="2470" ht="15.75" customHeight="1">
      <c r="A2470" s="1" t="s">
        <v>2545</v>
      </c>
      <c r="B2470" s="1" t="s">
        <v>2495</v>
      </c>
      <c r="C2470" s="1"/>
      <c r="D2470" s="1"/>
      <c r="E2470" s="1"/>
      <c r="F2470" s="1"/>
      <c r="G2470" s="1"/>
      <c r="H2470" s="1"/>
      <c r="I2470" s="1"/>
    </row>
    <row r="2471" ht="15.75" customHeight="1">
      <c r="A2471" s="1" t="s">
        <v>2546</v>
      </c>
      <c r="B2471" s="1" t="s">
        <v>2495</v>
      </c>
      <c r="C2471" s="1"/>
      <c r="D2471" s="1"/>
      <c r="E2471" s="1"/>
      <c r="F2471" s="1"/>
      <c r="G2471" s="1"/>
      <c r="H2471" s="1"/>
      <c r="I2471" s="1"/>
    </row>
    <row r="2472" ht="15.75" customHeight="1">
      <c r="A2472" s="1" t="s">
        <v>2547</v>
      </c>
      <c r="B2472" s="1" t="s">
        <v>2495</v>
      </c>
      <c r="C2472" s="1"/>
      <c r="D2472" s="1"/>
      <c r="E2472" s="1"/>
      <c r="F2472" s="1"/>
      <c r="G2472" s="1"/>
      <c r="H2472" s="1"/>
      <c r="I2472" s="1"/>
    </row>
    <row r="2473" ht="15.75" customHeight="1">
      <c r="A2473" s="1" t="s">
        <v>2548</v>
      </c>
      <c r="B2473" s="1" t="s">
        <v>2495</v>
      </c>
      <c r="C2473" s="1"/>
      <c r="D2473" s="1"/>
      <c r="E2473" s="1"/>
      <c r="F2473" s="1"/>
      <c r="G2473" s="1"/>
      <c r="H2473" s="1"/>
      <c r="I2473" s="1"/>
    </row>
    <row r="2474" ht="15.75" customHeight="1">
      <c r="A2474" s="1" t="s">
        <v>2549</v>
      </c>
      <c r="B2474" s="1" t="s">
        <v>2495</v>
      </c>
      <c r="C2474" s="1"/>
      <c r="D2474" s="1"/>
      <c r="E2474" s="1"/>
      <c r="F2474" s="1"/>
      <c r="G2474" s="1"/>
      <c r="H2474" s="1"/>
      <c r="I2474" s="1"/>
    </row>
    <row r="2475" ht="15.75" customHeight="1">
      <c r="A2475" s="1" t="s">
        <v>2550</v>
      </c>
      <c r="B2475" s="1" t="s">
        <v>2495</v>
      </c>
      <c r="C2475" s="1"/>
      <c r="D2475" s="1"/>
      <c r="E2475" s="1"/>
      <c r="F2475" s="1"/>
      <c r="G2475" s="1"/>
      <c r="H2475" s="1"/>
      <c r="I2475" s="1"/>
    </row>
    <row r="2476" ht="15.75" customHeight="1">
      <c r="A2476" s="1" t="s">
        <v>2551</v>
      </c>
      <c r="B2476" s="1" t="s">
        <v>2495</v>
      </c>
      <c r="C2476" s="1"/>
      <c r="D2476" s="1"/>
      <c r="E2476" s="1"/>
      <c r="F2476" s="1"/>
      <c r="G2476" s="1"/>
      <c r="H2476" s="1"/>
      <c r="I2476" s="1"/>
    </row>
    <row r="2477" ht="15.75" customHeight="1">
      <c r="A2477" s="1" t="s">
        <v>2552</v>
      </c>
      <c r="B2477" s="1" t="s">
        <v>2495</v>
      </c>
      <c r="C2477" s="1"/>
      <c r="D2477" s="1"/>
      <c r="E2477" s="1"/>
      <c r="F2477" s="1"/>
      <c r="G2477" s="1"/>
      <c r="H2477" s="1"/>
      <c r="I2477" s="1"/>
    </row>
    <row r="2478" ht="15.75" customHeight="1">
      <c r="A2478" s="1" t="s">
        <v>2553</v>
      </c>
      <c r="B2478" s="1" t="s">
        <v>2495</v>
      </c>
      <c r="C2478" s="1"/>
      <c r="D2478" s="1"/>
      <c r="E2478" s="1"/>
      <c r="F2478" s="1"/>
      <c r="G2478" s="1"/>
      <c r="H2478" s="1"/>
      <c r="I2478" s="1"/>
    </row>
    <row r="2479" ht="15.75" customHeight="1">
      <c r="A2479" s="1" t="s">
        <v>2554</v>
      </c>
      <c r="B2479" s="1" t="s">
        <v>2495</v>
      </c>
      <c r="C2479" s="1"/>
      <c r="D2479" s="1"/>
      <c r="E2479" s="1"/>
      <c r="F2479" s="1"/>
      <c r="G2479" s="1"/>
      <c r="H2479" s="1"/>
      <c r="I2479" s="1"/>
    </row>
    <row r="2480" ht="15.75" customHeight="1">
      <c r="A2480" s="1" t="s">
        <v>2555</v>
      </c>
      <c r="B2480" s="1" t="s">
        <v>2495</v>
      </c>
      <c r="C2480" s="1"/>
      <c r="D2480" s="1"/>
      <c r="E2480" s="1"/>
      <c r="F2480" s="1"/>
      <c r="G2480" s="1"/>
      <c r="H2480" s="1"/>
      <c r="I2480" s="1"/>
    </row>
    <row r="2481" ht="15.75" customHeight="1">
      <c r="A2481" s="1" t="s">
        <v>2556</v>
      </c>
      <c r="B2481" s="1" t="s">
        <v>2495</v>
      </c>
      <c r="C2481" s="1"/>
      <c r="D2481" s="1"/>
      <c r="E2481" s="1"/>
      <c r="F2481" s="1"/>
      <c r="G2481" s="1"/>
      <c r="H2481" s="1"/>
      <c r="I2481" s="1"/>
    </row>
    <row r="2482" ht="15.75" customHeight="1">
      <c r="A2482" s="1" t="s">
        <v>2557</v>
      </c>
      <c r="B2482" s="1" t="s">
        <v>2495</v>
      </c>
      <c r="C2482" s="1"/>
      <c r="D2482" s="1"/>
      <c r="E2482" s="1"/>
      <c r="F2482" s="1"/>
      <c r="G2482" s="1"/>
      <c r="H2482" s="1"/>
      <c r="I2482" s="1"/>
    </row>
    <row r="2483" ht="15.75" customHeight="1">
      <c r="A2483" s="1" t="s">
        <v>2558</v>
      </c>
      <c r="B2483" s="1" t="s">
        <v>2495</v>
      </c>
      <c r="C2483" s="1"/>
      <c r="D2483" s="1"/>
      <c r="E2483" s="1"/>
      <c r="F2483" s="1"/>
      <c r="G2483" s="1"/>
      <c r="H2483" s="1"/>
      <c r="I2483" s="1"/>
    </row>
    <row r="2484" ht="15.75" customHeight="1">
      <c r="A2484" s="1" t="s">
        <v>2559</v>
      </c>
      <c r="B2484" s="1" t="s">
        <v>2495</v>
      </c>
      <c r="C2484" s="1"/>
      <c r="D2484" s="1"/>
      <c r="E2484" s="1"/>
      <c r="F2484" s="1"/>
      <c r="G2484" s="1"/>
      <c r="H2484" s="1"/>
      <c r="I2484" s="1"/>
    </row>
    <row r="2485" ht="15.75" customHeight="1">
      <c r="A2485" s="1" t="s">
        <v>2560</v>
      </c>
      <c r="B2485" s="1" t="s">
        <v>2495</v>
      </c>
      <c r="C2485" s="1"/>
      <c r="D2485" s="1"/>
      <c r="E2485" s="1"/>
      <c r="F2485" s="1"/>
      <c r="G2485" s="1"/>
      <c r="H2485" s="1"/>
      <c r="I2485" s="1"/>
    </row>
    <row r="2486" ht="15.75" customHeight="1">
      <c r="A2486" s="1" t="s">
        <v>2561</v>
      </c>
      <c r="B2486" s="1" t="s">
        <v>2495</v>
      </c>
      <c r="C2486" s="1"/>
      <c r="D2486" s="1"/>
      <c r="E2486" s="1"/>
      <c r="F2486" s="1"/>
      <c r="G2486" s="1"/>
      <c r="H2486" s="1"/>
      <c r="I2486" s="1"/>
    </row>
    <row r="2487" ht="15.75" customHeight="1">
      <c r="A2487" s="1" t="s">
        <v>2562</v>
      </c>
      <c r="B2487" s="1" t="s">
        <v>2495</v>
      </c>
      <c r="C2487" s="1"/>
      <c r="D2487" s="1"/>
      <c r="E2487" s="1"/>
      <c r="F2487" s="1"/>
      <c r="G2487" s="1"/>
      <c r="H2487" s="1"/>
      <c r="I2487" s="1"/>
    </row>
    <row r="2488" ht="15.75" customHeight="1">
      <c r="A2488" s="1" t="s">
        <v>2563</v>
      </c>
      <c r="B2488" s="1" t="s">
        <v>2495</v>
      </c>
      <c r="C2488" s="1"/>
      <c r="D2488" s="1"/>
      <c r="E2488" s="1"/>
      <c r="F2488" s="1"/>
      <c r="G2488" s="1"/>
      <c r="H2488" s="1"/>
      <c r="I2488" s="1"/>
    </row>
    <row r="2489" ht="15.75" customHeight="1">
      <c r="A2489" s="1" t="s">
        <v>2564</v>
      </c>
      <c r="B2489" s="1" t="s">
        <v>2495</v>
      </c>
      <c r="C2489" s="1"/>
      <c r="D2489" s="1"/>
      <c r="E2489" s="1"/>
      <c r="F2489" s="1"/>
      <c r="G2489" s="1"/>
      <c r="H2489" s="1"/>
      <c r="I2489" s="1"/>
    </row>
    <row r="2490" ht="15.75" customHeight="1">
      <c r="A2490" s="1" t="s">
        <v>2565</v>
      </c>
      <c r="B2490" s="1" t="s">
        <v>2495</v>
      </c>
      <c r="C2490" s="1"/>
      <c r="D2490" s="1"/>
      <c r="E2490" s="1"/>
      <c r="F2490" s="1"/>
      <c r="G2490" s="1"/>
      <c r="H2490" s="1"/>
      <c r="I2490" s="1"/>
    </row>
    <row r="2491" ht="15.75" customHeight="1">
      <c r="A2491" s="1" t="s">
        <v>2566</v>
      </c>
      <c r="B2491" s="1" t="s">
        <v>2495</v>
      </c>
      <c r="C2491" s="1"/>
      <c r="D2491" s="1"/>
      <c r="E2491" s="1"/>
      <c r="F2491" s="1"/>
      <c r="G2491" s="1"/>
      <c r="H2491" s="1"/>
      <c r="I2491" s="1"/>
    </row>
    <row r="2492" ht="15.75" customHeight="1">
      <c r="A2492" s="1" t="s">
        <v>2567</v>
      </c>
      <c r="B2492" s="1" t="s">
        <v>2495</v>
      </c>
      <c r="C2492" s="1"/>
      <c r="D2492" s="1"/>
      <c r="E2492" s="1"/>
      <c r="F2492" s="1"/>
      <c r="G2492" s="1"/>
      <c r="H2492" s="1"/>
      <c r="I2492" s="1"/>
    </row>
    <row r="2493" ht="15.75" customHeight="1">
      <c r="A2493" s="1" t="s">
        <v>2568</v>
      </c>
      <c r="B2493" s="1" t="s">
        <v>2495</v>
      </c>
      <c r="C2493" s="1"/>
      <c r="D2493" s="1"/>
      <c r="E2493" s="1"/>
      <c r="F2493" s="1"/>
      <c r="G2493" s="1"/>
      <c r="H2493" s="1"/>
      <c r="I2493" s="1"/>
    </row>
    <row r="2494" ht="15.75" customHeight="1">
      <c r="A2494" s="1" t="s">
        <v>2569</v>
      </c>
      <c r="B2494" s="1" t="s">
        <v>2495</v>
      </c>
      <c r="C2494" s="1"/>
      <c r="D2494" s="1"/>
      <c r="E2494" s="1"/>
      <c r="F2494" s="1"/>
      <c r="G2494" s="1"/>
      <c r="H2494" s="1"/>
      <c r="I2494" s="1"/>
    </row>
    <row r="2495" ht="15.75" customHeight="1">
      <c r="A2495" s="1" t="s">
        <v>2570</v>
      </c>
      <c r="B2495" s="1" t="s">
        <v>2495</v>
      </c>
      <c r="C2495" s="1"/>
      <c r="D2495" s="1"/>
      <c r="E2495" s="1"/>
      <c r="F2495" s="1"/>
      <c r="G2495" s="1"/>
      <c r="H2495" s="1"/>
      <c r="I2495" s="1"/>
    </row>
    <row r="2496" ht="15.75" customHeight="1">
      <c r="A2496" s="1" t="s">
        <v>2571</v>
      </c>
      <c r="B2496" s="1" t="s">
        <v>2495</v>
      </c>
      <c r="C2496" s="1"/>
      <c r="D2496" s="1"/>
      <c r="E2496" s="1"/>
      <c r="F2496" s="1"/>
      <c r="G2496" s="1"/>
      <c r="H2496" s="1"/>
      <c r="I2496" s="1"/>
    </row>
    <row r="2497" ht="15.75" customHeight="1">
      <c r="A2497" s="1" t="s">
        <v>2572</v>
      </c>
      <c r="B2497" s="1" t="s">
        <v>2495</v>
      </c>
      <c r="C2497" s="1"/>
      <c r="D2497" s="1"/>
      <c r="E2497" s="1"/>
      <c r="F2497" s="1"/>
      <c r="G2497" s="1"/>
      <c r="H2497" s="1"/>
      <c r="I2497" s="1"/>
    </row>
    <row r="2498" ht="15.75" customHeight="1">
      <c r="A2498" s="1" t="s">
        <v>2573</v>
      </c>
      <c r="B2498" s="1" t="s">
        <v>2495</v>
      </c>
      <c r="C2498" s="1"/>
      <c r="D2498" s="1"/>
      <c r="E2498" s="1"/>
      <c r="F2498" s="1"/>
      <c r="G2498" s="1"/>
      <c r="H2498" s="1"/>
      <c r="I2498" s="1"/>
    </row>
    <row r="2499" ht="15.75" customHeight="1">
      <c r="A2499" s="1" t="s">
        <v>2574</v>
      </c>
      <c r="B2499" s="1" t="s">
        <v>2495</v>
      </c>
      <c r="C2499" s="1"/>
      <c r="D2499" s="1"/>
      <c r="E2499" s="1"/>
      <c r="F2499" s="1"/>
      <c r="G2499" s="1"/>
      <c r="H2499" s="1"/>
      <c r="I2499" s="1"/>
    </row>
    <row r="2500" ht="15.75" customHeight="1">
      <c r="A2500" s="1" t="s">
        <v>2575</v>
      </c>
      <c r="B2500" s="1" t="s">
        <v>2495</v>
      </c>
      <c r="C2500" s="1"/>
      <c r="D2500" s="1"/>
      <c r="E2500" s="1"/>
      <c r="F2500" s="1"/>
      <c r="G2500" s="1"/>
      <c r="H2500" s="1"/>
      <c r="I2500" s="1"/>
    </row>
    <row r="2501" ht="15.75" customHeight="1">
      <c r="A2501" s="1" t="s">
        <v>2576</v>
      </c>
      <c r="B2501" s="1" t="s">
        <v>2495</v>
      </c>
      <c r="C2501" s="1"/>
      <c r="D2501" s="1"/>
      <c r="E2501" s="1"/>
      <c r="F2501" s="1"/>
      <c r="G2501" s="1"/>
      <c r="H2501" s="1"/>
      <c r="I2501" s="1"/>
    </row>
    <row r="2502" ht="15.75" customHeight="1">
      <c r="A2502" s="1" t="s">
        <v>2577</v>
      </c>
      <c r="B2502" s="1" t="s">
        <v>2495</v>
      </c>
      <c r="C2502" s="1"/>
      <c r="D2502" s="1"/>
      <c r="E2502" s="1"/>
      <c r="F2502" s="1"/>
      <c r="G2502" s="1"/>
      <c r="H2502" s="1"/>
      <c r="I2502" s="1"/>
    </row>
    <row r="2503" ht="15.75" customHeight="1">
      <c r="A2503" s="1" t="s">
        <v>2578</v>
      </c>
      <c r="B2503" s="1" t="s">
        <v>2495</v>
      </c>
      <c r="C2503" s="1"/>
      <c r="D2503" s="1"/>
      <c r="E2503" s="1"/>
      <c r="F2503" s="1"/>
      <c r="G2503" s="1"/>
      <c r="H2503" s="1"/>
      <c r="I2503" s="1"/>
    </row>
    <row r="2504" ht="15.75" customHeight="1">
      <c r="A2504" s="1" t="s">
        <v>2579</v>
      </c>
      <c r="B2504" s="1" t="s">
        <v>2495</v>
      </c>
      <c r="C2504" s="1"/>
      <c r="D2504" s="1"/>
      <c r="E2504" s="1"/>
      <c r="F2504" s="1"/>
      <c r="G2504" s="1"/>
      <c r="H2504" s="1"/>
      <c r="I2504" s="1"/>
    </row>
    <row r="2505" ht="15.75" customHeight="1">
      <c r="A2505" s="1" t="s">
        <v>2580</v>
      </c>
      <c r="B2505" s="1" t="s">
        <v>2495</v>
      </c>
      <c r="C2505" s="1"/>
      <c r="D2505" s="1"/>
      <c r="E2505" s="1"/>
      <c r="F2505" s="1"/>
      <c r="G2505" s="1"/>
      <c r="H2505" s="1"/>
      <c r="I2505" s="1"/>
    </row>
    <row r="2506" ht="15.75" customHeight="1">
      <c r="A2506" s="1" t="s">
        <v>2581</v>
      </c>
      <c r="B2506" s="1" t="s">
        <v>2495</v>
      </c>
      <c r="C2506" s="1"/>
      <c r="D2506" s="1"/>
      <c r="E2506" s="1"/>
      <c r="F2506" s="1"/>
      <c r="G2506" s="1"/>
      <c r="H2506" s="1"/>
      <c r="I2506" s="1"/>
    </row>
    <row r="2507" ht="15.75" customHeight="1">
      <c r="A2507" s="1" t="s">
        <v>2582</v>
      </c>
      <c r="B2507" s="1" t="s">
        <v>2495</v>
      </c>
      <c r="C2507" s="1"/>
      <c r="D2507" s="1"/>
      <c r="E2507" s="1"/>
      <c r="F2507" s="1"/>
      <c r="G2507" s="1"/>
      <c r="H2507" s="1"/>
      <c r="I2507" s="1"/>
    </row>
    <row r="2508" ht="15.75" customHeight="1">
      <c r="A2508" s="1" t="s">
        <v>2583</v>
      </c>
      <c r="B2508" s="1" t="s">
        <v>2495</v>
      </c>
      <c r="C2508" s="1"/>
      <c r="D2508" s="1"/>
      <c r="E2508" s="1"/>
      <c r="F2508" s="1"/>
      <c r="G2508" s="1"/>
      <c r="H2508" s="1"/>
      <c r="I2508" s="1"/>
    </row>
    <row r="2509" ht="15.75" customHeight="1">
      <c r="A2509" s="1" t="s">
        <v>2584</v>
      </c>
      <c r="B2509" s="1" t="s">
        <v>2495</v>
      </c>
      <c r="C2509" s="1"/>
      <c r="D2509" s="1"/>
      <c r="E2509" s="1"/>
      <c r="F2509" s="1"/>
      <c r="G2509" s="1"/>
      <c r="H2509" s="1"/>
      <c r="I2509" s="1"/>
    </row>
    <row r="2510" ht="15.75" customHeight="1">
      <c r="A2510" s="1" t="s">
        <v>2585</v>
      </c>
      <c r="B2510" s="1" t="s">
        <v>2495</v>
      </c>
      <c r="C2510" s="1"/>
      <c r="D2510" s="1"/>
      <c r="E2510" s="1"/>
      <c r="F2510" s="1"/>
      <c r="G2510" s="1"/>
      <c r="H2510" s="1"/>
      <c r="I2510" s="1"/>
    </row>
    <row r="2511" ht="15.75" customHeight="1">
      <c r="A2511" s="1" t="s">
        <v>2586</v>
      </c>
      <c r="B2511" s="1" t="s">
        <v>2495</v>
      </c>
      <c r="C2511" s="1"/>
      <c r="D2511" s="1"/>
      <c r="E2511" s="1"/>
      <c r="F2511" s="1"/>
      <c r="G2511" s="1"/>
      <c r="H2511" s="1"/>
      <c r="I2511" s="1"/>
    </row>
    <row r="2512" ht="15.75" customHeight="1">
      <c r="A2512" s="1" t="s">
        <v>2587</v>
      </c>
      <c r="B2512" s="1" t="s">
        <v>2495</v>
      </c>
      <c r="C2512" s="1"/>
      <c r="D2512" s="1"/>
      <c r="E2512" s="1"/>
      <c r="F2512" s="1"/>
      <c r="G2512" s="1"/>
      <c r="H2512" s="1"/>
      <c r="I2512" s="1"/>
    </row>
    <row r="2513" ht="15.75" customHeight="1">
      <c r="A2513" s="1" t="s">
        <v>2588</v>
      </c>
      <c r="B2513" s="1" t="s">
        <v>2495</v>
      </c>
      <c r="C2513" s="1"/>
      <c r="D2513" s="1"/>
      <c r="E2513" s="1"/>
      <c r="F2513" s="1"/>
      <c r="G2513" s="1"/>
      <c r="H2513" s="1"/>
      <c r="I2513" s="1"/>
    </row>
    <row r="2514" ht="15.75" customHeight="1">
      <c r="A2514" s="1" t="s">
        <v>2589</v>
      </c>
      <c r="B2514" s="1" t="s">
        <v>2495</v>
      </c>
      <c r="C2514" s="1"/>
      <c r="D2514" s="1"/>
      <c r="E2514" s="1"/>
      <c r="F2514" s="1"/>
      <c r="G2514" s="1"/>
      <c r="H2514" s="1"/>
      <c r="I2514" s="1"/>
    </row>
    <row r="2515" ht="15.75" customHeight="1">
      <c r="A2515" s="1" t="s">
        <v>2590</v>
      </c>
      <c r="B2515" s="1" t="s">
        <v>2495</v>
      </c>
      <c r="C2515" s="1"/>
      <c r="D2515" s="1"/>
      <c r="E2515" s="1"/>
      <c r="F2515" s="1"/>
      <c r="G2515" s="1"/>
      <c r="H2515" s="1"/>
      <c r="I2515" s="1"/>
    </row>
    <row r="2516" ht="15.75" customHeight="1">
      <c r="A2516" s="1" t="s">
        <v>2591</v>
      </c>
      <c r="B2516" s="1" t="s">
        <v>2495</v>
      </c>
      <c r="C2516" s="1"/>
      <c r="D2516" s="1"/>
      <c r="E2516" s="1"/>
      <c r="F2516" s="1"/>
      <c r="G2516" s="1"/>
      <c r="H2516" s="1"/>
      <c r="I2516" s="1"/>
    </row>
    <row r="2517" ht="15.75" customHeight="1">
      <c r="A2517" s="1" t="s">
        <v>2592</v>
      </c>
      <c r="B2517" s="1" t="s">
        <v>2495</v>
      </c>
      <c r="C2517" s="1"/>
      <c r="D2517" s="1"/>
      <c r="E2517" s="1"/>
      <c r="F2517" s="1"/>
      <c r="G2517" s="1"/>
      <c r="H2517" s="1"/>
      <c r="I2517" s="1"/>
    </row>
    <row r="2518" ht="15.75" customHeight="1">
      <c r="A2518" s="1" t="s">
        <v>2593</v>
      </c>
      <c r="B2518" s="1" t="s">
        <v>2495</v>
      </c>
      <c r="C2518" s="1"/>
      <c r="D2518" s="1"/>
      <c r="E2518" s="1"/>
      <c r="F2518" s="1"/>
      <c r="G2518" s="1"/>
      <c r="H2518" s="1"/>
      <c r="I2518" s="1"/>
    </row>
    <row r="2519" ht="15.75" customHeight="1">
      <c r="A2519" s="1" t="s">
        <v>2594</v>
      </c>
      <c r="B2519" s="1" t="s">
        <v>2495</v>
      </c>
      <c r="C2519" s="1"/>
      <c r="D2519" s="1"/>
      <c r="E2519" s="1"/>
      <c r="F2519" s="1"/>
      <c r="G2519" s="1"/>
      <c r="H2519" s="1"/>
      <c r="I2519" s="1"/>
    </row>
    <row r="2520" ht="15.75" customHeight="1">
      <c r="A2520" s="1" t="s">
        <v>2595</v>
      </c>
      <c r="B2520" s="1" t="s">
        <v>2495</v>
      </c>
      <c r="C2520" s="1"/>
      <c r="D2520" s="1"/>
      <c r="E2520" s="1"/>
      <c r="F2520" s="1"/>
      <c r="G2520" s="1"/>
      <c r="H2520" s="1"/>
      <c r="I2520" s="1"/>
    </row>
    <row r="2521" ht="15.75" customHeight="1">
      <c r="A2521" s="1" t="s">
        <v>2596</v>
      </c>
      <c r="B2521" s="1" t="s">
        <v>2495</v>
      </c>
      <c r="C2521" s="1"/>
      <c r="D2521" s="1"/>
      <c r="E2521" s="1"/>
      <c r="F2521" s="1"/>
      <c r="G2521" s="1"/>
      <c r="H2521" s="1"/>
      <c r="I2521" s="1"/>
    </row>
    <row r="2522" ht="15.75" customHeight="1">
      <c r="A2522" s="1" t="s">
        <v>2597</v>
      </c>
      <c r="B2522" s="1" t="s">
        <v>2495</v>
      </c>
      <c r="C2522" s="1"/>
      <c r="D2522" s="1"/>
      <c r="E2522" s="1"/>
      <c r="F2522" s="1"/>
      <c r="G2522" s="1"/>
      <c r="H2522" s="1"/>
      <c r="I2522" s="1"/>
    </row>
    <row r="2523" ht="15.75" customHeight="1">
      <c r="A2523" s="1" t="s">
        <v>2598</v>
      </c>
      <c r="B2523" s="1" t="s">
        <v>2495</v>
      </c>
      <c r="C2523" s="1"/>
      <c r="D2523" s="1"/>
      <c r="E2523" s="1"/>
      <c r="F2523" s="1"/>
      <c r="G2523" s="1"/>
      <c r="H2523" s="1"/>
      <c r="I2523" s="1"/>
    </row>
    <row r="2524" ht="15.75" customHeight="1">
      <c r="A2524" s="1" t="s">
        <v>2599</v>
      </c>
      <c r="B2524" s="1" t="s">
        <v>2495</v>
      </c>
      <c r="C2524" s="1"/>
      <c r="D2524" s="1"/>
      <c r="E2524" s="1"/>
      <c r="F2524" s="1"/>
      <c r="G2524" s="1"/>
      <c r="H2524" s="1"/>
      <c r="I2524" s="1"/>
    </row>
    <row r="2525" ht="15.75" customHeight="1">
      <c r="A2525" s="1" t="s">
        <v>2600</v>
      </c>
      <c r="B2525" s="1" t="s">
        <v>2495</v>
      </c>
      <c r="C2525" s="1"/>
      <c r="D2525" s="1"/>
      <c r="E2525" s="1"/>
      <c r="F2525" s="1"/>
      <c r="G2525" s="1"/>
      <c r="H2525" s="1"/>
      <c r="I2525" s="1"/>
    </row>
    <row r="2526" ht="15.75" customHeight="1">
      <c r="A2526" s="1" t="s">
        <v>2601</v>
      </c>
      <c r="B2526" s="1" t="s">
        <v>2495</v>
      </c>
      <c r="C2526" s="1"/>
      <c r="D2526" s="1"/>
      <c r="E2526" s="1"/>
      <c r="F2526" s="1"/>
      <c r="G2526" s="1"/>
      <c r="H2526" s="1"/>
      <c r="I2526" s="1"/>
    </row>
    <row r="2527" ht="15.75" customHeight="1">
      <c r="A2527" s="1" t="s">
        <v>2602</v>
      </c>
      <c r="B2527" s="1" t="s">
        <v>2495</v>
      </c>
      <c r="C2527" s="1"/>
      <c r="D2527" s="1"/>
      <c r="E2527" s="1"/>
      <c r="F2527" s="1"/>
      <c r="G2527" s="1"/>
      <c r="H2527" s="1"/>
      <c r="I2527" s="1"/>
    </row>
    <row r="2528" ht="15.75" customHeight="1">
      <c r="A2528" s="1" t="s">
        <v>2603</v>
      </c>
      <c r="B2528" s="1" t="s">
        <v>2495</v>
      </c>
      <c r="C2528" s="1"/>
      <c r="D2528" s="1"/>
      <c r="E2528" s="1"/>
      <c r="F2528" s="1"/>
      <c r="G2528" s="1"/>
      <c r="H2528" s="1"/>
      <c r="I2528" s="1"/>
    </row>
    <row r="2529" ht="15.75" customHeight="1">
      <c r="A2529" s="1" t="s">
        <v>2604</v>
      </c>
      <c r="B2529" s="1" t="s">
        <v>2495</v>
      </c>
      <c r="C2529" s="1"/>
      <c r="D2529" s="1"/>
      <c r="E2529" s="1"/>
      <c r="F2529" s="1"/>
      <c r="G2529" s="1"/>
      <c r="H2529" s="1"/>
      <c r="I2529" s="1"/>
    </row>
    <row r="2530" ht="15.75" customHeight="1">
      <c r="A2530" s="1" t="s">
        <v>2605</v>
      </c>
      <c r="B2530" s="1" t="s">
        <v>2495</v>
      </c>
      <c r="C2530" s="1"/>
      <c r="D2530" s="1"/>
      <c r="E2530" s="1"/>
      <c r="F2530" s="1"/>
      <c r="G2530" s="1"/>
      <c r="H2530" s="1"/>
      <c r="I2530" s="1"/>
    </row>
    <row r="2531" ht="15.75" customHeight="1">
      <c r="A2531" s="1" t="s">
        <v>2606</v>
      </c>
      <c r="B2531" s="1" t="s">
        <v>2495</v>
      </c>
      <c r="C2531" s="1"/>
      <c r="D2531" s="1"/>
      <c r="E2531" s="1"/>
      <c r="F2531" s="1"/>
      <c r="G2531" s="1"/>
      <c r="H2531" s="1"/>
      <c r="I2531" s="1"/>
    </row>
    <row r="2532" ht="15.75" customHeight="1">
      <c r="A2532" s="1" t="s">
        <v>2607</v>
      </c>
      <c r="B2532" s="1" t="s">
        <v>2495</v>
      </c>
      <c r="C2532" s="1"/>
      <c r="D2532" s="1"/>
      <c r="E2532" s="1"/>
      <c r="F2532" s="1"/>
      <c r="G2532" s="1"/>
      <c r="H2532" s="1"/>
      <c r="I2532" s="1"/>
    </row>
    <row r="2533" ht="15.75" customHeight="1">
      <c r="A2533" s="1" t="s">
        <v>2608</v>
      </c>
      <c r="B2533" s="1" t="s">
        <v>2495</v>
      </c>
      <c r="C2533" s="1"/>
      <c r="D2533" s="1"/>
      <c r="E2533" s="1"/>
      <c r="F2533" s="1"/>
      <c r="G2533" s="1"/>
      <c r="H2533" s="1"/>
      <c r="I2533" s="1"/>
    </row>
    <row r="2534" ht="15.75" customHeight="1">
      <c r="A2534" s="1" t="s">
        <v>2609</v>
      </c>
      <c r="B2534" s="1" t="s">
        <v>2495</v>
      </c>
      <c r="C2534" s="1"/>
      <c r="D2534" s="1"/>
      <c r="E2534" s="1"/>
      <c r="F2534" s="1"/>
      <c r="G2534" s="1"/>
      <c r="H2534" s="1"/>
      <c r="I2534" s="1"/>
    </row>
    <row r="2535" ht="15.75" customHeight="1">
      <c r="A2535" s="1" t="s">
        <v>2610</v>
      </c>
      <c r="B2535" s="1" t="s">
        <v>2495</v>
      </c>
      <c r="C2535" s="1"/>
      <c r="D2535" s="1"/>
      <c r="E2535" s="1"/>
      <c r="F2535" s="1"/>
      <c r="G2535" s="1"/>
      <c r="H2535" s="1"/>
      <c r="I2535" s="1"/>
    </row>
    <row r="2536" ht="15.75" customHeight="1">
      <c r="A2536" s="1" t="s">
        <v>2611</v>
      </c>
      <c r="B2536" s="1" t="s">
        <v>2495</v>
      </c>
      <c r="C2536" s="1"/>
      <c r="D2536" s="1"/>
      <c r="E2536" s="1"/>
      <c r="F2536" s="1"/>
      <c r="G2536" s="1"/>
      <c r="H2536" s="1"/>
      <c r="I2536" s="1"/>
    </row>
    <row r="2537" ht="15.75" customHeight="1">
      <c r="A2537" s="1" t="s">
        <v>2612</v>
      </c>
      <c r="B2537" s="1" t="s">
        <v>2495</v>
      </c>
      <c r="C2537" s="1"/>
      <c r="D2537" s="1"/>
      <c r="E2537" s="1"/>
      <c r="F2537" s="1"/>
      <c r="G2537" s="1"/>
      <c r="H2537" s="1"/>
      <c r="I2537" s="1"/>
    </row>
    <row r="2538" ht="15.75" customHeight="1">
      <c r="A2538" s="1" t="s">
        <v>2613</v>
      </c>
      <c r="B2538" s="1" t="s">
        <v>2495</v>
      </c>
      <c r="C2538" s="1"/>
      <c r="D2538" s="1"/>
      <c r="E2538" s="1"/>
      <c r="F2538" s="1"/>
      <c r="G2538" s="1"/>
      <c r="H2538" s="1"/>
      <c r="I2538" s="1"/>
    </row>
    <row r="2539" ht="15.75" customHeight="1">
      <c r="A2539" s="1" t="s">
        <v>2614</v>
      </c>
      <c r="B2539" s="1" t="s">
        <v>2495</v>
      </c>
      <c r="C2539" s="1"/>
      <c r="D2539" s="1"/>
      <c r="E2539" s="1"/>
      <c r="F2539" s="1"/>
      <c r="G2539" s="1"/>
      <c r="H2539" s="1"/>
      <c r="I2539" s="1"/>
    </row>
    <row r="2540" ht="15.75" customHeight="1">
      <c r="A2540" s="1" t="s">
        <v>2615</v>
      </c>
      <c r="B2540" s="1" t="s">
        <v>2495</v>
      </c>
      <c r="C2540" s="1"/>
      <c r="D2540" s="1"/>
      <c r="E2540" s="1"/>
      <c r="F2540" s="1"/>
      <c r="G2540" s="1"/>
      <c r="H2540" s="1"/>
      <c r="I2540" s="1"/>
    </row>
    <row r="2541" ht="15.75" customHeight="1">
      <c r="A2541" s="1" t="s">
        <v>2616</v>
      </c>
      <c r="B2541" s="1" t="s">
        <v>2495</v>
      </c>
      <c r="C2541" s="1"/>
      <c r="D2541" s="1"/>
      <c r="E2541" s="1"/>
      <c r="F2541" s="1"/>
      <c r="G2541" s="1"/>
      <c r="H2541" s="1"/>
      <c r="I2541" s="1"/>
    </row>
    <row r="2542" ht="15.75" customHeight="1">
      <c r="A2542" s="1" t="s">
        <v>2617</v>
      </c>
      <c r="B2542" s="1" t="s">
        <v>2495</v>
      </c>
      <c r="C2542" s="1"/>
      <c r="D2542" s="1"/>
      <c r="E2542" s="1"/>
      <c r="F2542" s="1"/>
      <c r="G2542" s="1"/>
      <c r="H2542" s="1"/>
      <c r="I2542" s="1"/>
    </row>
    <row r="2543" ht="15.75" customHeight="1">
      <c r="A2543" s="1" t="s">
        <v>2618</v>
      </c>
      <c r="B2543" s="1" t="s">
        <v>2495</v>
      </c>
      <c r="C2543" s="1"/>
      <c r="D2543" s="1"/>
      <c r="E2543" s="1"/>
      <c r="F2543" s="1"/>
      <c r="G2543" s="1"/>
      <c r="H2543" s="1"/>
      <c r="I2543" s="1"/>
    </row>
    <row r="2544" ht="15.75" customHeight="1">
      <c r="A2544" s="1" t="s">
        <v>2619</v>
      </c>
      <c r="B2544" s="1" t="s">
        <v>2495</v>
      </c>
      <c r="C2544" s="1"/>
      <c r="D2544" s="1"/>
      <c r="E2544" s="1"/>
      <c r="F2544" s="1"/>
      <c r="G2544" s="1"/>
      <c r="H2544" s="1"/>
      <c r="I2544" s="1"/>
    </row>
    <row r="2545" ht="15.75" customHeight="1">
      <c r="A2545" s="1" t="s">
        <v>2620</v>
      </c>
      <c r="B2545" s="1" t="s">
        <v>2495</v>
      </c>
      <c r="C2545" s="1"/>
      <c r="D2545" s="1"/>
      <c r="E2545" s="1"/>
      <c r="F2545" s="1"/>
      <c r="G2545" s="1"/>
      <c r="H2545" s="1"/>
      <c r="I2545" s="1"/>
    </row>
    <row r="2546" ht="15.75" customHeight="1">
      <c r="A2546" s="1" t="s">
        <v>2621</v>
      </c>
      <c r="B2546" s="1" t="s">
        <v>2495</v>
      </c>
      <c r="C2546" s="1"/>
      <c r="D2546" s="1"/>
      <c r="E2546" s="1"/>
      <c r="F2546" s="1"/>
      <c r="G2546" s="1"/>
      <c r="H2546" s="1"/>
      <c r="I2546" s="1"/>
    </row>
    <row r="2547" ht="15.75" customHeight="1">
      <c r="A2547" s="1" t="s">
        <v>2622</v>
      </c>
      <c r="B2547" s="1" t="s">
        <v>2495</v>
      </c>
      <c r="C2547" s="1"/>
      <c r="D2547" s="1"/>
      <c r="E2547" s="1"/>
      <c r="F2547" s="1"/>
      <c r="G2547" s="1"/>
      <c r="H2547" s="1"/>
      <c r="I2547" s="1"/>
    </row>
    <row r="2548" ht="15.75" customHeight="1">
      <c r="A2548" s="1" t="s">
        <v>2623</v>
      </c>
      <c r="B2548" s="1" t="s">
        <v>2495</v>
      </c>
      <c r="C2548" s="1"/>
      <c r="D2548" s="1"/>
      <c r="E2548" s="1"/>
      <c r="F2548" s="1"/>
      <c r="G2548" s="1"/>
      <c r="H2548" s="1"/>
      <c r="I2548" s="1"/>
    </row>
    <row r="2549" ht="15.75" customHeight="1">
      <c r="A2549" s="1" t="s">
        <v>2624</v>
      </c>
      <c r="B2549" s="1" t="s">
        <v>2495</v>
      </c>
      <c r="C2549" s="1"/>
      <c r="D2549" s="1"/>
      <c r="E2549" s="1"/>
      <c r="F2549" s="1"/>
      <c r="G2549" s="1"/>
      <c r="H2549" s="1"/>
      <c r="I2549" s="1"/>
    </row>
    <row r="2550" ht="15.75" customHeight="1">
      <c r="A2550" s="1" t="s">
        <v>2625</v>
      </c>
      <c r="B2550" s="1" t="s">
        <v>2495</v>
      </c>
      <c r="C2550" s="1"/>
      <c r="D2550" s="1"/>
      <c r="E2550" s="1"/>
      <c r="F2550" s="1"/>
      <c r="G2550" s="1"/>
      <c r="H2550" s="1"/>
      <c r="I2550" s="1"/>
    </row>
    <row r="2551" ht="15.75" customHeight="1">
      <c r="A2551" s="1" t="s">
        <v>2626</v>
      </c>
      <c r="B2551" s="1" t="s">
        <v>2495</v>
      </c>
      <c r="C2551" s="1"/>
      <c r="D2551" s="1"/>
      <c r="E2551" s="1"/>
      <c r="F2551" s="1"/>
      <c r="G2551" s="1"/>
      <c r="H2551" s="1"/>
      <c r="I2551" s="1"/>
    </row>
    <row r="2552" ht="15.75" customHeight="1">
      <c r="A2552" s="1" t="s">
        <v>2627</v>
      </c>
      <c r="B2552" s="1" t="s">
        <v>2495</v>
      </c>
      <c r="C2552" s="1"/>
      <c r="D2552" s="1"/>
      <c r="E2552" s="1"/>
      <c r="F2552" s="1"/>
      <c r="G2552" s="1"/>
      <c r="H2552" s="1"/>
      <c r="I2552" s="1"/>
    </row>
    <row r="2553" ht="15.75" customHeight="1">
      <c r="A2553" s="1" t="s">
        <v>2628</v>
      </c>
      <c r="B2553" s="1" t="s">
        <v>2495</v>
      </c>
      <c r="C2553" s="1"/>
      <c r="D2553" s="1"/>
      <c r="E2553" s="1"/>
      <c r="F2553" s="1"/>
      <c r="G2553" s="1"/>
      <c r="H2553" s="1"/>
      <c r="I2553" s="1"/>
    </row>
    <row r="2554" ht="15.75" customHeight="1">
      <c r="A2554" s="1" t="s">
        <v>2629</v>
      </c>
      <c r="B2554" s="1" t="s">
        <v>2495</v>
      </c>
      <c r="C2554" s="1"/>
      <c r="D2554" s="1"/>
      <c r="E2554" s="1"/>
      <c r="F2554" s="1"/>
      <c r="G2554" s="1"/>
      <c r="H2554" s="1"/>
      <c r="I2554" s="1"/>
    </row>
    <row r="2555" ht="15.75" customHeight="1">
      <c r="A2555" s="1" t="s">
        <v>2630</v>
      </c>
      <c r="B2555" s="1" t="s">
        <v>2495</v>
      </c>
      <c r="C2555" s="1"/>
      <c r="D2555" s="1"/>
      <c r="E2555" s="1"/>
      <c r="F2555" s="1"/>
      <c r="G2555" s="1"/>
      <c r="H2555" s="1"/>
      <c r="I2555" s="1"/>
    </row>
    <row r="2556" ht="15.75" customHeight="1">
      <c r="A2556" s="1" t="s">
        <v>2631</v>
      </c>
      <c r="B2556" s="1" t="s">
        <v>2495</v>
      </c>
      <c r="C2556" s="1"/>
      <c r="D2556" s="1"/>
      <c r="E2556" s="1"/>
      <c r="F2556" s="1"/>
      <c r="G2556" s="1"/>
      <c r="H2556" s="1"/>
      <c r="I2556" s="1"/>
    </row>
    <row r="2557" ht="15.75" customHeight="1">
      <c r="A2557" s="1" t="s">
        <v>2632</v>
      </c>
      <c r="B2557" s="1" t="s">
        <v>2495</v>
      </c>
      <c r="C2557" s="1"/>
      <c r="D2557" s="1"/>
      <c r="E2557" s="1"/>
      <c r="F2557" s="1"/>
      <c r="G2557" s="1"/>
      <c r="H2557" s="1"/>
      <c r="I2557" s="1"/>
    </row>
    <row r="2558" ht="15.75" customHeight="1">
      <c r="A2558" s="1" t="s">
        <v>2633</v>
      </c>
      <c r="B2558" s="1" t="s">
        <v>2495</v>
      </c>
      <c r="C2558" s="1"/>
      <c r="D2558" s="1"/>
      <c r="E2558" s="1"/>
      <c r="F2558" s="1"/>
      <c r="G2558" s="1"/>
      <c r="H2558" s="1"/>
      <c r="I2558" s="1"/>
    </row>
    <row r="2559" ht="15.75" customHeight="1">
      <c r="A2559" s="1" t="s">
        <v>2634</v>
      </c>
      <c r="B2559" s="1" t="s">
        <v>2495</v>
      </c>
      <c r="C2559" s="1"/>
      <c r="D2559" s="1"/>
      <c r="E2559" s="1"/>
      <c r="F2559" s="1"/>
      <c r="G2559" s="1"/>
      <c r="H2559" s="1"/>
      <c r="I2559" s="1"/>
    </row>
    <row r="2560" ht="15.75" customHeight="1">
      <c r="A2560" s="1" t="s">
        <v>2635</v>
      </c>
      <c r="B2560" s="1" t="s">
        <v>2495</v>
      </c>
      <c r="C2560" s="1"/>
      <c r="D2560" s="1"/>
      <c r="E2560" s="1"/>
      <c r="F2560" s="1"/>
      <c r="G2560" s="1"/>
      <c r="H2560" s="1"/>
      <c r="I2560" s="1"/>
    </row>
    <row r="2561" ht="15.75" customHeight="1">
      <c r="A2561" s="1" t="s">
        <v>2636</v>
      </c>
      <c r="B2561" s="1" t="s">
        <v>2495</v>
      </c>
      <c r="C2561" s="1"/>
      <c r="D2561" s="1"/>
      <c r="E2561" s="1"/>
      <c r="F2561" s="1"/>
      <c r="G2561" s="1"/>
      <c r="H2561" s="1"/>
      <c r="I2561" s="1"/>
    </row>
    <row r="2562" ht="15.75" customHeight="1">
      <c r="A2562" s="1" t="s">
        <v>2637</v>
      </c>
      <c r="B2562" s="1" t="s">
        <v>2495</v>
      </c>
      <c r="C2562" s="1"/>
      <c r="D2562" s="1"/>
      <c r="E2562" s="1"/>
      <c r="F2562" s="1"/>
      <c r="G2562" s="1"/>
      <c r="H2562" s="1"/>
      <c r="I2562" s="1"/>
    </row>
    <row r="2563" ht="15.75" customHeight="1">
      <c r="A2563" s="1" t="s">
        <v>2638</v>
      </c>
      <c r="B2563" s="1" t="s">
        <v>2495</v>
      </c>
      <c r="C2563" s="1"/>
      <c r="D2563" s="1"/>
      <c r="E2563" s="1"/>
      <c r="F2563" s="1"/>
      <c r="G2563" s="1"/>
      <c r="H2563" s="1"/>
      <c r="I2563" s="1"/>
    </row>
    <row r="2564" ht="15.75" customHeight="1">
      <c r="A2564" s="1" t="s">
        <v>2639</v>
      </c>
      <c r="B2564" s="1" t="s">
        <v>2495</v>
      </c>
      <c r="C2564" s="1"/>
      <c r="D2564" s="1"/>
      <c r="E2564" s="1"/>
      <c r="F2564" s="1"/>
      <c r="G2564" s="1"/>
      <c r="H2564" s="1"/>
      <c r="I2564" s="1"/>
    </row>
    <row r="2565" ht="15.75" customHeight="1">
      <c r="A2565" s="1" t="s">
        <v>2640</v>
      </c>
      <c r="B2565" s="1" t="s">
        <v>2495</v>
      </c>
      <c r="C2565" s="1"/>
      <c r="D2565" s="1"/>
      <c r="E2565" s="1"/>
      <c r="F2565" s="1"/>
      <c r="G2565" s="1"/>
      <c r="H2565" s="1"/>
      <c r="I2565" s="1"/>
    </row>
    <row r="2566" ht="15.75" customHeight="1">
      <c r="A2566" s="1" t="s">
        <v>2641</v>
      </c>
      <c r="B2566" s="1" t="s">
        <v>2495</v>
      </c>
      <c r="C2566" s="1"/>
      <c r="D2566" s="1"/>
      <c r="E2566" s="1"/>
      <c r="F2566" s="1"/>
      <c r="G2566" s="1"/>
      <c r="H2566" s="1"/>
      <c r="I2566" s="1"/>
    </row>
    <row r="2567" ht="15.75" customHeight="1">
      <c r="A2567" s="1" t="s">
        <v>2642</v>
      </c>
      <c r="B2567" s="1" t="s">
        <v>2495</v>
      </c>
      <c r="C2567" s="1"/>
      <c r="D2567" s="1"/>
      <c r="E2567" s="1"/>
      <c r="F2567" s="1"/>
      <c r="G2567" s="1"/>
      <c r="H2567" s="1"/>
      <c r="I2567" s="1"/>
    </row>
    <row r="2568" ht="15.75" customHeight="1">
      <c r="A2568" s="1" t="s">
        <v>2643</v>
      </c>
      <c r="B2568" s="1" t="s">
        <v>2495</v>
      </c>
      <c r="C2568" s="1"/>
      <c r="D2568" s="1"/>
      <c r="E2568" s="1"/>
      <c r="F2568" s="1"/>
      <c r="G2568" s="1"/>
      <c r="H2568" s="1"/>
      <c r="I2568" s="1"/>
    </row>
    <row r="2569" ht="15.75" customHeight="1">
      <c r="A2569" s="1" t="s">
        <v>2644</v>
      </c>
      <c r="B2569" s="1" t="s">
        <v>2495</v>
      </c>
      <c r="C2569" s="1"/>
      <c r="D2569" s="1"/>
      <c r="E2569" s="1"/>
      <c r="F2569" s="1"/>
      <c r="G2569" s="1"/>
      <c r="H2569" s="1"/>
      <c r="I2569" s="1"/>
    </row>
    <row r="2570" ht="15.75" customHeight="1">
      <c r="A2570" s="1" t="s">
        <v>2645</v>
      </c>
      <c r="B2570" s="1" t="s">
        <v>2495</v>
      </c>
      <c r="C2570" s="1"/>
      <c r="D2570" s="1"/>
      <c r="E2570" s="1"/>
      <c r="F2570" s="1"/>
      <c r="G2570" s="1"/>
      <c r="H2570" s="1"/>
      <c r="I2570" s="1"/>
    </row>
    <row r="2571" ht="15.75" customHeight="1">
      <c r="A2571" s="1" t="s">
        <v>2646</v>
      </c>
      <c r="B2571" s="1" t="s">
        <v>2647</v>
      </c>
      <c r="C2571" s="1"/>
      <c r="D2571" s="1"/>
      <c r="E2571" s="1"/>
      <c r="F2571" s="1"/>
      <c r="G2571" s="1"/>
      <c r="H2571" s="1"/>
      <c r="I2571" s="1"/>
    </row>
    <row r="2572" ht="15.75" customHeight="1">
      <c r="A2572" s="1" t="s">
        <v>2648</v>
      </c>
      <c r="B2572" s="1" t="s">
        <v>2647</v>
      </c>
      <c r="C2572" s="1"/>
      <c r="D2572" s="1"/>
      <c r="E2572" s="1"/>
      <c r="F2572" s="1"/>
      <c r="G2572" s="1"/>
      <c r="H2572" s="1"/>
      <c r="I2572" s="1"/>
    </row>
    <row r="2573" ht="15.75" customHeight="1">
      <c r="A2573" s="1" t="s">
        <v>2649</v>
      </c>
      <c r="B2573" s="1" t="s">
        <v>2647</v>
      </c>
      <c r="C2573" s="1"/>
      <c r="D2573" s="1"/>
      <c r="E2573" s="1"/>
      <c r="F2573" s="1"/>
      <c r="G2573" s="1"/>
      <c r="H2573" s="1"/>
      <c r="I2573" s="1"/>
    </row>
    <row r="2574" ht="15.75" customHeight="1">
      <c r="A2574" s="1" t="s">
        <v>2650</v>
      </c>
      <c r="B2574" s="1" t="s">
        <v>2651</v>
      </c>
      <c r="C2574" s="1"/>
      <c r="D2574" s="1"/>
      <c r="E2574" s="1"/>
      <c r="F2574" s="1"/>
      <c r="G2574" s="1"/>
      <c r="H2574" s="1"/>
      <c r="I2574" s="1"/>
    </row>
    <row r="2575" ht="15.75" customHeight="1">
      <c r="A2575" s="1" t="s">
        <v>2652</v>
      </c>
      <c r="B2575" s="1" t="s">
        <v>2651</v>
      </c>
      <c r="C2575" s="1"/>
      <c r="D2575" s="1"/>
      <c r="E2575" s="1"/>
      <c r="F2575" s="1"/>
      <c r="G2575" s="1"/>
      <c r="H2575" s="1"/>
      <c r="I2575" s="1"/>
    </row>
    <row r="2576" ht="15.75" customHeight="1">
      <c r="A2576" s="1" t="s">
        <v>2653</v>
      </c>
      <c r="B2576" s="1" t="s">
        <v>2651</v>
      </c>
      <c r="C2576" s="1"/>
      <c r="D2576" s="1"/>
      <c r="E2576" s="1"/>
      <c r="F2576" s="1"/>
      <c r="G2576" s="1"/>
      <c r="H2576" s="1"/>
      <c r="I2576" s="1"/>
    </row>
    <row r="2577" ht="15.75" customHeight="1">
      <c r="A2577" s="1" t="s">
        <v>2654</v>
      </c>
      <c r="B2577" s="1" t="s">
        <v>2651</v>
      </c>
      <c r="C2577" s="1"/>
      <c r="D2577" s="1"/>
      <c r="E2577" s="1"/>
      <c r="F2577" s="1"/>
      <c r="G2577" s="1"/>
      <c r="H2577" s="1"/>
      <c r="I2577" s="1"/>
    </row>
    <row r="2578" ht="15.75" customHeight="1">
      <c r="A2578" s="1" t="s">
        <v>2655</v>
      </c>
      <c r="B2578" s="1" t="s">
        <v>2651</v>
      </c>
      <c r="C2578" s="1"/>
      <c r="D2578" s="1"/>
      <c r="E2578" s="1"/>
      <c r="F2578" s="1"/>
      <c r="G2578" s="1"/>
      <c r="H2578" s="1"/>
      <c r="I2578" s="1"/>
    </row>
    <row r="2579" ht="15.75" customHeight="1">
      <c r="A2579" s="1" t="s">
        <v>2656</v>
      </c>
      <c r="B2579" s="1" t="s">
        <v>2651</v>
      </c>
      <c r="C2579" s="1"/>
      <c r="D2579" s="1"/>
      <c r="E2579" s="1"/>
      <c r="F2579" s="1"/>
      <c r="G2579" s="1"/>
      <c r="H2579" s="1"/>
      <c r="I2579" s="1"/>
    </row>
    <row r="2580" ht="15.75" customHeight="1">
      <c r="A2580" s="1" t="s">
        <v>2657</v>
      </c>
      <c r="B2580" s="1" t="s">
        <v>2651</v>
      </c>
      <c r="C2580" s="1"/>
      <c r="D2580" s="1"/>
      <c r="E2580" s="1"/>
      <c r="F2580" s="1"/>
      <c r="G2580" s="1"/>
      <c r="H2580" s="1"/>
      <c r="I2580" s="1"/>
    </row>
    <row r="2581" ht="15.75" customHeight="1">
      <c r="A2581" s="1" t="s">
        <v>2658</v>
      </c>
      <c r="B2581" s="1" t="s">
        <v>2651</v>
      </c>
      <c r="C2581" s="1"/>
      <c r="D2581" s="1"/>
      <c r="E2581" s="1"/>
      <c r="F2581" s="1"/>
      <c r="G2581" s="1"/>
      <c r="H2581" s="1"/>
      <c r="I2581" s="1"/>
    </row>
    <row r="2582" ht="15.75" customHeight="1">
      <c r="A2582" s="1" t="s">
        <v>2659</v>
      </c>
      <c r="B2582" s="1" t="s">
        <v>2651</v>
      </c>
      <c r="C2582" s="1"/>
      <c r="D2582" s="1"/>
      <c r="E2582" s="1"/>
      <c r="F2582" s="1"/>
      <c r="G2582" s="1"/>
      <c r="H2582" s="1"/>
      <c r="I2582" s="1"/>
    </row>
    <row r="2583" ht="15.75" customHeight="1">
      <c r="A2583" s="1" t="s">
        <v>2660</v>
      </c>
      <c r="B2583" s="1" t="s">
        <v>2651</v>
      </c>
      <c r="C2583" s="1"/>
      <c r="D2583" s="1"/>
      <c r="E2583" s="1"/>
      <c r="F2583" s="1"/>
      <c r="G2583" s="1"/>
      <c r="H2583" s="1"/>
      <c r="I2583" s="1"/>
    </row>
    <row r="2584" ht="15.75" customHeight="1">
      <c r="A2584" s="1" t="s">
        <v>2661</v>
      </c>
      <c r="B2584" s="1" t="s">
        <v>2651</v>
      </c>
      <c r="C2584" s="1"/>
      <c r="D2584" s="1"/>
      <c r="E2584" s="1"/>
      <c r="F2584" s="1"/>
      <c r="G2584" s="1"/>
      <c r="H2584" s="1"/>
      <c r="I2584" s="1"/>
    </row>
    <row r="2585" ht="15.75" customHeight="1">
      <c r="A2585" s="1" t="s">
        <v>2662</v>
      </c>
      <c r="B2585" s="1" t="s">
        <v>2651</v>
      </c>
      <c r="C2585" s="1"/>
      <c r="D2585" s="1"/>
      <c r="E2585" s="1"/>
      <c r="F2585" s="1"/>
      <c r="G2585" s="1"/>
      <c r="H2585" s="1"/>
      <c r="I2585" s="1"/>
    </row>
    <row r="2586" ht="15.75" customHeight="1">
      <c r="A2586" s="1" t="s">
        <v>2663</v>
      </c>
      <c r="B2586" s="1" t="s">
        <v>2651</v>
      </c>
      <c r="C2586" s="1"/>
      <c r="D2586" s="1"/>
      <c r="E2586" s="1"/>
      <c r="F2586" s="1"/>
      <c r="G2586" s="1"/>
      <c r="H2586" s="1"/>
      <c r="I2586" s="1"/>
    </row>
    <row r="2587" ht="15.75" customHeight="1">
      <c r="A2587" s="1" t="s">
        <v>2664</v>
      </c>
      <c r="B2587" s="1" t="s">
        <v>2651</v>
      </c>
      <c r="C2587" s="1"/>
      <c r="D2587" s="1"/>
      <c r="E2587" s="1"/>
      <c r="F2587" s="1"/>
      <c r="G2587" s="1"/>
      <c r="H2587" s="1"/>
      <c r="I2587" s="1"/>
    </row>
    <row r="2588" ht="15.75" customHeight="1">
      <c r="A2588" s="1" t="s">
        <v>2665</v>
      </c>
      <c r="B2588" s="1" t="s">
        <v>2651</v>
      </c>
      <c r="C2588" s="1"/>
      <c r="D2588" s="1"/>
      <c r="E2588" s="1"/>
      <c r="F2588" s="1"/>
      <c r="G2588" s="1"/>
      <c r="H2588" s="1"/>
      <c r="I2588" s="1"/>
    </row>
    <row r="2589" ht="15.75" customHeight="1">
      <c r="A2589" s="1" t="s">
        <v>2666</v>
      </c>
      <c r="B2589" s="1" t="s">
        <v>2651</v>
      </c>
      <c r="C2589" s="1"/>
      <c r="D2589" s="1"/>
      <c r="E2589" s="1"/>
      <c r="F2589" s="1"/>
      <c r="G2589" s="1"/>
      <c r="H2589" s="1"/>
      <c r="I2589" s="1"/>
    </row>
    <row r="2590" ht="15.75" customHeight="1">
      <c r="A2590" s="1" t="s">
        <v>2667</v>
      </c>
      <c r="B2590" s="1" t="s">
        <v>2651</v>
      </c>
      <c r="C2590" s="1"/>
      <c r="D2590" s="1"/>
      <c r="E2590" s="1"/>
      <c r="F2590" s="1"/>
      <c r="G2590" s="1"/>
      <c r="H2590" s="1"/>
      <c r="I2590" s="1"/>
    </row>
    <row r="2591" ht="15.75" customHeight="1">
      <c r="A2591" s="1" t="s">
        <v>2668</v>
      </c>
      <c r="B2591" s="1" t="s">
        <v>2651</v>
      </c>
      <c r="C2591" s="1"/>
      <c r="D2591" s="1"/>
      <c r="E2591" s="1"/>
      <c r="F2591" s="1"/>
      <c r="G2591" s="1"/>
      <c r="H2591" s="1"/>
      <c r="I2591" s="1"/>
    </row>
    <row r="2592" ht="15.75" customHeight="1">
      <c r="A2592" s="1" t="s">
        <v>2669</v>
      </c>
      <c r="B2592" s="1" t="s">
        <v>2651</v>
      </c>
      <c r="C2592" s="1"/>
      <c r="D2592" s="1"/>
      <c r="E2592" s="1"/>
      <c r="F2592" s="1"/>
      <c r="G2592" s="1"/>
      <c r="H2592" s="1"/>
      <c r="I2592" s="1"/>
    </row>
    <row r="2593" ht="15.75" customHeight="1">
      <c r="A2593" s="1" t="s">
        <v>2670</v>
      </c>
      <c r="B2593" s="1" t="s">
        <v>2651</v>
      </c>
      <c r="C2593" s="1"/>
      <c r="D2593" s="1"/>
      <c r="E2593" s="1"/>
      <c r="F2593" s="1"/>
      <c r="G2593" s="1"/>
      <c r="H2593" s="1"/>
      <c r="I2593" s="1"/>
    </row>
    <row r="2594" ht="15.75" customHeight="1">
      <c r="A2594" s="1" t="s">
        <v>2671</v>
      </c>
      <c r="B2594" s="1" t="s">
        <v>2651</v>
      </c>
      <c r="C2594" s="1"/>
      <c r="D2594" s="1"/>
      <c r="E2594" s="1"/>
      <c r="F2594" s="1"/>
      <c r="G2594" s="1"/>
      <c r="H2594" s="1"/>
      <c r="I2594" s="1"/>
    </row>
    <row r="2595" ht="15.75" customHeight="1">
      <c r="A2595" s="1" t="s">
        <v>2672</v>
      </c>
      <c r="B2595" s="1" t="s">
        <v>2651</v>
      </c>
      <c r="C2595" s="1"/>
      <c r="D2595" s="1"/>
      <c r="E2595" s="1"/>
      <c r="F2595" s="1"/>
      <c r="G2595" s="1"/>
      <c r="H2595" s="1"/>
      <c r="I2595" s="1"/>
    </row>
    <row r="2596" ht="15.75" customHeight="1">
      <c r="A2596" s="1" t="s">
        <v>2673</v>
      </c>
      <c r="B2596" s="1" t="s">
        <v>2651</v>
      </c>
      <c r="C2596" s="1"/>
      <c r="D2596" s="1"/>
      <c r="E2596" s="1"/>
      <c r="F2596" s="1"/>
      <c r="G2596" s="1"/>
      <c r="H2596" s="1"/>
      <c r="I2596" s="1"/>
    </row>
    <row r="2597" ht="15.75" customHeight="1">
      <c r="A2597" s="1" t="s">
        <v>2674</v>
      </c>
      <c r="B2597" s="1" t="s">
        <v>2651</v>
      </c>
      <c r="C2597" s="1"/>
      <c r="D2597" s="1"/>
      <c r="E2597" s="1"/>
      <c r="F2597" s="1"/>
      <c r="G2597" s="1"/>
      <c r="H2597" s="1"/>
      <c r="I2597" s="1"/>
    </row>
    <row r="2598" ht="15.75" customHeight="1">
      <c r="A2598" s="1" t="s">
        <v>2675</v>
      </c>
      <c r="B2598" s="1" t="s">
        <v>2651</v>
      </c>
      <c r="C2598" s="1"/>
      <c r="D2598" s="1"/>
      <c r="E2598" s="1"/>
      <c r="F2598" s="1"/>
      <c r="G2598" s="1"/>
      <c r="H2598" s="1"/>
      <c r="I2598" s="1"/>
    </row>
    <row r="2599" ht="15.75" customHeight="1">
      <c r="A2599" s="1" t="s">
        <v>2676</v>
      </c>
      <c r="B2599" s="1" t="s">
        <v>2651</v>
      </c>
      <c r="C2599" s="1"/>
      <c r="D2599" s="1"/>
      <c r="E2599" s="1"/>
      <c r="F2599" s="1"/>
      <c r="G2599" s="1"/>
      <c r="H2599" s="1"/>
      <c r="I2599" s="1"/>
    </row>
    <row r="2600" ht="15.75" customHeight="1">
      <c r="A2600" s="1" t="s">
        <v>2677</v>
      </c>
      <c r="B2600" s="1" t="s">
        <v>2651</v>
      </c>
      <c r="C2600" s="1"/>
      <c r="D2600" s="1"/>
      <c r="E2600" s="1"/>
      <c r="F2600" s="1"/>
      <c r="G2600" s="1"/>
      <c r="H2600" s="1"/>
      <c r="I2600" s="1"/>
    </row>
    <row r="2601" ht="15.75" customHeight="1">
      <c r="A2601" s="1" t="s">
        <v>2678</v>
      </c>
      <c r="B2601" s="1" t="s">
        <v>2651</v>
      </c>
      <c r="C2601" s="1"/>
      <c r="D2601" s="1"/>
      <c r="E2601" s="1"/>
      <c r="F2601" s="1"/>
      <c r="G2601" s="1"/>
      <c r="H2601" s="1"/>
      <c r="I2601" s="1"/>
    </row>
    <row r="2602" ht="15.75" customHeight="1">
      <c r="A2602" s="1" t="s">
        <v>2679</v>
      </c>
      <c r="B2602" s="1" t="s">
        <v>2651</v>
      </c>
      <c r="C2602" s="1"/>
      <c r="D2602" s="1"/>
      <c r="E2602" s="1"/>
      <c r="F2602" s="1"/>
      <c r="G2602" s="1"/>
      <c r="H2602" s="1"/>
      <c r="I2602" s="1"/>
    </row>
    <row r="2603" ht="15.75" customHeight="1">
      <c r="A2603" s="1" t="s">
        <v>2680</v>
      </c>
      <c r="B2603" s="1" t="s">
        <v>2651</v>
      </c>
      <c r="C2603" s="1"/>
      <c r="D2603" s="1"/>
      <c r="E2603" s="1"/>
      <c r="F2603" s="1"/>
      <c r="G2603" s="1"/>
      <c r="H2603" s="1"/>
      <c r="I2603" s="1"/>
    </row>
    <row r="2604" ht="15.75" customHeight="1">
      <c r="A2604" s="1" t="s">
        <v>2681</v>
      </c>
      <c r="B2604" s="1" t="s">
        <v>2651</v>
      </c>
      <c r="C2604" s="1"/>
      <c r="D2604" s="1"/>
      <c r="E2604" s="1"/>
      <c r="F2604" s="1"/>
      <c r="G2604" s="1"/>
      <c r="H2604" s="1"/>
      <c r="I2604" s="1"/>
    </row>
    <row r="2605" ht="15.75" customHeight="1">
      <c r="A2605" s="1" t="s">
        <v>2682</v>
      </c>
      <c r="B2605" s="1" t="s">
        <v>2683</v>
      </c>
      <c r="C2605" s="1"/>
      <c r="D2605" s="1"/>
      <c r="E2605" s="1"/>
      <c r="F2605" s="1"/>
      <c r="G2605" s="1"/>
      <c r="H2605" s="1"/>
      <c r="I2605" s="1"/>
    </row>
    <row r="2606" ht="15.75" customHeight="1">
      <c r="A2606" s="1" t="s">
        <v>2684</v>
      </c>
      <c r="B2606" s="1" t="s">
        <v>2683</v>
      </c>
      <c r="C2606" s="1"/>
      <c r="D2606" s="1"/>
      <c r="E2606" s="1"/>
      <c r="F2606" s="1"/>
      <c r="G2606" s="1"/>
      <c r="H2606" s="1"/>
      <c r="I2606" s="1"/>
    </row>
    <row r="2607" ht="15.75" customHeight="1">
      <c r="A2607" s="1" t="s">
        <v>2685</v>
      </c>
      <c r="B2607" s="1" t="s">
        <v>2683</v>
      </c>
      <c r="C2607" s="1"/>
      <c r="D2607" s="1"/>
      <c r="E2607" s="1"/>
      <c r="F2607" s="1"/>
      <c r="G2607" s="1"/>
      <c r="H2607" s="1"/>
      <c r="I2607" s="1"/>
    </row>
    <row r="2608" ht="15.75" customHeight="1">
      <c r="A2608" s="1" t="s">
        <v>2686</v>
      </c>
      <c r="B2608" s="1" t="s">
        <v>2683</v>
      </c>
      <c r="C2608" s="1"/>
      <c r="D2608" s="1"/>
      <c r="E2608" s="1"/>
      <c r="F2608" s="1"/>
      <c r="G2608" s="1"/>
      <c r="H2608" s="1"/>
      <c r="I2608" s="1"/>
    </row>
    <row r="2609" ht="15.75" customHeight="1">
      <c r="A2609" s="1" t="s">
        <v>2687</v>
      </c>
      <c r="B2609" s="1" t="s">
        <v>2683</v>
      </c>
      <c r="C2609" s="1"/>
      <c r="D2609" s="1"/>
      <c r="E2609" s="1"/>
      <c r="F2609" s="1"/>
      <c r="G2609" s="1"/>
      <c r="H2609" s="1"/>
      <c r="I2609" s="1"/>
    </row>
    <row r="2610" ht="15.75" customHeight="1">
      <c r="A2610" s="1" t="s">
        <v>2688</v>
      </c>
      <c r="B2610" s="1" t="s">
        <v>2683</v>
      </c>
      <c r="C2610" s="1"/>
      <c r="D2610" s="1"/>
      <c r="E2610" s="1"/>
      <c r="F2610" s="1"/>
      <c r="G2610" s="1"/>
      <c r="H2610" s="1"/>
      <c r="I2610" s="1"/>
    </row>
    <row r="2611" ht="15.75" customHeight="1">
      <c r="A2611" s="1" t="s">
        <v>2689</v>
      </c>
      <c r="B2611" s="1" t="s">
        <v>2690</v>
      </c>
      <c r="C2611" s="1"/>
      <c r="D2611" s="1"/>
      <c r="E2611" s="1"/>
      <c r="F2611" s="1"/>
      <c r="G2611" s="1"/>
      <c r="H2611" s="1"/>
      <c r="I2611" s="1"/>
    </row>
    <row r="2612" ht="15.75" customHeight="1">
      <c r="A2612" s="1" t="s">
        <v>2691</v>
      </c>
      <c r="B2612" s="1" t="s">
        <v>2690</v>
      </c>
      <c r="C2612" s="1"/>
      <c r="D2612" s="1"/>
      <c r="E2612" s="1"/>
      <c r="F2612" s="1"/>
      <c r="G2612" s="1"/>
      <c r="H2612" s="1"/>
      <c r="I2612" s="1"/>
    </row>
    <row r="2613" ht="15.75" customHeight="1">
      <c r="A2613" s="1" t="s">
        <v>2692</v>
      </c>
      <c r="B2613" s="1" t="s">
        <v>2690</v>
      </c>
      <c r="C2613" s="1"/>
      <c r="D2613" s="1"/>
      <c r="E2613" s="1"/>
      <c r="F2613" s="1"/>
      <c r="G2613" s="1"/>
      <c r="H2613" s="1"/>
      <c r="I2613" s="1"/>
    </row>
    <row r="2614" ht="15.75" customHeight="1">
      <c r="A2614" s="1" t="s">
        <v>2693</v>
      </c>
      <c r="B2614" s="1" t="s">
        <v>2690</v>
      </c>
      <c r="C2614" s="1"/>
      <c r="D2614" s="1"/>
      <c r="E2614" s="1"/>
      <c r="F2614" s="1"/>
      <c r="G2614" s="1"/>
      <c r="H2614" s="1"/>
      <c r="I2614" s="1"/>
    </row>
    <row r="2615" ht="15.75" customHeight="1">
      <c r="A2615" s="1" t="s">
        <v>2694</v>
      </c>
      <c r="B2615" s="1" t="s">
        <v>2690</v>
      </c>
      <c r="C2615" s="1"/>
      <c r="D2615" s="1"/>
      <c r="E2615" s="1"/>
      <c r="F2615" s="1"/>
      <c r="G2615" s="1"/>
      <c r="H2615" s="1"/>
      <c r="I2615" s="1"/>
    </row>
    <row r="2616" ht="15.75" customHeight="1">
      <c r="A2616" s="1" t="s">
        <v>2695</v>
      </c>
      <c r="B2616" s="1" t="s">
        <v>2690</v>
      </c>
      <c r="C2616" s="1"/>
      <c r="D2616" s="1"/>
      <c r="E2616" s="1"/>
      <c r="F2616" s="1"/>
      <c r="G2616" s="1"/>
      <c r="H2616" s="1"/>
      <c r="I2616" s="1"/>
    </row>
    <row r="2617" ht="15.75" customHeight="1">
      <c r="A2617" s="1" t="s">
        <v>2696</v>
      </c>
      <c r="B2617" s="1" t="s">
        <v>2690</v>
      </c>
      <c r="C2617" s="1"/>
      <c r="D2617" s="1"/>
      <c r="E2617" s="1"/>
      <c r="F2617" s="1"/>
      <c r="G2617" s="1"/>
      <c r="H2617" s="1"/>
      <c r="I2617" s="1"/>
    </row>
    <row r="2618" ht="15.75" customHeight="1">
      <c r="A2618" s="1" t="s">
        <v>2697</v>
      </c>
      <c r="B2618" s="1" t="s">
        <v>2690</v>
      </c>
      <c r="C2618" s="1"/>
      <c r="D2618" s="1"/>
      <c r="E2618" s="1"/>
      <c r="F2618" s="1"/>
      <c r="G2618" s="1"/>
      <c r="H2618" s="1"/>
      <c r="I2618" s="1"/>
    </row>
    <row r="2619" ht="15.75" customHeight="1">
      <c r="A2619" s="1" t="s">
        <v>2698</v>
      </c>
      <c r="B2619" s="1" t="s">
        <v>2690</v>
      </c>
      <c r="C2619" s="1"/>
      <c r="D2619" s="1"/>
      <c r="E2619" s="1"/>
      <c r="F2619" s="1"/>
      <c r="G2619" s="1"/>
      <c r="H2619" s="1"/>
      <c r="I2619" s="1"/>
    </row>
    <row r="2620" ht="15.75" customHeight="1">
      <c r="A2620" s="1" t="s">
        <v>2699</v>
      </c>
      <c r="B2620" s="1" t="s">
        <v>2690</v>
      </c>
      <c r="C2620" s="1"/>
      <c r="D2620" s="1"/>
      <c r="E2620" s="1"/>
      <c r="F2620" s="1"/>
      <c r="G2620" s="1"/>
      <c r="H2620" s="1"/>
      <c r="I2620" s="1"/>
    </row>
    <row r="2621" ht="15.75" customHeight="1">
      <c r="A2621" s="1" t="s">
        <v>2700</v>
      </c>
      <c r="B2621" s="1" t="s">
        <v>2690</v>
      </c>
      <c r="C2621" s="1"/>
      <c r="D2621" s="1"/>
      <c r="E2621" s="1"/>
      <c r="F2621" s="1"/>
      <c r="G2621" s="1"/>
      <c r="H2621" s="1"/>
      <c r="I2621" s="1"/>
    </row>
    <row r="2622" ht="15.75" customHeight="1">
      <c r="A2622" s="1" t="s">
        <v>2701</v>
      </c>
      <c r="B2622" s="1" t="s">
        <v>2690</v>
      </c>
      <c r="C2622" s="1"/>
      <c r="D2622" s="1"/>
      <c r="E2622" s="1"/>
      <c r="F2622" s="1"/>
      <c r="G2622" s="1"/>
      <c r="H2622" s="1"/>
      <c r="I2622" s="1"/>
    </row>
    <row r="2623" ht="15.75" customHeight="1">
      <c r="A2623" s="1" t="s">
        <v>2702</v>
      </c>
      <c r="B2623" s="1" t="s">
        <v>2690</v>
      </c>
      <c r="C2623" s="1"/>
      <c r="D2623" s="1"/>
      <c r="E2623" s="1"/>
      <c r="F2623" s="1"/>
      <c r="G2623" s="1"/>
      <c r="H2623" s="1"/>
      <c r="I2623" s="1"/>
    </row>
    <row r="2624" ht="15.75" customHeight="1">
      <c r="A2624" s="1" t="s">
        <v>2703</v>
      </c>
      <c r="B2624" s="1" t="s">
        <v>2690</v>
      </c>
      <c r="C2624" s="1"/>
      <c r="D2624" s="1"/>
      <c r="E2624" s="1"/>
      <c r="F2624" s="1"/>
      <c r="G2624" s="1"/>
      <c r="H2624" s="1"/>
      <c r="I2624" s="1"/>
    </row>
    <row r="2625" ht="15.75" customHeight="1">
      <c r="A2625" s="1" t="s">
        <v>2704</v>
      </c>
      <c r="B2625" s="1" t="s">
        <v>2690</v>
      </c>
      <c r="C2625" s="1"/>
      <c r="D2625" s="1"/>
      <c r="E2625" s="1"/>
      <c r="F2625" s="1"/>
      <c r="G2625" s="1"/>
      <c r="H2625" s="1"/>
      <c r="I2625" s="1"/>
    </row>
    <row r="2626" ht="15.75" customHeight="1">
      <c r="A2626" s="1" t="s">
        <v>2705</v>
      </c>
      <c r="B2626" s="1" t="s">
        <v>2690</v>
      </c>
      <c r="C2626" s="1"/>
      <c r="D2626" s="1"/>
      <c r="E2626" s="1"/>
      <c r="F2626" s="1"/>
      <c r="G2626" s="1"/>
      <c r="H2626" s="1"/>
      <c r="I2626" s="1"/>
    </row>
    <row r="2627" ht="15.75" customHeight="1">
      <c r="A2627" s="1" t="s">
        <v>2706</v>
      </c>
      <c r="B2627" s="1" t="s">
        <v>2690</v>
      </c>
      <c r="C2627" s="1"/>
      <c r="D2627" s="1"/>
      <c r="E2627" s="1"/>
      <c r="F2627" s="1"/>
      <c r="G2627" s="1"/>
      <c r="H2627" s="1"/>
      <c r="I2627" s="1"/>
    </row>
    <row r="2628" ht="15.75" customHeight="1">
      <c r="A2628" s="1" t="s">
        <v>2707</v>
      </c>
      <c r="B2628" s="1" t="s">
        <v>2690</v>
      </c>
      <c r="C2628" s="1"/>
      <c r="D2628" s="1"/>
      <c r="E2628" s="1"/>
      <c r="F2628" s="1"/>
      <c r="G2628" s="1"/>
      <c r="H2628" s="1"/>
      <c r="I2628" s="1"/>
    </row>
    <row r="2629" ht="15.75" customHeight="1">
      <c r="A2629" s="1" t="s">
        <v>2708</v>
      </c>
      <c r="B2629" s="1" t="s">
        <v>2690</v>
      </c>
      <c r="C2629" s="1"/>
      <c r="D2629" s="1"/>
      <c r="E2629" s="1"/>
      <c r="F2629" s="1"/>
      <c r="G2629" s="1"/>
      <c r="H2629" s="1"/>
      <c r="I2629" s="1"/>
    </row>
    <row r="2630" ht="15.75" customHeight="1">
      <c r="A2630" s="1" t="s">
        <v>2709</v>
      </c>
      <c r="B2630" s="1" t="s">
        <v>2690</v>
      </c>
      <c r="C2630" s="1"/>
      <c r="D2630" s="1"/>
      <c r="E2630" s="1"/>
      <c r="F2630" s="1"/>
      <c r="G2630" s="1"/>
      <c r="H2630" s="1"/>
      <c r="I2630" s="1"/>
    </row>
    <row r="2631" ht="15.75" customHeight="1">
      <c r="A2631" s="1" t="s">
        <v>2710</v>
      </c>
      <c r="B2631" s="1" t="s">
        <v>2711</v>
      </c>
      <c r="C2631" s="1"/>
      <c r="D2631" s="1"/>
      <c r="E2631" s="1"/>
      <c r="F2631" s="1"/>
      <c r="G2631" s="1"/>
      <c r="H2631" s="1"/>
      <c r="I2631" s="1"/>
    </row>
    <row r="2632" ht="15.75" customHeight="1">
      <c r="A2632" s="1" t="s">
        <v>2712</v>
      </c>
      <c r="B2632" s="1" t="s">
        <v>2711</v>
      </c>
      <c r="C2632" s="1"/>
      <c r="D2632" s="1"/>
      <c r="E2632" s="1"/>
      <c r="F2632" s="1"/>
      <c r="G2632" s="1"/>
      <c r="H2632" s="1"/>
      <c r="I2632" s="1"/>
    </row>
    <row r="2633" ht="15.75" customHeight="1">
      <c r="A2633" s="1" t="s">
        <v>2713</v>
      </c>
      <c r="B2633" s="1" t="s">
        <v>2711</v>
      </c>
      <c r="C2633" s="1"/>
      <c r="D2633" s="1"/>
      <c r="E2633" s="1"/>
      <c r="F2633" s="1"/>
      <c r="G2633" s="1"/>
      <c r="H2633" s="1"/>
      <c r="I2633" s="1"/>
    </row>
    <row r="2634" ht="15.75" customHeight="1">
      <c r="A2634" s="1" t="s">
        <v>2714</v>
      </c>
      <c r="B2634" s="1" t="s">
        <v>2711</v>
      </c>
      <c r="C2634" s="1"/>
      <c r="D2634" s="1"/>
      <c r="E2634" s="1"/>
      <c r="F2634" s="1"/>
      <c r="G2634" s="1"/>
      <c r="H2634" s="1"/>
      <c r="I2634" s="1"/>
    </row>
    <row r="2635" ht="15.75" customHeight="1">
      <c r="A2635" s="1" t="s">
        <v>2715</v>
      </c>
      <c r="B2635" s="1" t="s">
        <v>2711</v>
      </c>
      <c r="C2635" s="1"/>
      <c r="D2635" s="1"/>
      <c r="E2635" s="1"/>
      <c r="F2635" s="1"/>
      <c r="G2635" s="1"/>
      <c r="H2635" s="1"/>
      <c r="I2635" s="1"/>
    </row>
    <row r="2636" ht="15.75" customHeight="1">
      <c r="A2636" s="1" t="s">
        <v>2716</v>
      </c>
      <c r="B2636" s="1" t="s">
        <v>2711</v>
      </c>
      <c r="C2636" s="1"/>
      <c r="D2636" s="1"/>
      <c r="E2636" s="1"/>
      <c r="F2636" s="1"/>
      <c r="G2636" s="1"/>
      <c r="H2636" s="1"/>
      <c r="I2636" s="1"/>
    </row>
    <row r="2637" ht="15.75" customHeight="1">
      <c r="A2637" s="1" t="s">
        <v>2717</v>
      </c>
      <c r="B2637" s="1" t="s">
        <v>2711</v>
      </c>
      <c r="C2637" s="1"/>
      <c r="D2637" s="1"/>
      <c r="E2637" s="1"/>
      <c r="F2637" s="1"/>
      <c r="G2637" s="1"/>
      <c r="H2637" s="1"/>
      <c r="I2637" s="1"/>
    </row>
    <row r="2638" ht="15.75" customHeight="1">
      <c r="A2638" s="1" t="s">
        <v>2718</v>
      </c>
      <c r="B2638" s="1" t="s">
        <v>2711</v>
      </c>
      <c r="C2638" s="1"/>
      <c r="D2638" s="1"/>
      <c r="E2638" s="1"/>
      <c r="F2638" s="1"/>
      <c r="G2638" s="1"/>
      <c r="H2638" s="1"/>
      <c r="I2638" s="1"/>
    </row>
    <row r="2639" ht="15.75" customHeight="1">
      <c r="A2639" s="1" t="s">
        <v>2719</v>
      </c>
      <c r="B2639" s="1" t="s">
        <v>2711</v>
      </c>
      <c r="C2639" s="1"/>
      <c r="D2639" s="1"/>
      <c r="E2639" s="1"/>
      <c r="F2639" s="1"/>
      <c r="G2639" s="1"/>
      <c r="H2639" s="1"/>
      <c r="I2639" s="1"/>
    </row>
    <row r="2640" ht="15.75" customHeight="1">
      <c r="A2640" s="1" t="s">
        <v>2720</v>
      </c>
      <c r="B2640" s="1" t="s">
        <v>2721</v>
      </c>
      <c r="C2640" s="1"/>
      <c r="D2640" s="1"/>
      <c r="E2640" s="1"/>
      <c r="F2640" s="1"/>
      <c r="G2640" s="1"/>
      <c r="H2640" s="1"/>
      <c r="I2640" s="1"/>
    </row>
    <row r="2641" ht="15.75" customHeight="1">
      <c r="A2641" s="1" t="s">
        <v>2722</v>
      </c>
      <c r="B2641" s="1" t="s">
        <v>2721</v>
      </c>
      <c r="C2641" s="1"/>
      <c r="D2641" s="1"/>
      <c r="E2641" s="1"/>
      <c r="F2641" s="1"/>
      <c r="G2641" s="1"/>
      <c r="H2641" s="1"/>
      <c r="I2641" s="1"/>
    </row>
    <row r="2642" ht="15.75" customHeight="1">
      <c r="A2642" s="1" t="s">
        <v>2723</v>
      </c>
      <c r="B2642" s="1" t="s">
        <v>2721</v>
      </c>
      <c r="C2642" s="1"/>
      <c r="D2642" s="1"/>
      <c r="E2642" s="1"/>
      <c r="F2642" s="1"/>
      <c r="G2642" s="1"/>
      <c r="H2642" s="1"/>
      <c r="I2642" s="1"/>
    </row>
    <row r="2643" ht="15.75" customHeight="1">
      <c r="A2643" s="1" t="s">
        <v>2724</v>
      </c>
      <c r="B2643" s="1" t="s">
        <v>2721</v>
      </c>
      <c r="C2643" s="1"/>
      <c r="D2643" s="1"/>
      <c r="E2643" s="1"/>
      <c r="F2643" s="1"/>
      <c r="G2643" s="1"/>
      <c r="H2643" s="1"/>
      <c r="I2643" s="1"/>
    </row>
    <row r="2644" ht="15.75" customHeight="1">
      <c r="A2644" s="1" t="s">
        <v>2725</v>
      </c>
      <c r="B2644" s="1" t="s">
        <v>2721</v>
      </c>
      <c r="C2644" s="1"/>
      <c r="D2644" s="1"/>
      <c r="E2644" s="1"/>
      <c r="F2644" s="1"/>
      <c r="G2644" s="1"/>
      <c r="H2644" s="1"/>
      <c r="I2644" s="1"/>
    </row>
    <row r="2645" ht="15.75" customHeight="1">
      <c r="A2645" s="1" t="s">
        <v>2726</v>
      </c>
      <c r="B2645" s="1" t="s">
        <v>2721</v>
      </c>
      <c r="C2645" s="1"/>
      <c r="D2645" s="1"/>
      <c r="E2645" s="1"/>
      <c r="F2645" s="1"/>
      <c r="G2645" s="1"/>
      <c r="H2645" s="1"/>
      <c r="I2645" s="1"/>
    </row>
    <row r="2646" ht="15.75" customHeight="1">
      <c r="A2646" s="1" t="s">
        <v>2727</v>
      </c>
      <c r="B2646" s="1" t="s">
        <v>2721</v>
      </c>
      <c r="C2646" s="1"/>
      <c r="D2646" s="1"/>
      <c r="E2646" s="1"/>
      <c r="F2646" s="1"/>
      <c r="G2646" s="1"/>
      <c r="H2646" s="1"/>
      <c r="I2646" s="1"/>
    </row>
    <row r="2647" ht="15.75" customHeight="1">
      <c r="A2647" s="1" t="s">
        <v>2728</v>
      </c>
      <c r="B2647" s="1" t="s">
        <v>2721</v>
      </c>
      <c r="C2647" s="1"/>
      <c r="D2647" s="1"/>
      <c r="E2647" s="1"/>
      <c r="F2647" s="1"/>
      <c r="G2647" s="1"/>
      <c r="H2647" s="1"/>
      <c r="I2647" s="1"/>
    </row>
    <row r="2648" ht="15.75" customHeight="1">
      <c r="A2648" s="1" t="s">
        <v>2729</v>
      </c>
      <c r="B2648" s="1" t="s">
        <v>2721</v>
      </c>
      <c r="C2648" s="1"/>
      <c r="D2648" s="1"/>
      <c r="E2648" s="1"/>
      <c r="F2648" s="1"/>
      <c r="G2648" s="1"/>
      <c r="H2648" s="1"/>
      <c r="I2648" s="1"/>
    </row>
    <row r="2649" ht="15.75" customHeight="1">
      <c r="A2649" s="1" t="s">
        <v>2730</v>
      </c>
      <c r="B2649" s="1" t="s">
        <v>2721</v>
      </c>
      <c r="C2649" s="1"/>
      <c r="D2649" s="1"/>
      <c r="E2649" s="1"/>
      <c r="F2649" s="1"/>
      <c r="G2649" s="1"/>
      <c r="H2649" s="1"/>
      <c r="I2649" s="1"/>
    </row>
    <row r="2650" ht="15.75" customHeight="1">
      <c r="A2650" s="1" t="s">
        <v>2731</v>
      </c>
      <c r="B2650" s="1" t="s">
        <v>2721</v>
      </c>
      <c r="C2650" s="1"/>
      <c r="D2650" s="1"/>
      <c r="E2650" s="1"/>
      <c r="F2650" s="1"/>
      <c r="G2650" s="1"/>
      <c r="H2650" s="1"/>
      <c r="I2650" s="1"/>
    </row>
    <row r="2651" ht="15.75" customHeight="1">
      <c r="A2651" s="1" t="s">
        <v>2732</v>
      </c>
      <c r="B2651" s="1" t="s">
        <v>2721</v>
      </c>
      <c r="C2651" s="1"/>
      <c r="D2651" s="1"/>
      <c r="E2651" s="1"/>
      <c r="F2651" s="1"/>
      <c r="G2651" s="1"/>
      <c r="H2651" s="1"/>
      <c r="I2651" s="1"/>
    </row>
    <row r="2652" ht="15.75" customHeight="1">
      <c r="A2652" s="1" t="s">
        <v>2733</v>
      </c>
      <c r="B2652" s="1" t="s">
        <v>2721</v>
      </c>
      <c r="C2652" s="1"/>
      <c r="D2652" s="1"/>
      <c r="E2652" s="1"/>
      <c r="F2652" s="1"/>
      <c r="G2652" s="1"/>
      <c r="H2652" s="1"/>
      <c r="I2652" s="1"/>
    </row>
    <row r="2653" ht="15.75" customHeight="1">
      <c r="A2653" s="1" t="s">
        <v>2734</v>
      </c>
      <c r="B2653" s="1" t="s">
        <v>2721</v>
      </c>
      <c r="C2653" s="1"/>
      <c r="D2653" s="1"/>
      <c r="E2653" s="1"/>
      <c r="F2653" s="1"/>
      <c r="G2653" s="1"/>
      <c r="H2653" s="1"/>
      <c r="I2653" s="1"/>
    </row>
    <row r="2654" ht="15.75" customHeight="1">
      <c r="A2654" s="1" t="s">
        <v>2735</v>
      </c>
      <c r="B2654" s="1" t="s">
        <v>2721</v>
      </c>
      <c r="C2654" s="1"/>
      <c r="D2654" s="1"/>
      <c r="E2654" s="1"/>
      <c r="F2654" s="1"/>
      <c r="G2654" s="1"/>
      <c r="H2654" s="1"/>
      <c r="I2654" s="1"/>
    </row>
    <row r="2655" ht="15.75" customHeight="1">
      <c r="A2655" s="1" t="s">
        <v>2736</v>
      </c>
      <c r="B2655" s="1" t="s">
        <v>2721</v>
      </c>
      <c r="C2655" s="1"/>
      <c r="D2655" s="1"/>
      <c r="E2655" s="1"/>
      <c r="F2655" s="1"/>
      <c r="G2655" s="1"/>
      <c r="H2655" s="1"/>
      <c r="I2655" s="1"/>
    </row>
    <row r="2656" ht="15.75" customHeight="1">
      <c r="A2656" s="1" t="s">
        <v>2737</v>
      </c>
      <c r="B2656" s="1" t="s">
        <v>2721</v>
      </c>
      <c r="C2656" s="1"/>
      <c r="D2656" s="1"/>
      <c r="E2656" s="1"/>
      <c r="F2656" s="1"/>
      <c r="G2656" s="1"/>
      <c r="H2656" s="1"/>
      <c r="I2656" s="1"/>
    </row>
    <row r="2657" ht="15.75" customHeight="1">
      <c r="A2657" s="1" t="s">
        <v>2738</v>
      </c>
      <c r="B2657" s="1" t="s">
        <v>2721</v>
      </c>
      <c r="C2657" s="1"/>
      <c r="D2657" s="1"/>
      <c r="E2657" s="1"/>
      <c r="F2657" s="1"/>
      <c r="G2657" s="1"/>
      <c r="H2657" s="1"/>
      <c r="I2657" s="1"/>
    </row>
    <row r="2658" ht="15.75" customHeight="1">
      <c r="A2658" s="1" t="s">
        <v>2739</v>
      </c>
      <c r="B2658" s="1" t="s">
        <v>2721</v>
      </c>
      <c r="C2658" s="1"/>
      <c r="D2658" s="1"/>
      <c r="E2658" s="1"/>
      <c r="F2658" s="1"/>
      <c r="G2658" s="1"/>
      <c r="H2658" s="1"/>
      <c r="I2658" s="1"/>
    </row>
    <row r="2659" ht="15.75" customHeight="1">
      <c r="A2659" s="1" t="s">
        <v>2740</v>
      </c>
      <c r="B2659" s="1" t="s">
        <v>2721</v>
      </c>
      <c r="C2659" s="1"/>
      <c r="D2659" s="1"/>
      <c r="E2659" s="1"/>
      <c r="F2659" s="1"/>
      <c r="G2659" s="1"/>
      <c r="H2659" s="1"/>
      <c r="I2659" s="1"/>
    </row>
    <row r="2660" ht="15.75" customHeight="1">
      <c r="A2660" s="1" t="s">
        <v>2741</v>
      </c>
      <c r="B2660" s="1" t="s">
        <v>2721</v>
      </c>
      <c r="C2660" s="1"/>
      <c r="D2660" s="1"/>
      <c r="E2660" s="1"/>
      <c r="F2660" s="1"/>
      <c r="G2660" s="1"/>
      <c r="H2660" s="1"/>
      <c r="I2660" s="1"/>
    </row>
    <row r="2661" ht="15.75" customHeight="1">
      <c r="A2661" s="1" t="s">
        <v>2742</v>
      </c>
      <c r="B2661" s="1" t="s">
        <v>2721</v>
      </c>
      <c r="C2661" s="1"/>
      <c r="D2661" s="1"/>
      <c r="E2661" s="1"/>
      <c r="F2661" s="1"/>
      <c r="G2661" s="1"/>
      <c r="H2661" s="1"/>
      <c r="I2661" s="1"/>
    </row>
    <row r="2662" ht="15.75" customHeight="1">
      <c r="A2662" s="1" t="s">
        <v>2743</v>
      </c>
      <c r="B2662" s="1" t="s">
        <v>2721</v>
      </c>
      <c r="C2662" s="1"/>
      <c r="D2662" s="1"/>
      <c r="E2662" s="1"/>
      <c r="F2662" s="1"/>
      <c r="G2662" s="1"/>
      <c r="H2662" s="1"/>
      <c r="I2662" s="1"/>
    </row>
    <row r="2663" ht="15.75" customHeight="1">
      <c r="A2663" s="1" t="s">
        <v>2744</v>
      </c>
      <c r="B2663" s="1" t="s">
        <v>2721</v>
      </c>
      <c r="C2663" s="1"/>
      <c r="D2663" s="1"/>
      <c r="E2663" s="1"/>
      <c r="F2663" s="1"/>
      <c r="G2663" s="1"/>
      <c r="H2663" s="1"/>
      <c r="I2663" s="1"/>
    </row>
    <row r="2664" ht="15.75" customHeight="1">
      <c r="A2664" s="1" t="s">
        <v>2745</v>
      </c>
      <c r="B2664" s="1" t="s">
        <v>2721</v>
      </c>
      <c r="C2664" s="1"/>
      <c r="D2664" s="1"/>
      <c r="E2664" s="1"/>
      <c r="F2664" s="1"/>
      <c r="G2664" s="1"/>
      <c r="H2664" s="1"/>
      <c r="I2664" s="1"/>
    </row>
    <row r="2665" ht="15.75" customHeight="1">
      <c r="A2665" s="1" t="s">
        <v>2746</v>
      </c>
      <c r="B2665" s="1" t="s">
        <v>2721</v>
      </c>
      <c r="C2665" s="1"/>
      <c r="D2665" s="1"/>
      <c r="E2665" s="1"/>
      <c r="F2665" s="1"/>
      <c r="G2665" s="1"/>
      <c r="H2665" s="1"/>
      <c r="I2665" s="1"/>
    </row>
    <row r="2666" ht="15.75" customHeight="1">
      <c r="A2666" s="1" t="s">
        <v>2747</v>
      </c>
      <c r="B2666" s="1" t="s">
        <v>2721</v>
      </c>
      <c r="C2666" s="1"/>
      <c r="D2666" s="1"/>
      <c r="E2666" s="1"/>
      <c r="F2666" s="1"/>
      <c r="G2666" s="1"/>
      <c r="H2666" s="1"/>
      <c r="I2666" s="1"/>
    </row>
    <row r="2667" ht="15.75" customHeight="1">
      <c r="A2667" s="1" t="s">
        <v>2748</v>
      </c>
      <c r="B2667" s="1" t="s">
        <v>2721</v>
      </c>
      <c r="C2667" s="1"/>
      <c r="D2667" s="1"/>
      <c r="E2667" s="1"/>
      <c r="F2667" s="1"/>
      <c r="G2667" s="1"/>
      <c r="H2667" s="1"/>
      <c r="I2667" s="1"/>
    </row>
    <row r="2668" ht="15.75" customHeight="1">
      <c r="A2668" s="1" t="s">
        <v>2749</v>
      </c>
      <c r="B2668" s="1" t="s">
        <v>2721</v>
      </c>
      <c r="C2668" s="1"/>
      <c r="D2668" s="1"/>
      <c r="E2668" s="1"/>
      <c r="F2668" s="1"/>
      <c r="G2668" s="1"/>
      <c r="H2668" s="1"/>
      <c r="I2668" s="1"/>
    </row>
    <row r="2669" ht="15.75" customHeight="1">
      <c r="A2669" s="1" t="s">
        <v>2750</v>
      </c>
      <c r="B2669" s="1" t="s">
        <v>2721</v>
      </c>
      <c r="C2669" s="1"/>
      <c r="D2669" s="1"/>
      <c r="E2669" s="1"/>
      <c r="F2669" s="1"/>
      <c r="G2669" s="1"/>
      <c r="H2669" s="1"/>
      <c r="I2669" s="1"/>
    </row>
    <row r="2670" ht="15.75" customHeight="1">
      <c r="A2670" s="1" t="s">
        <v>2751</v>
      </c>
      <c r="B2670" s="1" t="s">
        <v>2721</v>
      </c>
      <c r="C2670" s="1"/>
      <c r="D2670" s="1"/>
      <c r="E2670" s="1"/>
      <c r="F2670" s="1"/>
      <c r="G2670" s="1"/>
      <c r="H2670" s="1"/>
      <c r="I2670" s="1"/>
    </row>
    <row r="2671" ht="15.75" customHeight="1">
      <c r="A2671" s="1" t="s">
        <v>2752</v>
      </c>
      <c r="B2671" s="1" t="s">
        <v>2721</v>
      </c>
      <c r="C2671" s="1"/>
      <c r="D2671" s="1"/>
      <c r="E2671" s="1"/>
      <c r="F2671" s="1"/>
      <c r="G2671" s="1"/>
      <c r="H2671" s="1"/>
      <c r="I2671" s="1"/>
    </row>
    <row r="2672" ht="15.75" customHeight="1">
      <c r="A2672" s="1" t="s">
        <v>2753</v>
      </c>
      <c r="B2672" s="1" t="s">
        <v>2721</v>
      </c>
      <c r="C2672" s="1"/>
      <c r="D2672" s="1"/>
      <c r="E2672" s="1"/>
      <c r="F2672" s="1"/>
      <c r="G2672" s="1"/>
      <c r="H2672" s="1"/>
      <c r="I2672" s="1"/>
    </row>
    <row r="2673" ht="15.75" customHeight="1">
      <c r="A2673" s="1" t="s">
        <v>2754</v>
      </c>
      <c r="B2673" s="1" t="s">
        <v>2721</v>
      </c>
      <c r="C2673" s="1"/>
      <c r="D2673" s="1"/>
      <c r="E2673" s="1"/>
      <c r="F2673" s="1"/>
      <c r="G2673" s="1"/>
      <c r="H2673" s="1"/>
      <c r="I2673" s="1"/>
    </row>
    <row r="2674" ht="15.75" customHeight="1">
      <c r="A2674" s="1" t="s">
        <v>2755</v>
      </c>
      <c r="B2674" s="1" t="s">
        <v>2756</v>
      </c>
      <c r="C2674" s="1"/>
      <c r="D2674" s="1"/>
      <c r="E2674" s="1"/>
      <c r="F2674" s="1"/>
      <c r="G2674" s="1"/>
      <c r="H2674" s="1"/>
      <c r="I2674" s="1"/>
    </row>
    <row r="2675" ht="15.75" customHeight="1">
      <c r="A2675" s="1" t="s">
        <v>2757</v>
      </c>
      <c r="B2675" s="1" t="s">
        <v>2756</v>
      </c>
      <c r="C2675" s="1"/>
      <c r="D2675" s="1"/>
      <c r="E2675" s="1"/>
      <c r="F2675" s="1"/>
      <c r="G2675" s="1"/>
      <c r="H2675" s="1"/>
      <c r="I2675" s="1"/>
    </row>
    <row r="2676" ht="15.75" customHeight="1">
      <c r="A2676" s="1" t="s">
        <v>2758</v>
      </c>
      <c r="B2676" s="1" t="s">
        <v>2756</v>
      </c>
      <c r="C2676" s="1"/>
      <c r="D2676" s="1"/>
      <c r="E2676" s="1"/>
      <c r="F2676" s="1"/>
      <c r="G2676" s="1"/>
      <c r="H2676" s="1"/>
      <c r="I2676" s="1"/>
    </row>
    <row r="2677" ht="15.75" customHeight="1">
      <c r="A2677" s="1" t="s">
        <v>2759</v>
      </c>
      <c r="B2677" s="1" t="s">
        <v>2756</v>
      </c>
      <c r="C2677" s="1"/>
      <c r="D2677" s="1"/>
      <c r="E2677" s="1"/>
      <c r="F2677" s="1"/>
      <c r="G2677" s="1"/>
      <c r="H2677" s="1"/>
      <c r="I2677" s="1"/>
    </row>
    <row r="2678" ht="15.75" customHeight="1">
      <c r="A2678" s="1" t="s">
        <v>2760</v>
      </c>
      <c r="B2678" s="1" t="s">
        <v>2756</v>
      </c>
      <c r="C2678" s="1"/>
      <c r="D2678" s="1"/>
      <c r="E2678" s="1"/>
      <c r="F2678" s="1"/>
      <c r="G2678" s="1"/>
      <c r="H2678" s="1"/>
      <c r="I2678" s="1"/>
    </row>
    <row r="2679" ht="15.75" customHeight="1">
      <c r="A2679" s="1" t="s">
        <v>2761</v>
      </c>
      <c r="B2679" s="1" t="s">
        <v>2756</v>
      </c>
      <c r="C2679" s="1"/>
      <c r="D2679" s="1"/>
      <c r="E2679" s="1"/>
      <c r="F2679" s="1"/>
      <c r="G2679" s="1"/>
      <c r="H2679" s="1"/>
      <c r="I2679" s="1"/>
    </row>
    <row r="2680" ht="15.75" customHeight="1">
      <c r="A2680" s="1" t="s">
        <v>2762</v>
      </c>
      <c r="B2680" s="1" t="s">
        <v>2756</v>
      </c>
      <c r="C2680" s="1"/>
      <c r="D2680" s="1"/>
      <c r="E2680" s="1"/>
      <c r="F2680" s="1"/>
      <c r="G2680" s="1"/>
      <c r="H2680" s="1"/>
      <c r="I2680" s="1"/>
    </row>
    <row r="2681" ht="15.75" customHeight="1">
      <c r="A2681" s="1" t="s">
        <v>2763</v>
      </c>
      <c r="B2681" s="1" t="s">
        <v>2756</v>
      </c>
      <c r="C2681" s="1"/>
      <c r="D2681" s="1"/>
      <c r="E2681" s="1"/>
      <c r="F2681" s="1"/>
      <c r="G2681" s="1"/>
      <c r="H2681" s="1"/>
      <c r="I2681" s="1"/>
    </row>
    <row r="2682" ht="15.75" customHeight="1">
      <c r="A2682" s="1" t="s">
        <v>2764</v>
      </c>
      <c r="B2682" s="1" t="s">
        <v>2756</v>
      </c>
      <c r="C2682" s="1"/>
      <c r="D2682" s="1"/>
      <c r="E2682" s="1"/>
      <c r="F2682" s="1"/>
      <c r="G2682" s="1"/>
      <c r="H2682" s="1"/>
      <c r="I2682" s="1"/>
    </row>
    <row r="2683" ht="15.75" customHeight="1">
      <c r="A2683" s="1" t="s">
        <v>2765</v>
      </c>
      <c r="B2683" s="1" t="s">
        <v>2756</v>
      </c>
      <c r="C2683" s="1"/>
      <c r="D2683" s="1"/>
      <c r="E2683" s="1"/>
      <c r="F2683" s="1"/>
      <c r="G2683" s="1"/>
      <c r="H2683" s="1"/>
      <c r="I2683" s="1"/>
    </row>
    <row r="2684" ht="15.75" customHeight="1">
      <c r="A2684" s="1" t="s">
        <v>2766</v>
      </c>
      <c r="B2684" s="1" t="s">
        <v>2756</v>
      </c>
      <c r="C2684" s="1"/>
      <c r="D2684" s="1"/>
      <c r="E2684" s="1"/>
      <c r="F2684" s="1"/>
      <c r="G2684" s="1"/>
      <c r="H2684" s="1"/>
      <c r="I2684" s="1"/>
    </row>
    <row r="2685" ht="15.75" customHeight="1">
      <c r="A2685" s="1" t="s">
        <v>2767</v>
      </c>
      <c r="B2685" s="1" t="s">
        <v>2756</v>
      </c>
      <c r="C2685" s="1"/>
      <c r="D2685" s="1"/>
      <c r="E2685" s="1"/>
      <c r="F2685" s="1"/>
      <c r="G2685" s="1"/>
      <c r="H2685" s="1"/>
      <c r="I2685" s="1"/>
    </row>
    <row r="2686" ht="15.75" customHeight="1">
      <c r="A2686" s="1" t="s">
        <v>2768</v>
      </c>
      <c r="B2686" s="1" t="s">
        <v>2756</v>
      </c>
      <c r="C2686" s="1"/>
      <c r="D2686" s="1"/>
      <c r="E2686" s="1"/>
      <c r="F2686" s="1"/>
      <c r="G2686" s="1"/>
      <c r="H2686" s="1"/>
      <c r="I2686" s="1"/>
    </row>
    <row r="2687" ht="15.75" customHeight="1">
      <c r="A2687" s="1" t="s">
        <v>2769</v>
      </c>
      <c r="B2687" s="1" t="s">
        <v>2756</v>
      </c>
      <c r="C2687" s="1"/>
      <c r="D2687" s="1"/>
      <c r="E2687" s="1"/>
      <c r="F2687" s="1"/>
      <c r="G2687" s="1"/>
      <c r="H2687" s="1"/>
      <c r="I2687" s="1"/>
    </row>
    <row r="2688" ht="15.75" customHeight="1">
      <c r="A2688" s="1" t="s">
        <v>2770</v>
      </c>
      <c r="B2688" s="1" t="s">
        <v>2756</v>
      </c>
      <c r="C2688" s="1"/>
      <c r="D2688" s="1"/>
      <c r="E2688" s="1"/>
      <c r="F2688" s="1"/>
      <c r="G2688" s="1"/>
      <c r="H2688" s="1"/>
      <c r="I2688" s="1"/>
    </row>
    <row r="2689" ht="15.75" customHeight="1">
      <c r="A2689" s="1" t="s">
        <v>2771</v>
      </c>
      <c r="B2689" s="1" t="s">
        <v>2756</v>
      </c>
      <c r="C2689" s="1"/>
      <c r="D2689" s="1"/>
      <c r="E2689" s="1"/>
      <c r="F2689" s="1"/>
      <c r="G2689" s="1"/>
      <c r="H2689" s="1"/>
      <c r="I2689" s="1"/>
    </row>
    <row r="2690" ht="15.75" customHeight="1">
      <c r="A2690" s="1" t="s">
        <v>2772</v>
      </c>
      <c r="B2690" s="1" t="s">
        <v>2756</v>
      </c>
      <c r="C2690" s="1"/>
      <c r="D2690" s="1"/>
      <c r="E2690" s="1"/>
      <c r="F2690" s="1"/>
      <c r="G2690" s="1"/>
      <c r="H2690" s="1"/>
      <c r="I2690" s="1"/>
    </row>
    <row r="2691" ht="15.75" customHeight="1">
      <c r="A2691" s="1" t="s">
        <v>2773</v>
      </c>
      <c r="B2691" s="1" t="s">
        <v>2756</v>
      </c>
      <c r="C2691" s="1"/>
      <c r="D2691" s="1"/>
      <c r="E2691" s="1"/>
      <c r="F2691" s="1"/>
      <c r="G2691" s="1"/>
      <c r="H2691" s="1"/>
      <c r="I2691" s="1"/>
    </row>
    <row r="2692" ht="15.75" customHeight="1">
      <c r="A2692" s="1" t="s">
        <v>2774</v>
      </c>
      <c r="B2692" s="1" t="s">
        <v>2756</v>
      </c>
      <c r="C2692" s="1"/>
      <c r="D2692" s="1"/>
      <c r="E2692" s="1"/>
      <c r="F2692" s="1"/>
      <c r="G2692" s="1"/>
      <c r="H2692" s="1"/>
      <c r="I2692" s="1"/>
    </row>
    <row r="2693" ht="15.75" customHeight="1">
      <c r="A2693" s="1" t="s">
        <v>2775</v>
      </c>
      <c r="B2693" s="1" t="s">
        <v>2756</v>
      </c>
      <c r="C2693" s="1"/>
      <c r="D2693" s="1"/>
      <c r="E2693" s="1"/>
      <c r="F2693" s="1"/>
      <c r="G2693" s="1"/>
      <c r="H2693" s="1"/>
      <c r="I2693" s="1"/>
    </row>
    <row r="2694" ht="15.75" customHeight="1">
      <c r="A2694" s="1" t="s">
        <v>2776</v>
      </c>
      <c r="B2694" s="1" t="s">
        <v>2756</v>
      </c>
      <c r="C2694" s="1"/>
      <c r="D2694" s="1"/>
      <c r="E2694" s="1"/>
      <c r="F2694" s="1"/>
      <c r="G2694" s="1"/>
      <c r="H2694" s="1"/>
      <c r="I2694" s="1"/>
    </row>
    <row r="2695" ht="15.75" customHeight="1">
      <c r="A2695" s="1" t="s">
        <v>2777</v>
      </c>
      <c r="B2695" s="1" t="s">
        <v>2778</v>
      </c>
      <c r="C2695" s="1"/>
      <c r="D2695" s="1"/>
      <c r="E2695" s="1"/>
      <c r="F2695" s="1"/>
      <c r="G2695" s="1"/>
      <c r="H2695" s="1"/>
      <c r="I2695" s="1"/>
    </row>
    <row r="2696" ht="15.75" customHeight="1">
      <c r="A2696" s="1" t="s">
        <v>2779</v>
      </c>
      <c r="B2696" s="1" t="s">
        <v>2778</v>
      </c>
      <c r="C2696" s="1"/>
      <c r="D2696" s="1"/>
      <c r="E2696" s="1"/>
      <c r="F2696" s="1"/>
      <c r="G2696" s="1"/>
      <c r="H2696" s="1"/>
      <c r="I2696" s="1"/>
    </row>
    <row r="2697" ht="15.75" customHeight="1">
      <c r="A2697" s="1" t="s">
        <v>2780</v>
      </c>
      <c r="B2697" s="1" t="s">
        <v>2778</v>
      </c>
      <c r="C2697" s="1"/>
      <c r="D2697" s="1"/>
      <c r="E2697" s="1"/>
      <c r="F2697" s="1"/>
      <c r="G2697" s="1"/>
      <c r="H2697" s="1"/>
      <c r="I2697" s="1"/>
    </row>
    <row r="2698" ht="15.75" customHeight="1">
      <c r="A2698" s="1" t="s">
        <v>2781</v>
      </c>
      <c r="B2698" s="1" t="s">
        <v>2778</v>
      </c>
      <c r="C2698" s="1"/>
      <c r="D2698" s="1"/>
      <c r="E2698" s="1"/>
      <c r="F2698" s="1"/>
      <c r="G2698" s="1"/>
      <c r="H2698" s="1"/>
      <c r="I2698" s="1"/>
    </row>
    <row r="2699" ht="15.75" customHeight="1">
      <c r="A2699" s="1" t="s">
        <v>2782</v>
      </c>
      <c r="B2699" s="1" t="s">
        <v>2778</v>
      </c>
      <c r="C2699" s="1"/>
      <c r="D2699" s="1"/>
      <c r="E2699" s="1"/>
      <c r="F2699" s="1"/>
      <c r="G2699" s="1"/>
      <c r="H2699" s="1"/>
      <c r="I2699" s="1"/>
    </row>
    <row r="2700" ht="15.75" customHeight="1">
      <c r="A2700" s="1" t="s">
        <v>2783</v>
      </c>
      <c r="B2700" s="1" t="s">
        <v>2778</v>
      </c>
      <c r="C2700" s="1"/>
      <c r="D2700" s="1"/>
      <c r="E2700" s="1"/>
      <c r="F2700" s="1"/>
      <c r="G2700" s="1"/>
      <c r="H2700" s="1"/>
      <c r="I2700" s="1"/>
    </row>
    <row r="2701" ht="15.75" customHeight="1">
      <c r="A2701" s="1" t="s">
        <v>2784</v>
      </c>
      <c r="B2701" s="1" t="s">
        <v>2778</v>
      </c>
      <c r="C2701" s="1"/>
      <c r="D2701" s="1"/>
      <c r="E2701" s="1"/>
      <c r="F2701" s="1"/>
      <c r="G2701" s="1"/>
      <c r="H2701" s="1"/>
      <c r="I2701" s="1"/>
    </row>
    <row r="2702" ht="15.75" customHeight="1">
      <c r="A2702" s="1" t="s">
        <v>2785</v>
      </c>
      <c r="B2702" s="1" t="s">
        <v>2778</v>
      </c>
      <c r="C2702" s="1"/>
      <c r="D2702" s="1"/>
      <c r="E2702" s="1"/>
      <c r="F2702" s="1"/>
      <c r="G2702" s="1"/>
      <c r="H2702" s="1"/>
      <c r="I2702" s="1"/>
    </row>
    <row r="2703" ht="15.75" customHeight="1">
      <c r="A2703" s="1" t="s">
        <v>2786</v>
      </c>
      <c r="B2703" s="1" t="s">
        <v>2778</v>
      </c>
      <c r="C2703" s="1"/>
      <c r="D2703" s="1"/>
      <c r="E2703" s="1"/>
      <c r="F2703" s="1"/>
      <c r="G2703" s="1"/>
      <c r="H2703" s="1"/>
      <c r="I2703" s="1"/>
    </row>
    <row r="2704" ht="15.75" customHeight="1">
      <c r="A2704" s="1" t="s">
        <v>2787</v>
      </c>
      <c r="B2704" s="1" t="s">
        <v>2778</v>
      </c>
      <c r="C2704" s="1"/>
      <c r="D2704" s="1"/>
      <c r="E2704" s="1"/>
      <c r="F2704" s="1"/>
      <c r="G2704" s="1"/>
      <c r="H2704" s="1"/>
      <c r="I2704" s="1"/>
    </row>
    <row r="2705" ht="15.75" customHeight="1">
      <c r="A2705" s="1" t="s">
        <v>2788</v>
      </c>
      <c r="B2705" s="1" t="s">
        <v>2778</v>
      </c>
      <c r="C2705" s="1"/>
      <c r="D2705" s="1"/>
      <c r="E2705" s="1"/>
      <c r="F2705" s="1"/>
      <c r="G2705" s="1"/>
      <c r="H2705" s="1"/>
      <c r="I2705" s="1"/>
    </row>
    <row r="2706" ht="15.75" customHeight="1">
      <c r="A2706" s="1" t="s">
        <v>2789</v>
      </c>
      <c r="B2706" s="1" t="s">
        <v>2778</v>
      </c>
      <c r="C2706" s="1"/>
      <c r="D2706" s="1"/>
      <c r="E2706" s="1"/>
      <c r="F2706" s="1"/>
      <c r="G2706" s="1"/>
      <c r="H2706" s="1"/>
      <c r="I2706" s="1"/>
    </row>
    <row r="2707" ht="15.75" customHeight="1">
      <c r="A2707" s="1" t="s">
        <v>2790</v>
      </c>
      <c r="B2707" s="1" t="s">
        <v>2778</v>
      </c>
      <c r="C2707" s="1"/>
      <c r="D2707" s="1"/>
      <c r="E2707" s="1"/>
      <c r="F2707" s="1"/>
      <c r="G2707" s="1"/>
      <c r="H2707" s="1"/>
      <c r="I2707" s="1"/>
    </row>
    <row r="2708" ht="15.75" customHeight="1">
      <c r="A2708" s="1" t="s">
        <v>2791</v>
      </c>
      <c r="B2708" s="1" t="s">
        <v>2778</v>
      </c>
      <c r="C2708" s="1"/>
      <c r="D2708" s="1"/>
      <c r="E2708" s="1"/>
      <c r="F2708" s="1"/>
      <c r="G2708" s="1"/>
      <c r="H2708" s="1"/>
      <c r="I2708" s="1"/>
    </row>
    <row r="2709" ht="15.75" customHeight="1">
      <c r="A2709" s="1" t="s">
        <v>2792</v>
      </c>
      <c r="B2709" s="1" t="s">
        <v>2778</v>
      </c>
      <c r="C2709" s="1"/>
      <c r="D2709" s="1"/>
      <c r="E2709" s="1"/>
      <c r="F2709" s="1"/>
      <c r="G2709" s="1"/>
      <c r="H2709" s="1"/>
      <c r="I2709" s="1"/>
    </row>
    <row r="2710" ht="15.75" customHeight="1">
      <c r="A2710" s="1" t="s">
        <v>2793</v>
      </c>
      <c r="B2710" s="1" t="s">
        <v>2778</v>
      </c>
      <c r="C2710" s="1"/>
      <c r="D2710" s="1"/>
      <c r="E2710" s="1"/>
      <c r="F2710" s="1"/>
      <c r="G2710" s="1"/>
      <c r="H2710" s="1"/>
      <c r="I2710" s="1"/>
    </row>
    <row r="2711" ht="15.75" customHeight="1">
      <c r="A2711" s="1" t="s">
        <v>2794</v>
      </c>
      <c r="B2711" s="1" t="s">
        <v>2778</v>
      </c>
      <c r="C2711" s="1"/>
      <c r="D2711" s="1"/>
      <c r="E2711" s="1"/>
      <c r="F2711" s="1"/>
      <c r="G2711" s="1"/>
      <c r="H2711" s="1"/>
      <c r="I2711" s="1"/>
    </row>
    <row r="2712" ht="15.75" customHeight="1">
      <c r="A2712" s="1" t="s">
        <v>2795</v>
      </c>
      <c r="B2712" s="1" t="s">
        <v>2778</v>
      </c>
      <c r="C2712" s="1"/>
      <c r="D2712" s="1"/>
      <c r="E2712" s="1"/>
      <c r="F2712" s="1"/>
      <c r="G2712" s="1"/>
      <c r="H2712" s="1"/>
      <c r="I2712" s="1"/>
    </row>
    <row r="2713" ht="15.75" customHeight="1">
      <c r="A2713" s="1" t="s">
        <v>2796</v>
      </c>
      <c r="B2713" s="1" t="s">
        <v>2778</v>
      </c>
      <c r="C2713" s="1"/>
      <c r="D2713" s="1"/>
      <c r="E2713" s="1"/>
      <c r="F2713" s="1"/>
      <c r="G2713" s="1"/>
      <c r="H2713" s="1"/>
      <c r="I2713" s="1"/>
    </row>
    <row r="2714" ht="15.75" customHeight="1">
      <c r="A2714" s="1" t="s">
        <v>2797</v>
      </c>
      <c r="B2714" s="1" t="s">
        <v>2778</v>
      </c>
      <c r="C2714" s="1"/>
      <c r="D2714" s="1"/>
      <c r="E2714" s="1"/>
      <c r="F2714" s="1"/>
      <c r="G2714" s="1"/>
      <c r="H2714" s="1"/>
      <c r="I2714" s="1"/>
    </row>
    <row r="2715" ht="15.75" customHeight="1">
      <c r="A2715" s="1" t="s">
        <v>2798</v>
      </c>
      <c r="B2715" s="1" t="s">
        <v>2778</v>
      </c>
      <c r="C2715" s="1"/>
      <c r="D2715" s="1"/>
      <c r="E2715" s="1"/>
      <c r="F2715" s="1"/>
      <c r="G2715" s="1"/>
      <c r="H2715" s="1"/>
      <c r="I2715" s="1"/>
    </row>
    <row r="2716" ht="15.75" customHeight="1">
      <c r="A2716" s="1" t="s">
        <v>2799</v>
      </c>
      <c r="B2716" s="1" t="s">
        <v>2778</v>
      </c>
      <c r="C2716" s="1"/>
      <c r="D2716" s="1"/>
      <c r="E2716" s="1"/>
      <c r="F2716" s="1"/>
      <c r="G2716" s="1"/>
      <c r="H2716" s="1"/>
      <c r="I2716" s="1"/>
    </row>
    <row r="2717" ht="15.75" customHeight="1">
      <c r="A2717" s="1" t="s">
        <v>2800</v>
      </c>
      <c r="B2717" s="1" t="s">
        <v>2778</v>
      </c>
      <c r="C2717" s="1"/>
      <c r="D2717" s="1"/>
      <c r="E2717" s="1"/>
      <c r="F2717" s="1"/>
      <c r="G2717" s="1"/>
      <c r="H2717" s="1"/>
      <c r="I2717" s="1"/>
    </row>
    <row r="2718" ht="15.75" customHeight="1">
      <c r="A2718" s="1" t="s">
        <v>2801</v>
      </c>
      <c r="B2718" s="1" t="s">
        <v>2778</v>
      </c>
      <c r="C2718" s="1"/>
      <c r="D2718" s="1"/>
      <c r="E2718" s="1"/>
      <c r="F2718" s="1"/>
      <c r="G2718" s="1"/>
      <c r="H2718" s="1"/>
      <c r="I2718" s="1"/>
    </row>
    <row r="2719" ht="15.75" customHeight="1">
      <c r="A2719" s="1" t="s">
        <v>2802</v>
      </c>
      <c r="B2719" s="1" t="s">
        <v>2778</v>
      </c>
      <c r="C2719" s="1"/>
      <c r="D2719" s="1"/>
      <c r="E2719" s="1"/>
      <c r="F2719" s="1"/>
      <c r="G2719" s="1"/>
      <c r="H2719" s="1"/>
      <c r="I2719" s="1"/>
    </row>
    <row r="2720" ht="15.75" customHeight="1">
      <c r="A2720" s="1" t="s">
        <v>2803</v>
      </c>
      <c r="B2720" s="1" t="s">
        <v>2778</v>
      </c>
      <c r="C2720" s="1"/>
      <c r="D2720" s="1"/>
      <c r="E2720" s="1"/>
      <c r="F2720" s="1"/>
      <c r="G2720" s="1"/>
      <c r="H2720" s="1"/>
      <c r="I2720" s="1"/>
    </row>
    <row r="2721" ht="15.75" customHeight="1">
      <c r="A2721" s="1" t="s">
        <v>2804</v>
      </c>
      <c r="B2721" s="1" t="s">
        <v>2778</v>
      </c>
      <c r="C2721" s="1"/>
      <c r="D2721" s="1"/>
      <c r="E2721" s="1"/>
      <c r="F2721" s="1"/>
      <c r="G2721" s="1"/>
      <c r="H2721" s="1"/>
      <c r="I2721" s="1"/>
    </row>
    <row r="2722" ht="15.75" customHeight="1">
      <c r="A2722" s="1" t="s">
        <v>2805</v>
      </c>
      <c r="B2722" s="1" t="s">
        <v>2778</v>
      </c>
      <c r="C2722" s="1"/>
      <c r="D2722" s="1"/>
      <c r="E2722" s="1"/>
      <c r="F2722" s="1"/>
      <c r="G2722" s="1"/>
      <c r="H2722" s="1"/>
      <c r="I2722" s="1"/>
    </row>
    <row r="2723" ht="15.75" customHeight="1">
      <c r="A2723" s="1" t="s">
        <v>2806</v>
      </c>
      <c r="B2723" s="1" t="s">
        <v>2778</v>
      </c>
      <c r="C2723" s="1"/>
      <c r="D2723" s="1"/>
      <c r="E2723" s="1"/>
      <c r="F2723" s="1"/>
      <c r="G2723" s="1"/>
      <c r="H2723" s="1"/>
      <c r="I2723" s="1"/>
    </row>
    <row r="2724" ht="15.75" customHeight="1">
      <c r="A2724" s="1" t="s">
        <v>2807</v>
      </c>
      <c r="B2724" s="1" t="s">
        <v>2778</v>
      </c>
      <c r="C2724" s="1"/>
      <c r="D2724" s="1"/>
      <c r="E2724" s="1"/>
      <c r="F2724" s="1"/>
      <c r="G2724" s="1"/>
      <c r="H2724" s="1"/>
      <c r="I2724" s="1"/>
    </row>
    <row r="2725" ht="15.75" customHeight="1">
      <c r="A2725" s="1" t="s">
        <v>2808</v>
      </c>
      <c r="B2725" s="1" t="s">
        <v>2778</v>
      </c>
      <c r="C2725" s="1"/>
      <c r="D2725" s="1"/>
      <c r="E2725" s="1"/>
      <c r="F2725" s="1"/>
      <c r="G2725" s="1"/>
      <c r="H2725" s="1"/>
      <c r="I2725" s="1"/>
    </row>
    <row r="2726" ht="15.75" customHeight="1">
      <c r="A2726" s="1" t="s">
        <v>2809</v>
      </c>
      <c r="B2726" s="1" t="s">
        <v>2810</v>
      </c>
      <c r="C2726" s="1"/>
      <c r="D2726" s="1"/>
      <c r="E2726" s="1"/>
      <c r="F2726" s="1"/>
      <c r="G2726" s="1"/>
      <c r="H2726" s="1"/>
      <c r="I2726" s="1"/>
    </row>
    <row r="2727" ht="15.75" customHeight="1">
      <c r="A2727" s="1" t="s">
        <v>2811</v>
      </c>
      <c r="B2727" s="1" t="s">
        <v>2810</v>
      </c>
      <c r="C2727" s="1"/>
      <c r="D2727" s="1"/>
      <c r="E2727" s="1"/>
      <c r="F2727" s="1"/>
      <c r="G2727" s="1"/>
      <c r="H2727" s="1"/>
      <c r="I2727" s="1"/>
    </row>
    <row r="2728" ht="15.75" customHeight="1">
      <c r="A2728" s="1" t="s">
        <v>2812</v>
      </c>
      <c r="B2728" s="1" t="s">
        <v>2813</v>
      </c>
      <c r="C2728" s="1"/>
      <c r="D2728" s="1"/>
      <c r="E2728" s="1"/>
      <c r="F2728" s="1"/>
      <c r="G2728" s="1"/>
      <c r="H2728" s="1"/>
      <c r="I2728" s="1"/>
    </row>
    <row r="2729" ht="15.75" customHeight="1">
      <c r="A2729" s="1" t="s">
        <v>2814</v>
      </c>
      <c r="B2729" s="1" t="s">
        <v>2813</v>
      </c>
      <c r="C2729" s="1"/>
      <c r="D2729" s="1"/>
      <c r="E2729" s="1"/>
      <c r="F2729" s="1"/>
      <c r="G2729" s="1"/>
      <c r="H2729" s="1"/>
      <c r="I2729" s="1"/>
    </row>
    <row r="2730" ht="15.75" customHeight="1">
      <c r="A2730" s="1" t="s">
        <v>2815</v>
      </c>
      <c r="B2730" s="1" t="s">
        <v>2813</v>
      </c>
      <c r="C2730" s="1"/>
      <c r="D2730" s="1"/>
      <c r="E2730" s="1"/>
      <c r="F2730" s="1"/>
      <c r="G2730" s="1"/>
      <c r="H2730" s="1"/>
      <c r="I2730" s="1"/>
    </row>
    <row r="2731" ht="15.75" customHeight="1">
      <c r="A2731" s="1" t="s">
        <v>2816</v>
      </c>
      <c r="B2731" s="1" t="s">
        <v>2813</v>
      </c>
      <c r="C2731" s="1"/>
      <c r="D2731" s="1"/>
      <c r="E2731" s="1"/>
      <c r="F2731" s="1"/>
      <c r="G2731" s="1"/>
      <c r="H2731" s="1"/>
      <c r="I2731" s="1"/>
    </row>
    <row r="2732" ht="15.75" customHeight="1">
      <c r="A2732" s="1" t="s">
        <v>2817</v>
      </c>
      <c r="B2732" s="1" t="s">
        <v>2813</v>
      </c>
      <c r="C2732" s="1"/>
      <c r="D2732" s="1"/>
      <c r="E2732" s="1"/>
      <c r="F2732" s="1"/>
      <c r="G2732" s="1"/>
      <c r="H2732" s="1"/>
      <c r="I2732" s="1"/>
    </row>
    <row r="2733" ht="15.75" customHeight="1">
      <c r="A2733" s="1" t="s">
        <v>2818</v>
      </c>
      <c r="B2733" s="1" t="s">
        <v>2813</v>
      </c>
      <c r="C2733" s="1"/>
      <c r="D2733" s="1"/>
      <c r="E2733" s="1"/>
      <c r="F2733" s="1"/>
      <c r="G2733" s="1"/>
      <c r="H2733" s="1"/>
      <c r="I2733" s="1"/>
    </row>
    <row r="2734" ht="15.75" customHeight="1">
      <c r="A2734" s="1" t="s">
        <v>2819</v>
      </c>
      <c r="B2734" s="1" t="s">
        <v>2813</v>
      </c>
      <c r="C2734" s="1"/>
      <c r="D2734" s="1"/>
      <c r="E2734" s="1"/>
      <c r="F2734" s="1"/>
      <c r="G2734" s="1"/>
      <c r="H2734" s="1"/>
      <c r="I2734" s="1"/>
    </row>
    <row r="2735" ht="15.75" customHeight="1">
      <c r="A2735" s="1" t="s">
        <v>2820</v>
      </c>
      <c r="B2735" s="1" t="s">
        <v>2813</v>
      </c>
      <c r="C2735" s="1"/>
      <c r="D2735" s="1"/>
      <c r="E2735" s="1"/>
      <c r="F2735" s="1"/>
      <c r="G2735" s="1"/>
      <c r="H2735" s="1"/>
      <c r="I2735" s="1"/>
    </row>
    <row r="2736" ht="15.75" customHeight="1">
      <c r="A2736" s="1" t="s">
        <v>2821</v>
      </c>
      <c r="B2736" s="1" t="s">
        <v>2813</v>
      </c>
      <c r="C2736" s="1"/>
      <c r="D2736" s="1"/>
      <c r="E2736" s="1"/>
      <c r="F2736" s="1"/>
      <c r="G2736" s="1"/>
      <c r="H2736" s="1"/>
      <c r="I2736" s="1"/>
    </row>
    <row r="2737" ht="15.75" customHeight="1">
      <c r="A2737" s="1" t="s">
        <v>2822</v>
      </c>
      <c r="B2737" s="1" t="s">
        <v>2813</v>
      </c>
      <c r="C2737" s="1"/>
      <c r="D2737" s="1"/>
      <c r="E2737" s="1"/>
      <c r="F2737" s="1"/>
      <c r="G2737" s="1"/>
      <c r="H2737" s="1"/>
      <c r="I2737" s="1"/>
    </row>
    <row r="2738" ht="15.75" customHeight="1">
      <c r="A2738" s="1" t="s">
        <v>2823</v>
      </c>
      <c r="B2738" s="1" t="s">
        <v>2813</v>
      </c>
      <c r="C2738" s="1"/>
      <c r="D2738" s="1"/>
      <c r="E2738" s="1"/>
      <c r="F2738" s="1"/>
      <c r="G2738" s="1"/>
      <c r="H2738" s="1"/>
      <c r="I2738" s="1"/>
    </row>
    <row r="2739" ht="15.75" customHeight="1">
      <c r="A2739" s="1" t="s">
        <v>2824</v>
      </c>
      <c r="B2739" s="1" t="s">
        <v>2813</v>
      </c>
      <c r="C2739" s="1"/>
      <c r="D2739" s="1"/>
      <c r="E2739" s="1"/>
      <c r="F2739" s="1"/>
      <c r="G2739" s="1"/>
      <c r="H2739" s="1"/>
      <c r="I2739" s="1"/>
    </row>
    <row r="2740" ht="15.75" customHeight="1">
      <c r="A2740" s="1" t="s">
        <v>2825</v>
      </c>
      <c r="B2740" s="1" t="s">
        <v>2813</v>
      </c>
      <c r="C2740" s="1"/>
      <c r="D2740" s="1"/>
      <c r="E2740" s="1"/>
      <c r="F2740" s="1"/>
      <c r="G2740" s="1"/>
      <c r="H2740" s="1"/>
      <c r="I2740" s="1"/>
    </row>
    <row r="2741" ht="15.75" customHeight="1">
      <c r="A2741" s="1" t="s">
        <v>2826</v>
      </c>
      <c r="B2741" s="1" t="s">
        <v>2813</v>
      </c>
      <c r="C2741" s="1"/>
      <c r="D2741" s="1"/>
      <c r="E2741" s="1"/>
      <c r="F2741" s="1"/>
      <c r="G2741" s="1"/>
      <c r="H2741" s="1"/>
      <c r="I2741" s="1"/>
    </row>
    <row r="2742" ht="15.75" customHeight="1">
      <c r="A2742" s="1" t="s">
        <v>2827</v>
      </c>
      <c r="B2742" s="1" t="s">
        <v>2813</v>
      </c>
      <c r="C2742" s="1"/>
      <c r="D2742" s="1"/>
      <c r="E2742" s="1"/>
      <c r="F2742" s="1"/>
      <c r="G2742" s="1"/>
      <c r="H2742" s="1"/>
      <c r="I2742" s="1"/>
    </row>
    <row r="2743" ht="15.75" customHeight="1">
      <c r="A2743" s="1" t="s">
        <v>2828</v>
      </c>
      <c r="B2743" s="1" t="s">
        <v>2813</v>
      </c>
      <c r="C2743" s="1"/>
      <c r="D2743" s="1"/>
      <c r="E2743" s="1"/>
      <c r="F2743" s="1"/>
      <c r="G2743" s="1"/>
      <c r="H2743" s="1"/>
      <c r="I2743" s="1"/>
    </row>
    <row r="2744" ht="15.75" customHeight="1">
      <c r="A2744" s="1" t="s">
        <v>2829</v>
      </c>
      <c r="B2744" s="1" t="s">
        <v>2813</v>
      </c>
      <c r="C2744" s="1"/>
      <c r="D2744" s="1"/>
      <c r="E2744" s="1"/>
      <c r="F2744" s="1"/>
      <c r="G2744" s="1"/>
      <c r="H2744" s="1"/>
      <c r="I2744" s="1"/>
    </row>
    <row r="2745" ht="15.75" customHeight="1">
      <c r="A2745" s="1" t="s">
        <v>2830</v>
      </c>
      <c r="B2745" s="1" t="s">
        <v>2813</v>
      </c>
      <c r="C2745" s="1"/>
      <c r="D2745" s="1"/>
      <c r="E2745" s="1"/>
      <c r="F2745" s="1"/>
      <c r="G2745" s="1"/>
      <c r="H2745" s="1"/>
      <c r="I2745" s="1"/>
    </row>
    <row r="2746" ht="15.75" customHeight="1">
      <c r="A2746" s="1" t="s">
        <v>2831</v>
      </c>
      <c r="B2746" s="1" t="s">
        <v>2813</v>
      </c>
      <c r="C2746" s="1"/>
      <c r="D2746" s="1"/>
      <c r="E2746" s="1"/>
      <c r="F2746" s="1"/>
      <c r="G2746" s="1"/>
      <c r="H2746" s="1"/>
      <c r="I2746" s="1"/>
    </row>
    <row r="2747" ht="15.75" customHeight="1">
      <c r="A2747" s="1" t="s">
        <v>2832</v>
      </c>
      <c r="B2747" s="1" t="s">
        <v>2813</v>
      </c>
      <c r="C2747" s="1"/>
      <c r="D2747" s="1"/>
      <c r="E2747" s="1"/>
      <c r="F2747" s="1"/>
      <c r="G2747" s="1"/>
      <c r="H2747" s="1"/>
      <c r="I2747" s="1"/>
    </row>
    <row r="2748" ht="15.75" customHeight="1">
      <c r="A2748" s="1" t="s">
        <v>2833</v>
      </c>
      <c r="B2748" s="1" t="s">
        <v>2813</v>
      </c>
      <c r="C2748" s="1"/>
      <c r="D2748" s="1"/>
      <c r="E2748" s="1"/>
      <c r="F2748" s="1"/>
      <c r="G2748" s="1"/>
      <c r="H2748" s="1"/>
      <c r="I2748" s="1"/>
    </row>
    <row r="2749" ht="15.75" customHeight="1">
      <c r="A2749" s="1" t="s">
        <v>2834</v>
      </c>
      <c r="B2749" s="1" t="s">
        <v>2813</v>
      </c>
      <c r="C2749" s="1"/>
      <c r="D2749" s="1"/>
      <c r="E2749" s="1"/>
      <c r="F2749" s="1"/>
      <c r="G2749" s="1"/>
      <c r="H2749" s="1"/>
      <c r="I2749" s="1"/>
    </row>
    <row r="2750" ht="15.75" customHeight="1">
      <c r="A2750" s="1" t="s">
        <v>2835</v>
      </c>
      <c r="B2750" s="1" t="s">
        <v>2813</v>
      </c>
      <c r="C2750" s="1"/>
      <c r="D2750" s="1"/>
      <c r="E2750" s="1"/>
      <c r="F2750" s="1"/>
      <c r="G2750" s="1"/>
      <c r="H2750" s="1"/>
      <c r="I2750" s="1"/>
    </row>
    <row r="2751" ht="15.75" customHeight="1">
      <c r="A2751" s="1" t="s">
        <v>2836</v>
      </c>
      <c r="B2751" s="1" t="s">
        <v>2813</v>
      </c>
      <c r="C2751" s="1"/>
      <c r="D2751" s="1"/>
      <c r="E2751" s="1"/>
      <c r="F2751" s="1"/>
      <c r="G2751" s="1"/>
      <c r="H2751" s="1"/>
      <c r="I2751" s="1"/>
    </row>
    <row r="2752" ht="15.75" customHeight="1">
      <c r="A2752" s="1" t="s">
        <v>2837</v>
      </c>
      <c r="B2752" s="1" t="s">
        <v>2813</v>
      </c>
      <c r="C2752" s="1"/>
      <c r="D2752" s="1"/>
      <c r="E2752" s="1"/>
      <c r="F2752" s="1"/>
      <c r="G2752" s="1"/>
      <c r="H2752" s="1"/>
      <c r="I2752" s="1"/>
    </row>
    <row r="2753" ht="15.75" customHeight="1">
      <c r="A2753" s="1" t="s">
        <v>2838</v>
      </c>
      <c r="B2753" s="1" t="s">
        <v>2813</v>
      </c>
      <c r="C2753" s="1"/>
      <c r="D2753" s="1"/>
      <c r="E2753" s="1"/>
      <c r="F2753" s="1"/>
      <c r="G2753" s="1"/>
      <c r="H2753" s="1"/>
      <c r="I2753" s="1"/>
    </row>
    <row r="2754" ht="15.75" customHeight="1">
      <c r="A2754" s="1" t="s">
        <v>2839</v>
      </c>
      <c r="B2754" s="1" t="s">
        <v>2813</v>
      </c>
      <c r="C2754" s="1"/>
      <c r="D2754" s="1"/>
      <c r="E2754" s="1"/>
      <c r="F2754" s="1"/>
      <c r="G2754" s="1"/>
      <c r="H2754" s="1"/>
      <c r="I2754" s="1"/>
    </row>
    <row r="2755" ht="15.75" customHeight="1">
      <c r="A2755" s="1" t="s">
        <v>2840</v>
      </c>
      <c r="B2755" s="1" t="s">
        <v>2813</v>
      </c>
      <c r="C2755" s="1"/>
      <c r="D2755" s="1"/>
      <c r="E2755" s="1"/>
      <c r="F2755" s="1"/>
      <c r="G2755" s="1"/>
      <c r="H2755" s="1"/>
      <c r="I2755" s="1"/>
    </row>
    <row r="2756" ht="15.75" customHeight="1">
      <c r="A2756" s="1" t="s">
        <v>2841</v>
      </c>
      <c r="B2756" s="1" t="s">
        <v>2813</v>
      </c>
      <c r="C2756" s="1"/>
      <c r="D2756" s="1"/>
      <c r="E2756" s="1"/>
      <c r="F2756" s="1"/>
      <c r="G2756" s="1"/>
      <c r="H2756" s="1"/>
      <c r="I2756" s="1"/>
    </row>
    <row r="2757" ht="15.75" customHeight="1">
      <c r="A2757" s="1" t="s">
        <v>2842</v>
      </c>
      <c r="B2757" s="1" t="s">
        <v>2813</v>
      </c>
      <c r="C2757" s="1"/>
      <c r="D2757" s="1"/>
      <c r="E2757" s="1"/>
      <c r="F2757" s="1"/>
      <c r="G2757" s="1"/>
      <c r="H2757" s="1"/>
      <c r="I2757" s="1"/>
    </row>
    <row r="2758" ht="15.75" customHeight="1">
      <c r="A2758" s="1" t="s">
        <v>2843</v>
      </c>
      <c r="B2758" s="1" t="s">
        <v>2813</v>
      </c>
      <c r="C2758" s="1"/>
      <c r="D2758" s="1"/>
      <c r="E2758" s="1"/>
      <c r="F2758" s="1"/>
      <c r="G2758" s="1"/>
      <c r="H2758" s="1"/>
      <c r="I2758" s="1"/>
    </row>
    <row r="2759" ht="15.75" customHeight="1">
      <c r="A2759" s="1" t="s">
        <v>2844</v>
      </c>
      <c r="B2759" s="1" t="s">
        <v>2813</v>
      </c>
      <c r="C2759" s="1"/>
      <c r="D2759" s="1"/>
      <c r="E2759" s="1"/>
      <c r="F2759" s="1"/>
      <c r="G2759" s="1"/>
      <c r="H2759" s="1"/>
      <c r="I2759" s="1"/>
    </row>
    <row r="2760" ht="15.75" customHeight="1">
      <c r="A2760" s="1" t="s">
        <v>2845</v>
      </c>
      <c r="B2760" s="1" t="s">
        <v>2813</v>
      </c>
      <c r="C2760" s="1"/>
      <c r="D2760" s="1"/>
      <c r="E2760" s="1"/>
      <c r="F2760" s="1"/>
      <c r="G2760" s="1"/>
      <c r="H2760" s="1"/>
      <c r="I2760" s="1"/>
    </row>
    <row r="2761" ht="15.75" customHeight="1">
      <c r="A2761" s="1" t="s">
        <v>2846</v>
      </c>
      <c r="B2761" s="1" t="s">
        <v>2813</v>
      </c>
      <c r="C2761" s="1"/>
      <c r="D2761" s="1"/>
      <c r="E2761" s="1"/>
      <c r="F2761" s="1"/>
      <c r="G2761" s="1"/>
      <c r="H2761" s="1"/>
      <c r="I2761" s="1"/>
    </row>
    <row r="2762" ht="15.75" customHeight="1">
      <c r="A2762" s="1" t="s">
        <v>2847</v>
      </c>
      <c r="B2762" s="1" t="s">
        <v>2813</v>
      </c>
      <c r="C2762" s="1"/>
      <c r="D2762" s="1"/>
      <c r="E2762" s="1"/>
      <c r="F2762" s="1"/>
      <c r="G2762" s="1"/>
      <c r="H2762" s="1"/>
      <c r="I2762" s="1"/>
    </row>
    <row r="2763" ht="15.75" customHeight="1">
      <c r="A2763" s="1" t="s">
        <v>2848</v>
      </c>
      <c r="B2763" s="1" t="s">
        <v>2813</v>
      </c>
      <c r="C2763" s="1"/>
      <c r="D2763" s="1"/>
      <c r="E2763" s="1"/>
      <c r="F2763" s="1"/>
      <c r="G2763" s="1"/>
      <c r="H2763" s="1"/>
      <c r="I2763" s="1"/>
    </row>
    <row r="2764" ht="15.75" customHeight="1">
      <c r="A2764" s="1" t="s">
        <v>2849</v>
      </c>
      <c r="B2764" s="1" t="s">
        <v>2813</v>
      </c>
      <c r="C2764" s="1"/>
      <c r="D2764" s="1"/>
      <c r="E2764" s="1"/>
      <c r="F2764" s="1"/>
      <c r="G2764" s="1"/>
      <c r="H2764" s="1"/>
      <c r="I2764" s="1"/>
    </row>
    <row r="2765" ht="15.75" customHeight="1">
      <c r="A2765" s="1" t="s">
        <v>2850</v>
      </c>
      <c r="B2765" s="1" t="s">
        <v>2813</v>
      </c>
      <c r="C2765" s="1"/>
      <c r="D2765" s="1"/>
      <c r="E2765" s="1"/>
      <c r="F2765" s="1"/>
      <c r="G2765" s="1"/>
      <c r="H2765" s="1"/>
      <c r="I2765" s="1"/>
    </row>
    <row r="2766" ht="15.75" customHeight="1">
      <c r="A2766" s="1" t="s">
        <v>2851</v>
      </c>
      <c r="B2766" s="1" t="s">
        <v>2813</v>
      </c>
      <c r="C2766" s="1"/>
      <c r="D2766" s="1"/>
      <c r="E2766" s="1"/>
      <c r="F2766" s="1"/>
      <c r="G2766" s="1"/>
      <c r="H2766" s="1"/>
      <c r="I2766" s="1"/>
    </row>
    <row r="2767" ht="15.75" customHeight="1">
      <c r="A2767" s="1" t="s">
        <v>2852</v>
      </c>
      <c r="B2767" s="1" t="s">
        <v>2813</v>
      </c>
      <c r="C2767" s="1"/>
      <c r="D2767" s="1"/>
      <c r="E2767" s="1"/>
      <c r="F2767" s="1"/>
      <c r="G2767" s="1"/>
      <c r="H2767" s="1"/>
      <c r="I2767" s="1"/>
    </row>
    <row r="2768" ht="15.75" customHeight="1">
      <c r="A2768" s="1" t="s">
        <v>2853</v>
      </c>
      <c r="B2768" s="1" t="s">
        <v>2813</v>
      </c>
      <c r="C2768" s="1"/>
      <c r="D2768" s="1"/>
      <c r="E2768" s="1"/>
      <c r="F2768" s="1"/>
      <c r="G2768" s="1"/>
      <c r="H2768" s="1"/>
      <c r="I2768" s="1"/>
    </row>
    <row r="2769" ht="15.75" customHeight="1">
      <c r="A2769" s="1" t="s">
        <v>2854</v>
      </c>
      <c r="B2769" s="1" t="s">
        <v>2813</v>
      </c>
      <c r="C2769" s="1"/>
      <c r="D2769" s="1"/>
      <c r="E2769" s="1"/>
      <c r="F2769" s="1"/>
      <c r="G2769" s="1"/>
      <c r="H2769" s="1"/>
      <c r="I2769" s="1"/>
    </row>
    <row r="2770" ht="15.75" customHeight="1">
      <c r="A2770" s="1" t="s">
        <v>2855</v>
      </c>
      <c r="B2770" s="1" t="s">
        <v>2813</v>
      </c>
      <c r="C2770" s="1"/>
      <c r="D2770" s="1"/>
      <c r="E2770" s="1"/>
      <c r="F2770" s="1"/>
      <c r="G2770" s="1"/>
      <c r="H2770" s="1"/>
      <c r="I2770" s="1"/>
    </row>
    <row r="2771" ht="15.75" customHeight="1">
      <c r="A2771" s="1" t="s">
        <v>2856</v>
      </c>
      <c r="B2771" s="1" t="s">
        <v>2813</v>
      </c>
      <c r="C2771" s="1"/>
      <c r="D2771" s="1"/>
      <c r="E2771" s="1"/>
      <c r="F2771" s="1"/>
      <c r="G2771" s="1"/>
      <c r="H2771" s="1"/>
      <c r="I2771" s="1"/>
    </row>
    <row r="2772" ht="15.75" customHeight="1">
      <c r="A2772" s="1" t="s">
        <v>2857</v>
      </c>
      <c r="B2772" s="1" t="s">
        <v>2813</v>
      </c>
      <c r="C2772" s="1"/>
      <c r="D2772" s="1"/>
      <c r="E2772" s="1"/>
      <c r="F2772" s="1"/>
      <c r="G2772" s="1"/>
      <c r="H2772" s="1"/>
      <c r="I2772" s="1"/>
    </row>
    <row r="2773" ht="15.75" customHeight="1">
      <c r="A2773" s="1" t="s">
        <v>2858</v>
      </c>
      <c r="B2773" s="1" t="s">
        <v>2813</v>
      </c>
      <c r="C2773" s="1"/>
      <c r="D2773" s="1"/>
      <c r="E2773" s="1"/>
      <c r="F2773" s="1"/>
      <c r="G2773" s="1"/>
      <c r="H2773" s="1"/>
      <c r="I2773" s="1"/>
    </row>
    <row r="2774" ht="15.75" customHeight="1">
      <c r="A2774" s="1" t="s">
        <v>2859</v>
      </c>
      <c r="B2774" s="1" t="s">
        <v>2813</v>
      </c>
      <c r="C2774" s="1"/>
      <c r="D2774" s="1"/>
      <c r="E2774" s="1"/>
      <c r="F2774" s="1"/>
      <c r="G2774" s="1"/>
      <c r="H2774" s="1"/>
      <c r="I2774" s="1"/>
    </row>
    <row r="2775" ht="15.75" customHeight="1">
      <c r="A2775" s="1" t="s">
        <v>2860</v>
      </c>
      <c r="B2775" s="1" t="s">
        <v>2813</v>
      </c>
      <c r="C2775" s="1"/>
      <c r="D2775" s="1"/>
      <c r="E2775" s="1"/>
      <c r="F2775" s="1"/>
      <c r="G2775" s="1"/>
      <c r="H2775" s="1"/>
      <c r="I2775" s="1"/>
    </row>
    <row r="2776" ht="15.75" customHeight="1">
      <c r="A2776" s="1" t="s">
        <v>2861</v>
      </c>
      <c r="B2776" s="1" t="s">
        <v>2813</v>
      </c>
      <c r="C2776" s="1"/>
      <c r="D2776" s="1"/>
      <c r="E2776" s="1"/>
      <c r="F2776" s="1"/>
      <c r="G2776" s="1"/>
      <c r="H2776" s="1"/>
      <c r="I2776" s="1"/>
    </row>
    <row r="2777" ht="15.75" customHeight="1">
      <c r="A2777" s="1" t="s">
        <v>2862</v>
      </c>
      <c r="B2777" s="1" t="s">
        <v>2813</v>
      </c>
      <c r="C2777" s="1"/>
      <c r="D2777" s="1"/>
      <c r="E2777" s="1"/>
      <c r="F2777" s="1"/>
      <c r="G2777" s="1"/>
      <c r="H2777" s="1"/>
      <c r="I2777" s="1"/>
    </row>
    <row r="2778" ht="15.75" customHeight="1">
      <c r="A2778" s="1" t="s">
        <v>2863</v>
      </c>
      <c r="B2778" s="1" t="s">
        <v>2813</v>
      </c>
      <c r="C2778" s="1"/>
      <c r="D2778" s="1"/>
      <c r="E2778" s="1"/>
      <c r="F2778" s="1"/>
      <c r="G2778" s="1"/>
      <c r="H2778" s="1"/>
      <c r="I2778" s="1"/>
    </row>
    <row r="2779" ht="15.75" customHeight="1">
      <c r="A2779" s="1" t="s">
        <v>2864</v>
      </c>
      <c r="B2779" s="1" t="s">
        <v>2813</v>
      </c>
      <c r="C2779" s="1"/>
      <c r="D2779" s="1"/>
      <c r="E2779" s="1"/>
      <c r="F2779" s="1"/>
      <c r="G2779" s="1"/>
      <c r="H2779" s="1"/>
      <c r="I2779" s="1"/>
    </row>
    <row r="2780" ht="15.75" customHeight="1">
      <c r="A2780" s="1" t="s">
        <v>2865</v>
      </c>
      <c r="B2780" s="1" t="s">
        <v>2813</v>
      </c>
      <c r="C2780" s="1"/>
      <c r="D2780" s="1"/>
      <c r="E2780" s="1"/>
      <c r="F2780" s="1"/>
      <c r="G2780" s="1"/>
      <c r="H2780" s="1"/>
      <c r="I2780" s="1"/>
    </row>
    <row r="2781" ht="15.75" customHeight="1">
      <c r="A2781" s="1" t="s">
        <v>2866</v>
      </c>
      <c r="B2781" s="1" t="s">
        <v>2813</v>
      </c>
      <c r="C2781" s="1"/>
      <c r="D2781" s="1"/>
      <c r="E2781" s="1"/>
      <c r="F2781" s="1"/>
      <c r="G2781" s="1"/>
      <c r="H2781" s="1"/>
      <c r="I2781" s="1"/>
    </row>
    <row r="2782" ht="15.75" customHeight="1">
      <c r="A2782" s="1" t="s">
        <v>2867</v>
      </c>
      <c r="B2782" s="1" t="s">
        <v>2813</v>
      </c>
      <c r="C2782" s="1"/>
      <c r="D2782" s="1"/>
      <c r="E2782" s="1"/>
      <c r="F2782" s="1"/>
      <c r="G2782" s="1"/>
      <c r="H2782" s="1"/>
      <c r="I2782" s="1"/>
    </row>
    <row r="2783" ht="15.75" customHeight="1">
      <c r="A2783" s="1" t="s">
        <v>2868</v>
      </c>
      <c r="B2783" s="1" t="s">
        <v>2813</v>
      </c>
      <c r="C2783" s="1"/>
      <c r="D2783" s="1"/>
      <c r="E2783" s="1"/>
      <c r="F2783" s="1"/>
      <c r="G2783" s="1"/>
      <c r="H2783" s="1"/>
      <c r="I2783" s="1"/>
    </row>
    <row r="2784" ht="15.75" customHeight="1">
      <c r="A2784" s="1" t="s">
        <v>2869</v>
      </c>
      <c r="B2784" s="1" t="s">
        <v>2813</v>
      </c>
      <c r="C2784" s="1"/>
      <c r="D2784" s="1"/>
      <c r="E2784" s="1"/>
      <c r="F2784" s="1"/>
      <c r="G2784" s="1"/>
      <c r="H2784" s="1"/>
      <c r="I2784" s="1"/>
    </row>
    <row r="2785" ht="15.75" customHeight="1">
      <c r="A2785" s="1" t="s">
        <v>2870</v>
      </c>
      <c r="B2785" s="1" t="s">
        <v>2813</v>
      </c>
      <c r="C2785" s="1"/>
      <c r="D2785" s="1"/>
      <c r="E2785" s="1"/>
      <c r="F2785" s="1"/>
      <c r="G2785" s="1"/>
      <c r="H2785" s="1"/>
      <c r="I2785" s="1"/>
    </row>
    <row r="2786" ht="15.75" customHeight="1">
      <c r="A2786" s="1" t="s">
        <v>2871</v>
      </c>
      <c r="B2786" s="1" t="s">
        <v>2813</v>
      </c>
      <c r="C2786" s="1"/>
      <c r="D2786" s="1"/>
      <c r="E2786" s="1"/>
      <c r="F2786" s="1"/>
      <c r="G2786" s="1"/>
      <c r="H2786" s="1"/>
      <c r="I2786" s="1"/>
    </row>
    <row r="2787" ht="15.75" customHeight="1">
      <c r="A2787" s="1" t="s">
        <v>2872</v>
      </c>
      <c r="B2787" s="1" t="s">
        <v>2813</v>
      </c>
      <c r="C2787" s="1"/>
      <c r="D2787" s="1"/>
      <c r="E2787" s="1"/>
      <c r="F2787" s="1"/>
      <c r="G2787" s="1"/>
      <c r="H2787" s="1"/>
      <c r="I2787" s="1"/>
    </row>
    <row r="2788" ht="15.75" customHeight="1">
      <c r="A2788" s="1" t="s">
        <v>2873</v>
      </c>
      <c r="B2788" s="1" t="s">
        <v>2813</v>
      </c>
      <c r="C2788" s="1"/>
      <c r="D2788" s="1"/>
      <c r="E2788" s="1"/>
      <c r="F2788" s="1"/>
      <c r="G2788" s="1"/>
      <c r="H2788" s="1"/>
      <c r="I2788" s="1"/>
    </row>
    <row r="2789" ht="15.75" customHeight="1">
      <c r="A2789" s="1" t="s">
        <v>2874</v>
      </c>
      <c r="B2789" s="1" t="s">
        <v>2813</v>
      </c>
      <c r="C2789" s="1"/>
      <c r="D2789" s="1"/>
      <c r="E2789" s="1"/>
      <c r="F2789" s="1"/>
      <c r="G2789" s="1"/>
      <c r="H2789" s="1"/>
      <c r="I2789" s="1"/>
    </row>
    <row r="2790" ht="15.75" customHeight="1">
      <c r="A2790" s="1" t="s">
        <v>2875</v>
      </c>
      <c r="B2790" s="1" t="s">
        <v>2813</v>
      </c>
      <c r="C2790" s="1"/>
      <c r="D2790" s="1"/>
      <c r="E2790" s="1"/>
      <c r="F2790" s="1"/>
      <c r="G2790" s="1"/>
      <c r="H2790" s="1"/>
      <c r="I2790" s="1"/>
    </row>
    <row r="2791" ht="15.75" customHeight="1">
      <c r="A2791" s="1" t="s">
        <v>2876</v>
      </c>
      <c r="B2791" s="1" t="s">
        <v>2813</v>
      </c>
      <c r="C2791" s="1"/>
      <c r="D2791" s="1"/>
      <c r="E2791" s="1"/>
      <c r="F2791" s="1"/>
      <c r="G2791" s="1"/>
      <c r="H2791" s="1"/>
      <c r="I2791" s="1"/>
    </row>
    <row r="2792" ht="15.75" customHeight="1">
      <c r="A2792" s="1" t="s">
        <v>2877</v>
      </c>
      <c r="B2792" s="1" t="s">
        <v>2813</v>
      </c>
      <c r="C2792" s="1"/>
      <c r="D2792" s="1"/>
      <c r="E2792" s="1"/>
      <c r="F2792" s="1"/>
      <c r="G2792" s="1"/>
      <c r="H2792" s="1"/>
      <c r="I2792" s="1"/>
    </row>
    <row r="2793" ht="15.75" customHeight="1">
      <c r="A2793" s="1" t="s">
        <v>2878</v>
      </c>
      <c r="B2793" s="1" t="s">
        <v>2813</v>
      </c>
      <c r="C2793" s="1"/>
      <c r="D2793" s="1"/>
      <c r="E2793" s="1"/>
      <c r="F2793" s="1"/>
      <c r="G2793" s="1"/>
      <c r="H2793" s="1"/>
      <c r="I2793" s="1"/>
    </row>
    <row r="2794" ht="15.75" customHeight="1">
      <c r="A2794" s="1" t="s">
        <v>2879</v>
      </c>
      <c r="B2794" s="1" t="s">
        <v>2813</v>
      </c>
      <c r="C2794" s="1"/>
      <c r="D2794" s="1"/>
      <c r="E2794" s="1"/>
      <c r="F2794" s="1"/>
      <c r="G2794" s="1"/>
      <c r="H2794" s="1"/>
      <c r="I2794" s="1"/>
    </row>
    <row r="2795" ht="15.75" customHeight="1">
      <c r="A2795" s="1" t="s">
        <v>2880</v>
      </c>
      <c r="B2795" s="1" t="s">
        <v>2813</v>
      </c>
      <c r="C2795" s="1"/>
      <c r="D2795" s="1"/>
      <c r="E2795" s="1"/>
      <c r="F2795" s="1"/>
      <c r="G2795" s="1"/>
      <c r="H2795" s="1"/>
      <c r="I2795" s="1"/>
    </row>
    <row r="2796" ht="15.75" customHeight="1">
      <c r="A2796" s="1" t="s">
        <v>2881</v>
      </c>
      <c r="B2796" s="1" t="s">
        <v>2813</v>
      </c>
      <c r="C2796" s="1"/>
      <c r="D2796" s="1"/>
      <c r="E2796" s="1"/>
      <c r="F2796" s="1"/>
      <c r="G2796" s="1"/>
      <c r="H2796" s="1"/>
      <c r="I2796" s="1"/>
    </row>
    <row r="2797" ht="15.75" customHeight="1">
      <c r="A2797" s="1" t="s">
        <v>2882</v>
      </c>
      <c r="B2797" s="1" t="s">
        <v>2813</v>
      </c>
      <c r="C2797" s="1"/>
      <c r="D2797" s="1"/>
      <c r="E2797" s="1"/>
      <c r="F2797" s="1"/>
      <c r="G2797" s="1"/>
      <c r="H2797" s="1"/>
      <c r="I2797" s="1"/>
    </row>
    <row r="2798" ht="15.75" customHeight="1">
      <c r="A2798" s="1" t="s">
        <v>2883</v>
      </c>
      <c r="B2798" s="1" t="s">
        <v>2813</v>
      </c>
      <c r="C2798" s="1"/>
      <c r="D2798" s="1"/>
      <c r="E2798" s="1"/>
      <c r="F2798" s="1"/>
      <c r="G2798" s="1"/>
      <c r="H2798" s="1"/>
      <c r="I2798" s="1"/>
    </row>
    <row r="2799" ht="15.75" customHeight="1">
      <c r="A2799" s="1" t="s">
        <v>2884</v>
      </c>
      <c r="B2799" s="1" t="s">
        <v>2813</v>
      </c>
      <c r="C2799" s="1"/>
      <c r="D2799" s="1"/>
      <c r="E2799" s="1"/>
      <c r="F2799" s="1"/>
      <c r="G2799" s="1"/>
      <c r="H2799" s="1"/>
      <c r="I2799" s="1"/>
    </row>
    <row r="2800" ht="15.75" customHeight="1">
      <c r="A2800" s="1" t="s">
        <v>2885</v>
      </c>
      <c r="B2800" s="1" t="s">
        <v>2813</v>
      </c>
      <c r="C2800" s="1"/>
      <c r="D2800" s="1"/>
      <c r="E2800" s="1"/>
      <c r="F2800" s="1"/>
      <c r="G2800" s="1"/>
      <c r="H2800" s="1"/>
      <c r="I2800" s="1"/>
    </row>
    <row r="2801" ht="15.75" customHeight="1">
      <c r="A2801" s="1" t="s">
        <v>2886</v>
      </c>
      <c r="B2801" s="1" t="s">
        <v>2813</v>
      </c>
      <c r="C2801" s="1"/>
      <c r="D2801" s="1"/>
      <c r="E2801" s="1"/>
      <c r="F2801" s="1"/>
      <c r="G2801" s="1"/>
      <c r="H2801" s="1"/>
      <c r="I2801" s="1"/>
    </row>
    <row r="2802" ht="15.75" customHeight="1">
      <c r="A2802" s="1" t="s">
        <v>2887</v>
      </c>
      <c r="B2802" s="1" t="s">
        <v>2813</v>
      </c>
      <c r="C2802" s="1"/>
      <c r="D2802" s="1"/>
      <c r="E2802" s="1"/>
      <c r="F2802" s="1"/>
      <c r="G2802" s="1"/>
      <c r="H2802" s="1"/>
      <c r="I2802" s="1"/>
    </row>
    <row r="2803" ht="15.75" customHeight="1">
      <c r="A2803" s="1" t="s">
        <v>2888</v>
      </c>
      <c r="B2803" s="1" t="s">
        <v>2813</v>
      </c>
      <c r="C2803" s="1"/>
      <c r="D2803" s="1"/>
      <c r="E2803" s="1"/>
      <c r="F2803" s="1"/>
      <c r="G2803" s="1"/>
      <c r="H2803" s="1"/>
      <c r="I2803" s="1"/>
    </row>
    <row r="2804" ht="15.75" customHeight="1">
      <c r="A2804" s="1" t="s">
        <v>2889</v>
      </c>
      <c r="B2804" s="1" t="s">
        <v>2813</v>
      </c>
      <c r="C2804" s="1"/>
      <c r="D2804" s="1"/>
      <c r="E2804" s="1"/>
      <c r="F2804" s="1"/>
      <c r="G2804" s="1"/>
      <c r="H2804" s="1"/>
      <c r="I2804" s="1"/>
    </row>
    <row r="2805" ht="15.75" customHeight="1">
      <c r="A2805" s="1" t="s">
        <v>2890</v>
      </c>
      <c r="B2805" s="1" t="s">
        <v>2813</v>
      </c>
      <c r="C2805" s="1"/>
      <c r="D2805" s="1"/>
      <c r="E2805" s="1"/>
      <c r="F2805" s="1"/>
      <c r="G2805" s="1"/>
      <c r="H2805" s="1"/>
      <c r="I2805" s="1"/>
    </row>
    <row r="2806" ht="15.75" customHeight="1">
      <c r="A2806" s="1" t="s">
        <v>2891</v>
      </c>
      <c r="B2806" s="1" t="s">
        <v>2813</v>
      </c>
      <c r="C2806" s="1"/>
      <c r="D2806" s="1"/>
      <c r="E2806" s="1"/>
      <c r="F2806" s="1"/>
      <c r="G2806" s="1"/>
      <c r="H2806" s="1"/>
      <c r="I2806" s="1"/>
    </row>
    <row r="2807" ht="15.75" customHeight="1">
      <c r="A2807" s="1" t="s">
        <v>2892</v>
      </c>
      <c r="B2807" s="1" t="s">
        <v>2813</v>
      </c>
      <c r="C2807" s="1"/>
      <c r="D2807" s="1"/>
      <c r="E2807" s="1"/>
      <c r="F2807" s="1"/>
      <c r="G2807" s="1"/>
      <c r="H2807" s="1"/>
      <c r="I2807" s="1"/>
    </row>
    <row r="2808" ht="15.75" customHeight="1">
      <c r="A2808" s="1" t="s">
        <v>2893</v>
      </c>
      <c r="B2808" s="1" t="s">
        <v>2813</v>
      </c>
      <c r="C2808" s="1"/>
      <c r="D2808" s="1"/>
      <c r="E2808" s="1"/>
      <c r="F2808" s="1"/>
      <c r="G2808" s="1"/>
      <c r="H2808" s="1"/>
      <c r="I2808" s="1"/>
    </row>
    <row r="2809" ht="15.75" customHeight="1">
      <c r="A2809" s="1" t="s">
        <v>2894</v>
      </c>
      <c r="B2809" s="1" t="s">
        <v>2813</v>
      </c>
      <c r="C2809" s="1"/>
      <c r="D2809" s="1"/>
      <c r="E2809" s="1"/>
      <c r="F2809" s="1"/>
      <c r="G2809" s="1"/>
      <c r="H2809" s="1"/>
      <c r="I2809" s="1"/>
    </row>
    <row r="2810" ht="15.75" customHeight="1">
      <c r="A2810" s="1" t="s">
        <v>2895</v>
      </c>
      <c r="B2810" s="1" t="s">
        <v>2813</v>
      </c>
      <c r="C2810" s="1"/>
      <c r="D2810" s="1"/>
      <c r="E2810" s="1"/>
      <c r="F2810" s="1"/>
      <c r="G2810" s="1"/>
      <c r="H2810" s="1"/>
      <c r="I2810" s="1"/>
    </row>
    <row r="2811" ht="15.75" customHeight="1">
      <c r="A2811" s="1" t="s">
        <v>2896</v>
      </c>
      <c r="B2811" s="1" t="s">
        <v>2813</v>
      </c>
      <c r="C2811" s="1"/>
      <c r="D2811" s="1"/>
      <c r="E2811" s="1"/>
      <c r="F2811" s="1"/>
      <c r="G2811" s="1"/>
      <c r="H2811" s="1"/>
      <c r="I2811" s="1"/>
    </row>
    <row r="2812" ht="15.75" customHeight="1">
      <c r="A2812" s="1" t="s">
        <v>2897</v>
      </c>
      <c r="B2812" s="1" t="s">
        <v>2813</v>
      </c>
      <c r="C2812" s="1"/>
      <c r="D2812" s="1"/>
      <c r="E2812" s="1"/>
      <c r="F2812" s="1"/>
      <c r="G2812" s="1"/>
      <c r="H2812" s="1"/>
      <c r="I2812" s="1"/>
    </row>
    <row r="2813" ht="15.75" customHeight="1">
      <c r="A2813" s="1" t="s">
        <v>2898</v>
      </c>
      <c r="B2813" s="1" t="s">
        <v>2813</v>
      </c>
      <c r="C2813" s="1"/>
      <c r="D2813" s="1"/>
      <c r="E2813" s="1"/>
      <c r="F2813" s="1"/>
      <c r="G2813" s="1"/>
      <c r="H2813" s="1"/>
      <c r="I2813" s="1"/>
    </row>
    <row r="2814" ht="15.75" customHeight="1">
      <c r="A2814" s="1" t="s">
        <v>2899</v>
      </c>
      <c r="B2814" s="1" t="s">
        <v>2813</v>
      </c>
      <c r="C2814" s="1"/>
      <c r="D2814" s="1"/>
      <c r="E2814" s="1"/>
      <c r="F2814" s="1"/>
      <c r="G2814" s="1"/>
      <c r="H2814" s="1"/>
      <c r="I2814" s="1"/>
    </row>
    <row r="2815" ht="15.75" customHeight="1">
      <c r="A2815" s="1" t="s">
        <v>2900</v>
      </c>
      <c r="B2815" s="1" t="s">
        <v>2813</v>
      </c>
      <c r="C2815" s="1"/>
      <c r="D2815" s="1"/>
      <c r="E2815" s="1"/>
      <c r="F2815" s="1"/>
      <c r="G2815" s="1"/>
      <c r="H2815" s="1"/>
      <c r="I2815" s="1"/>
    </row>
    <row r="2816" ht="15.75" customHeight="1">
      <c r="A2816" s="1" t="s">
        <v>2901</v>
      </c>
      <c r="B2816" s="1" t="s">
        <v>2813</v>
      </c>
      <c r="C2816" s="1"/>
      <c r="D2816" s="1"/>
      <c r="E2816" s="1"/>
      <c r="F2816" s="1"/>
      <c r="G2816" s="1"/>
      <c r="H2816" s="1"/>
      <c r="I2816" s="1"/>
    </row>
    <row r="2817" ht="15.75" customHeight="1">
      <c r="A2817" s="1" t="s">
        <v>2902</v>
      </c>
      <c r="B2817" s="1" t="s">
        <v>2813</v>
      </c>
      <c r="C2817" s="1"/>
      <c r="D2817" s="1"/>
      <c r="E2817" s="1"/>
      <c r="F2817" s="1"/>
      <c r="G2817" s="1"/>
      <c r="H2817" s="1"/>
      <c r="I2817" s="1"/>
    </row>
    <row r="2818" ht="15.75" customHeight="1">
      <c r="A2818" s="1" t="s">
        <v>2903</v>
      </c>
      <c r="B2818" s="1" t="s">
        <v>2813</v>
      </c>
      <c r="C2818" s="1"/>
      <c r="D2818" s="1"/>
      <c r="E2818" s="1"/>
      <c r="F2818" s="1"/>
      <c r="G2818" s="1"/>
      <c r="H2818" s="1"/>
      <c r="I2818" s="1"/>
    </row>
    <row r="2819" ht="15.75" customHeight="1">
      <c r="A2819" s="1" t="s">
        <v>2904</v>
      </c>
      <c r="B2819" s="1" t="s">
        <v>2813</v>
      </c>
      <c r="C2819" s="1"/>
      <c r="D2819" s="1"/>
      <c r="E2819" s="1"/>
      <c r="F2819" s="1"/>
      <c r="G2819" s="1"/>
      <c r="H2819" s="1"/>
      <c r="I2819" s="1"/>
    </row>
    <row r="2820" ht="15.75" customHeight="1">
      <c r="A2820" s="1" t="s">
        <v>2905</v>
      </c>
      <c r="B2820" s="1" t="s">
        <v>2813</v>
      </c>
      <c r="C2820" s="1"/>
      <c r="D2820" s="1"/>
      <c r="E2820" s="1"/>
      <c r="F2820" s="1"/>
      <c r="G2820" s="1"/>
      <c r="H2820" s="1"/>
      <c r="I2820" s="1"/>
    </row>
    <row r="2821" ht="15.75" customHeight="1">
      <c r="A2821" s="1" t="s">
        <v>2906</v>
      </c>
      <c r="B2821" s="1" t="s">
        <v>2813</v>
      </c>
      <c r="C2821" s="1"/>
      <c r="D2821" s="1"/>
      <c r="E2821" s="1"/>
      <c r="F2821" s="1"/>
      <c r="G2821" s="1"/>
      <c r="H2821" s="1"/>
      <c r="I2821" s="1"/>
    </row>
    <row r="2822" ht="15.75" customHeight="1">
      <c r="A2822" s="1" t="s">
        <v>2907</v>
      </c>
      <c r="B2822" s="1" t="s">
        <v>2813</v>
      </c>
      <c r="C2822" s="1"/>
      <c r="D2822" s="1"/>
      <c r="E2822" s="1"/>
      <c r="F2822" s="1"/>
      <c r="G2822" s="1"/>
      <c r="H2822" s="1"/>
      <c r="I2822" s="1"/>
    </row>
    <row r="2823" ht="15.75" customHeight="1">
      <c r="A2823" s="1" t="s">
        <v>2908</v>
      </c>
      <c r="B2823" s="1" t="s">
        <v>2813</v>
      </c>
      <c r="C2823" s="1"/>
      <c r="D2823" s="1"/>
      <c r="E2823" s="1"/>
      <c r="F2823" s="1"/>
      <c r="G2823" s="1"/>
      <c r="H2823" s="1"/>
      <c r="I2823" s="1"/>
    </row>
    <row r="2824" ht="15.75" customHeight="1">
      <c r="A2824" s="1" t="s">
        <v>2909</v>
      </c>
      <c r="B2824" s="1" t="s">
        <v>2813</v>
      </c>
      <c r="C2824" s="1"/>
      <c r="D2824" s="1"/>
      <c r="E2824" s="1"/>
      <c r="F2824" s="1"/>
      <c r="G2824" s="1"/>
      <c r="H2824" s="1"/>
      <c r="I2824" s="1"/>
    </row>
    <row r="2825" ht="15.75" customHeight="1">
      <c r="A2825" s="1" t="s">
        <v>2910</v>
      </c>
      <c r="B2825" s="1" t="s">
        <v>2813</v>
      </c>
      <c r="C2825" s="1"/>
      <c r="D2825" s="1"/>
      <c r="E2825" s="1"/>
      <c r="F2825" s="1"/>
      <c r="G2825" s="1"/>
      <c r="H2825" s="1"/>
      <c r="I2825" s="1"/>
    </row>
    <row r="2826" ht="15.75" customHeight="1">
      <c r="A2826" s="1" t="s">
        <v>2911</v>
      </c>
      <c r="B2826" s="1" t="s">
        <v>2813</v>
      </c>
      <c r="C2826" s="1"/>
      <c r="D2826" s="1"/>
      <c r="E2826" s="1"/>
      <c r="F2826" s="1"/>
      <c r="G2826" s="1"/>
      <c r="H2826" s="1"/>
      <c r="I2826" s="1"/>
    </row>
    <row r="2827" ht="15.75" customHeight="1">
      <c r="A2827" s="1" t="s">
        <v>2912</v>
      </c>
      <c r="B2827" s="1" t="s">
        <v>2913</v>
      </c>
      <c r="C2827" s="1"/>
      <c r="D2827" s="1"/>
      <c r="E2827" s="1"/>
      <c r="F2827" s="1"/>
      <c r="G2827" s="1"/>
      <c r="H2827" s="1"/>
      <c r="I2827" s="1"/>
    </row>
    <row r="2828" ht="15.75" customHeight="1">
      <c r="A2828" s="1" t="s">
        <v>2914</v>
      </c>
      <c r="B2828" s="1" t="s">
        <v>2913</v>
      </c>
      <c r="C2828" s="1"/>
      <c r="D2828" s="1"/>
      <c r="E2828" s="1"/>
      <c r="F2828" s="1"/>
      <c r="G2828" s="1"/>
      <c r="H2828" s="1"/>
      <c r="I2828" s="1"/>
    </row>
    <row r="2829" ht="15.75" customHeight="1">
      <c r="A2829" s="1" t="s">
        <v>2915</v>
      </c>
      <c r="B2829" s="1" t="s">
        <v>2913</v>
      </c>
      <c r="C2829" s="1"/>
      <c r="D2829" s="1"/>
      <c r="E2829" s="1"/>
      <c r="F2829" s="1"/>
      <c r="G2829" s="1"/>
      <c r="H2829" s="1"/>
      <c r="I2829" s="1"/>
    </row>
    <row r="2830" ht="15.75" customHeight="1">
      <c r="A2830" s="1" t="s">
        <v>2916</v>
      </c>
      <c r="B2830" s="1" t="s">
        <v>2913</v>
      </c>
      <c r="C2830" s="1"/>
      <c r="D2830" s="1"/>
      <c r="E2830" s="1"/>
      <c r="F2830" s="1"/>
      <c r="G2830" s="1"/>
      <c r="H2830" s="1"/>
      <c r="I2830" s="1"/>
    </row>
    <row r="2831" ht="15.75" customHeight="1">
      <c r="A2831" s="1" t="s">
        <v>2917</v>
      </c>
      <c r="B2831" s="1" t="s">
        <v>2913</v>
      </c>
      <c r="C2831" s="1"/>
      <c r="D2831" s="1"/>
      <c r="E2831" s="1"/>
      <c r="F2831" s="1"/>
      <c r="G2831" s="1"/>
      <c r="H2831" s="1"/>
      <c r="I2831" s="1"/>
    </row>
    <row r="2832" ht="15.75" customHeight="1">
      <c r="A2832" s="1" t="s">
        <v>2918</v>
      </c>
      <c r="B2832" s="1" t="s">
        <v>2913</v>
      </c>
      <c r="C2832" s="1"/>
      <c r="D2832" s="1"/>
      <c r="E2832" s="1"/>
      <c r="F2832" s="1"/>
      <c r="G2832" s="1"/>
      <c r="H2832" s="1"/>
      <c r="I2832" s="1"/>
    </row>
    <row r="2833" ht="15.75" customHeight="1">
      <c r="A2833" s="1" t="s">
        <v>2919</v>
      </c>
      <c r="B2833" s="1" t="s">
        <v>2913</v>
      </c>
      <c r="C2833" s="1"/>
      <c r="D2833" s="1"/>
      <c r="E2833" s="1"/>
      <c r="F2833" s="1"/>
      <c r="G2833" s="1"/>
      <c r="H2833" s="1"/>
      <c r="I2833" s="1"/>
    </row>
    <row r="2834" ht="15.75" customHeight="1">
      <c r="A2834" s="1" t="s">
        <v>2920</v>
      </c>
      <c r="B2834" s="1" t="s">
        <v>2913</v>
      </c>
      <c r="C2834" s="1"/>
      <c r="D2834" s="1"/>
      <c r="E2834" s="1"/>
      <c r="F2834" s="1"/>
      <c r="G2834" s="1"/>
      <c r="H2834" s="1"/>
      <c r="I2834" s="1"/>
    </row>
    <row r="2835" ht="15.75" customHeight="1">
      <c r="A2835" s="1" t="s">
        <v>2921</v>
      </c>
      <c r="B2835" s="1" t="s">
        <v>2913</v>
      </c>
      <c r="C2835" s="1"/>
      <c r="D2835" s="1"/>
      <c r="E2835" s="1"/>
      <c r="F2835" s="1"/>
      <c r="G2835" s="1"/>
      <c r="H2835" s="1"/>
      <c r="I2835" s="1"/>
    </row>
    <row r="2836" ht="15.75" customHeight="1">
      <c r="A2836" s="1" t="s">
        <v>2922</v>
      </c>
      <c r="B2836" s="1" t="s">
        <v>2913</v>
      </c>
      <c r="C2836" s="1"/>
      <c r="D2836" s="1"/>
      <c r="E2836" s="1"/>
      <c r="F2836" s="1"/>
      <c r="G2836" s="1"/>
      <c r="H2836" s="1"/>
      <c r="I2836" s="1"/>
    </row>
    <row r="2837" ht="15.75" customHeight="1">
      <c r="A2837" s="1" t="s">
        <v>2923</v>
      </c>
      <c r="B2837" s="1" t="s">
        <v>2913</v>
      </c>
      <c r="C2837" s="1"/>
      <c r="D2837" s="1"/>
      <c r="E2837" s="1"/>
      <c r="F2837" s="1"/>
      <c r="G2837" s="1"/>
      <c r="H2837" s="1"/>
      <c r="I2837" s="1"/>
    </row>
    <row r="2838" ht="15.75" customHeight="1">
      <c r="A2838" s="1" t="s">
        <v>2924</v>
      </c>
      <c r="B2838" s="1" t="s">
        <v>2913</v>
      </c>
      <c r="C2838" s="1"/>
      <c r="D2838" s="1"/>
      <c r="E2838" s="1"/>
      <c r="F2838" s="1"/>
      <c r="G2838" s="1"/>
      <c r="H2838" s="1"/>
      <c r="I2838" s="1"/>
    </row>
    <row r="2839" ht="15.75" customHeight="1">
      <c r="A2839" s="1" t="s">
        <v>2925</v>
      </c>
      <c r="B2839" s="1" t="s">
        <v>2913</v>
      </c>
      <c r="C2839" s="1"/>
      <c r="D2839" s="1"/>
      <c r="E2839" s="1"/>
      <c r="F2839" s="1"/>
      <c r="G2839" s="1"/>
      <c r="H2839" s="1"/>
      <c r="I2839" s="1"/>
    </row>
    <row r="2840" ht="15.75" customHeight="1">
      <c r="A2840" s="1" t="s">
        <v>2926</v>
      </c>
      <c r="B2840" s="1" t="s">
        <v>2913</v>
      </c>
      <c r="C2840" s="1"/>
      <c r="D2840" s="1"/>
      <c r="E2840" s="1"/>
      <c r="F2840" s="1"/>
      <c r="G2840" s="1"/>
      <c r="H2840" s="1"/>
      <c r="I2840" s="1"/>
    </row>
    <row r="2841" ht="15.75" customHeight="1">
      <c r="A2841" s="1" t="s">
        <v>2927</v>
      </c>
      <c r="B2841" s="1" t="s">
        <v>2913</v>
      </c>
      <c r="C2841" s="1"/>
      <c r="D2841" s="1"/>
      <c r="E2841" s="1"/>
      <c r="F2841" s="1"/>
      <c r="G2841" s="1"/>
      <c r="H2841" s="1"/>
      <c r="I2841" s="1"/>
    </row>
    <row r="2842" ht="15.75" customHeight="1">
      <c r="A2842" s="1" t="s">
        <v>2928</v>
      </c>
      <c r="B2842" s="1" t="s">
        <v>2913</v>
      </c>
      <c r="C2842" s="1"/>
      <c r="D2842" s="1"/>
      <c r="E2842" s="1"/>
      <c r="F2842" s="1"/>
      <c r="G2842" s="1"/>
      <c r="H2842" s="1"/>
      <c r="I2842" s="1"/>
    </row>
    <row r="2843" ht="15.75" customHeight="1">
      <c r="A2843" s="1" t="s">
        <v>2929</v>
      </c>
      <c r="B2843" s="1" t="s">
        <v>2913</v>
      </c>
      <c r="C2843" s="1"/>
      <c r="D2843" s="1"/>
      <c r="E2843" s="1"/>
      <c r="F2843" s="1"/>
      <c r="G2843" s="1"/>
      <c r="H2843" s="1"/>
      <c r="I2843" s="1"/>
    </row>
    <row r="2844" ht="15.75" customHeight="1">
      <c r="A2844" s="1" t="s">
        <v>2930</v>
      </c>
      <c r="B2844" s="1" t="s">
        <v>2913</v>
      </c>
      <c r="C2844" s="1"/>
      <c r="D2844" s="1"/>
      <c r="E2844" s="1"/>
      <c r="F2844" s="1"/>
      <c r="G2844" s="1"/>
      <c r="H2844" s="1"/>
      <c r="I2844" s="1"/>
    </row>
    <row r="2845" ht="15.75" customHeight="1">
      <c r="A2845" s="1" t="s">
        <v>2931</v>
      </c>
      <c r="B2845" s="1" t="s">
        <v>2913</v>
      </c>
      <c r="C2845" s="1"/>
      <c r="D2845" s="1"/>
      <c r="E2845" s="1"/>
      <c r="F2845" s="1"/>
      <c r="G2845" s="1"/>
      <c r="H2845" s="1"/>
      <c r="I2845" s="1"/>
    </row>
    <row r="2846" ht="15.75" customHeight="1">
      <c r="A2846" s="1" t="s">
        <v>2932</v>
      </c>
      <c r="B2846" s="1" t="s">
        <v>2913</v>
      </c>
      <c r="C2846" s="1"/>
      <c r="D2846" s="1"/>
      <c r="E2846" s="1"/>
      <c r="F2846" s="1"/>
      <c r="G2846" s="1"/>
      <c r="H2846" s="1"/>
      <c r="I2846" s="1"/>
    </row>
    <row r="2847" ht="15.75" customHeight="1">
      <c r="A2847" s="1" t="s">
        <v>2933</v>
      </c>
      <c r="B2847" s="1" t="s">
        <v>2913</v>
      </c>
      <c r="C2847" s="1"/>
      <c r="D2847" s="1"/>
      <c r="E2847" s="1"/>
      <c r="F2847" s="1"/>
      <c r="G2847" s="1"/>
      <c r="H2847" s="1"/>
      <c r="I2847" s="1"/>
    </row>
    <row r="2848" ht="15.75" customHeight="1">
      <c r="A2848" s="1" t="s">
        <v>2934</v>
      </c>
      <c r="B2848" s="1" t="s">
        <v>2913</v>
      </c>
      <c r="C2848" s="1"/>
      <c r="D2848" s="1"/>
      <c r="E2848" s="1"/>
      <c r="F2848" s="1"/>
      <c r="G2848" s="1"/>
      <c r="H2848" s="1"/>
      <c r="I2848" s="1"/>
    </row>
    <row r="2849" ht="15.75" customHeight="1">
      <c r="A2849" s="1" t="s">
        <v>2935</v>
      </c>
      <c r="B2849" s="1" t="s">
        <v>2913</v>
      </c>
      <c r="C2849" s="1"/>
      <c r="D2849" s="1"/>
      <c r="E2849" s="1"/>
      <c r="F2849" s="1"/>
      <c r="G2849" s="1"/>
      <c r="H2849" s="1"/>
      <c r="I2849" s="1"/>
    </row>
    <row r="2850" ht="15.75" customHeight="1">
      <c r="A2850" s="1" t="s">
        <v>2936</v>
      </c>
      <c r="B2850" s="1" t="s">
        <v>2913</v>
      </c>
      <c r="C2850" s="1"/>
      <c r="D2850" s="1"/>
      <c r="E2850" s="1"/>
      <c r="F2850" s="1"/>
      <c r="G2850" s="1"/>
      <c r="H2850" s="1"/>
      <c r="I2850" s="1"/>
    </row>
    <row r="2851" ht="15.75" customHeight="1">
      <c r="A2851" s="1" t="s">
        <v>2937</v>
      </c>
      <c r="B2851" s="1" t="s">
        <v>2913</v>
      </c>
      <c r="C2851" s="1"/>
      <c r="D2851" s="1"/>
      <c r="E2851" s="1"/>
      <c r="F2851" s="1"/>
      <c r="G2851" s="1"/>
      <c r="H2851" s="1"/>
      <c r="I2851" s="1"/>
    </row>
    <row r="2852" ht="15.75" customHeight="1">
      <c r="A2852" s="1" t="s">
        <v>2938</v>
      </c>
      <c r="B2852" s="1" t="s">
        <v>2913</v>
      </c>
      <c r="C2852" s="1"/>
      <c r="D2852" s="1"/>
      <c r="E2852" s="1"/>
      <c r="F2852" s="1"/>
      <c r="G2852" s="1"/>
      <c r="H2852" s="1"/>
      <c r="I2852" s="1"/>
    </row>
    <row r="2853" ht="15.75" customHeight="1">
      <c r="A2853" s="1" t="s">
        <v>2939</v>
      </c>
      <c r="B2853" s="1" t="s">
        <v>2913</v>
      </c>
      <c r="C2853" s="1"/>
      <c r="D2853" s="1"/>
      <c r="E2853" s="1"/>
      <c r="F2853" s="1"/>
      <c r="G2853" s="1"/>
      <c r="H2853" s="1"/>
      <c r="I2853" s="1"/>
    </row>
    <row r="2854" ht="15.75" customHeight="1">
      <c r="A2854" s="1" t="s">
        <v>2940</v>
      </c>
      <c r="B2854" s="1" t="s">
        <v>2913</v>
      </c>
      <c r="C2854" s="1"/>
      <c r="D2854" s="1"/>
      <c r="E2854" s="1"/>
      <c r="F2854" s="1"/>
      <c r="G2854" s="1"/>
      <c r="H2854" s="1"/>
      <c r="I2854" s="1"/>
    </row>
    <row r="2855" ht="15.75" customHeight="1">
      <c r="A2855" s="1" t="s">
        <v>2941</v>
      </c>
      <c r="B2855" s="1" t="s">
        <v>2913</v>
      </c>
      <c r="C2855" s="1"/>
      <c r="D2855" s="1"/>
      <c r="E2855" s="1"/>
      <c r="F2855" s="1"/>
      <c r="G2855" s="1"/>
      <c r="H2855" s="1"/>
      <c r="I2855" s="1"/>
    </row>
    <row r="2856" ht="15.75" customHeight="1">
      <c r="A2856" s="1" t="s">
        <v>2942</v>
      </c>
      <c r="B2856" s="1" t="s">
        <v>2913</v>
      </c>
      <c r="C2856" s="1"/>
      <c r="D2856" s="1"/>
      <c r="E2856" s="1"/>
      <c r="F2856" s="1"/>
      <c r="G2856" s="1"/>
      <c r="H2856" s="1"/>
      <c r="I2856" s="1"/>
    </row>
    <row r="2857" ht="15.75" customHeight="1">
      <c r="A2857" s="1" t="s">
        <v>2943</v>
      </c>
      <c r="B2857" s="1" t="s">
        <v>2913</v>
      </c>
      <c r="C2857" s="1"/>
      <c r="D2857" s="1"/>
      <c r="E2857" s="1"/>
      <c r="F2857" s="1"/>
      <c r="G2857" s="1"/>
      <c r="H2857" s="1"/>
      <c r="I2857" s="1"/>
    </row>
    <row r="2858" ht="15.75" customHeight="1">
      <c r="A2858" s="1" t="s">
        <v>2944</v>
      </c>
      <c r="B2858" s="1" t="s">
        <v>2913</v>
      </c>
      <c r="C2858" s="1"/>
      <c r="D2858" s="1"/>
      <c r="E2858" s="1"/>
      <c r="F2858" s="1"/>
      <c r="G2858" s="1"/>
      <c r="H2858" s="1"/>
      <c r="I2858" s="1"/>
    </row>
    <row r="2859" ht="15.75" customHeight="1">
      <c r="A2859" s="1" t="s">
        <v>2945</v>
      </c>
      <c r="B2859" s="1" t="s">
        <v>2913</v>
      </c>
      <c r="C2859" s="1"/>
      <c r="D2859" s="1"/>
      <c r="E2859" s="1"/>
      <c r="F2859" s="1"/>
      <c r="G2859" s="1"/>
      <c r="H2859" s="1"/>
      <c r="I2859" s="1"/>
    </row>
    <row r="2860" ht="15.75" customHeight="1">
      <c r="A2860" s="1" t="s">
        <v>2946</v>
      </c>
      <c r="B2860" s="1" t="s">
        <v>2913</v>
      </c>
      <c r="C2860" s="1"/>
      <c r="D2860" s="1"/>
      <c r="E2860" s="1"/>
      <c r="F2860" s="1"/>
      <c r="G2860" s="1"/>
      <c r="H2860" s="1"/>
      <c r="I2860" s="1"/>
    </row>
    <row r="2861" ht="15.75" customHeight="1">
      <c r="A2861" s="1" t="s">
        <v>2947</v>
      </c>
      <c r="B2861" s="1" t="s">
        <v>2913</v>
      </c>
      <c r="C2861" s="1"/>
      <c r="D2861" s="1"/>
      <c r="E2861" s="1"/>
      <c r="F2861" s="1"/>
      <c r="G2861" s="1"/>
      <c r="H2861" s="1"/>
      <c r="I2861" s="1"/>
    </row>
    <row r="2862" ht="15.75" customHeight="1">
      <c r="A2862" s="1" t="s">
        <v>2948</v>
      </c>
      <c r="B2862" s="1" t="s">
        <v>2913</v>
      </c>
      <c r="C2862" s="1"/>
      <c r="D2862" s="1"/>
      <c r="E2862" s="1"/>
      <c r="F2862" s="1"/>
      <c r="G2862" s="1"/>
      <c r="H2862" s="1"/>
      <c r="I2862" s="1"/>
    </row>
    <row r="2863" ht="15.75" customHeight="1">
      <c r="A2863" s="1" t="s">
        <v>2949</v>
      </c>
      <c r="B2863" s="1" t="s">
        <v>2913</v>
      </c>
      <c r="C2863" s="1"/>
      <c r="D2863" s="1"/>
      <c r="E2863" s="1"/>
      <c r="F2863" s="1"/>
      <c r="G2863" s="1"/>
      <c r="H2863" s="1"/>
      <c r="I2863" s="1"/>
    </row>
    <row r="2864" ht="15.75" customHeight="1">
      <c r="A2864" s="1" t="s">
        <v>2950</v>
      </c>
      <c r="B2864" s="1" t="s">
        <v>2913</v>
      </c>
      <c r="C2864" s="1"/>
      <c r="D2864" s="1"/>
      <c r="E2864" s="1"/>
      <c r="F2864" s="1"/>
      <c r="G2864" s="1"/>
      <c r="H2864" s="1"/>
      <c r="I2864" s="1"/>
    </row>
    <row r="2865" ht="15.75" customHeight="1">
      <c r="A2865" s="1" t="s">
        <v>2951</v>
      </c>
      <c r="B2865" s="1" t="s">
        <v>2913</v>
      </c>
      <c r="C2865" s="1"/>
      <c r="D2865" s="1"/>
      <c r="E2865" s="1"/>
      <c r="F2865" s="1"/>
      <c r="G2865" s="1"/>
      <c r="H2865" s="1"/>
      <c r="I2865" s="1"/>
    </row>
    <row r="2866" ht="15.75" customHeight="1">
      <c r="A2866" s="1" t="s">
        <v>2952</v>
      </c>
      <c r="B2866" s="1" t="s">
        <v>2913</v>
      </c>
      <c r="C2866" s="1"/>
      <c r="D2866" s="1"/>
      <c r="E2866" s="1"/>
      <c r="F2866" s="1"/>
      <c r="G2866" s="1"/>
      <c r="H2866" s="1"/>
      <c r="I2866" s="1"/>
    </row>
    <row r="2867" ht="15.75" customHeight="1">
      <c r="A2867" s="1" t="s">
        <v>2953</v>
      </c>
      <c r="B2867" s="1" t="s">
        <v>2913</v>
      </c>
      <c r="C2867" s="1"/>
      <c r="D2867" s="1"/>
      <c r="E2867" s="1"/>
      <c r="F2867" s="1"/>
      <c r="G2867" s="1"/>
      <c r="H2867" s="1"/>
      <c r="I2867" s="1"/>
    </row>
    <row r="2868" ht="15.75" customHeight="1">
      <c r="A2868" s="1" t="s">
        <v>2954</v>
      </c>
      <c r="B2868" s="1" t="s">
        <v>2955</v>
      </c>
      <c r="C2868" s="1"/>
      <c r="D2868" s="1"/>
      <c r="E2868" s="1"/>
      <c r="F2868" s="1"/>
      <c r="G2868" s="1"/>
      <c r="H2868" s="1"/>
      <c r="I2868" s="1"/>
    </row>
    <row r="2869" ht="15.75" customHeight="1">
      <c r="A2869" s="1" t="s">
        <v>2956</v>
      </c>
      <c r="B2869" s="1" t="s">
        <v>2955</v>
      </c>
      <c r="C2869" s="1"/>
      <c r="D2869" s="1"/>
      <c r="E2869" s="1"/>
      <c r="F2869" s="1"/>
      <c r="G2869" s="1"/>
      <c r="H2869" s="1"/>
      <c r="I2869" s="1"/>
    </row>
    <row r="2870" ht="15.75" customHeight="1">
      <c r="A2870" s="1" t="s">
        <v>2957</v>
      </c>
      <c r="B2870" s="1" t="s">
        <v>2955</v>
      </c>
      <c r="C2870" s="1"/>
      <c r="D2870" s="1"/>
      <c r="E2870" s="1"/>
      <c r="F2870" s="1"/>
      <c r="G2870" s="1"/>
      <c r="H2870" s="1"/>
      <c r="I2870" s="1"/>
    </row>
    <row r="2871" ht="15.75" customHeight="1">
      <c r="A2871" s="1" t="s">
        <v>2958</v>
      </c>
      <c r="B2871" s="1" t="s">
        <v>2955</v>
      </c>
      <c r="C2871" s="1"/>
      <c r="D2871" s="1"/>
      <c r="E2871" s="1"/>
      <c r="F2871" s="1"/>
      <c r="G2871" s="1"/>
      <c r="H2871" s="1"/>
      <c r="I2871" s="1"/>
    </row>
    <row r="2872" ht="15.75" customHeight="1">
      <c r="A2872" s="1" t="s">
        <v>2959</v>
      </c>
      <c r="B2872" s="1" t="s">
        <v>2955</v>
      </c>
      <c r="C2872" s="1"/>
      <c r="D2872" s="1"/>
      <c r="E2872" s="1"/>
      <c r="F2872" s="1"/>
      <c r="G2872" s="1"/>
      <c r="H2872" s="1"/>
      <c r="I2872" s="1"/>
    </row>
    <row r="2873" ht="15.75" customHeight="1">
      <c r="A2873" s="1" t="s">
        <v>2960</v>
      </c>
      <c r="B2873" s="1" t="s">
        <v>2955</v>
      </c>
      <c r="C2873" s="1"/>
      <c r="D2873" s="1"/>
      <c r="E2873" s="1"/>
      <c r="F2873" s="1"/>
      <c r="G2873" s="1"/>
      <c r="H2873" s="1"/>
      <c r="I2873" s="1"/>
    </row>
    <row r="2874" ht="15.75" customHeight="1">
      <c r="A2874" s="1" t="s">
        <v>2961</v>
      </c>
      <c r="B2874" s="1" t="s">
        <v>2955</v>
      </c>
      <c r="C2874" s="1"/>
      <c r="D2874" s="1"/>
      <c r="E2874" s="1"/>
      <c r="F2874" s="1"/>
      <c r="G2874" s="1"/>
      <c r="H2874" s="1"/>
      <c r="I2874" s="1"/>
    </row>
    <row r="2875" ht="15.75" customHeight="1">
      <c r="A2875" s="1" t="s">
        <v>2962</v>
      </c>
      <c r="B2875" s="1" t="s">
        <v>2955</v>
      </c>
      <c r="C2875" s="1"/>
      <c r="D2875" s="1"/>
      <c r="E2875" s="1"/>
      <c r="F2875" s="1"/>
      <c r="G2875" s="1"/>
      <c r="H2875" s="1"/>
      <c r="I2875" s="1"/>
    </row>
    <row r="2876" ht="15.75" customHeight="1">
      <c r="A2876" s="1" t="s">
        <v>2963</v>
      </c>
      <c r="B2876" s="1" t="s">
        <v>2955</v>
      </c>
      <c r="C2876" s="1"/>
      <c r="D2876" s="1"/>
      <c r="E2876" s="1"/>
      <c r="F2876" s="1"/>
      <c r="G2876" s="1"/>
      <c r="H2876" s="1"/>
      <c r="I2876" s="1"/>
    </row>
    <row r="2877" ht="15.75" customHeight="1">
      <c r="A2877" s="1" t="s">
        <v>2964</v>
      </c>
      <c r="B2877" s="1" t="s">
        <v>2955</v>
      </c>
      <c r="C2877" s="1"/>
      <c r="D2877" s="1"/>
      <c r="E2877" s="1"/>
      <c r="F2877" s="1"/>
      <c r="G2877" s="1"/>
      <c r="H2877" s="1"/>
      <c r="I2877" s="1"/>
    </row>
    <row r="2878" ht="15.75" customHeight="1">
      <c r="A2878" s="1" t="s">
        <v>2965</v>
      </c>
      <c r="B2878" s="1" t="s">
        <v>2955</v>
      </c>
      <c r="C2878" s="1"/>
      <c r="D2878" s="1"/>
      <c r="E2878" s="1"/>
      <c r="F2878" s="1"/>
      <c r="G2878" s="1"/>
      <c r="H2878" s="1"/>
      <c r="I2878" s="1"/>
    </row>
    <row r="2879" ht="15.75" customHeight="1">
      <c r="A2879" s="1" t="s">
        <v>2966</v>
      </c>
      <c r="B2879" s="1" t="s">
        <v>2955</v>
      </c>
      <c r="C2879" s="1"/>
      <c r="D2879" s="1"/>
      <c r="E2879" s="1"/>
      <c r="F2879" s="1"/>
      <c r="G2879" s="1"/>
      <c r="H2879" s="1"/>
      <c r="I2879" s="1"/>
    </row>
    <row r="2880" ht="15.75" customHeight="1">
      <c r="A2880" s="1" t="s">
        <v>2967</v>
      </c>
      <c r="B2880" s="1" t="s">
        <v>2955</v>
      </c>
      <c r="C2880" s="1"/>
      <c r="D2880" s="1"/>
      <c r="E2880" s="1"/>
      <c r="F2880" s="1"/>
      <c r="G2880" s="1"/>
      <c r="H2880" s="1"/>
      <c r="I2880" s="1"/>
    </row>
    <row r="2881" ht="15.75" customHeight="1">
      <c r="A2881" s="1" t="s">
        <v>2968</v>
      </c>
      <c r="B2881" s="1" t="s">
        <v>2955</v>
      </c>
      <c r="C2881" s="1"/>
      <c r="D2881" s="1"/>
      <c r="E2881" s="1"/>
      <c r="F2881" s="1"/>
      <c r="G2881" s="1"/>
      <c r="H2881" s="1"/>
      <c r="I2881" s="1"/>
    </row>
    <row r="2882" ht="15.75" customHeight="1">
      <c r="A2882" s="1" t="s">
        <v>2969</v>
      </c>
      <c r="B2882" s="1" t="s">
        <v>2955</v>
      </c>
      <c r="C2882" s="1"/>
      <c r="D2882" s="1"/>
      <c r="E2882" s="1"/>
      <c r="F2882" s="1"/>
      <c r="G2882" s="1"/>
      <c r="H2882" s="1"/>
      <c r="I2882" s="1"/>
    </row>
    <row r="2883" ht="15.75" customHeight="1">
      <c r="A2883" s="1" t="s">
        <v>2970</v>
      </c>
      <c r="B2883" s="1" t="s">
        <v>2955</v>
      </c>
      <c r="C2883" s="1"/>
      <c r="D2883" s="1"/>
      <c r="E2883" s="1"/>
      <c r="F2883" s="1"/>
      <c r="G2883" s="1"/>
      <c r="H2883" s="1"/>
      <c r="I2883" s="1"/>
    </row>
    <row r="2884" ht="15.75" customHeight="1">
      <c r="A2884" s="1" t="s">
        <v>2971</v>
      </c>
      <c r="B2884" s="1" t="s">
        <v>2955</v>
      </c>
      <c r="C2884" s="1"/>
      <c r="D2884" s="1"/>
      <c r="E2884" s="1"/>
      <c r="F2884" s="1"/>
      <c r="G2884" s="1"/>
      <c r="H2884" s="1"/>
      <c r="I2884" s="1"/>
    </row>
    <row r="2885" ht="15.75" customHeight="1">
      <c r="A2885" s="1" t="s">
        <v>2972</v>
      </c>
      <c r="B2885" s="1" t="s">
        <v>2955</v>
      </c>
      <c r="C2885" s="1"/>
      <c r="D2885" s="1"/>
      <c r="E2885" s="1"/>
      <c r="F2885" s="1"/>
      <c r="G2885" s="1"/>
      <c r="H2885" s="1"/>
      <c r="I2885" s="1"/>
    </row>
    <row r="2886" ht="15.75" customHeight="1">
      <c r="A2886" s="1" t="s">
        <v>2973</v>
      </c>
      <c r="B2886" s="1" t="s">
        <v>2955</v>
      </c>
      <c r="C2886" s="1"/>
      <c r="D2886" s="1"/>
      <c r="E2886" s="1"/>
      <c r="F2886" s="1"/>
      <c r="G2886" s="1"/>
      <c r="H2886" s="1"/>
      <c r="I2886" s="1"/>
    </row>
    <row r="2887" ht="15.75" customHeight="1">
      <c r="A2887" s="1" t="s">
        <v>2974</v>
      </c>
      <c r="B2887" s="1" t="s">
        <v>2955</v>
      </c>
      <c r="C2887" s="1"/>
      <c r="D2887" s="1"/>
      <c r="E2887" s="1"/>
      <c r="F2887" s="1"/>
      <c r="G2887" s="1"/>
      <c r="H2887" s="1"/>
      <c r="I2887" s="1"/>
    </row>
    <row r="2888" ht="15.75" customHeight="1">
      <c r="A2888" s="1" t="s">
        <v>2975</v>
      </c>
      <c r="B2888" s="1" t="s">
        <v>2955</v>
      </c>
      <c r="C2888" s="1"/>
      <c r="D2888" s="1"/>
      <c r="E2888" s="1"/>
      <c r="F2888" s="1"/>
      <c r="G2888" s="1"/>
      <c r="H2888" s="1"/>
      <c r="I2888" s="1"/>
    </row>
    <row r="2889" ht="15.75" customHeight="1">
      <c r="A2889" s="1" t="s">
        <v>2976</v>
      </c>
      <c r="B2889" s="1" t="s">
        <v>2955</v>
      </c>
      <c r="C2889" s="1"/>
      <c r="D2889" s="1"/>
      <c r="E2889" s="1"/>
      <c r="F2889" s="1"/>
      <c r="G2889" s="1"/>
      <c r="H2889" s="1"/>
      <c r="I2889" s="1"/>
    </row>
    <row r="2890" ht="15.75" customHeight="1">
      <c r="A2890" s="1" t="s">
        <v>2977</v>
      </c>
      <c r="B2890" s="1" t="s">
        <v>2955</v>
      </c>
      <c r="C2890" s="1"/>
      <c r="D2890" s="1"/>
      <c r="E2890" s="1"/>
      <c r="F2890" s="1"/>
      <c r="G2890" s="1"/>
      <c r="H2890" s="1"/>
      <c r="I2890" s="1"/>
    </row>
    <row r="2891" ht="15.75" customHeight="1">
      <c r="A2891" s="1" t="s">
        <v>2978</v>
      </c>
      <c r="B2891" s="1" t="s">
        <v>1154</v>
      </c>
      <c r="C2891" s="1"/>
      <c r="D2891" s="1"/>
      <c r="E2891" s="1"/>
      <c r="F2891" s="1"/>
      <c r="G2891" s="1"/>
      <c r="H2891" s="1"/>
      <c r="I2891" s="1"/>
    </row>
    <row r="2892" ht="15.75" customHeight="1">
      <c r="A2892" s="1" t="s">
        <v>2979</v>
      </c>
      <c r="B2892" s="1" t="s">
        <v>1154</v>
      </c>
      <c r="C2892" s="1"/>
      <c r="D2892" s="1"/>
      <c r="E2892" s="1"/>
      <c r="F2892" s="1"/>
      <c r="G2892" s="1"/>
      <c r="H2892" s="1"/>
      <c r="I2892" s="1"/>
    </row>
    <row r="2893" ht="15.75" customHeight="1">
      <c r="A2893" s="1" t="s">
        <v>2980</v>
      </c>
      <c r="B2893" s="1" t="s">
        <v>1154</v>
      </c>
      <c r="C2893" s="1"/>
      <c r="D2893" s="1"/>
      <c r="E2893" s="1"/>
      <c r="F2893" s="1"/>
      <c r="G2893" s="1"/>
      <c r="H2893" s="1"/>
      <c r="I2893" s="1"/>
    </row>
    <row r="2894" ht="15.75" customHeight="1">
      <c r="A2894" s="1" t="s">
        <v>2981</v>
      </c>
      <c r="B2894" s="1" t="s">
        <v>1154</v>
      </c>
      <c r="C2894" s="1"/>
      <c r="D2894" s="1"/>
      <c r="E2894" s="1"/>
      <c r="F2894" s="1"/>
      <c r="G2894" s="1"/>
      <c r="H2894" s="1"/>
      <c r="I2894" s="1"/>
    </row>
    <row r="2895" ht="15.75" customHeight="1">
      <c r="A2895" s="1" t="s">
        <v>2982</v>
      </c>
      <c r="B2895" s="1" t="s">
        <v>1154</v>
      </c>
      <c r="C2895" s="1"/>
      <c r="D2895" s="1"/>
      <c r="E2895" s="1"/>
      <c r="F2895" s="1"/>
      <c r="G2895" s="1"/>
      <c r="H2895" s="1"/>
      <c r="I2895" s="1"/>
    </row>
    <row r="2896" ht="15.75" customHeight="1">
      <c r="A2896" s="1" t="s">
        <v>2983</v>
      </c>
      <c r="B2896" s="1" t="s">
        <v>1154</v>
      </c>
      <c r="C2896" s="1"/>
      <c r="D2896" s="1"/>
      <c r="E2896" s="1"/>
      <c r="F2896" s="1"/>
      <c r="G2896" s="1"/>
      <c r="H2896" s="1"/>
      <c r="I2896" s="1"/>
    </row>
    <row r="2897" ht="15.75" customHeight="1">
      <c r="A2897" s="1" t="s">
        <v>2984</v>
      </c>
      <c r="B2897" s="1" t="s">
        <v>1154</v>
      </c>
      <c r="C2897" s="1"/>
      <c r="D2897" s="1"/>
      <c r="E2897" s="1"/>
      <c r="F2897" s="1"/>
      <c r="G2897" s="1"/>
      <c r="H2897" s="1"/>
      <c r="I2897" s="1"/>
    </row>
    <row r="2898" ht="15.75" customHeight="1">
      <c r="A2898" s="1" t="s">
        <v>2985</v>
      </c>
      <c r="B2898" s="1" t="s">
        <v>1154</v>
      </c>
      <c r="C2898" s="1"/>
      <c r="D2898" s="1"/>
      <c r="E2898" s="1"/>
      <c r="F2898" s="1"/>
      <c r="G2898" s="1"/>
      <c r="H2898" s="1"/>
      <c r="I2898" s="1"/>
    </row>
    <row r="2899" ht="15.75" customHeight="1">
      <c r="A2899" s="1" t="s">
        <v>2986</v>
      </c>
      <c r="B2899" s="1" t="s">
        <v>1154</v>
      </c>
      <c r="C2899" s="1"/>
      <c r="D2899" s="1"/>
      <c r="E2899" s="1"/>
      <c r="F2899" s="1"/>
      <c r="G2899" s="1"/>
      <c r="H2899" s="1"/>
      <c r="I2899" s="1"/>
    </row>
    <row r="2900" ht="15.75" customHeight="1">
      <c r="A2900" s="1" t="s">
        <v>2987</v>
      </c>
      <c r="B2900" s="1" t="s">
        <v>1154</v>
      </c>
      <c r="C2900" s="1"/>
      <c r="D2900" s="1"/>
      <c r="E2900" s="1"/>
      <c r="F2900" s="1"/>
      <c r="G2900" s="1"/>
      <c r="H2900" s="1"/>
      <c r="I2900" s="1"/>
    </row>
    <row r="2901" ht="15.75" customHeight="1">
      <c r="A2901" s="1" t="s">
        <v>2988</v>
      </c>
      <c r="B2901" s="1" t="s">
        <v>1154</v>
      </c>
      <c r="C2901" s="1"/>
      <c r="D2901" s="1"/>
      <c r="E2901" s="1"/>
      <c r="F2901" s="1"/>
      <c r="G2901" s="1"/>
      <c r="H2901" s="1"/>
      <c r="I2901" s="1"/>
    </row>
    <row r="2902" ht="15.75" customHeight="1">
      <c r="A2902" s="1" t="s">
        <v>2989</v>
      </c>
      <c r="B2902" s="1" t="s">
        <v>1154</v>
      </c>
      <c r="C2902" s="1"/>
      <c r="D2902" s="1"/>
      <c r="E2902" s="1"/>
      <c r="F2902" s="1"/>
      <c r="G2902" s="1"/>
      <c r="H2902" s="1"/>
      <c r="I2902" s="1"/>
    </row>
    <row r="2903" ht="15.75" customHeight="1">
      <c r="A2903" s="1" t="s">
        <v>2990</v>
      </c>
      <c r="B2903" s="1" t="s">
        <v>1154</v>
      </c>
      <c r="C2903" s="1"/>
      <c r="D2903" s="1"/>
      <c r="E2903" s="1"/>
      <c r="F2903" s="1"/>
      <c r="G2903" s="1"/>
      <c r="H2903" s="1"/>
      <c r="I2903" s="1"/>
    </row>
    <row r="2904" ht="15.75" customHeight="1">
      <c r="A2904" s="1" t="s">
        <v>2991</v>
      </c>
      <c r="B2904" s="1" t="s">
        <v>1154</v>
      </c>
      <c r="C2904" s="1"/>
      <c r="D2904" s="1"/>
      <c r="E2904" s="1"/>
      <c r="F2904" s="1"/>
      <c r="G2904" s="1"/>
      <c r="H2904" s="1"/>
      <c r="I2904" s="1"/>
    </row>
    <row r="2905" ht="15.75" customHeight="1">
      <c r="A2905" s="1" t="s">
        <v>2992</v>
      </c>
      <c r="B2905" s="1" t="s">
        <v>1154</v>
      </c>
      <c r="C2905" s="1"/>
      <c r="D2905" s="1"/>
      <c r="E2905" s="1"/>
      <c r="F2905" s="1"/>
      <c r="G2905" s="1"/>
      <c r="H2905" s="1"/>
      <c r="I2905" s="1"/>
    </row>
    <row r="2906" ht="15.75" customHeight="1">
      <c r="A2906" s="1" t="s">
        <v>2993</v>
      </c>
      <c r="B2906" s="1" t="s">
        <v>1154</v>
      </c>
      <c r="C2906" s="1"/>
      <c r="D2906" s="1"/>
      <c r="E2906" s="1"/>
      <c r="F2906" s="1"/>
      <c r="G2906" s="1"/>
      <c r="H2906" s="1"/>
      <c r="I2906" s="1"/>
    </row>
    <row r="2907" ht="15.75" customHeight="1">
      <c r="A2907" s="1" t="s">
        <v>2994</v>
      </c>
      <c r="B2907" s="1" t="s">
        <v>1154</v>
      </c>
      <c r="C2907" s="1"/>
      <c r="D2907" s="1"/>
      <c r="E2907" s="1"/>
      <c r="F2907" s="1"/>
      <c r="G2907" s="1"/>
      <c r="H2907" s="1"/>
      <c r="I2907" s="1"/>
    </row>
    <row r="2908" ht="15.75" customHeight="1">
      <c r="A2908" s="1" t="s">
        <v>2995</v>
      </c>
      <c r="B2908" s="1" t="s">
        <v>1154</v>
      </c>
      <c r="C2908" s="1"/>
      <c r="D2908" s="1"/>
      <c r="E2908" s="1"/>
      <c r="F2908" s="1"/>
      <c r="G2908" s="1"/>
      <c r="H2908" s="1"/>
      <c r="I2908" s="1"/>
    </row>
    <row r="2909" ht="15.75" customHeight="1">
      <c r="A2909" s="1" t="s">
        <v>2996</v>
      </c>
      <c r="B2909" s="1" t="s">
        <v>1154</v>
      </c>
      <c r="C2909" s="1"/>
      <c r="D2909" s="1"/>
      <c r="E2909" s="1"/>
      <c r="F2909" s="1"/>
      <c r="G2909" s="1"/>
      <c r="H2909" s="1"/>
      <c r="I2909" s="1"/>
    </row>
    <row r="2910" ht="15.75" customHeight="1">
      <c r="A2910" s="1" t="s">
        <v>2997</v>
      </c>
      <c r="B2910" s="1" t="s">
        <v>1154</v>
      </c>
      <c r="C2910" s="1"/>
      <c r="D2910" s="1"/>
      <c r="E2910" s="1"/>
      <c r="F2910" s="1"/>
      <c r="G2910" s="1"/>
      <c r="H2910" s="1"/>
      <c r="I2910" s="1"/>
    </row>
    <row r="2911" ht="15.75" customHeight="1">
      <c r="A2911" s="1" t="s">
        <v>2998</v>
      </c>
      <c r="B2911" s="1" t="s">
        <v>1154</v>
      </c>
      <c r="C2911" s="1"/>
      <c r="D2911" s="1"/>
      <c r="E2911" s="1"/>
      <c r="F2911" s="1"/>
      <c r="G2911" s="1"/>
      <c r="H2911" s="1"/>
      <c r="I2911" s="1"/>
    </row>
    <row r="2912" ht="15.75" customHeight="1">
      <c r="A2912" s="1" t="s">
        <v>2999</v>
      </c>
      <c r="B2912" s="1" t="s">
        <v>1154</v>
      </c>
      <c r="C2912" s="1"/>
      <c r="D2912" s="1"/>
      <c r="E2912" s="1"/>
      <c r="F2912" s="1"/>
      <c r="G2912" s="1"/>
      <c r="H2912" s="1"/>
      <c r="I2912" s="1"/>
    </row>
    <row r="2913" ht="15.75" customHeight="1">
      <c r="A2913" s="1" t="s">
        <v>3000</v>
      </c>
      <c r="B2913" s="1" t="s">
        <v>1154</v>
      </c>
      <c r="C2913" s="1"/>
      <c r="D2913" s="1"/>
      <c r="E2913" s="1"/>
      <c r="F2913" s="1"/>
      <c r="G2913" s="1"/>
      <c r="H2913" s="1"/>
      <c r="I2913" s="1"/>
    </row>
    <row r="2914" ht="15.75" customHeight="1">
      <c r="A2914" s="1" t="s">
        <v>3001</v>
      </c>
      <c r="B2914" s="1" t="s">
        <v>1154</v>
      </c>
      <c r="C2914" s="1"/>
      <c r="D2914" s="1"/>
      <c r="E2914" s="1"/>
      <c r="F2914" s="1"/>
      <c r="G2914" s="1"/>
      <c r="H2914" s="1"/>
      <c r="I2914" s="1"/>
    </row>
    <row r="2915" ht="15.75" customHeight="1">
      <c r="A2915" s="1" t="s">
        <v>3002</v>
      </c>
      <c r="B2915" s="1" t="s">
        <v>1154</v>
      </c>
      <c r="C2915" s="1"/>
      <c r="D2915" s="1"/>
      <c r="E2915" s="1"/>
      <c r="F2915" s="1"/>
      <c r="G2915" s="1"/>
      <c r="H2915" s="1"/>
      <c r="I2915" s="1"/>
    </row>
    <row r="2916" ht="15.75" customHeight="1">
      <c r="A2916" s="1" t="s">
        <v>3003</v>
      </c>
      <c r="B2916" s="1" t="s">
        <v>1154</v>
      </c>
      <c r="C2916" s="1"/>
      <c r="D2916" s="1"/>
      <c r="E2916" s="1"/>
      <c r="F2916" s="1"/>
      <c r="G2916" s="1"/>
      <c r="H2916" s="1"/>
      <c r="I2916" s="1"/>
    </row>
    <row r="2917" ht="15.75" customHeight="1">
      <c r="A2917" s="1" t="s">
        <v>3004</v>
      </c>
      <c r="B2917" s="1" t="s">
        <v>1154</v>
      </c>
      <c r="C2917" s="1"/>
      <c r="D2917" s="1"/>
      <c r="E2917" s="1"/>
      <c r="F2917" s="1"/>
      <c r="G2917" s="1"/>
      <c r="H2917" s="1"/>
      <c r="I2917" s="1"/>
    </row>
    <row r="2918" ht="15.75" customHeight="1">
      <c r="A2918" s="1" t="s">
        <v>3005</v>
      </c>
      <c r="B2918" s="1" t="s">
        <v>1154</v>
      </c>
      <c r="C2918" s="1"/>
      <c r="D2918" s="1"/>
      <c r="E2918" s="1"/>
      <c r="F2918" s="1"/>
      <c r="G2918" s="1"/>
      <c r="H2918" s="1"/>
      <c r="I2918" s="1"/>
    </row>
    <row r="2919" ht="15.75" customHeight="1">
      <c r="A2919" s="1" t="s">
        <v>3006</v>
      </c>
      <c r="B2919" s="1" t="s">
        <v>1154</v>
      </c>
      <c r="C2919" s="1"/>
      <c r="D2919" s="1"/>
      <c r="E2919" s="1"/>
      <c r="F2919" s="1"/>
      <c r="G2919" s="1"/>
      <c r="H2919" s="1"/>
      <c r="I2919" s="1"/>
    </row>
    <row r="2920" ht="15.75" customHeight="1">
      <c r="A2920" s="1" t="s">
        <v>3007</v>
      </c>
      <c r="B2920" s="1" t="s">
        <v>1154</v>
      </c>
      <c r="C2920" s="1"/>
      <c r="D2920" s="1"/>
      <c r="E2920" s="1"/>
      <c r="F2920" s="1"/>
      <c r="G2920" s="1"/>
      <c r="H2920" s="1"/>
      <c r="I2920" s="1"/>
    </row>
    <row r="2921" ht="15.75" customHeight="1">
      <c r="A2921" s="1" t="s">
        <v>3008</v>
      </c>
      <c r="B2921" s="1" t="s">
        <v>1154</v>
      </c>
      <c r="C2921" s="1"/>
      <c r="D2921" s="1"/>
      <c r="E2921" s="1"/>
      <c r="F2921" s="1"/>
      <c r="G2921" s="1"/>
      <c r="H2921" s="1"/>
      <c r="I2921" s="1"/>
    </row>
    <row r="2922" ht="15.75" customHeight="1">
      <c r="A2922" s="1" t="s">
        <v>3009</v>
      </c>
      <c r="B2922" s="1" t="s">
        <v>1154</v>
      </c>
      <c r="C2922" s="1"/>
      <c r="D2922" s="1"/>
      <c r="E2922" s="1"/>
      <c r="F2922" s="1"/>
      <c r="G2922" s="1"/>
      <c r="H2922" s="1"/>
      <c r="I2922" s="1"/>
    </row>
    <row r="2923" ht="15.75" customHeight="1">
      <c r="A2923" s="1" t="s">
        <v>3010</v>
      </c>
      <c r="B2923" s="1" t="s">
        <v>1154</v>
      </c>
      <c r="C2923" s="1"/>
      <c r="D2923" s="1"/>
      <c r="E2923" s="1"/>
      <c r="F2923" s="1"/>
      <c r="G2923" s="1"/>
      <c r="H2923" s="1"/>
      <c r="I2923" s="1"/>
    </row>
    <row r="2924" ht="15.75" customHeight="1">
      <c r="A2924" s="1" t="s">
        <v>3011</v>
      </c>
      <c r="B2924" s="1" t="s">
        <v>3012</v>
      </c>
      <c r="C2924" s="1"/>
      <c r="D2924" s="1"/>
      <c r="E2924" s="1"/>
      <c r="F2924" s="1"/>
      <c r="G2924" s="1"/>
      <c r="H2924" s="1"/>
      <c r="I2924" s="1"/>
    </row>
    <row r="2925" ht="15.75" customHeight="1">
      <c r="A2925" s="1" t="s">
        <v>3013</v>
      </c>
      <c r="B2925" s="1" t="s">
        <v>3012</v>
      </c>
      <c r="C2925" s="1"/>
      <c r="D2925" s="1"/>
      <c r="E2925" s="1"/>
      <c r="F2925" s="1"/>
      <c r="G2925" s="1"/>
      <c r="H2925" s="1"/>
      <c r="I2925" s="1"/>
    </row>
    <row r="2926" ht="15.75" customHeight="1">
      <c r="A2926" s="1" t="s">
        <v>3014</v>
      </c>
      <c r="B2926" s="1" t="s">
        <v>3012</v>
      </c>
      <c r="C2926" s="1"/>
      <c r="D2926" s="1"/>
      <c r="E2926" s="1"/>
      <c r="F2926" s="1"/>
      <c r="G2926" s="1"/>
      <c r="H2926" s="1"/>
      <c r="I2926" s="1"/>
    </row>
    <row r="2927" ht="15.75" customHeight="1">
      <c r="A2927" s="1" t="s">
        <v>3015</v>
      </c>
      <c r="B2927" s="1" t="s">
        <v>3012</v>
      </c>
      <c r="C2927" s="1"/>
      <c r="D2927" s="1"/>
      <c r="E2927" s="1"/>
      <c r="F2927" s="1"/>
      <c r="G2927" s="1"/>
      <c r="H2927" s="1"/>
      <c r="I2927" s="1"/>
    </row>
    <row r="2928" ht="15.75" customHeight="1">
      <c r="A2928" s="1" t="s">
        <v>3016</v>
      </c>
      <c r="B2928" s="1" t="s">
        <v>3012</v>
      </c>
      <c r="C2928" s="1"/>
      <c r="D2928" s="1"/>
      <c r="E2928" s="1"/>
      <c r="F2928" s="1"/>
      <c r="G2928" s="1"/>
      <c r="H2928" s="1"/>
      <c r="I2928" s="1"/>
    </row>
    <row r="2929" ht="15.75" customHeight="1">
      <c r="A2929" s="1" t="s">
        <v>3017</v>
      </c>
      <c r="B2929" s="1" t="s">
        <v>3012</v>
      </c>
      <c r="C2929" s="1"/>
      <c r="D2929" s="1"/>
      <c r="E2929" s="1"/>
      <c r="F2929" s="1"/>
      <c r="G2929" s="1"/>
      <c r="H2929" s="1"/>
      <c r="I2929" s="1"/>
    </row>
    <row r="2930" ht="15.75" customHeight="1">
      <c r="A2930" s="1" t="s">
        <v>3018</v>
      </c>
      <c r="B2930" s="1" t="s">
        <v>3012</v>
      </c>
      <c r="C2930" s="1"/>
      <c r="D2930" s="1"/>
      <c r="E2930" s="1"/>
      <c r="F2930" s="1"/>
      <c r="G2930" s="1"/>
      <c r="H2930" s="1"/>
      <c r="I2930" s="1"/>
    </row>
    <row r="2931" ht="15.75" customHeight="1">
      <c r="A2931" s="1" t="s">
        <v>3019</v>
      </c>
      <c r="B2931" s="1" t="s">
        <v>3012</v>
      </c>
      <c r="C2931" s="1"/>
      <c r="D2931" s="1"/>
      <c r="E2931" s="1"/>
      <c r="F2931" s="1"/>
      <c r="G2931" s="1"/>
      <c r="H2931" s="1"/>
      <c r="I2931" s="1"/>
    </row>
    <row r="2932" ht="15.75" customHeight="1">
      <c r="A2932" s="1" t="s">
        <v>3020</v>
      </c>
      <c r="B2932" s="1" t="s">
        <v>3012</v>
      </c>
      <c r="C2932" s="1"/>
      <c r="D2932" s="1"/>
      <c r="E2932" s="1"/>
      <c r="F2932" s="1"/>
      <c r="G2932" s="1"/>
      <c r="H2932" s="1"/>
      <c r="I2932" s="1"/>
    </row>
    <row r="2933" ht="15.75" customHeight="1">
      <c r="A2933" s="1" t="s">
        <v>3021</v>
      </c>
      <c r="B2933" s="1" t="s">
        <v>3012</v>
      </c>
      <c r="C2933" s="1"/>
      <c r="D2933" s="1"/>
      <c r="E2933" s="1"/>
      <c r="F2933" s="1"/>
      <c r="G2933" s="1"/>
      <c r="H2933" s="1"/>
      <c r="I2933" s="1"/>
    </row>
    <row r="2934" ht="15.75" customHeight="1">
      <c r="A2934" s="1" t="s">
        <v>3022</v>
      </c>
      <c r="B2934" s="1" t="s">
        <v>3012</v>
      </c>
      <c r="C2934" s="1"/>
      <c r="D2934" s="1"/>
      <c r="E2934" s="1"/>
      <c r="F2934" s="1"/>
      <c r="G2934" s="1"/>
      <c r="H2934" s="1"/>
      <c r="I2934" s="1"/>
    </row>
    <row r="2935" ht="15.75" customHeight="1">
      <c r="A2935" s="1" t="s">
        <v>3023</v>
      </c>
      <c r="B2935" s="1" t="s">
        <v>3012</v>
      </c>
      <c r="C2935" s="1"/>
      <c r="D2935" s="1"/>
      <c r="E2935" s="1"/>
      <c r="F2935" s="1"/>
      <c r="G2935" s="1"/>
      <c r="H2935" s="1"/>
      <c r="I2935" s="1"/>
    </row>
    <row r="2936" ht="15.75" customHeight="1">
      <c r="A2936" s="1" t="s">
        <v>3024</v>
      </c>
      <c r="B2936" s="1" t="s">
        <v>3012</v>
      </c>
      <c r="C2936" s="1"/>
      <c r="D2936" s="1"/>
      <c r="E2936" s="1"/>
      <c r="F2936" s="1"/>
      <c r="G2936" s="1"/>
      <c r="H2936" s="1"/>
      <c r="I2936" s="1"/>
    </row>
    <row r="2937" ht="15.75" customHeight="1">
      <c r="A2937" s="1" t="s">
        <v>3025</v>
      </c>
      <c r="B2937" s="1" t="s">
        <v>3012</v>
      </c>
      <c r="C2937" s="1"/>
      <c r="D2937" s="1"/>
      <c r="E2937" s="1"/>
      <c r="F2937" s="1"/>
      <c r="G2937" s="1"/>
      <c r="H2937" s="1"/>
      <c r="I2937" s="1"/>
    </row>
    <row r="2938" ht="15.75" customHeight="1">
      <c r="A2938" s="1" t="s">
        <v>3026</v>
      </c>
      <c r="B2938" s="1" t="s">
        <v>3012</v>
      </c>
      <c r="C2938" s="1"/>
      <c r="D2938" s="1"/>
      <c r="E2938" s="1"/>
      <c r="F2938" s="1"/>
      <c r="G2938" s="1"/>
      <c r="H2938" s="1"/>
      <c r="I2938" s="1"/>
    </row>
    <row r="2939" ht="15.75" customHeight="1">
      <c r="A2939" s="1" t="s">
        <v>3027</v>
      </c>
      <c r="B2939" s="1" t="s">
        <v>3012</v>
      </c>
      <c r="C2939" s="1"/>
      <c r="D2939" s="1"/>
      <c r="E2939" s="1"/>
      <c r="F2939" s="1"/>
      <c r="G2939" s="1"/>
      <c r="H2939" s="1"/>
      <c r="I2939" s="1"/>
    </row>
    <row r="2940" ht="15.75" customHeight="1">
      <c r="A2940" s="1" t="s">
        <v>3028</v>
      </c>
      <c r="B2940" s="1" t="s">
        <v>3012</v>
      </c>
      <c r="C2940" s="1"/>
      <c r="D2940" s="1"/>
      <c r="E2940" s="1"/>
      <c r="F2940" s="1"/>
      <c r="G2940" s="1"/>
      <c r="H2940" s="1"/>
      <c r="I2940" s="1"/>
    </row>
    <row r="2941" ht="15.75" customHeight="1">
      <c r="A2941" s="1" t="s">
        <v>3029</v>
      </c>
      <c r="B2941" s="1" t="s">
        <v>3012</v>
      </c>
      <c r="C2941" s="1"/>
      <c r="D2941" s="1"/>
      <c r="E2941" s="1"/>
      <c r="F2941" s="1"/>
      <c r="G2941" s="1"/>
      <c r="H2941" s="1"/>
      <c r="I2941" s="1"/>
    </row>
    <row r="2942" ht="15.75" customHeight="1">
      <c r="A2942" s="1" t="s">
        <v>3030</v>
      </c>
      <c r="B2942" s="1" t="s">
        <v>3012</v>
      </c>
      <c r="C2942" s="1"/>
      <c r="D2942" s="1"/>
      <c r="E2942" s="1"/>
      <c r="F2942" s="1"/>
      <c r="G2942" s="1"/>
      <c r="H2942" s="1"/>
      <c r="I2942" s="1"/>
    </row>
    <row r="2943" ht="15.75" customHeight="1">
      <c r="A2943" s="1" t="s">
        <v>3031</v>
      </c>
      <c r="B2943" s="1" t="s">
        <v>3012</v>
      </c>
      <c r="C2943" s="1"/>
      <c r="D2943" s="1"/>
      <c r="E2943" s="1"/>
      <c r="F2943" s="1"/>
      <c r="G2943" s="1"/>
      <c r="H2943" s="1"/>
      <c r="I2943" s="1"/>
    </row>
    <row r="2944" ht="15.75" customHeight="1">
      <c r="A2944" s="1" t="s">
        <v>3032</v>
      </c>
      <c r="B2944" s="1" t="s">
        <v>3033</v>
      </c>
      <c r="C2944" s="1"/>
      <c r="D2944" s="1"/>
      <c r="E2944" s="1"/>
      <c r="F2944" s="1"/>
      <c r="G2944" s="1"/>
      <c r="H2944" s="1"/>
      <c r="I2944" s="1"/>
    </row>
    <row r="2945" ht="15.75" customHeight="1">
      <c r="A2945" s="1" t="s">
        <v>3034</v>
      </c>
      <c r="B2945" s="1" t="s">
        <v>3033</v>
      </c>
      <c r="C2945" s="1"/>
      <c r="D2945" s="1"/>
      <c r="E2945" s="1"/>
      <c r="F2945" s="1"/>
      <c r="G2945" s="1"/>
      <c r="H2945" s="1"/>
      <c r="I2945" s="1"/>
    </row>
    <row r="2946" ht="15.75" customHeight="1">
      <c r="A2946" s="1" t="s">
        <v>3035</v>
      </c>
      <c r="B2946" s="1" t="s">
        <v>3033</v>
      </c>
      <c r="C2946" s="1"/>
      <c r="D2946" s="1"/>
      <c r="E2946" s="1"/>
      <c r="F2946" s="1"/>
      <c r="G2946" s="1"/>
      <c r="H2946" s="1"/>
      <c r="I2946" s="1"/>
    </row>
    <row r="2947" ht="15.75" customHeight="1">
      <c r="A2947" s="1" t="s">
        <v>3036</v>
      </c>
      <c r="B2947" s="1" t="s">
        <v>3033</v>
      </c>
      <c r="C2947" s="1"/>
      <c r="D2947" s="1"/>
      <c r="E2947" s="1"/>
      <c r="F2947" s="1"/>
      <c r="G2947" s="1"/>
      <c r="H2947" s="1"/>
      <c r="I2947" s="1"/>
    </row>
    <row r="2948" ht="15.75" customHeight="1">
      <c r="A2948" s="1" t="s">
        <v>3037</v>
      </c>
      <c r="B2948" s="1" t="s">
        <v>3033</v>
      </c>
      <c r="C2948" s="1"/>
      <c r="D2948" s="1"/>
      <c r="E2948" s="1"/>
      <c r="F2948" s="1"/>
      <c r="G2948" s="1"/>
      <c r="H2948" s="1"/>
      <c r="I2948" s="1"/>
    </row>
    <row r="2949" ht="15.75" customHeight="1">
      <c r="A2949" s="1" t="s">
        <v>3038</v>
      </c>
      <c r="B2949" s="1" t="s">
        <v>3033</v>
      </c>
      <c r="C2949" s="1"/>
      <c r="D2949" s="1"/>
      <c r="E2949" s="1"/>
      <c r="F2949" s="1"/>
      <c r="G2949" s="1"/>
      <c r="H2949" s="1"/>
      <c r="I2949" s="1"/>
    </row>
    <row r="2950" ht="15.75" customHeight="1">
      <c r="A2950" s="1" t="s">
        <v>3039</v>
      </c>
      <c r="B2950" s="1" t="s">
        <v>3033</v>
      </c>
      <c r="C2950" s="1"/>
      <c r="D2950" s="1"/>
      <c r="E2950" s="1"/>
      <c r="F2950" s="1"/>
      <c r="G2950" s="1"/>
      <c r="H2950" s="1"/>
      <c r="I2950" s="1"/>
    </row>
    <row r="2951" ht="15.75" customHeight="1">
      <c r="A2951" s="1" t="s">
        <v>3040</v>
      </c>
      <c r="B2951" s="1" t="s">
        <v>3033</v>
      </c>
      <c r="C2951" s="1"/>
      <c r="D2951" s="1"/>
      <c r="E2951" s="1"/>
      <c r="F2951" s="1"/>
      <c r="G2951" s="1"/>
      <c r="H2951" s="1"/>
      <c r="I2951" s="1"/>
    </row>
    <row r="2952" ht="15.75" customHeight="1">
      <c r="A2952" s="1" t="s">
        <v>3041</v>
      </c>
      <c r="B2952" s="1" t="s">
        <v>3033</v>
      </c>
      <c r="C2952" s="1"/>
      <c r="D2952" s="1"/>
      <c r="E2952" s="1"/>
      <c r="F2952" s="1"/>
      <c r="G2952" s="1"/>
      <c r="H2952" s="1"/>
      <c r="I2952" s="1"/>
    </row>
    <row r="2953" ht="15.75" customHeight="1">
      <c r="A2953" s="1" t="s">
        <v>3042</v>
      </c>
      <c r="B2953" s="1" t="s">
        <v>3033</v>
      </c>
      <c r="C2953" s="1"/>
      <c r="D2953" s="1"/>
      <c r="E2953" s="1"/>
      <c r="F2953" s="1"/>
      <c r="G2953" s="1"/>
      <c r="H2953" s="1"/>
      <c r="I2953" s="1"/>
    </row>
    <row r="2954" ht="15.75" customHeight="1">
      <c r="A2954" s="1" t="s">
        <v>3043</v>
      </c>
      <c r="B2954" s="1" t="s">
        <v>3033</v>
      </c>
      <c r="C2954" s="1"/>
      <c r="D2954" s="1"/>
      <c r="E2954" s="1"/>
      <c r="F2954" s="1"/>
      <c r="G2954" s="1"/>
      <c r="H2954" s="1"/>
      <c r="I2954" s="1"/>
    </row>
    <row r="2955" ht="15.75" customHeight="1">
      <c r="A2955" s="1" t="s">
        <v>3044</v>
      </c>
      <c r="B2955" s="1" t="s">
        <v>3033</v>
      </c>
      <c r="C2955" s="1"/>
      <c r="D2955" s="1"/>
      <c r="E2955" s="1"/>
      <c r="F2955" s="1"/>
      <c r="G2955" s="1"/>
      <c r="H2955" s="1"/>
      <c r="I2955" s="1"/>
    </row>
    <row r="2956" ht="15.75" customHeight="1">
      <c r="A2956" s="1" t="s">
        <v>3045</v>
      </c>
      <c r="B2956" s="1" t="s">
        <v>3033</v>
      </c>
      <c r="C2956" s="1"/>
      <c r="D2956" s="1"/>
      <c r="E2956" s="1"/>
      <c r="F2956" s="1"/>
      <c r="G2956" s="1"/>
      <c r="H2956" s="1"/>
      <c r="I2956" s="1"/>
    </row>
    <row r="2957" ht="15.75" customHeight="1">
      <c r="A2957" s="1" t="s">
        <v>3046</v>
      </c>
      <c r="B2957" s="1" t="s">
        <v>3033</v>
      </c>
      <c r="C2957" s="1"/>
      <c r="D2957" s="1"/>
      <c r="E2957" s="1"/>
      <c r="F2957" s="1"/>
      <c r="G2957" s="1"/>
      <c r="H2957" s="1"/>
      <c r="I2957" s="1"/>
    </row>
    <row r="2958" ht="15.75" customHeight="1">
      <c r="A2958" s="1" t="s">
        <v>3047</v>
      </c>
      <c r="B2958" s="1" t="s">
        <v>3033</v>
      </c>
      <c r="C2958" s="1"/>
      <c r="D2958" s="1"/>
      <c r="E2958" s="1"/>
      <c r="F2958" s="1"/>
      <c r="G2958" s="1"/>
      <c r="H2958" s="1"/>
      <c r="I2958" s="1"/>
    </row>
    <row r="2959" ht="15.75" customHeight="1">
      <c r="A2959" s="1" t="s">
        <v>3048</v>
      </c>
      <c r="B2959" s="1" t="s">
        <v>3033</v>
      </c>
      <c r="C2959" s="1"/>
      <c r="D2959" s="1"/>
      <c r="E2959" s="1"/>
      <c r="F2959" s="1"/>
      <c r="G2959" s="1"/>
      <c r="H2959" s="1"/>
      <c r="I2959" s="1"/>
    </row>
    <row r="2960" ht="15.75" customHeight="1">
      <c r="A2960" s="1" t="s">
        <v>3049</v>
      </c>
      <c r="B2960" s="1" t="s">
        <v>3033</v>
      </c>
      <c r="C2960" s="1"/>
      <c r="D2960" s="1"/>
      <c r="E2960" s="1"/>
      <c r="F2960" s="1"/>
      <c r="G2960" s="1"/>
      <c r="H2960" s="1"/>
      <c r="I2960" s="1"/>
    </row>
    <row r="2961" ht="15.75" customHeight="1">
      <c r="A2961" s="1" t="s">
        <v>3050</v>
      </c>
      <c r="B2961" s="1" t="s">
        <v>3033</v>
      </c>
      <c r="C2961" s="1"/>
      <c r="D2961" s="1"/>
      <c r="E2961" s="1"/>
      <c r="F2961" s="1"/>
      <c r="G2961" s="1"/>
      <c r="H2961" s="1"/>
      <c r="I2961" s="1"/>
    </row>
    <row r="2962" ht="15.75" customHeight="1">
      <c r="A2962" s="1" t="s">
        <v>3051</v>
      </c>
      <c r="B2962" s="1" t="s">
        <v>3052</v>
      </c>
      <c r="C2962" s="1"/>
      <c r="D2962" s="1"/>
      <c r="E2962" s="1"/>
      <c r="F2962" s="1"/>
      <c r="G2962" s="1"/>
      <c r="H2962" s="1"/>
      <c r="I2962" s="1"/>
    </row>
    <row r="2963" ht="15.75" customHeight="1">
      <c r="A2963" s="1" t="s">
        <v>3053</v>
      </c>
      <c r="B2963" s="1" t="s">
        <v>3052</v>
      </c>
      <c r="C2963" s="1"/>
      <c r="D2963" s="1"/>
      <c r="E2963" s="1"/>
      <c r="F2963" s="1"/>
      <c r="G2963" s="1"/>
      <c r="H2963" s="1"/>
      <c r="I2963" s="1"/>
    </row>
    <row r="2964" ht="15.75" customHeight="1">
      <c r="A2964" s="1" t="s">
        <v>3054</v>
      </c>
      <c r="B2964" s="1" t="s">
        <v>3052</v>
      </c>
      <c r="C2964" s="1"/>
      <c r="D2964" s="1"/>
      <c r="E2964" s="1"/>
      <c r="F2964" s="1"/>
      <c r="G2964" s="1"/>
      <c r="H2964" s="1"/>
      <c r="I2964" s="1"/>
    </row>
    <row r="2965" ht="15.75" customHeight="1">
      <c r="A2965" s="1" t="s">
        <v>3055</v>
      </c>
      <c r="B2965" s="1" t="s">
        <v>3052</v>
      </c>
      <c r="C2965" s="1"/>
      <c r="D2965" s="1"/>
      <c r="E2965" s="1"/>
      <c r="F2965" s="1"/>
      <c r="G2965" s="1"/>
      <c r="H2965" s="1"/>
      <c r="I2965" s="1"/>
    </row>
    <row r="2966" ht="15.75" customHeight="1">
      <c r="A2966" s="1" t="s">
        <v>3056</v>
      </c>
      <c r="B2966" s="1" t="s">
        <v>3052</v>
      </c>
      <c r="C2966" s="1"/>
      <c r="D2966" s="1"/>
      <c r="E2966" s="1"/>
      <c r="F2966" s="1"/>
      <c r="G2966" s="1"/>
      <c r="H2966" s="1"/>
      <c r="I2966" s="1"/>
    </row>
    <row r="2967" ht="15.75" customHeight="1">
      <c r="A2967" s="1" t="s">
        <v>3057</v>
      </c>
      <c r="B2967" s="1" t="s">
        <v>3052</v>
      </c>
      <c r="C2967" s="1"/>
      <c r="D2967" s="1"/>
      <c r="E2967" s="1"/>
      <c r="F2967" s="1"/>
      <c r="G2967" s="1"/>
      <c r="H2967" s="1"/>
      <c r="I2967" s="1"/>
    </row>
    <row r="2968" ht="15.75" customHeight="1">
      <c r="A2968" s="1" t="s">
        <v>3058</v>
      </c>
      <c r="B2968" s="1" t="s">
        <v>3052</v>
      </c>
      <c r="C2968" s="1"/>
      <c r="D2968" s="1"/>
      <c r="E2968" s="1"/>
      <c r="F2968" s="1"/>
      <c r="G2968" s="1"/>
      <c r="H2968" s="1"/>
      <c r="I2968" s="1"/>
    </row>
    <row r="2969" ht="15.75" customHeight="1">
      <c r="A2969" s="1" t="s">
        <v>3059</v>
      </c>
      <c r="B2969" s="1" t="s">
        <v>3052</v>
      </c>
      <c r="C2969" s="1"/>
      <c r="D2969" s="1"/>
      <c r="E2969" s="1"/>
      <c r="F2969" s="1"/>
      <c r="G2969" s="1"/>
      <c r="H2969" s="1"/>
      <c r="I2969" s="1"/>
    </row>
    <row r="2970" ht="15.75" customHeight="1">
      <c r="A2970" s="1" t="s">
        <v>3060</v>
      </c>
      <c r="B2970" s="1" t="s">
        <v>3052</v>
      </c>
      <c r="C2970" s="1"/>
      <c r="D2970" s="1"/>
      <c r="E2970" s="1"/>
      <c r="F2970" s="1"/>
      <c r="G2970" s="1"/>
      <c r="H2970" s="1"/>
      <c r="I2970" s="1"/>
    </row>
    <row r="2971" ht="15.75" customHeight="1">
      <c r="A2971" s="1" t="s">
        <v>3061</v>
      </c>
      <c r="B2971" s="1" t="s">
        <v>3052</v>
      </c>
      <c r="C2971" s="1"/>
      <c r="D2971" s="1"/>
      <c r="E2971" s="1"/>
      <c r="F2971" s="1"/>
      <c r="G2971" s="1"/>
      <c r="H2971" s="1"/>
      <c r="I2971" s="1"/>
    </row>
    <row r="2972" ht="15.75" customHeight="1">
      <c r="A2972" s="1" t="s">
        <v>3062</v>
      </c>
      <c r="B2972" s="1" t="s">
        <v>3052</v>
      </c>
      <c r="C2972" s="1"/>
      <c r="D2972" s="1"/>
      <c r="E2972" s="1"/>
      <c r="F2972" s="1"/>
      <c r="G2972" s="1"/>
      <c r="H2972" s="1"/>
      <c r="I2972" s="1"/>
    </row>
    <row r="2973" ht="15.75" customHeight="1">
      <c r="A2973" s="1" t="s">
        <v>3063</v>
      </c>
      <c r="B2973" s="1" t="s">
        <v>3052</v>
      </c>
      <c r="C2973" s="1"/>
      <c r="D2973" s="1"/>
      <c r="E2973" s="1"/>
      <c r="F2973" s="1"/>
      <c r="G2973" s="1"/>
      <c r="H2973" s="1"/>
      <c r="I2973" s="1"/>
    </row>
    <row r="2974" ht="15.75" customHeight="1">
      <c r="A2974" s="1" t="s">
        <v>3064</v>
      </c>
      <c r="B2974" s="1" t="s">
        <v>3052</v>
      </c>
      <c r="C2974" s="1"/>
      <c r="D2974" s="1"/>
      <c r="E2974" s="1"/>
      <c r="F2974" s="1"/>
      <c r="G2974" s="1"/>
      <c r="H2974" s="1"/>
      <c r="I2974" s="1"/>
    </row>
    <row r="2975" ht="15.75" customHeight="1">
      <c r="A2975" s="1" t="s">
        <v>3065</v>
      </c>
      <c r="B2975" s="1" t="s">
        <v>3052</v>
      </c>
      <c r="C2975" s="1"/>
      <c r="D2975" s="1"/>
      <c r="E2975" s="1"/>
      <c r="F2975" s="1"/>
      <c r="G2975" s="1"/>
      <c r="H2975" s="1"/>
      <c r="I2975" s="1"/>
    </row>
    <row r="2976" ht="15.75" customHeight="1">
      <c r="A2976" s="1" t="s">
        <v>3066</v>
      </c>
      <c r="B2976" s="1" t="s">
        <v>3052</v>
      </c>
      <c r="C2976" s="1"/>
      <c r="D2976" s="1"/>
      <c r="E2976" s="1"/>
      <c r="F2976" s="1"/>
      <c r="G2976" s="1"/>
      <c r="H2976" s="1"/>
      <c r="I2976" s="1"/>
    </row>
    <row r="2977" ht="15.75" customHeight="1">
      <c r="A2977" s="1" t="s">
        <v>3067</v>
      </c>
      <c r="B2977" s="1" t="s">
        <v>3052</v>
      </c>
      <c r="C2977" s="1"/>
      <c r="D2977" s="1"/>
      <c r="E2977" s="1"/>
      <c r="F2977" s="1"/>
      <c r="G2977" s="1"/>
      <c r="H2977" s="1"/>
      <c r="I2977" s="1"/>
    </row>
    <row r="2978" ht="15.75" customHeight="1">
      <c r="A2978" s="1" t="s">
        <v>3068</v>
      </c>
      <c r="B2978" s="1" t="s">
        <v>3052</v>
      </c>
      <c r="C2978" s="1"/>
      <c r="D2978" s="1"/>
      <c r="E2978" s="1"/>
      <c r="F2978" s="1"/>
      <c r="G2978" s="1"/>
      <c r="H2978" s="1"/>
      <c r="I2978" s="1"/>
    </row>
    <row r="2979" ht="15.75" customHeight="1">
      <c r="A2979" s="1" t="s">
        <v>3069</v>
      </c>
      <c r="B2979" s="1" t="s">
        <v>3052</v>
      </c>
      <c r="C2979" s="1"/>
      <c r="D2979" s="1"/>
      <c r="E2979" s="1"/>
      <c r="F2979" s="1"/>
      <c r="G2979" s="1"/>
      <c r="H2979" s="1"/>
      <c r="I2979" s="1"/>
    </row>
    <row r="2980" ht="15.75" customHeight="1">
      <c r="A2980" s="1" t="s">
        <v>3070</v>
      </c>
      <c r="B2980" s="1" t="s">
        <v>3052</v>
      </c>
      <c r="C2980" s="1"/>
      <c r="D2980" s="1"/>
      <c r="E2980" s="1"/>
      <c r="F2980" s="1"/>
      <c r="G2980" s="1"/>
      <c r="H2980" s="1"/>
      <c r="I2980" s="1"/>
    </row>
    <row r="2981" ht="15.75" customHeight="1">
      <c r="A2981" s="1" t="s">
        <v>3071</v>
      </c>
      <c r="B2981" s="1" t="s">
        <v>3052</v>
      </c>
      <c r="C2981" s="1"/>
      <c r="D2981" s="1"/>
      <c r="E2981" s="1"/>
      <c r="F2981" s="1"/>
      <c r="G2981" s="1"/>
      <c r="H2981" s="1"/>
      <c r="I2981" s="1"/>
    </row>
    <row r="2982" ht="15.75" customHeight="1">
      <c r="A2982" s="1" t="s">
        <v>3072</v>
      </c>
      <c r="B2982" s="1" t="s">
        <v>3052</v>
      </c>
      <c r="C2982" s="1"/>
      <c r="D2982" s="1"/>
      <c r="E2982" s="1"/>
      <c r="F2982" s="1"/>
      <c r="G2982" s="1"/>
      <c r="H2982" s="1"/>
      <c r="I2982" s="1"/>
    </row>
    <row r="2983" ht="15.75" customHeight="1">
      <c r="A2983" s="1" t="s">
        <v>3073</v>
      </c>
      <c r="B2983" s="1" t="s">
        <v>3052</v>
      </c>
      <c r="C2983" s="1"/>
      <c r="D2983" s="1"/>
      <c r="E2983" s="1"/>
      <c r="F2983" s="1"/>
      <c r="G2983" s="1"/>
      <c r="H2983" s="1"/>
      <c r="I2983" s="1"/>
    </row>
    <row r="2984" ht="15.75" customHeight="1">
      <c r="A2984" s="1" t="s">
        <v>3074</v>
      </c>
      <c r="B2984" s="1" t="s">
        <v>3075</v>
      </c>
      <c r="C2984" s="1"/>
      <c r="D2984" s="1"/>
      <c r="E2984" s="1"/>
      <c r="F2984" s="1"/>
      <c r="G2984" s="1"/>
      <c r="H2984" s="1"/>
      <c r="I2984" s="1"/>
    </row>
    <row r="2985" ht="15.75" customHeight="1">
      <c r="A2985" s="1" t="s">
        <v>3076</v>
      </c>
      <c r="B2985" s="1" t="s">
        <v>3075</v>
      </c>
      <c r="C2985" s="1"/>
      <c r="D2985" s="1"/>
      <c r="E2985" s="1"/>
      <c r="F2985" s="1"/>
      <c r="G2985" s="1"/>
      <c r="H2985" s="1"/>
      <c r="I2985" s="1"/>
    </row>
    <row r="2986" ht="15.75" customHeight="1">
      <c r="A2986" s="1" t="s">
        <v>3077</v>
      </c>
      <c r="B2986" s="1" t="s">
        <v>3075</v>
      </c>
      <c r="C2986" s="1"/>
      <c r="D2986" s="1"/>
      <c r="E2986" s="1"/>
      <c r="F2986" s="1"/>
      <c r="G2986" s="1"/>
      <c r="H2986" s="1"/>
      <c r="I2986" s="1"/>
    </row>
    <row r="2987" ht="15.75" customHeight="1">
      <c r="A2987" s="1" t="s">
        <v>3078</v>
      </c>
      <c r="B2987" s="1" t="s">
        <v>3075</v>
      </c>
      <c r="C2987" s="1"/>
      <c r="D2987" s="1"/>
      <c r="E2987" s="1"/>
      <c r="F2987" s="1"/>
      <c r="G2987" s="1"/>
      <c r="H2987" s="1"/>
      <c r="I2987" s="1"/>
    </row>
    <row r="2988" ht="15.75" customHeight="1">
      <c r="A2988" s="1" t="s">
        <v>3079</v>
      </c>
      <c r="B2988" s="1" t="s">
        <v>3075</v>
      </c>
      <c r="C2988" s="1"/>
      <c r="D2988" s="1"/>
      <c r="E2988" s="1"/>
      <c r="F2988" s="1"/>
      <c r="G2988" s="1"/>
      <c r="H2988" s="1"/>
      <c r="I2988" s="1"/>
    </row>
    <row r="2989" ht="15.75" customHeight="1">
      <c r="A2989" s="1" t="s">
        <v>3080</v>
      </c>
      <c r="B2989" s="1" t="s">
        <v>3075</v>
      </c>
      <c r="C2989" s="1"/>
      <c r="D2989" s="1"/>
      <c r="E2989" s="1"/>
      <c r="F2989" s="1"/>
      <c r="G2989" s="1"/>
      <c r="H2989" s="1"/>
      <c r="I2989" s="1"/>
    </row>
    <row r="2990" ht="15.75" customHeight="1">
      <c r="A2990" s="1" t="s">
        <v>3081</v>
      </c>
      <c r="B2990" s="1" t="s">
        <v>3075</v>
      </c>
      <c r="C2990" s="1"/>
      <c r="D2990" s="1"/>
      <c r="E2990" s="1"/>
      <c r="F2990" s="1"/>
      <c r="G2990" s="1"/>
      <c r="H2990" s="1"/>
      <c r="I2990" s="1"/>
    </row>
    <row r="2991" ht="15.75" customHeight="1">
      <c r="A2991" s="1" t="s">
        <v>3082</v>
      </c>
      <c r="B2991" s="1" t="s">
        <v>3075</v>
      </c>
      <c r="C2991" s="1"/>
      <c r="D2991" s="1"/>
      <c r="E2991" s="1"/>
      <c r="F2991" s="1"/>
      <c r="G2991" s="1"/>
      <c r="H2991" s="1"/>
      <c r="I2991" s="1"/>
    </row>
    <row r="2992" ht="15.75" customHeight="1">
      <c r="A2992" s="1" t="s">
        <v>3083</v>
      </c>
      <c r="B2992" s="1" t="s">
        <v>3075</v>
      </c>
      <c r="C2992" s="1"/>
      <c r="D2992" s="1"/>
      <c r="E2992" s="1"/>
      <c r="F2992" s="1"/>
      <c r="G2992" s="1"/>
      <c r="H2992" s="1"/>
      <c r="I2992" s="1"/>
    </row>
    <row r="2993" ht="15.75" customHeight="1">
      <c r="A2993" s="1" t="s">
        <v>3084</v>
      </c>
      <c r="B2993" s="1" t="s">
        <v>3075</v>
      </c>
      <c r="C2993" s="1"/>
      <c r="D2993" s="1"/>
      <c r="E2993" s="1"/>
      <c r="F2993" s="1"/>
      <c r="G2993" s="1"/>
      <c r="H2993" s="1"/>
      <c r="I2993" s="1"/>
    </row>
    <row r="2994" ht="15.75" customHeight="1">
      <c r="A2994" s="1" t="s">
        <v>3085</v>
      </c>
      <c r="B2994" s="1" t="s">
        <v>3075</v>
      </c>
      <c r="C2994" s="1"/>
      <c r="D2994" s="1"/>
      <c r="E2994" s="1"/>
      <c r="F2994" s="1"/>
      <c r="G2994" s="1"/>
      <c r="H2994" s="1"/>
      <c r="I2994" s="1"/>
    </row>
    <row r="2995" ht="15.75" customHeight="1">
      <c r="A2995" s="1" t="s">
        <v>3086</v>
      </c>
      <c r="B2995" s="1" t="s">
        <v>3075</v>
      </c>
      <c r="C2995" s="1"/>
      <c r="D2995" s="1"/>
      <c r="E2995" s="1"/>
      <c r="F2995" s="1"/>
      <c r="G2995" s="1"/>
      <c r="H2995" s="1"/>
      <c r="I2995" s="1"/>
    </row>
    <row r="2996" ht="15.75" customHeight="1">
      <c r="A2996" s="1" t="s">
        <v>3087</v>
      </c>
      <c r="B2996" s="1" t="s">
        <v>3075</v>
      </c>
      <c r="C2996" s="1"/>
      <c r="D2996" s="1"/>
      <c r="E2996" s="1"/>
      <c r="F2996" s="1"/>
      <c r="G2996" s="1"/>
      <c r="H2996" s="1"/>
      <c r="I2996" s="1"/>
    </row>
    <row r="2997" ht="15.75" customHeight="1">
      <c r="A2997" s="1" t="s">
        <v>3088</v>
      </c>
      <c r="B2997" s="1" t="s">
        <v>3075</v>
      </c>
      <c r="C2997" s="1"/>
      <c r="D2997" s="1"/>
      <c r="E2997" s="1"/>
      <c r="F2997" s="1"/>
      <c r="G2997" s="1"/>
      <c r="H2997" s="1"/>
      <c r="I2997" s="1"/>
    </row>
    <row r="2998" ht="15.75" customHeight="1">
      <c r="A2998" s="1" t="s">
        <v>3089</v>
      </c>
      <c r="B2998" s="1" t="s">
        <v>3075</v>
      </c>
      <c r="C2998" s="1"/>
      <c r="D2998" s="1"/>
      <c r="E2998" s="1"/>
      <c r="F2998" s="1"/>
      <c r="G2998" s="1"/>
      <c r="H2998" s="1"/>
      <c r="I2998" s="1"/>
    </row>
    <row r="2999" ht="15.75" customHeight="1">
      <c r="A2999" s="1" t="s">
        <v>3090</v>
      </c>
      <c r="B2999" s="1" t="s">
        <v>3075</v>
      </c>
      <c r="C2999" s="1"/>
      <c r="D2999" s="1"/>
      <c r="E2999" s="1"/>
      <c r="F2999" s="1"/>
      <c r="G2999" s="1"/>
      <c r="H2999" s="1"/>
      <c r="I2999" s="1"/>
    </row>
    <row r="3000" ht="15.75" customHeight="1">
      <c r="A3000" s="1" t="s">
        <v>3091</v>
      </c>
      <c r="B3000" s="1" t="s">
        <v>3075</v>
      </c>
      <c r="C3000" s="1"/>
      <c r="D3000" s="1"/>
      <c r="E3000" s="1"/>
      <c r="F3000" s="1"/>
      <c r="G3000" s="1"/>
      <c r="H3000" s="1"/>
      <c r="I3000" s="1"/>
    </row>
    <row r="3001" ht="15.75" customHeight="1">
      <c r="A3001" s="1" t="s">
        <v>3092</v>
      </c>
      <c r="B3001" s="1" t="s">
        <v>3075</v>
      </c>
      <c r="C3001" s="1"/>
      <c r="D3001" s="1"/>
      <c r="E3001" s="1"/>
      <c r="F3001" s="1"/>
      <c r="G3001" s="1"/>
      <c r="H3001" s="1"/>
      <c r="I3001" s="1"/>
    </row>
    <row r="3002" ht="15.75" customHeight="1">
      <c r="A3002" s="1" t="s">
        <v>3093</v>
      </c>
      <c r="B3002" s="1" t="s">
        <v>3075</v>
      </c>
      <c r="C3002" s="1"/>
      <c r="D3002" s="1"/>
      <c r="E3002" s="1"/>
      <c r="F3002" s="1"/>
      <c r="G3002" s="1"/>
      <c r="H3002" s="1"/>
      <c r="I3002" s="1"/>
    </row>
    <row r="3003" ht="15.75" customHeight="1">
      <c r="A3003" s="1" t="s">
        <v>3094</v>
      </c>
      <c r="B3003" s="1" t="s">
        <v>3075</v>
      </c>
      <c r="C3003" s="1"/>
      <c r="D3003" s="1"/>
      <c r="E3003" s="1"/>
      <c r="F3003" s="1"/>
      <c r="G3003" s="1"/>
      <c r="H3003" s="1"/>
      <c r="I3003" s="1"/>
    </row>
    <row r="3004" ht="15.75" customHeight="1">
      <c r="A3004" s="1" t="s">
        <v>3095</v>
      </c>
      <c r="B3004" s="1" t="s">
        <v>3075</v>
      </c>
      <c r="C3004" s="1"/>
      <c r="D3004" s="1"/>
      <c r="E3004" s="1"/>
      <c r="F3004" s="1"/>
      <c r="G3004" s="1"/>
      <c r="H3004" s="1"/>
      <c r="I3004" s="1"/>
    </row>
    <row r="3005" ht="15.75" customHeight="1">
      <c r="A3005" s="1" t="s">
        <v>3096</v>
      </c>
      <c r="B3005" s="1" t="s">
        <v>3097</v>
      </c>
      <c r="C3005" s="1"/>
      <c r="D3005" s="1"/>
      <c r="E3005" s="1"/>
      <c r="F3005" s="1"/>
      <c r="G3005" s="1"/>
      <c r="H3005" s="1"/>
      <c r="I3005" s="1"/>
    </row>
    <row r="3006" ht="15.75" customHeight="1">
      <c r="A3006" s="1" t="s">
        <v>3098</v>
      </c>
      <c r="B3006" s="1" t="s">
        <v>3097</v>
      </c>
      <c r="C3006" s="1"/>
      <c r="D3006" s="1"/>
      <c r="E3006" s="1"/>
      <c r="F3006" s="1"/>
      <c r="G3006" s="1"/>
      <c r="H3006" s="1"/>
      <c r="I3006" s="1"/>
    </row>
    <row r="3007" ht="15.75" customHeight="1">
      <c r="A3007" s="1" t="s">
        <v>3099</v>
      </c>
      <c r="B3007" s="1" t="s">
        <v>3097</v>
      </c>
      <c r="C3007" s="1"/>
      <c r="D3007" s="1"/>
      <c r="E3007" s="1"/>
      <c r="F3007" s="1"/>
      <c r="G3007" s="1"/>
      <c r="H3007" s="1"/>
      <c r="I3007" s="1"/>
    </row>
    <row r="3008" ht="15.75" customHeight="1">
      <c r="A3008" s="1" t="s">
        <v>3100</v>
      </c>
      <c r="B3008" s="1" t="s">
        <v>3097</v>
      </c>
      <c r="C3008" s="1"/>
      <c r="D3008" s="1"/>
      <c r="E3008" s="1"/>
      <c r="F3008" s="1"/>
      <c r="G3008" s="1"/>
      <c r="H3008" s="1"/>
      <c r="I3008" s="1"/>
    </row>
    <row r="3009" ht="15.75" customHeight="1">
      <c r="A3009" s="1" t="s">
        <v>3101</v>
      </c>
      <c r="B3009" s="1" t="s">
        <v>3097</v>
      </c>
      <c r="C3009" s="1"/>
      <c r="D3009" s="1"/>
      <c r="E3009" s="1"/>
      <c r="F3009" s="1"/>
      <c r="G3009" s="1"/>
      <c r="H3009" s="1"/>
      <c r="I3009" s="1"/>
    </row>
    <row r="3010" ht="15.75" customHeight="1">
      <c r="A3010" s="1" t="s">
        <v>3102</v>
      </c>
      <c r="B3010" s="1" t="s">
        <v>3097</v>
      </c>
      <c r="C3010" s="1"/>
      <c r="D3010" s="1"/>
      <c r="E3010" s="1"/>
      <c r="F3010" s="1"/>
      <c r="G3010" s="1"/>
      <c r="H3010" s="1"/>
      <c r="I3010" s="1"/>
    </row>
    <row r="3011" ht="15.75" customHeight="1">
      <c r="A3011" s="1" t="s">
        <v>3103</v>
      </c>
      <c r="B3011" s="1" t="s">
        <v>3104</v>
      </c>
      <c r="C3011" s="1"/>
      <c r="D3011" s="1"/>
      <c r="E3011" s="1"/>
      <c r="F3011" s="1"/>
      <c r="G3011" s="1"/>
      <c r="H3011" s="1"/>
      <c r="I3011" s="1"/>
    </row>
    <row r="3012" ht="15.75" customHeight="1">
      <c r="A3012" s="1" t="s">
        <v>3105</v>
      </c>
      <c r="B3012" s="1" t="s">
        <v>3104</v>
      </c>
      <c r="C3012" s="1"/>
      <c r="D3012" s="1"/>
      <c r="E3012" s="1"/>
      <c r="F3012" s="1"/>
      <c r="G3012" s="1"/>
      <c r="H3012" s="1"/>
      <c r="I3012" s="1"/>
    </row>
    <row r="3013" ht="15.75" customHeight="1">
      <c r="A3013" s="1" t="s">
        <v>3106</v>
      </c>
      <c r="B3013" s="1" t="s">
        <v>3104</v>
      </c>
      <c r="C3013" s="1"/>
      <c r="D3013" s="1"/>
      <c r="E3013" s="1"/>
      <c r="F3013" s="1"/>
      <c r="G3013" s="1"/>
      <c r="H3013" s="1"/>
      <c r="I3013" s="1"/>
    </row>
    <row r="3014" ht="15.75" customHeight="1">
      <c r="A3014" s="1" t="s">
        <v>3107</v>
      </c>
      <c r="B3014" s="1" t="s">
        <v>3104</v>
      </c>
      <c r="C3014" s="1"/>
      <c r="D3014" s="1"/>
      <c r="E3014" s="1"/>
      <c r="F3014" s="1"/>
      <c r="G3014" s="1"/>
      <c r="H3014" s="1"/>
      <c r="I3014" s="1"/>
    </row>
    <row r="3015" ht="15.75" customHeight="1">
      <c r="A3015" s="1" t="s">
        <v>3108</v>
      </c>
      <c r="B3015" s="1" t="s">
        <v>3104</v>
      </c>
      <c r="C3015" s="1"/>
      <c r="D3015" s="1"/>
      <c r="E3015" s="1"/>
      <c r="F3015" s="1"/>
      <c r="G3015" s="1"/>
      <c r="H3015" s="1"/>
      <c r="I3015" s="1"/>
    </row>
    <row r="3016" ht="15.75" customHeight="1">
      <c r="A3016" s="1" t="s">
        <v>3109</v>
      </c>
      <c r="B3016" s="1" t="s">
        <v>3104</v>
      </c>
      <c r="C3016" s="1"/>
      <c r="D3016" s="1"/>
      <c r="E3016" s="1"/>
      <c r="F3016" s="1"/>
      <c r="G3016" s="1"/>
      <c r="H3016" s="1"/>
      <c r="I3016" s="1"/>
    </row>
    <row r="3017" ht="15.75" customHeight="1">
      <c r="A3017" s="1" t="s">
        <v>3110</v>
      </c>
      <c r="B3017" s="1" t="s">
        <v>3104</v>
      </c>
      <c r="C3017" s="1"/>
      <c r="D3017" s="1"/>
      <c r="E3017" s="1"/>
      <c r="F3017" s="1"/>
      <c r="G3017" s="1"/>
      <c r="H3017" s="1"/>
      <c r="I3017" s="1"/>
    </row>
    <row r="3018" ht="15.75" customHeight="1">
      <c r="A3018" s="1" t="s">
        <v>3111</v>
      </c>
      <c r="B3018" s="1" t="s">
        <v>3104</v>
      </c>
      <c r="C3018" s="1"/>
      <c r="D3018" s="1"/>
      <c r="E3018" s="1"/>
      <c r="F3018" s="1"/>
      <c r="G3018" s="1"/>
      <c r="H3018" s="1"/>
      <c r="I3018" s="1"/>
    </row>
    <row r="3019" ht="15.75" customHeight="1">
      <c r="A3019" s="1" t="s">
        <v>3112</v>
      </c>
      <c r="B3019" s="1" t="s">
        <v>3113</v>
      </c>
      <c r="C3019" s="1"/>
      <c r="D3019" s="1"/>
      <c r="E3019" s="1"/>
      <c r="F3019" s="1"/>
      <c r="G3019" s="1"/>
      <c r="H3019" s="1"/>
      <c r="I3019" s="1"/>
    </row>
    <row r="3020" ht="15.75" customHeight="1">
      <c r="A3020" s="1" t="s">
        <v>3114</v>
      </c>
      <c r="B3020" s="1" t="s">
        <v>3113</v>
      </c>
      <c r="C3020" s="1"/>
      <c r="D3020" s="1"/>
      <c r="E3020" s="1"/>
      <c r="F3020" s="1"/>
      <c r="G3020" s="1"/>
      <c r="H3020" s="1"/>
      <c r="I3020" s="1"/>
    </row>
    <row r="3021" ht="15.75" customHeight="1">
      <c r="A3021" s="1" t="s">
        <v>3115</v>
      </c>
      <c r="B3021" s="1" t="s">
        <v>3113</v>
      </c>
      <c r="C3021" s="1"/>
      <c r="D3021" s="1"/>
      <c r="E3021" s="1"/>
      <c r="F3021" s="1"/>
      <c r="G3021" s="1"/>
      <c r="H3021" s="1"/>
      <c r="I3021" s="1"/>
    </row>
    <row r="3022" ht="15.75" customHeight="1">
      <c r="A3022" s="1" t="s">
        <v>3116</v>
      </c>
      <c r="B3022" s="1" t="s">
        <v>3113</v>
      </c>
      <c r="C3022" s="1"/>
      <c r="D3022" s="1"/>
      <c r="E3022" s="1"/>
      <c r="F3022" s="1"/>
      <c r="G3022" s="1"/>
      <c r="H3022" s="1"/>
      <c r="I3022" s="1"/>
    </row>
    <row r="3023" ht="15.75" customHeight="1">
      <c r="A3023" s="1" t="s">
        <v>3117</v>
      </c>
      <c r="B3023" s="1" t="s">
        <v>3113</v>
      </c>
      <c r="C3023" s="1"/>
      <c r="D3023" s="1"/>
      <c r="E3023" s="1"/>
      <c r="F3023" s="1"/>
      <c r="G3023" s="1"/>
      <c r="H3023" s="1"/>
      <c r="I3023" s="1"/>
    </row>
    <row r="3024" ht="15.75" customHeight="1">
      <c r="A3024" s="1" t="s">
        <v>3118</v>
      </c>
      <c r="B3024" s="1" t="s">
        <v>3113</v>
      </c>
      <c r="C3024" s="1"/>
      <c r="D3024" s="1"/>
      <c r="E3024" s="1"/>
      <c r="F3024" s="1"/>
      <c r="G3024" s="1"/>
      <c r="H3024" s="1"/>
      <c r="I3024" s="1"/>
    </row>
    <row r="3025" ht="15.75" customHeight="1">
      <c r="A3025" s="1" t="s">
        <v>3119</v>
      </c>
      <c r="B3025" s="1" t="s">
        <v>3113</v>
      </c>
      <c r="C3025" s="1"/>
      <c r="D3025" s="1"/>
      <c r="E3025" s="1"/>
      <c r="F3025" s="1"/>
      <c r="G3025" s="1"/>
      <c r="H3025" s="1"/>
      <c r="I3025" s="1"/>
    </row>
    <row r="3026" ht="15.75" customHeight="1">
      <c r="A3026" s="1" t="s">
        <v>3120</v>
      </c>
      <c r="B3026" s="1" t="s">
        <v>3113</v>
      </c>
      <c r="C3026" s="1"/>
      <c r="D3026" s="1"/>
      <c r="E3026" s="1"/>
      <c r="F3026" s="1"/>
      <c r="G3026" s="1"/>
      <c r="H3026" s="1"/>
      <c r="I3026" s="1"/>
    </row>
    <row r="3027" ht="15.75" customHeight="1">
      <c r="A3027" s="1" t="s">
        <v>3121</v>
      </c>
      <c r="B3027" s="1" t="s">
        <v>3113</v>
      </c>
      <c r="C3027" s="1"/>
      <c r="D3027" s="1"/>
      <c r="E3027" s="1"/>
      <c r="F3027" s="1"/>
      <c r="G3027" s="1"/>
      <c r="H3027" s="1"/>
      <c r="I3027" s="1"/>
    </row>
    <row r="3028" ht="15.75" customHeight="1">
      <c r="A3028" s="1" t="s">
        <v>3122</v>
      </c>
      <c r="B3028" s="1" t="s">
        <v>3113</v>
      </c>
      <c r="C3028" s="1"/>
      <c r="D3028" s="1"/>
      <c r="E3028" s="1"/>
      <c r="F3028" s="1"/>
      <c r="G3028" s="1"/>
      <c r="H3028" s="1"/>
      <c r="I3028" s="1"/>
    </row>
    <row r="3029" ht="15.75" customHeight="1">
      <c r="A3029" s="1" t="s">
        <v>3123</v>
      </c>
      <c r="B3029" s="1" t="s">
        <v>3113</v>
      </c>
      <c r="C3029" s="1"/>
      <c r="D3029" s="1"/>
      <c r="E3029" s="1"/>
      <c r="F3029" s="1"/>
      <c r="G3029" s="1"/>
      <c r="H3029" s="1"/>
      <c r="I3029" s="1"/>
    </row>
    <row r="3030" ht="15.75" customHeight="1">
      <c r="A3030" s="1" t="s">
        <v>3124</v>
      </c>
      <c r="B3030" s="1" t="s">
        <v>3113</v>
      </c>
      <c r="C3030" s="1"/>
      <c r="D3030" s="1"/>
      <c r="E3030" s="1"/>
      <c r="F3030" s="1"/>
      <c r="G3030" s="1"/>
      <c r="H3030" s="1"/>
      <c r="I3030" s="1"/>
    </row>
    <row r="3031" ht="15.75" customHeight="1">
      <c r="A3031" s="1" t="s">
        <v>3125</v>
      </c>
      <c r="B3031" s="1" t="s">
        <v>3113</v>
      </c>
      <c r="C3031" s="1"/>
      <c r="D3031" s="1"/>
      <c r="E3031" s="1"/>
      <c r="F3031" s="1"/>
      <c r="G3031" s="1"/>
      <c r="H3031" s="1"/>
      <c r="I3031" s="1"/>
    </row>
    <row r="3032" ht="15.75" customHeight="1">
      <c r="A3032" s="1" t="s">
        <v>3126</v>
      </c>
      <c r="B3032" s="1" t="s">
        <v>3113</v>
      </c>
      <c r="C3032" s="1"/>
      <c r="D3032" s="1"/>
      <c r="E3032" s="1"/>
      <c r="F3032" s="1"/>
      <c r="G3032" s="1"/>
      <c r="H3032" s="1"/>
      <c r="I3032" s="1"/>
    </row>
    <row r="3033" ht="15.75" customHeight="1">
      <c r="A3033" s="1" t="s">
        <v>3127</v>
      </c>
      <c r="B3033" s="1" t="s">
        <v>3113</v>
      </c>
      <c r="C3033" s="1"/>
      <c r="D3033" s="1"/>
      <c r="E3033" s="1"/>
      <c r="F3033" s="1"/>
      <c r="G3033" s="1"/>
      <c r="H3033" s="1"/>
      <c r="I3033" s="1"/>
    </row>
    <row r="3034" ht="15.75" customHeight="1">
      <c r="A3034" s="1" t="s">
        <v>3128</v>
      </c>
      <c r="B3034" s="1" t="s">
        <v>3113</v>
      </c>
      <c r="C3034" s="1"/>
      <c r="D3034" s="1"/>
      <c r="E3034" s="1"/>
      <c r="F3034" s="1"/>
      <c r="G3034" s="1"/>
      <c r="H3034" s="1"/>
      <c r="I3034" s="1"/>
    </row>
    <row r="3035" ht="15.75" customHeight="1">
      <c r="A3035" s="1" t="s">
        <v>3129</v>
      </c>
      <c r="B3035" s="1" t="s">
        <v>3113</v>
      </c>
      <c r="C3035" s="1"/>
      <c r="D3035" s="1"/>
      <c r="E3035" s="1"/>
      <c r="F3035" s="1"/>
      <c r="G3035" s="1"/>
      <c r="H3035" s="1"/>
      <c r="I3035" s="1"/>
    </row>
    <row r="3036" ht="15.75" customHeight="1">
      <c r="A3036" s="1" t="s">
        <v>3130</v>
      </c>
      <c r="B3036" s="1" t="s">
        <v>3113</v>
      </c>
      <c r="C3036" s="1"/>
      <c r="D3036" s="1"/>
      <c r="E3036" s="1"/>
      <c r="F3036" s="1"/>
      <c r="G3036" s="1"/>
      <c r="H3036" s="1"/>
      <c r="I3036" s="1"/>
    </row>
    <row r="3037" ht="15.75" customHeight="1">
      <c r="A3037" s="1" t="s">
        <v>3131</v>
      </c>
      <c r="B3037" s="1" t="s">
        <v>3113</v>
      </c>
      <c r="C3037" s="1"/>
      <c r="D3037" s="1"/>
      <c r="E3037" s="1"/>
      <c r="F3037" s="1"/>
      <c r="G3037" s="1"/>
      <c r="H3037" s="1"/>
      <c r="I3037" s="1"/>
    </row>
    <row r="3038" ht="15.75" customHeight="1">
      <c r="A3038" s="1" t="s">
        <v>3132</v>
      </c>
      <c r="B3038" s="1" t="s">
        <v>3113</v>
      </c>
      <c r="C3038" s="1"/>
      <c r="D3038" s="1"/>
      <c r="E3038" s="1"/>
      <c r="F3038" s="1"/>
      <c r="G3038" s="1"/>
      <c r="H3038" s="1"/>
      <c r="I3038" s="1"/>
    </row>
    <row r="3039" ht="15.75" customHeight="1">
      <c r="A3039" s="1" t="s">
        <v>3133</v>
      </c>
      <c r="B3039" s="1" t="s">
        <v>3113</v>
      </c>
      <c r="C3039" s="1"/>
      <c r="D3039" s="1"/>
      <c r="E3039" s="1"/>
      <c r="F3039" s="1"/>
      <c r="G3039" s="1"/>
      <c r="H3039" s="1"/>
      <c r="I3039" s="1"/>
    </row>
    <row r="3040" ht="15.75" customHeight="1">
      <c r="A3040" s="1" t="s">
        <v>3134</v>
      </c>
      <c r="B3040" s="1" t="s">
        <v>3113</v>
      </c>
      <c r="C3040" s="1"/>
      <c r="D3040" s="1"/>
      <c r="E3040" s="1"/>
      <c r="F3040" s="1"/>
      <c r="G3040" s="1"/>
      <c r="H3040" s="1"/>
      <c r="I3040" s="1"/>
    </row>
    <row r="3041" ht="15.75" customHeight="1">
      <c r="A3041" s="1" t="s">
        <v>3135</v>
      </c>
      <c r="B3041" s="1" t="s">
        <v>3113</v>
      </c>
      <c r="C3041" s="1"/>
      <c r="D3041" s="1"/>
      <c r="E3041" s="1"/>
      <c r="F3041" s="1"/>
      <c r="G3041" s="1"/>
      <c r="H3041" s="1"/>
      <c r="I3041" s="1"/>
    </row>
    <row r="3042" ht="15.75" customHeight="1">
      <c r="A3042" s="1" t="s">
        <v>3136</v>
      </c>
      <c r="B3042" s="1" t="s">
        <v>3113</v>
      </c>
      <c r="C3042" s="1"/>
      <c r="D3042" s="1"/>
      <c r="E3042" s="1"/>
      <c r="F3042" s="1"/>
      <c r="G3042" s="1"/>
      <c r="H3042" s="1"/>
      <c r="I3042" s="1"/>
    </row>
    <row r="3043" ht="15.75" customHeight="1">
      <c r="A3043" s="1" t="s">
        <v>3137</v>
      </c>
      <c r="B3043" s="1" t="s">
        <v>3113</v>
      </c>
      <c r="C3043" s="1"/>
      <c r="D3043" s="1"/>
      <c r="E3043" s="1"/>
      <c r="F3043" s="1"/>
      <c r="G3043" s="1"/>
      <c r="H3043" s="1"/>
      <c r="I3043" s="1"/>
    </row>
    <row r="3044" ht="15.75" customHeight="1">
      <c r="A3044" s="1" t="s">
        <v>3138</v>
      </c>
      <c r="B3044" s="1" t="s">
        <v>3113</v>
      </c>
      <c r="C3044" s="1"/>
      <c r="D3044" s="1"/>
      <c r="E3044" s="1"/>
      <c r="F3044" s="1"/>
      <c r="G3044" s="1"/>
      <c r="H3044" s="1"/>
      <c r="I3044" s="1"/>
    </row>
    <row r="3045" ht="15.75" customHeight="1">
      <c r="A3045" s="1" t="s">
        <v>3139</v>
      </c>
      <c r="B3045" s="1" t="s">
        <v>3113</v>
      </c>
      <c r="C3045" s="1"/>
      <c r="D3045" s="1"/>
      <c r="E3045" s="1"/>
      <c r="F3045" s="1"/>
      <c r="G3045" s="1"/>
      <c r="H3045" s="1"/>
      <c r="I3045" s="1"/>
    </row>
    <row r="3046" ht="15.75" customHeight="1">
      <c r="A3046" s="1" t="s">
        <v>3140</v>
      </c>
      <c r="B3046" s="1" t="s">
        <v>3113</v>
      </c>
      <c r="C3046" s="1"/>
      <c r="D3046" s="1"/>
      <c r="E3046" s="1"/>
      <c r="F3046" s="1"/>
      <c r="G3046" s="1"/>
      <c r="H3046" s="1"/>
      <c r="I3046" s="1"/>
    </row>
    <row r="3047" ht="15.75" customHeight="1">
      <c r="A3047" s="1" t="s">
        <v>3141</v>
      </c>
      <c r="B3047" s="1" t="s">
        <v>3113</v>
      </c>
      <c r="C3047" s="1"/>
      <c r="D3047" s="1"/>
      <c r="E3047" s="1"/>
      <c r="F3047" s="1"/>
      <c r="G3047" s="1"/>
      <c r="H3047" s="1"/>
      <c r="I3047" s="1"/>
    </row>
    <row r="3048" ht="15.75" customHeight="1">
      <c r="A3048" s="1" t="s">
        <v>3142</v>
      </c>
      <c r="B3048" s="1" t="s">
        <v>3113</v>
      </c>
      <c r="C3048" s="1"/>
      <c r="D3048" s="1"/>
      <c r="E3048" s="1"/>
      <c r="F3048" s="1"/>
      <c r="G3048" s="1"/>
      <c r="H3048" s="1"/>
      <c r="I3048" s="1"/>
    </row>
    <row r="3049" ht="15.75" customHeight="1">
      <c r="A3049" s="1" t="s">
        <v>3143</v>
      </c>
      <c r="B3049" s="1" t="s">
        <v>3113</v>
      </c>
      <c r="C3049" s="1"/>
      <c r="D3049" s="1"/>
      <c r="E3049" s="1"/>
      <c r="F3049" s="1"/>
      <c r="G3049" s="1"/>
      <c r="H3049" s="1"/>
      <c r="I3049" s="1"/>
    </row>
    <row r="3050" ht="15.75" customHeight="1">
      <c r="A3050" s="1" t="s">
        <v>3144</v>
      </c>
      <c r="B3050" s="1" t="s">
        <v>3113</v>
      </c>
      <c r="C3050" s="1"/>
      <c r="D3050" s="1"/>
      <c r="E3050" s="1"/>
      <c r="F3050" s="1"/>
      <c r="G3050" s="1"/>
      <c r="H3050" s="1"/>
      <c r="I3050" s="1"/>
    </row>
    <row r="3051" ht="15.75" customHeight="1">
      <c r="A3051" s="1" t="s">
        <v>3145</v>
      </c>
      <c r="B3051" s="1" t="s">
        <v>3113</v>
      </c>
      <c r="C3051" s="1"/>
      <c r="D3051" s="1"/>
      <c r="E3051" s="1"/>
      <c r="F3051" s="1"/>
      <c r="G3051" s="1"/>
      <c r="H3051" s="1"/>
      <c r="I3051" s="1"/>
    </row>
    <row r="3052" ht="15.75" customHeight="1">
      <c r="A3052" s="1" t="s">
        <v>3146</v>
      </c>
      <c r="B3052" s="1" t="s">
        <v>3113</v>
      </c>
      <c r="C3052" s="1"/>
      <c r="D3052" s="1"/>
      <c r="E3052" s="1"/>
      <c r="F3052" s="1"/>
      <c r="G3052" s="1"/>
      <c r="H3052" s="1"/>
      <c r="I3052" s="1"/>
    </row>
    <row r="3053" ht="15.75" customHeight="1">
      <c r="A3053" s="1" t="s">
        <v>3147</v>
      </c>
      <c r="B3053" s="1" t="s">
        <v>3113</v>
      </c>
      <c r="C3053" s="1"/>
      <c r="D3053" s="1"/>
      <c r="E3053" s="1"/>
      <c r="F3053" s="1"/>
      <c r="G3053" s="1"/>
      <c r="H3053" s="1"/>
      <c r="I3053" s="1"/>
    </row>
    <row r="3054" ht="15.75" customHeight="1">
      <c r="A3054" s="1" t="s">
        <v>3148</v>
      </c>
      <c r="B3054" s="1" t="s">
        <v>3113</v>
      </c>
      <c r="C3054" s="1"/>
      <c r="D3054" s="1"/>
      <c r="E3054" s="1"/>
      <c r="F3054" s="1"/>
      <c r="G3054" s="1"/>
      <c r="H3054" s="1"/>
      <c r="I3054" s="1"/>
    </row>
    <row r="3055" ht="15.75" customHeight="1">
      <c r="A3055" s="1" t="s">
        <v>3149</v>
      </c>
      <c r="B3055" s="1" t="s">
        <v>3113</v>
      </c>
      <c r="C3055" s="1"/>
      <c r="D3055" s="1"/>
      <c r="E3055" s="1"/>
      <c r="F3055" s="1"/>
      <c r="G3055" s="1"/>
      <c r="H3055" s="1"/>
      <c r="I3055" s="1"/>
    </row>
    <row r="3056" ht="15.75" customHeight="1">
      <c r="A3056" s="1" t="s">
        <v>3150</v>
      </c>
      <c r="B3056" s="1" t="s">
        <v>3113</v>
      </c>
      <c r="C3056" s="1"/>
      <c r="D3056" s="1"/>
      <c r="E3056" s="1"/>
      <c r="F3056" s="1"/>
      <c r="G3056" s="1"/>
      <c r="H3056" s="1"/>
      <c r="I3056" s="1"/>
    </row>
    <row r="3057" ht="15.75" customHeight="1">
      <c r="A3057" s="1" t="s">
        <v>3151</v>
      </c>
      <c r="B3057" s="1" t="s">
        <v>3152</v>
      </c>
      <c r="C3057" s="1"/>
      <c r="D3057" s="1"/>
      <c r="E3057" s="1"/>
      <c r="F3057" s="1"/>
      <c r="G3057" s="1"/>
      <c r="H3057" s="1"/>
      <c r="I3057" s="1"/>
    </row>
    <row r="3058" ht="15.75" customHeight="1">
      <c r="A3058" s="1" t="s">
        <v>3153</v>
      </c>
      <c r="B3058" s="1" t="s">
        <v>3152</v>
      </c>
      <c r="C3058" s="1"/>
      <c r="D3058" s="1"/>
      <c r="E3058" s="1"/>
      <c r="F3058" s="1"/>
      <c r="G3058" s="1"/>
      <c r="H3058" s="1"/>
      <c r="I3058" s="1"/>
    </row>
    <row r="3059" ht="15.75" customHeight="1">
      <c r="A3059" s="1" t="s">
        <v>3154</v>
      </c>
      <c r="B3059" s="1" t="s">
        <v>3152</v>
      </c>
      <c r="C3059" s="1"/>
      <c r="D3059" s="1"/>
      <c r="E3059" s="1"/>
      <c r="F3059" s="1"/>
      <c r="G3059" s="1"/>
      <c r="H3059" s="1"/>
      <c r="I3059" s="1"/>
    </row>
    <row r="3060" ht="15.75" customHeight="1">
      <c r="A3060" s="1" t="s">
        <v>3155</v>
      </c>
      <c r="B3060" s="1" t="s">
        <v>3152</v>
      </c>
      <c r="C3060" s="1"/>
      <c r="D3060" s="1"/>
      <c r="E3060" s="1"/>
      <c r="F3060" s="1"/>
      <c r="G3060" s="1"/>
      <c r="H3060" s="1"/>
      <c r="I3060" s="1"/>
    </row>
    <row r="3061" ht="15.75" customHeight="1">
      <c r="A3061" s="1" t="s">
        <v>3156</v>
      </c>
      <c r="B3061" s="1" t="s">
        <v>3157</v>
      </c>
      <c r="C3061" s="1"/>
      <c r="D3061" s="1"/>
      <c r="E3061" s="1"/>
      <c r="F3061" s="1"/>
      <c r="G3061" s="1"/>
      <c r="H3061" s="1"/>
      <c r="I3061" s="1"/>
    </row>
    <row r="3062" ht="15.75" customHeight="1">
      <c r="A3062" s="1" t="s">
        <v>3158</v>
      </c>
      <c r="B3062" s="1" t="s">
        <v>3157</v>
      </c>
      <c r="C3062" s="1"/>
      <c r="D3062" s="1"/>
      <c r="E3062" s="1"/>
      <c r="F3062" s="1"/>
      <c r="G3062" s="1"/>
      <c r="H3062" s="1"/>
      <c r="I3062" s="1"/>
    </row>
    <row r="3063" ht="15.75" customHeight="1">
      <c r="A3063" s="1" t="s">
        <v>3159</v>
      </c>
      <c r="B3063" s="1" t="s">
        <v>3157</v>
      </c>
      <c r="C3063" s="1"/>
      <c r="D3063" s="1"/>
      <c r="E3063" s="1"/>
      <c r="F3063" s="1"/>
      <c r="G3063" s="1"/>
      <c r="H3063" s="1"/>
      <c r="I3063" s="1"/>
    </row>
    <row r="3064" ht="15.75" customHeight="1">
      <c r="A3064" s="1" t="s">
        <v>3160</v>
      </c>
      <c r="B3064" s="1" t="s">
        <v>3157</v>
      </c>
      <c r="C3064" s="1"/>
      <c r="D3064" s="1"/>
      <c r="E3064" s="1"/>
      <c r="F3064" s="1"/>
      <c r="G3064" s="1"/>
      <c r="H3064" s="1"/>
      <c r="I3064" s="1"/>
    </row>
    <row r="3065" ht="15.75" customHeight="1">
      <c r="A3065" s="1" t="s">
        <v>3161</v>
      </c>
      <c r="B3065" s="1" t="s">
        <v>3157</v>
      </c>
      <c r="C3065" s="1"/>
      <c r="D3065" s="1"/>
      <c r="E3065" s="1"/>
      <c r="F3065" s="1"/>
      <c r="G3065" s="1"/>
      <c r="H3065" s="1"/>
      <c r="I3065" s="1"/>
    </row>
    <row r="3066" ht="15.75" customHeight="1">
      <c r="A3066" s="1" t="s">
        <v>3162</v>
      </c>
      <c r="B3066" s="1" t="s">
        <v>3157</v>
      </c>
      <c r="C3066" s="1"/>
      <c r="D3066" s="1"/>
      <c r="E3066" s="1"/>
      <c r="F3066" s="1"/>
      <c r="G3066" s="1"/>
      <c r="H3066" s="1"/>
      <c r="I3066" s="1"/>
    </row>
    <row r="3067" ht="15.75" customHeight="1">
      <c r="A3067" s="1" t="s">
        <v>3163</v>
      </c>
      <c r="B3067" s="1" t="s">
        <v>3157</v>
      </c>
      <c r="C3067" s="1"/>
      <c r="D3067" s="1"/>
      <c r="E3067" s="1"/>
      <c r="F3067" s="1"/>
      <c r="G3067" s="1"/>
      <c r="H3067" s="1"/>
      <c r="I3067" s="1"/>
    </row>
    <row r="3068" ht="15.75" customHeight="1">
      <c r="A3068" s="1" t="s">
        <v>3164</v>
      </c>
      <c r="B3068" s="1" t="s">
        <v>3157</v>
      </c>
      <c r="C3068" s="1"/>
      <c r="D3068" s="1"/>
      <c r="E3068" s="1"/>
      <c r="F3068" s="1"/>
      <c r="G3068" s="1"/>
      <c r="H3068" s="1"/>
      <c r="I3068" s="1"/>
    </row>
    <row r="3069" ht="15.75" customHeight="1">
      <c r="A3069" s="1" t="s">
        <v>3165</v>
      </c>
      <c r="B3069" s="1" t="s">
        <v>3157</v>
      </c>
      <c r="C3069" s="1"/>
      <c r="D3069" s="1"/>
      <c r="E3069" s="1"/>
      <c r="F3069" s="1"/>
      <c r="G3069" s="1"/>
      <c r="H3069" s="1"/>
      <c r="I3069" s="1"/>
    </row>
    <row r="3070" ht="15.75" customHeight="1">
      <c r="A3070" s="1" t="s">
        <v>3166</v>
      </c>
      <c r="B3070" s="1" t="s">
        <v>3157</v>
      </c>
      <c r="C3070" s="1"/>
      <c r="D3070" s="1"/>
      <c r="E3070" s="1"/>
      <c r="F3070" s="1"/>
      <c r="G3070" s="1"/>
      <c r="H3070" s="1"/>
      <c r="I3070" s="1"/>
    </row>
    <row r="3071" ht="15.75" customHeight="1">
      <c r="A3071" s="1" t="s">
        <v>3167</v>
      </c>
      <c r="B3071" s="1" t="s">
        <v>3157</v>
      </c>
      <c r="C3071" s="1"/>
      <c r="D3071" s="1"/>
      <c r="E3071" s="1"/>
      <c r="F3071" s="1"/>
      <c r="G3071" s="1"/>
      <c r="H3071" s="1"/>
      <c r="I3071" s="1"/>
    </row>
    <row r="3072" ht="15.75" customHeight="1">
      <c r="A3072" s="1" t="s">
        <v>3168</v>
      </c>
      <c r="B3072" s="1" t="s">
        <v>3157</v>
      </c>
      <c r="C3072" s="1"/>
      <c r="D3072" s="1"/>
      <c r="E3072" s="1"/>
      <c r="F3072" s="1"/>
      <c r="G3072" s="1"/>
      <c r="H3072" s="1"/>
      <c r="I3072" s="1"/>
    </row>
    <row r="3073" ht="15.75" customHeight="1">
      <c r="A3073" s="1" t="s">
        <v>3169</v>
      </c>
      <c r="B3073" s="1" t="s">
        <v>3157</v>
      </c>
      <c r="C3073" s="1"/>
      <c r="D3073" s="1"/>
      <c r="E3073" s="1"/>
      <c r="F3073" s="1"/>
      <c r="G3073" s="1"/>
      <c r="H3073" s="1"/>
      <c r="I3073" s="1"/>
    </row>
    <row r="3074" ht="15.75" customHeight="1">
      <c r="A3074" s="1" t="s">
        <v>3170</v>
      </c>
      <c r="B3074" s="1" t="s">
        <v>3157</v>
      </c>
      <c r="C3074" s="1"/>
      <c r="D3074" s="1"/>
      <c r="E3074" s="1"/>
      <c r="F3074" s="1"/>
      <c r="G3074" s="1"/>
      <c r="H3074" s="1"/>
      <c r="I3074" s="1"/>
    </row>
    <row r="3075" ht="15.75" customHeight="1">
      <c r="A3075" s="1" t="s">
        <v>3171</v>
      </c>
      <c r="B3075" s="1" t="s">
        <v>3157</v>
      </c>
      <c r="C3075" s="1"/>
      <c r="D3075" s="1"/>
      <c r="E3075" s="1"/>
      <c r="F3075" s="1"/>
      <c r="G3075" s="1"/>
      <c r="H3075" s="1"/>
      <c r="I3075" s="1"/>
    </row>
    <row r="3076" ht="15.75" customHeight="1">
      <c r="A3076" s="1" t="s">
        <v>3172</v>
      </c>
      <c r="B3076" s="1" t="s">
        <v>3157</v>
      </c>
      <c r="C3076" s="1"/>
      <c r="D3076" s="1"/>
      <c r="E3076" s="1"/>
      <c r="F3076" s="1"/>
      <c r="G3076" s="1"/>
      <c r="H3076" s="1"/>
      <c r="I3076" s="1"/>
    </row>
    <row r="3077" ht="15.75" customHeight="1">
      <c r="A3077" s="1" t="s">
        <v>3173</v>
      </c>
      <c r="B3077" s="1" t="s">
        <v>3157</v>
      </c>
      <c r="C3077" s="1"/>
      <c r="D3077" s="1"/>
      <c r="E3077" s="1"/>
      <c r="F3077" s="1"/>
      <c r="G3077" s="1"/>
      <c r="H3077" s="1"/>
      <c r="I3077" s="1"/>
    </row>
    <row r="3078" ht="15.75" customHeight="1">
      <c r="A3078" s="1" t="s">
        <v>3174</v>
      </c>
      <c r="B3078" s="1" t="s">
        <v>3157</v>
      </c>
      <c r="C3078" s="1"/>
      <c r="D3078" s="1"/>
      <c r="E3078" s="1"/>
      <c r="F3078" s="1"/>
      <c r="G3078" s="1"/>
      <c r="H3078" s="1"/>
      <c r="I3078" s="1"/>
    </row>
    <row r="3079" ht="15.75" customHeight="1">
      <c r="A3079" s="1" t="s">
        <v>3175</v>
      </c>
      <c r="B3079" s="1" t="s">
        <v>3157</v>
      </c>
      <c r="C3079" s="1"/>
      <c r="D3079" s="1"/>
      <c r="E3079" s="1"/>
      <c r="F3079" s="1"/>
      <c r="G3079" s="1"/>
      <c r="H3079" s="1"/>
      <c r="I3079" s="1"/>
    </row>
    <row r="3080" ht="15.75" customHeight="1">
      <c r="A3080" s="1" t="s">
        <v>3176</v>
      </c>
      <c r="B3080" s="1" t="s">
        <v>3157</v>
      </c>
      <c r="C3080" s="1"/>
      <c r="D3080" s="1"/>
      <c r="E3080" s="1"/>
      <c r="F3080" s="1"/>
      <c r="G3080" s="1"/>
      <c r="H3080" s="1"/>
      <c r="I3080" s="1"/>
    </row>
    <row r="3081" ht="15.75" customHeight="1">
      <c r="A3081" s="1" t="s">
        <v>3177</v>
      </c>
      <c r="B3081" s="1" t="s">
        <v>3157</v>
      </c>
      <c r="C3081" s="1"/>
      <c r="D3081" s="1"/>
      <c r="E3081" s="1"/>
      <c r="F3081" s="1"/>
      <c r="G3081" s="1"/>
      <c r="H3081" s="1"/>
      <c r="I3081" s="1"/>
    </row>
    <row r="3082" ht="15.75" customHeight="1">
      <c r="A3082" s="1" t="s">
        <v>3178</v>
      </c>
      <c r="B3082" s="1" t="s">
        <v>3157</v>
      </c>
      <c r="C3082" s="1"/>
      <c r="D3082" s="1"/>
      <c r="E3082" s="1"/>
      <c r="F3082" s="1"/>
      <c r="G3082" s="1"/>
      <c r="H3082" s="1"/>
      <c r="I3082" s="1"/>
    </row>
    <row r="3083" ht="15.75" customHeight="1">
      <c r="A3083" s="1" t="s">
        <v>3179</v>
      </c>
      <c r="B3083" s="1" t="s">
        <v>3157</v>
      </c>
      <c r="C3083" s="1"/>
      <c r="D3083" s="1"/>
      <c r="E3083" s="1"/>
      <c r="F3083" s="1"/>
      <c r="G3083" s="1"/>
      <c r="H3083" s="1"/>
      <c r="I3083" s="1"/>
    </row>
    <row r="3084" ht="15.75" customHeight="1">
      <c r="A3084" s="1" t="s">
        <v>3180</v>
      </c>
      <c r="B3084" s="1" t="s">
        <v>3157</v>
      </c>
      <c r="C3084" s="1"/>
      <c r="D3084" s="1"/>
      <c r="E3084" s="1"/>
      <c r="F3084" s="1"/>
      <c r="G3084" s="1"/>
      <c r="H3084" s="1"/>
      <c r="I3084" s="1"/>
    </row>
    <row r="3085" ht="15.75" customHeight="1">
      <c r="A3085" s="1" t="s">
        <v>3181</v>
      </c>
      <c r="B3085" s="1" t="s">
        <v>3157</v>
      </c>
      <c r="C3085" s="1"/>
      <c r="D3085" s="1"/>
      <c r="E3085" s="1"/>
      <c r="F3085" s="1"/>
      <c r="G3085" s="1"/>
      <c r="H3085" s="1"/>
      <c r="I3085" s="1"/>
    </row>
    <row r="3086" ht="15.75" customHeight="1">
      <c r="A3086" s="1" t="s">
        <v>3182</v>
      </c>
      <c r="B3086" s="1" t="s">
        <v>3157</v>
      </c>
      <c r="C3086" s="1"/>
      <c r="D3086" s="1"/>
      <c r="E3086" s="1"/>
      <c r="F3086" s="1"/>
      <c r="G3086" s="1"/>
      <c r="H3086" s="1"/>
      <c r="I3086" s="1"/>
    </row>
    <row r="3087" ht="15.75" customHeight="1">
      <c r="A3087" s="1" t="s">
        <v>3183</v>
      </c>
      <c r="B3087" s="1" t="s">
        <v>3157</v>
      </c>
      <c r="C3087" s="1"/>
      <c r="D3087" s="1"/>
      <c r="E3087" s="1"/>
      <c r="F3087" s="1"/>
      <c r="G3087" s="1"/>
      <c r="H3087" s="1"/>
      <c r="I3087" s="1"/>
    </row>
    <row r="3088" ht="15.75" customHeight="1">
      <c r="A3088" s="1" t="s">
        <v>3184</v>
      </c>
      <c r="B3088" s="1" t="s">
        <v>3157</v>
      </c>
      <c r="C3088" s="1"/>
      <c r="D3088" s="1"/>
      <c r="E3088" s="1"/>
      <c r="F3088" s="1"/>
      <c r="G3088" s="1"/>
      <c r="H3088" s="1"/>
      <c r="I3088" s="1"/>
    </row>
    <row r="3089" ht="15.75" customHeight="1">
      <c r="A3089" s="1" t="s">
        <v>3185</v>
      </c>
      <c r="B3089" s="1" t="s">
        <v>3157</v>
      </c>
      <c r="C3089" s="1"/>
      <c r="D3089" s="1"/>
      <c r="E3089" s="1"/>
      <c r="F3089" s="1"/>
      <c r="G3089" s="1"/>
      <c r="H3089" s="1"/>
      <c r="I3089" s="1"/>
    </row>
    <row r="3090" ht="15.75" customHeight="1">
      <c r="A3090" s="1" t="s">
        <v>3186</v>
      </c>
      <c r="B3090" s="1" t="s">
        <v>3157</v>
      </c>
      <c r="C3090" s="1"/>
      <c r="D3090" s="1"/>
      <c r="E3090" s="1"/>
      <c r="F3090" s="1"/>
      <c r="G3090" s="1"/>
      <c r="H3090" s="1"/>
      <c r="I3090" s="1"/>
    </row>
    <row r="3091" ht="15.75" customHeight="1">
      <c r="A3091" s="1" t="s">
        <v>3187</v>
      </c>
      <c r="B3091" s="1" t="s">
        <v>3157</v>
      </c>
      <c r="C3091" s="1"/>
      <c r="D3091" s="1"/>
      <c r="E3091" s="1"/>
      <c r="F3091" s="1"/>
      <c r="G3091" s="1"/>
      <c r="H3091" s="1"/>
      <c r="I3091" s="1"/>
    </row>
    <row r="3092" ht="15.75" customHeight="1">
      <c r="A3092" s="1" t="s">
        <v>3188</v>
      </c>
      <c r="B3092" s="1" t="s">
        <v>3157</v>
      </c>
      <c r="C3092" s="1"/>
      <c r="D3092" s="1"/>
      <c r="E3092" s="1"/>
      <c r="F3092" s="1"/>
      <c r="G3092" s="1"/>
      <c r="H3092" s="1"/>
      <c r="I3092" s="1"/>
    </row>
    <row r="3093" ht="15.75" customHeight="1">
      <c r="A3093" s="1" t="s">
        <v>3189</v>
      </c>
      <c r="B3093" s="1" t="s">
        <v>3157</v>
      </c>
      <c r="C3093" s="1"/>
      <c r="D3093" s="1"/>
      <c r="E3093" s="1"/>
      <c r="F3093" s="1"/>
      <c r="G3093" s="1"/>
      <c r="H3093" s="1"/>
      <c r="I3093" s="1"/>
    </row>
    <row r="3094" ht="15.75" customHeight="1">
      <c r="A3094" s="1" t="s">
        <v>3190</v>
      </c>
      <c r="B3094" s="1" t="s">
        <v>3157</v>
      </c>
      <c r="C3094" s="1"/>
      <c r="D3094" s="1"/>
      <c r="E3094" s="1"/>
      <c r="F3094" s="1"/>
      <c r="G3094" s="1"/>
      <c r="H3094" s="1"/>
      <c r="I3094" s="1"/>
    </row>
    <row r="3095" ht="15.75" customHeight="1">
      <c r="A3095" s="1" t="s">
        <v>3191</v>
      </c>
      <c r="B3095" s="1" t="s">
        <v>3157</v>
      </c>
      <c r="C3095" s="1"/>
      <c r="D3095" s="1"/>
      <c r="E3095" s="1"/>
      <c r="F3095" s="1"/>
      <c r="G3095" s="1"/>
      <c r="H3095" s="1"/>
      <c r="I3095" s="1"/>
    </row>
    <row r="3096" ht="15.75" customHeight="1">
      <c r="A3096" s="1" t="s">
        <v>3192</v>
      </c>
      <c r="B3096" s="1" t="s">
        <v>3157</v>
      </c>
      <c r="C3096" s="1"/>
      <c r="D3096" s="1"/>
      <c r="E3096" s="1"/>
      <c r="F3096" s="1"/>
      <c r="G3096" s="1"/>
      <c r="H3096" s="1"/>
      <c r="I3096" s="1"/>
    </row>
    <row r="3097" ht="15.75" customHeight="1">
      <c r="A3097" s="1" t="s">
        <v>3193</v>
      </c>
      <c r="B3097" s="1" t="s">
        <v>3157</v>
      </c>
      <c r="C3097" s="1"/>
      <c r="D3097" s="1"/>
      <c r="E3097" s="1"/>
      <c r="F3097" s="1"/>
      <c r="G3097" s="1"/>
      <c r="H3097" s="1"/>
      <c r="I3097" s="1"/>
    </row>
    <row r="3098" ht="15.75" customHeight="1">
      <c r="A3098" s="1" t="s">
        <v>3194</v>
      </c>
      <c r="B3098" s="1" t="s">
        <v>3157</v>
      </c>
      <c r="C3098" s="1"/>
      <c r="D3098" s="1"/>
      <c r="E3098" s="1"/>
      <c r="F3098" s="1"/>
      <c r="G3098" s="1"/>
      <c r="H3098" s="1"/>
      <c r="I3098" s="1"/>
    </row>
    <row r="3099" ht="15.75" customHeight="1">
      <c r="A3099" s="1" t="s">
        <v>3195</v>
      </c>
      <c r="B3099" s="1" t="s">
        <v>3157</v>
      </c>
      <c r="C3099" s="1"/>
      <c r="D3099" s="1"/>
      <c r="E3099" s="1"/>
      <c r="F3099" s="1"/>
      <c r="G3099" s="1"/>
      <c r="H3099" s="1"/>
      <c r="I3099" s="1"/>
    </row>
    <row r="3100" ht="15.75" customHeight="1">
      <c r="A3100" s="1" t="s">
        <v>3196</v>
      </c>
      <c r="B3100" s="1" t="s">
        <v>3157</v>
      </c>
      <c r="C3100" s="1"/>
      <c r="D3100" s="1"/>
      <c r="E3100" s="1"/>
      <c r="F3100" s="1"/>
      <c r="G3100" s="1"/>
      <c r="H3100" s="1"/>
      <c r="I3100" s="1"/>
    </row>
    <row r="3101" ht="15.75" customHeight="1">
      <c r="A3101" s="1" t="s">
        <v>3197</v>
      </c>
      <c r="B3101" s="1" t="s">
        <v>3157</v>
      </c>
      <c r="C3101" s="1"/>
      <c r="D3101" s="1"/>
      <c r="E3101" s="1"/>
      <c r="F3101" s="1"/>
      <c r="G3101" s="1"/>
      <c r="H3101" s="1"/>
      <c r="I3101" s="1"/>
    </row>
    <row r="3102" ht="15.75" customHeight="1">
      <c r="A3102" s="1" t="s">
        <v>3198</v>
      </c>
      <c r="B3102" s="1" t="s">
        <v>3157</v>
      </c>
      <c r="C3102" s="1"/>
      <c r="D3102" s="1"/>
      <c r="E3102" s="1"/>
      <c r="F3102" s="1"/>
      <c r="G3102" s="1"/>
      <c r="H3102" s="1"/>
      <c r="I3102" s="1"/>
    </row>
    <row r="3103" ht="15.75" customHeight="1">
      <c r="A3103" s="1" t="s">
        <v>3199</v>
      </c>
      <c r="B3103" s="1" t="s">
        <v>3157</v>
      </c>
      <c r="C3103" s="1"/>
      <c r="D3103" s="1"/>
      <c r="E3103" s="1"/>
      <c r="F3103" s="1"/>
      <c r="G3103" s="1"/>
      <c r="H3103" s="1"/>
      <c r="I3103" s="1"/>
    </row>
    <row r="3104" ht="15.75" customHeight="1">
      <c r="A3104" s="1" t="s">
        <v>3200</v>
      </c>
      <c r="B3104" s="1" t="s">
        <v>3157</v>
      </c>
      <c r="C3104" s="1"/>
      <c r="D3104" s="1"/>
      <c r="E3104" s="1"/>
      <c r="F3104" s="1"/>
      <c r="G3104" s="1"/>
      <c r="H3104" s="1"/>
      <c r="I3104" s="1"/>
    </row>
    <row r="3105" ht="15.75" customHeight="1">
      <c r="A3105" s="1" t="s">
        <v>3201</v>
      </c>
      <c r="B3105" s="1" t="s">
        <v>3157</v>
      </c>
      <c r="C3105" s="1"/>
      <c r="D3105" s="1"/>
      <c r="E3105" s="1"/>
      <c r="F3105" s="1"/>
      <c r="G3105" s="1"/>
      <c r="H3105" s="1"/>
      <c r="I3105" s="1"/>
    </row>
    <row r="3106" ht="15.75" customHeight="1">
      <c r="A3106" s="1" t="s">
        <v>3202</v>
      </c>
      <c r="B3106" s="1" t="s">
        <v>3157</v>
      </c>
      <c r="C3106" s="1"/>
      <c r="D3106" s="1"/>
      <c r="E3106" s="1"/>
      <c r="F3106" s="1"/>
      <c r="G3106" s="1"/>
      <c r="H3106" s="1"/>
      <c r="I3106" s="1"/>
    </row>
    <row r="3107" ht="15.75" customHeight="1">
      <c r="A3107" s="1" t="s">
        <v>3203</v>
      </c>
      <c r="B3107" s="1" t="s">
        <v>3157</v>
      </c>
      <c r="C3107" s="1"/>
      <c r="D3107" s="1"/>
      <c r="E3107" s="1"/>
      <c r="F3107" s="1"/>
      <c r="G3107" s="1"/>
      <c r="H3107" s="1"/>
      <c r="I3107" s="1"/>
    </row>
    <row r="3108" ht="15.75" customHeight="1">
      <c r="A3108" s="1" t="s">
        <v>3204</v>
      </c>
      <c r="B3108" s="1" t="s">
        <v>3157</v>
      </c>
      <c r="C3108" s="1"/>
      <c r="D3108" s="1"/>
      <c r="E3108" s="1"/>
      <c r="F3108" s="1"/>
      <c r="G3108" s="1"/>
      <c r="H3108" s="1"/>
      <c r="I3108" s="1"/>
    </row>
    <row r="3109" ht="15.75" customHeight="1">
      <c r="A3109" s="1" t="s">
        <v>3205</v>
      </c>
      <c r="B3109" s="1" t="s">
        <v>3157</v>
      </c>
      <c r="C3109" s="1"/>
      <c r="D3109" s="1"/>
      <c r="E3109" s="1"/>
      <c r="F3109" s="1"/>
      <c r="G3109" s="1"/>
      <c r="H3109" s="1"/>
      <c r="I3109" s="1"/>
    </row>
    <row r="3110" ht="15.75" customHeight="1">
      <c r="A3110" s="1" t="s">
        <v>3206</v>
      </c>
      <c r="B3110" s="1" t="s">
        <v>3157</v>
      </c>
      <c r="C3110" s="1"/>
      <c r="D3110" s="1"/>
      <c r="E3110" s="1"/>
      <c r="F3110" s="1"/>
      <c r="G3110" s="1"/>
      <c r="H3110" s="1"/>
      <c r="I3110" s="1"/>
    </row>
    <row r="3111" ht="15.75" customHeight="1">
      <c r="A3111" s="1" t="s">
        <v>3207</v>
      </c>
      <c r="B3111" s="1" t="s">
        <v>3157</v>
      </c>
      <c r="C3111" s="1"/>
      <c r="D3111" s="1"/>
      <c r="E3111" s="1"/>
      <c r="F3111" s="1"/>
      <c r="G3111" s="1"/>
      <c r="H3111" s="1"/>
      <c r="I3111" s="1"/>
    </row>
    <row r="3112" ht="15.75" customHeight="1">
      <c r="A3112" s="1" t="s">
        <v>3208</v>
      </c>
      <c r="B3112" s="1" t="s">
        <v>3157</v>
      </c>
      <c r="C3112" s="1"/>
      <c r="D3112" s="1"/>
      <c r="E3112" s="1"/>
      <c r="F3112" s="1"/>
      <c r="G3112" s="1"/>
      <c r="H3112" s="1"/>
      <c r="I3112" s="1"/>
    </row>
    <row r="3113" ht="15.75" customHeight="1">
      <c r="A3113" s="1" t="s">
        <v>3209</v>
      </c>
      <c r="B3113" s="1" t="s">
        <v>3157</v>
      </c>
      <c r="C3113" s="1"/>
      <c r="D3113" s="1"/>
      <c r="E3113" s="1"/>
      <c r="F3113" s="1"/>
      <c r="G3113" s="1"/>
      <c r="H3113" s="1"/>
      <c r="I3113" s="1"/>
    </row>
    <row r="3114" ht="15.75" customHeight="1">
      <c r="A3114" s="1" t="s">
        <v>3210</v>
      </c>
      <c r="B3114" s="1" t="s">
        <v>3157</v>
      </c>
      <c r="C3114" s="1"/>
      <c r="D3114" s="1"/>
      <c r="E3114" s="1"/>
      <c r="F3114" s="1"/>
      <c r="G3114" s="1"/>
      <c r="H3114" s="1"/>
      <c r="I3114" s="1"/>
    </row>
    <row r="3115" ht="15.75" customHeight="1">
      <c r="A3115" s="1" t="s">
        <v>3211</v>
      </c>
      <c r="B3115" s="1" t="s">
        <v>3157</v>
      </c>
      <c r="C3115" s="1"/>
      <c r="D3115" s="1"/>
      <c r="E3115" s="1"/>
      <c r="F3115" s="1"/>
      <c r="G3115" s="1"/>
      <c r="H3115" s="1"/>
      <c r="I3115" s="1"/>
    </row>
    <row r="3116" ht="15.75" customHeight="1">
      <c r="A3116" s="1" t="s">
        <v>3212</v>
      </c>
      <c r="B3116" s="1" t="s">
        <v>3157</v>
      </c>
      <c r="C3116" s="1"/>
      <c r="D3116" s="1"/>
      <c r="E3116" s="1"/>
      <c r="F3116" s="1"/>
      <c r="G3116" s="1"/>
      <c r="H3116" s="1"/>
      <c r="I3116" s="1"/>
    </row>
    <row r="3117" ht="15.75" customHeight="1">
      <c r="A3117" s="1" t="s">
        <v>3213</v>
      </c>
      <c r="B3117" s="1" t="s">
        <v>3157</v>
      </c>
      <c r="C3117" s="1"/>
      <c r="D3117" s="1"/>
      <c r="E3117" s="1"/>
      <c r="F3117" s="1"/>
      <c r="G3117" s="1"/>
      <c r="H3117" s="1"/>
      <c r="I3117" s="1"/>
    </row>
    <row r="3118" ht="15.75" customHeight="1">
      <c r="A3118" s="1" t="s">
        <v>3214</v>
      </c>
      <c r="B3118" s="1" t="s">
        <v>3157</v>
      </c>
      <c r="C3118" s="1"/>
      <c r="D3118" s="1"/>
      <c r="E3118" s="1"/>
      <c r="F3118" s="1"/>
      <c r="G3118" s="1"/>
      <c r="H3118" s="1"/>
      <c r="I3118" s="1"/>
    </row>
    <row r="3119" ht="15.75" customHeight="1">
      <c r="A3119" s="1" t="s">
        <v>3215</v>
      </c>
      <c r="B3119" s="1" t="s">
        <v>3157</v>
      </c>
      <c r="C3119" s="1"/>
      <c r="D3119" s="1"/>
      <c r="E3119" s="1"/>
      <c r="F3119" s="1"/>
      <c r="G3119" s="1"/>
      <c r="H3119" s="1"/>
      <c r="I3119" s="1"/>
    </row>
    <row r="3120" ht="15.75" customHeight="1">
      <c r="A3120" s="1" t="s">
        <v>3216</v>
      </c>
      <c r="B3120" s="1" t="s">
        <v>3157</v>
      </c>
      <c r="C3120" s="1"/>
      <c r="D3120" s="1"/>
      <c r="E3120" s="1"/>
      <c r="F3120" s="1"/>
      <c r="G3120" s="1"/>
      <c r="H3120" s="1"/>
      <c r="I3120" s="1"/>
    </row>
    <row r="3121" ht="15.75" customHeight="1">
      <c r="A3121" s="1" t="s">
        <v>3217</v>
      </c>
      <c r="B3121" s="1" t="s">
        <v>3157</v>
      </c>
      <c r="C3121" s="1"/>
      <c r="D3121" s="1"/>
      <c r="E3121" s="1"/>
      <c r="F3121" s="1"/>
      <c r="G3121" s="1"/>
      <c r="H3121" s="1"/>
      <c r="I3121" s="1"/>
    </row>
    <row r="3122" ht="15.75" customHeight="1">
      <c r="A3122" s="1" t="s">
        <v>3218</v>
      </c>
      <c r="B3122" s="1" t="s">
        <v>3157</v>
      </c>
      <c r="C3122" s="1"/>
      <c r="D3122" s="1"/>
      <c r="E3122" s="1"/>
      <c r="F3122" s="1"/>
      <c r="G3122" s="1"/>
      <c r="H3122" s="1"/>
      <c r="I3122" s="1"/>
    </row>
    <row r="3123" ht="15.75" customHeight="1">
      <c r="A3123" s="1" t="s">
        <v>3219</v>
      </c>
      <c r="B3123" s="1" t="s">
        <v>3157</v>
      </c>
      <c r="C3123" s="1"/>
      <c r="D3123" s="1"/>
      <c r="E3123" s="1"/>
      <c r="F3123" s="1"/>
      <c r="G3123" s="1"/>
      <c r="H3123" s="1"/>
      <c r="I3123" s="1"/>
    </row>
    <row r="3124" ht="15.75" customHeight="1">
      <c r="A3124" s="1" t="s">
        <v>3220</v>
      </c>
      <c r="B3124" s="1" t="s">
        <v>3157</v>
      </c>
      <c r="C3124" s="1"/>
      <c r="D3124" s="1"/>
      <c r="E3124" s="1"/>
      <c r="F3124" s="1"/>
      <c r="G3124" s="1"/>
      <c r="H3124" s="1"/>
      <c r="I3124" s="1"/>
    </row>
    <row r="3125" ht="15.75" customHeight="1">
      <c r="A3125" s="1" t="s">
        <v>3221</v>
      </c>
      <c r="B3125" s="1" t="s">
        <v>3157</v>
      </c>
      <c r="C3125" s="1"/>
      <c r="D3125" s="1"/>
      <c r="E3125" s="1"/>
      <c r="F3125" s="1"/>
      <c r="G3125" s="1"/>
      <c r="H3125" s="1"/>
      <c r="I3125" s="1"/>
    </row>
    <row r="3126" ht="15.75" customHeight="1">
      <c r="A3126" s="1" t="s">
        <v>3222</v>
      </c>
      <c r="B3126" s="1" t="s">
        <v>3157</v>
      </c>
      <c r="C3126" s="1"/>
      <c r="D3126" s="1"/>
      <c r="E3126" s="1"/>
      <c r="F3126" s="1"/>
      <c r="G3126" s="1"/>
      <c r="H3126" s="1"/>
      <c r="I3126" s="1"/>
    </row>
    <row r="3127" ht="15.75" customHeight="1">
      <c r="A3127" s="1" t="s">
        <v>3223</v>
      </c>
      <c r="B3127" s="1" t="s">
        <v>3157</v>
      </c>
      <c r="C3127" s="1"/>
      <c r="D3127" s="1"/>
      <c r="E3127" s="1"/>
      <c r="F3127" s="1"/>
      <c r="G3127" s="1"/>
      <c r="H3127" s="1"/>
      <c r="I3127" s="1"/>
    </row>
    <row r="3128" ht="15.75" customHeight="1">
      <c r="A3128" s="1" t="s">
        <v>3224</v>
      </c>
      <c r="B3128" s="1" t="s">
        <v>3157</v>
      </c>
      <c r="C3128" s="1"/>
      <c r="D3128" s="1"/>
      <c r="E3128" s="1"/>
      <c r="F3128" s="1"/>
      <c r="G3128" s="1"/>
      <c r="H3128" s="1"/>
      <c r="I3128" s="1"/>
    </row>
    <row r="3129" ht="15.75" customHeight="1">
      <c r="A3129" s="1" t="s">
        <v>3225</v>
      </c>
      <c r="B3129" s="1" t="s">
        <v>3157</v>
      </c>
      <c r="C3129" s="1"/>
      <c r="D3129" s="1"/>
      <c r="E3129" s="1"/>
      <c r="F3129" s="1"/>
      <c r="G3129" s="1"/>
      <c r="H3129" s="1"/>
      <c r="I3129" s="1"/>
    </row>
    <row r="3130" ht="15.75" customHeight="1">
      <c r="A3130" s="1" t="s">
        <v>3226</v>
      </c>
      <c r="B3130" s="1" t="s">
        <v>3157</v>
      </c>
      <c r="C3130" s="1"/>
      <c r="D3130" s="1"/>
      <c r="E3130" s="1"/>
      <c r="F3130" s="1"/>
      <c r="G3130" s="1"/>
      <c r="H3130" s="1"/>
      <c r="I3130" s="1"/>
    </row>
    <row r="3131" ht="15.75" customHeight="1">
      <c r="A3131" s="1" t="s">
        <v>3227</v>
      </c>
      <c r="B3131" s="1" t="s">
        <v>3157</v>
      </c>
      <c r="C3131" s="1"/>
      <c r="D3131" s="1"/>
      <c r="E3131" s="1"/>
      <c r="F3131" s="1"/>
      <c r="G3131" s="1"/>
      <c r="H3131" s="1"/>
      <c r="I3131" s="1"/>
    </row>
    <row r="3132" ht="15.75" customHeight="1">
      <c r="A3132" s="1" t="s">
        <v>3228</v>
      </c>
      <c r="B3132" s="1" t="s">
        <v>3157</v>
      </c>
      <c r="C3132" s="1"/>
      <c r="D3132" s="1"/>
      <c r="E3132" s="1"/>
      <c r="F3132" s="1"/>
      <c r="G3132" s="1"/>
      <c r="H3132" s="1"/>
      <c r="I3132" s="1"/>
    </row>
    <row r="3133" ht="15.75" customHeight="1">
      <c r="A3133" s="1" t="s">
        <v>3229</v>
      </c>
      <c r="B3133" s="1" t="s">
        <v>3157</v>
      </c>
      <c r="C3133" s="1"/>
      <c r="D3133" s="1"/>
      <c r="E3133" s="1"/>
      <c r="F3133" s="1"/>
      <c r="G3133" s="1"/>
      <c r="H3133" s="1"/>
      <c r="I3133" s="1"/>
    </row>
    <row r="3134" ht="15.75" customHeight="1">
      <c r="A3134" s="1" t="s">
        <v>3230</v>
      </c>
      <c r="B3134" s="1" t="s">
        <v>3157</v>
      </c>
      <c r="C3134" s="1"/>
      <c r="D3134" s="1"/>
      <c r="E3134" s="1"/>
      <c r="F3134" s="1"/>
      <c r="G3134" s="1"/>
      <c r="H3134" s="1"/>
      <c r="I3134" s="1"/>
    </row>
    <row r="3135" ht="15.75" customHeight="1">
      <c r="A3135" s="1" t="s">
        <v>3231</v>
      </c>
      <c r="B3135" s="1" t="s">
        <v>3157</v>
      </c>
      <c r="C3135" s="1"/>
      <c r="D3135" s="1"/>
      <c r="E3135" s="1"/>
      <c r="F3135" s="1"/>
      <c r="G3135" s="1"/>
      <c r="H3135" s="1"/>
      <c r="I3135" s="1"/>
    </row>
    <row r="3136" ht="15.75" customHeight="1">
      <c r="A3136" s="1" t="s">
        <v>3232</v>
      </c>
      <c r="B3136" s="1" t="s">
        <v>3157</v>
      </c>
      <c r="C3136" s="1"/>
      <c r="D3136" s="1"/>
      <c r="E3136" s="1"/>
      <c r="F3136" s="1"/>
      <c r="G3136" s="1"/>
      <c r="H3136" s="1"/>
      <c r="I3136" s="1"/>
    </row>
    <row r="3137" ht="15.75" customHeight="1">
      <c r="A3137" s="1" t="s">
        <v>3233</v>
      </c>
      <c r="B3137" s="1" t="s">
        <v>3157</v>
      </c>
      <c r="C3137" s="1"/>
      <c r="D3137" s="1"/>
      <c r="E3137" s="1"/>
      <c r="F3137" s="1"/>
      <c r="G3137" s="1"/>
      <c r="H3137" s="1"/>
      <c r="I3137" s="1"/>
    </row>
    <row r="3138" ht="15.75" customHeight="1">
      <c r="A3138" s="1" t="s">
        <v>3234</v>
      </c>
      <c r="B3138" s="1" t="s">
        <v>3157</v>
      </c>
      <c r="C3138" s="1"/>
      <c r="D3138" s="1"/>
      <c r="E3138" s="1"/>
      <c r="F3138" s="1"/>
      <c r="G3138" s="1"/>
      <c r="H3138" s="1"/>
      <c r="I3138" s="1"/>
    </row>
    <row r="3139" ht="15.75" customHeight="1">
      <c r="A3139" s="1" t="s">
        <v>3235</v>
      </c>
      <c r="B3139" s="1" t="s">
        <v>3157</v>
      </c>
      <c r="C3139" s="1"/>
      <c r="D3139" s="1"/>
      <c r="E3139" s="1"/>
      <c r="F3139" s="1"/>
      <c r="G3139" s="1"/>
      <c r="H3139" s="1"/>
      <c r="I3139" s="1"/>
    </row>
    <row r="3140" ht="15.75" customHeight="1">
      <c r="A3140" s="1" t="s">
        <v>3236</v>
      </c>
      <c r="B3140" s="1" t="s">
        <v>3157</v>
      </c>
      <c r="C3140" s="1"/>
      <c r="D3140" s="1"/>
      <c r="E3140" s="1"/>
      <c r="F3140" s="1"/>
      <c r="G3140" s="1"/>
      <c r="H3140" s="1"/>
      <c r="I3140" s="1"/>
    </row>
    <row r="3141" ht="15.75" customHeight="1">
      <c r="A3141" s="1" t="s">
        <v>3237</v>
      </c>
      <c r="B3141" s="1" t="s">
        <v>3157</v>
      </c>
      <c r="C3141" s="1"/>
      <c r="D3141" s="1"/>
      <c r="E3141" s="1"/>
      <c r="F3141" s="1"/>
      <c r="G3141" s="1"/>
      <c r="H3141" s="1"/>
      <c r="I3141" s="1"/>
    </row>
    <row r="3142" ht="15.75" customHeight="1">
      <c r="A3142" s="1" t="s">
        <v>3238</v>
      </c>
      <c r="B3142" s="1" t="s">
        <v>3157</v>
      </c>
      <c r="C3142" s="1"/>
      <c r="D3142" s="1"/>
      <c r="E3142" s="1"/>
      <c r="F3142" s="1"/>
      <c r="G3142" s="1"/>
      <c r="H3142" s="1"/>
      <c r="I3142" s="1"/>
    </row>
    <row r="3143" ht="15.75" customHeight="1">
      <c r="A3143" s="1" t="s">
        <v>3239</v>
      </c>
      <c r="B3143" s="1" t="s">
        <v>3157</v>
      </c>
      <c r="C3143" s="1"/>
      <c r="D3143" s="1"/>
      <c r="E3143" s="1"/>
      <c r="F3143" s="1"/>
      <c r="G3143" s="1"/>
      <c r="H3143" s="1"/>
      <c r="I3143" s="1"/>
    </row>
    <row r="3144" ht="15.75" customHeight="1">
      <c r="A3144" s="1" t="s">
        <v>3240</v>
      </c>
      <c r="B3144" s="1" t="s">
        <v>3157</v>
      </c>
      <c r="C3144" s="1"/>
      <c r="D3144" s="1"/>
      <c r="E3144" s="1"/>
      <c r="F3144" s="1"/>
      <c r="G3144" s="1"/>
      <c r="H3144" s="1"/>
      <c r="I3144" s="1"/>
    </row>
    <row r="3145" ht="15.75" customHeight="1">
      <c r="A3145" s="1" t="s">
        <v>3241</v>
      </c>
      <c r="B3145" s="1" t="s">
        <v>3157</v>
      </c>
      <c r="C3145" s="1"/>
      <c r="D3145" s="1"/>
      <c r="E3145" s="1"/>
      <c r="F3145" s="1"/>
      <c r="G3145" s="1"/>
      <c r="H3145" s="1"/>
      <c r="I3145" s="1"/>
    </row>
    <row r="3146" ht="15.75" customHeight="1">
      <c r="A3146" s="1" t="s">
        <v>3242</v>
      </c>
      <c r="B3146" s="1" t="s">
        <v>3157</v>
      </c>
      <c r="C3146" s="1"/>
      <c r="D3146" s="1"/>
      <c r="E3146" s="1"/>
      <c r="F3146" s="1"/>
      <c r="G3146" s="1"/>
      <c r="H3146" s="1"/>
      <c r="I3146" s="1"/>
    </row>
    <row r="3147" ht="15.75" customHeight="1">
      <c r="A3147" s="1" t="s">
        <v>3243</v>
      </c>
      <c r="B3147" s="1" t="s">
        <v>3157</v>
      </c>
      <c r="C3147" s="1"/>
      <c r="D3147" s="1"/>
      <c r="E3147" s="1"/>
      <c r="F3147" s="1"/>
      <c r="G3147" s="1"/>
      <c r="H3147" s="1"/>
      <c r="I3147" s="1"/>
    </row>
    <row r="3148" ht="15.75" customHeight="1">
      <c r="A3148" s="1" t="s">
        <v>3244</v>
      </c>
      <c r="B3148" s="1" t="s">
        <v>3157</v>
      </c>
      <c r="C3148" s="1"/>
      <c r="D3148" s="1"/>
      <c r="E3148" s="1"/>
      <c r="F3148" s="1"/>
      <c r="G3148" s="1"/>
      <c r="H3148" s="1"/>
      <c r="I3148" s="1"/>
    </row>
    <row r="3149" ht="15.75" customHeight="1">
      <c r="A3149" s="1" t="s">
        <v>3245</v>
      </c>
      <c r="B3149" s="1" t="s">
        <v>3157</v>
      </c>
      <c r="C3149" s="1"/>
      <c r="D3149" s="1"/>
      <c r="E3149" s="1"/>
      <c r="F3149" s="1"/>
      <c r="G3149" s="1"/>
      <c r="H3149" s="1"/>
      <c r="I3149" s="1"/>
    </row>
    <row r="3150" ht="15.75" customHeight="1">
      <c r="A3150" s="1" t="s">
        <v>3246</v>
      </c>
      <c r="B3150" s="1" t="s">
        <v>3157</v>
      </c>
      <c r="C3150" s="1"/>
      <c r="D3150" s="1"/>
      <c r="E3150" s="1"/>
      <c r="F3150" s="1"/>
      <c r="G3150" s="1"/>
      <c r="H3150" s="1"/>
      <c r="I3150" s="1"/>
    </row>
    <row r="3151" ht="15.75" customHeight="1">
      <c r="A3151" s="1" t="s">
        <v>3247</v>
      </c>
      <c r="B3151" s="1" t="s">
        <v>3157</v>
      </c>
      <c r="C3151" s="1"/>
      <c r="D3151" s="1"/>
      <c r="E3151" s="1"/>
      <c r="F3151" s="1"/>
      <c r="G3151" s="1"/>
      <c r="H3151" s="1"/>
      <c r="I3151" s="1"/>
    </row>
    <row r="3152" ht="15.75" customHeight="1">
      <c r="A3152" s="1" t="s">
        <v>3248</v>
      </c>
      <c r="B3152" s="1" t="s">
        <v>3157</v>
      </c>
      <c r="C3152" s="1"/>
      <c r="D3152" s="1"/>
      <c r="E3152" s="1"/>
      <c r="F3152" s="1"/>
      <c r="G3152" s="1"/>
      <c r="H3152" s="1"/>
      <c r="I3152" s="1"/>
    </row>
    <row r="3153" ht="15.75" customHeight="1">
      <c r="A3153" s="1" t="s">
        <v>3249</v>
      </c>
      <c r="B3153" s="1" t="s">
        <v>3157</v>
      </c>
      <c r="C3153" s="1"/>
      <c r="D3153" s="1"/>
      <c r="E3153" s="1"/>
      <c r="F3153" s="1"/>
      <c r="G3153" s="1"/>
      <c r="H3153" s="1"/>
      <c r="I3153" s="1"/>
    </row>
    <row r="3154" ht="15.75" customHeight="1">
      <c r="A3154" s="1" t="s">
        <v>3250</v>
      </c>
      <c r="B3154" s="1" t="s">
        <v>3157</v>
      </c>
      <c r="C3154" s="1"/>
      <c r="D3154" s="1"/>
      <c r="E3154" s="1"/>
      <c r="F3154" s="1"/>
      <c r="G3154" s="1"/>
      <c r="H3154" s="1"/>
      <c r="I3154" s="1"/>
    </row>
    <row r="3155" ht="15.75" customHeight="1">
      <c r="A3155" s="1" t="s">
        <v>3251</v>
      </c>
      <c r="B3155" s="1" t="s">
        <v>3157</v>
      </c>
      <c r="C3155" s="1"/>
      <c r="D3155" s="1"/>
      <c r="E3155" s="1"/>
      <c r="F3155" s="1"/>
      <c r="G3155" s="1"/>
      <c r="H3155" s="1"/>
      <c r="I3155" s="1"/>
    </row>
    <row r="3156" ht="15.75" customHeight="1">
      <c r="A3156" s="1" t="s">
        <v>3252</v>
      </c>
      <c r="B3156" s="1" t="s">
        <v>3157</v>
      </c>
      <c r="C3156" s="1"/>
      <c r="D3156" s="1"/>
      <c r="E3156" s="1"/>
      <c r="F3156" s="1"/>
      <c r="G3156" s="1"/>
      <c r="H3156" s="1"/>
      <c r="I3156" s="1"/>
    </row>
    <row r="3157" ht="15.75" customHeight="1">
      <c r="A3157" s="1" t="s">
        <v>3253</v>
      </c>
      <c r="B3157" s="1" t="s">
        <v>3157</v>
      </c>
      <c r="C3157" s="1"/>
      <c r="D3157" s="1"/>
      <c r="E3157" s="1"/>
      <c r="F3157" s="1"/>
      <c r="G3157" s="1"/>
      <c r="H3157" s="1"/>
      <c r="I3157" s="1"/>
    </row>
    <row r="3158" ht="15.75" customHeight="1">
      <c r="A3158" s="1" t="s">
        <v>3254</v>
      </c>
      <c r="B3158" s="1" t="s">
        <v>3157</v>
      </c>
      <c r="C3158" s="1"/>
      <c r="D3158" s="1"/>
      <c r="E3158" s="1"/>
      <c r="F3158" s="1"/>
      <c r="G3158" s="1"/>
      <c r="H3158" s="1"/>
      <c r="I3158" s="1"/>
    </row>
    <row r="3159" ht="15.75" customHeight="1">
      <c r="A3159" s="1" t="s">
        <v>3255</v>
      </c>
      <c r="B3159" s="1" t="s">
        <v>3157</v>
      </c>
      <c r="C3159" s="1"/>
      <c r="D3159" s="1"/>
      <c r="E3159" s="1"/>
      <c r="F3159" s="1"/>
      <c r="G3159" s="1"/>
      <c r="H3159" s="1"/>
      <c r="I3159" s="1"/>
    </row>
    <row r="3160" ht="15.75" customHeight="1">
      <c r="A3160" s="1" t="s">
        <v>3256</v>
      </c>
      <c r="B3160" s="1" t="s">
        <v>3157</v>
      </c>
      <c r="C3160" s="1"/>
      <c r="D3160" s="1"/>
      <c r="E3160" s="1"/>
      <c r="F3160" s="1"/>
      <c r="G3160" s="1"/>
      <c r="H3160" s="1"/>
      <c r="I3160" s="1"/>
    </row>
    <row r="3161" ht="15.75" customHeight="1">
      <c r="A3161" s="1" t="s">
        <v>3257</v>
      </c>
      <c r="B3161" s="1" t="s">
        <v>3157</v>
      </c>
      <c r="C3161" s="1"/>
      <c r="D3161" s="1"/>
      <c r="E3161" s="1"/>
      <c r="F3161" s="1"/>
      <c r="G3161" s="1"/>
      <c r="H3161" s="1"/>
      <c r="I3161" s="1"/>
    </row>
    <row r="3162" ht="15.75" customHeight="1">
      <c r="A3162" s="1" t="s">
        <v>3258</v>
      </c>
      <c r="B3162" s="1" t="s">
        <v>3157</v>
      </c>
      <c r="C3162" s="1"/>
      <c r="D3162" s="1"/>
      <c r="E3162" s="1"/>
      <c r="F3162" s="1"/>
      <c r="G3162" s="1"/>
      <c r="H3162" s="1"/>
      <c r="I3162" s="1"/>
    </row>
    <row r="3163" ht="15.75" customHeight="1">
      <c r="A3163" s="1" t="s">
        <v>3259</v>
      </c>
      <c r="B3163" s="1" t="s">
        <v>3157</v>
      </c>
      <c r="C3163" s="1"/>
      <c r="D3163" s="1"/>
      <c r="E3163" s="1"/>
      <c r="F3163" s="1"/>
      <c r="G3163" s="1"/>
      <c r="H3163" s="1"/>
      <c r="I3163" s="1"/>
    </row>
    <row r="3164" ht="15.75" customHeight="1">
      <c r="A3164" s="1" t="s">
        <v>3260</v>
      </c>
      <c r="B3164" s="1" t="s">
        <v>3157</v>
      </c>
      <c r="C3164" s="1"/>
      <c r="D3164" s="1"/>
      <c r="E3164" s="1"/>
      <c r="F3164" s="1"/>
      <c r="G3164" s="1"/>
      <c r="H3164" s="1"/>
      <c r="I3164" s="1"/>
    </row>
    <row r="3165" ht="15.75" customHeight="1">
      <c r="A3165" s="1" t="s">
        <v>3261</v>
      </c>
      <c r="B3165" s="1" t="s">
        <v>3157</v>
      </c>
      <c r="C3165" s="1"/>
      <c r="D3165" s="1"/>
      <c r="E3165" s="1"/>
      <c r="F3165" s="1"/>
      <c r="G3165" s="1"/>
      <c r="H3165" s="1"/>
      <c r="I3165" s="1"/>
    </row>
    <row r="3166" ht="15.75" customHeight="1">
      <c r="A3166" s="1" t="s">
        <v>3262</v>
      </c>
      <c r="B3166" s="1" t="s">
        <v>3157</v>
      </c>
      <c r="C3166" s="1"/>
      <c r="D3166" s="1"/>
      <c r="E3166" s="1"/>
      <c r="F3166" s="1"/>
      <c r="G3166" s="1"/>
      <c r="H3166" s="1"/>
      <c r="I3166" s="1"/>
    </row>
    <row r="3167" ht="15.75" customHeight="1">
      <c r="A3167" s="1" t="s">
        <v>3263</v>
      </c>
      <c r="B3167" s="1" t="s">
        <v>3157</v>
      </c>
      <c r="C3167" s="1"/>
      <c r="D3167" s="1"/>
      <c r="E3167" s="1"/>
      <c r="F3167" s="1"/>
      <c r="G3167" s="1"/>
      <c r="H3167" s="1"/>
      <c r="I3167" s="1"/>
    </row>
    <row r="3168" ht="15.75" customHeight="1">
      <c r="A3168" s="1" t="s">
        <v>3264</v>
      </c>
      <c r="B3168" s="1" t="s">
        <v>3157</v>
      </c>
      <c r="C3168" s="1"/>
      <c r="D3168" s="1"/>
      <c r="E3168" s="1"/>
      <c r="F3168" s="1"/>
      <c r="G3168" s="1"/>
      <c r="H3168" s="1"/>
      <c r="I3168" s="1"/>
    </row>
    <row r="3169" ht="15.75" customHeight="1">
      <c r="A3169" s="1" t="s">
        <v>3265</v>
      </c>
      <c r="B3169" s="1" t="s">
        <v>3157</v>
      </c>
      <c r="C3169" s="1"/>
      <c r="D3169" s="1"/>
      <c r="E3169" s="1"/>
      <c r="F3169" s="1"/>
      <c r="G3169" s="1"/>
      <c r="H3169" s="1"/>
      <c r="I3169" s="1"/>
    </row>
    <row r="3170" ht="15.75" customHeight="1">
      <c r="A3170" s="1" t="s">
        <v>3266</v>
      </c>
      <c r="B3170" s="1" t="s">
        <v>3157</v>
      </c>
      <c r="C3170" s="1"/>
      <c r="D3170" s="1"/>
      <c r="E3170" s="1"/>
      <c r="F3170" s="1"/>
      <c r="G3170" s="1"/>
      <c r="H3170" s="1"/>
      <c r="I3170" s="1"/>
    </row>
    <row r="3171" ht="15.75" customHeight="1">
      <c r="A3171" s="1" t="s">
        <v>3267</v>
      </c>
      <c r="B3171" s="1" t="s">
        <v>3157</v>
      </c>
      <c r="C3171" s="1"/>
      <c r="D3171" s="1"/>
      <c r="E3171" s="1"/>
      <c r="F3171" s="1"/>
      <c r="G3171" s="1"/>
      <c r="H3171" s="1"/>
      <c r="I3171" s="1"/>
    </row>
    <row r="3172" ht="15.75" customHeight="1">
      <c r="A3172" s="1" t="s">
        <v>3268</v>
      </c>
      <c r="B3172" s="1" t="s">
        <v>3157</v>
      </c>
      <c r="C3172" s="1"/>
      <c r="D3172" s="1"/>
      <c r="E3172" s="1"/>
      <c r="F3172" s="1"/>
      <c r="G3172" s="1"/>
      <c r="H3172" s="1"/>
      <c r="I3172" s="1"/>
    </row>
    <row r="3173" ht="15.75" customHeight="1">
      <c r="A3173" s="1" t="s">
        <v>3269</v>
      </c>
      <c r="B3173" s="1" t="s">
        <v>3157</v>
      </c>
      <c r="C3173" s="1"/>
      <c r="D3173" s="1"/>
      <c r="E3173" s="1"/>
      <c r="F3173" s="1"/>
      <c r="G3173" s="1"/>
      <c r="H3173" s="1"/>
      <c r="I3173" s="1"/>
    </row>
    <row r="3174" ht="15.75" customHeight="1">
      <c r="A3174" s="1" t="s">
        <v>3270</v>
      </c>
      <c r="B3174" s="1" t="s">
        <v>3157</v>
      </c>
      <c r="C3174" s="1"/>
      <c r="D3174" s="1"/>
      <c r="E3174" s="1"/>
      <c r="F3174" s="1"/>
      <c r="G3174" s="1"/>
      <c r="H3174" s="1"/>
      <c r="I3174" s="1"/>
    </row>
    <row r="3175" ht="15.75" customHeight="1">
      <c r="A3175" s="1" t="s">
        <v>3271</v>
      </c>
      <c r="B3175" s="1" t="s">
        <v>3157</v>
      </c>
      <c r="C3175" s="1"/>
      <c r="D3175" s="1"/>
      <c r="E3175" s="1"/>
      <c r="F3175" s="1"/>
      <c r="G3175" s="1"/>
      <c r="H3175" s="1"/>
      <c r="I3175" s="1"/>
    </row>
    <row r="3176" ht="15.75" customHeight="1">
      <c r="A3176" s="1" t="s">
        <v>3272</v>
      </c>
      <c r="B3176" s="1" t="s">
        <v>3157</v>
      </c>
      <c r="C3176" s="1"/>
      <c r="D3176" s="1"/>
      <c r="E3176" s="1"/>
      <c r="F3176" s="1"/>
      <c r="G3176" s="1"/>
      <c r="H3176" s="1"/>
      <c r="I3176" s="1"/>
    </row>
    <row r="3177" ht="15.75" customHeight="1">
      <c r="A3177" s="1" t="s">
        <v>3273</v>
      </c>
      <c r="B3177" s="1" t="s">
        <v>3157</v>
      </c>
      <c r="C3177" s="1"/>
      <c r="D3177" s="1"/>
      <c r="E3177" s="1"/>
      <c r="F3177" s="1"/>
      <c r="G3177" s="1"/>
      <c r="H3177" s="1"/>
      <c r="I3177" s="1"/>
    </row>
    <row r="3178" ht="15.75" customHeight="1">
      <c r="A3178" s="1" t="s">
        <v>3274</v>
      </c>
      <c r="B3178" s="1" t="s">
        <v>3157</v>
      </c>
      <c r="C3178" s="1"/>
      <c r="D3178" s="1"/>
      <c r="E3178" s="1"/>
      <c r="F3178" s="1"/>
      <c r="G3178" s="1"/>
      <c r="H3178" s="1"/>
      <c r="I3178" s="1"/>
    </row>
    <row r="3179" ht="15.75" customHeight="1">
      <c r="A3179" s="1" t="s">
        <v>3275</v>
      </c>
      <c r="B3179" s="1" t="s">
        <v>3157</v>
      </c>
      <c r="C3179" s="1"/>
      <c r="D3179" s="1"/>
      <c r="E3179" s="1"/>
      <c r="F3179" s="1"/>
      <c r="G3179" s="1"/>
      <c r="H3179" s="1"/>
      <c r="I3179" s="1"/>
    </row>
    <row r="3180" ht="15.75" customHeight="1">
      <c r="A3180" s="1" t="s">
        <v>3276</v>
      </c>
      <c r="B3180" s="1" t="s">
        <v>3157</v>
      </c>
      <c r="C3180" s="1"/>
      <c r="D3180" s="1"/>
      <c r="E3180" s="1"/>
      <c r="F3180" s="1"/>
      <c r="G3180" s="1"/>
      <c r="H3180" s="1"/>
      <c r="I3180" s="1"/>
    </row>
    <row r="3181" ht="15.75" customHeight="1">
      <c r="A3181" s="1" t="s">
        <v>3277</v>
      </c>
      <c r="B3181" s="1" t="s">
        <v>3157</v>
      </c>
      <c r="C3181" s="1"/>
      <c r="D3181" s="1"/>
      <c r="E3181" s="1"/>
      <c r="F3181" s="1"/>
      <c r="G3181" s="1"/>
      <c r="H3181" s="1"/>
      <c r="I3181" s="1"/>
    </row>
    <row r="3182" ht="15.75" customHeight="1">
      <c r="A3182" s="1" t="s">
        <v>3278</v>
      </c>
      <c r="B3182" s="1" t="s">
        <v>3157</v>
      </c>
      <c r="C3182" s="1"/>
      <c r="D3182" s="1"/>
      <c r="E3182" s="1"/>
      <c r="F3182" s="1"/>
      <c r="G3182" s="1"/>
      <c r="H3182" s="1"/>
      <c r="I3182" s="1"/>
    </row>
    <row r="3183" ht="15.75" customHeight="1">
      <c r="A3183" s="1" t="s">
        <v>3279</v>
      </c>
      <c r="B3183" s="1" t="s">
        <v>3157</v>
      </c>
      <c r="C3183" s="1"/>
      <c r="D3183" s="1"/>
      <c r="E3183" s="1"/>
      <c r="F3183" s="1"/>
      <c r="G3183" s="1"/>
      <c r="H3183" s="1"/>
      <c r="I3183" s="1"/>
    </row>
    <row r="3184" ht="15.75" customHeight="1">
      <c r="A3184" s="1" t="s">
        <v>3280</v>
      </c>
      <c r="B3184" s="1" t="s">
        <v>3157</v>
      </c>
      <c r="C3184" s="1"/>
      <c r="D3184" s="1"/>
      <c r="E3184" s="1"/>
      <c r="F3184" s="1"/>
      <c r="G3184" s="1"/>
      <c r="H3184" s="1"/>
      <c r="I3184" s="1"/>
    </row>
    <row r="3185" ht="15.75" customHeight="1">
      <c r="A3185" s="1" t="s">
        <v>3281</v>
      </c>
      <c r="B3185" s="1" t="s">
        <v>3157</v>
      </c>
      <c r="C3185" s="1"/>
      <c r="D3185" s="1"/>
      <c r="E3185" s="1"/>
      <c r="F3185" s="1"/>
      <c r="G3185" s="1"/>
      <c r="H3185" s="1"/>
      <c r="I3185" s="1"/>
    </row>
    <row r="3186" ht="15.75" customHeight="1">
      <c r="A3186" s="1" t="s">
        <v>3282</v>
      </c>
      <c r="B3186" s="1" t="s">
        <v>3157</v>
      </c>
      <c r="C3186" s="1"/>
      <c r="D3186" s="1"/>
      <c r="E3186" s="1"/>
      <c r="F3186" s="1"/>
      <c r="G3186" s="1"/>
      <c r="H3186" s="1"/>
      <c r="I3186" s="1"/>
    </row>
    <row r="3187" ht="15.75" customHeight="1">
      <c r="A3187" s="1" t="s">
        <v>3283</v>
      </c>
      <c r="B3187" s="1" t="s">
        <v>3157</v>
      </c>
      <c r="C3187" s="1"/>
      <c r="D3187" s="1"/>
      <c r="E3187" s="1"/>
      <c r="F3187" s="1"/>
      <c r="G3187" s="1"/>
      <c r="H3187" s="1"/>
      <c r="I3187" s="1"/>
    </row>
    <row r="3188" ht="15.75" customHeight="1">
      <c r="A3188" s="1" t="s">
        <v>3284</v>
      </c>
      <c r="B3188" s="1" t="s">
        <v>3157</v>
      </c>
      <c r="C3188" s="1"/>
      <c r="D3188" s="1"/>
      <c r="E3188" s="1"/>
      <c r="F3188" s="1"/>
      <c r="G3188" s="1"/>
      <c r="H3188" s="1"/>
      <c r="I3188" s="1"/>
    </row>
    <row r="3189" ht="15.75" customHeight="1">
      <c r="A3189" s="1" t="s">
        <v>3285</v>
      </c>
      <c r="B3189" s="1" t="s">
        <v>3157</v>
      </c>
      <c r="C3189" s="1"/>
      <c r="D3189" s="1"/>
      <c r="E3189" s="1"/>
      <c r="F3189" s="1"/>
      <c r="G3189" s="1"/>
      <c r="H3189" s="1"/>
      <c r="I3189" s="1"/>
    </row>
    <row r="3190" ht="15.75" customHeight="1">
      <c r="A3190" s="1" t="s">
        <v>3286</v>
      </c>
      <c r="B3190" s="1" t="s">
        <v>3157</v>
      </c>
      <c r="C3190" s="1"/>
      <c r="D3190" s="1"/>
      <c r="E3190" s="1"/>
      <c r="F3190" s="1"/>
      <c r="G3190" s="1"/>
      <c r="H3190" s="1"/>
      <c r="I3190" s="1"/>
    </row>
    <row r="3191" ht="15.75" customHeight="1">
      <c r="A3191" s="1" t="s">
        <v>3287</v>
      </c>
      <c r="B3191" s="1" t="s">
        <v>3157</v>
      </c>
      <c r="C3191" s="1"/>
      <c r="D3191" s="1"/>
      <c r="E3191" s="1"/>
      <c r="F3191" s="1"/>
      <c r="G3191" s="1"/>
      <c r="H3191" s="1"/>
      <c r="I3191" s="1"/>
    </row>
    <row r="3192" ht="15.75" customHeight="1">
      <c r="A3192" s="1" t="s">
        <v>3288</v>
      </c>
      <c r="B3192" s="1" t="s">
        <v>3157</v>
      </c>
      <c r="C3192" s="1"/>
      <c r="D3192" s="1"/>
      <c r="E3192" s="1"/>
      <c r="F3192" s="1"/>
      <c r="G3192" s="1"/>
      <c r="H3192" s="1"/>
      <c r="I3192" s="1"/>
    </row>
    <row r="3193" ht="15.75" customHeight="1">
      <c r="A3193" s="1" t="s">
        <v>3289</v>
      </c>
      <c r="B3193" s="1" t="s">
        <v>3157</v>
      </c>
      <c r="C3193" s="1"/>
      <c r="D3193" s="1"/>
      <c r="E3193" s="1"/>
      <c r="F3193" s="1"/>
      <c r="G3193" s="1"/>
      <c r="H3193" s="1"/>
      <c r="I3193" s="1"/>
    </row>
    <row r="3194" ht="15.75" customHeight="1">
      <c r="A3194" s="1" t="s">
        <v>3290</v>
      </c>
      <c r="B3194" s="1" t="s">
        <v>3157</v>
      </c>
      <c r="C3194" s="1"/>
      <c r="D3194" s="1"/>
      <c r="E3194" s="1"/>
      <c r="F3194" s="1"/>
      <c r="G3194" s="1"/>
      <c r="H3194" s="1"/>
      <c r="I3194" s="1"/>
    </row>
    <row r="3195" ht="15.75" customHeight="1">
      <c r="A3195" s="1" t="s">
        <v>3291</v>
      </c>
      <c r="B3195" s="1" t="s">
        <v>3157</v>
      </c>
      <c r="C3195" s="1"/>
      <c r="D3195" s="1"/>
      <c r="E3195" s="1"/>
      <c r="F3195" s="1"/>
      <c r="G3195" s="1"/>
      <c r="H3195" s="1"/>
      <c r="I3195" s="1"/>
    </row>
    <row r="3196" ht="15.75" customHeight="1">
      <c r="A3196" s="1" t="s">
        <v>3292</v>
      </c>
      <c r="B3196" s="1" t="s">
        <v>3157</v>
      </c>
      <c r="C3196" s="1"/>
      <c r="D3196" s="1"/>
      <c r="E3196" s="1"/>
      <c r="F3196" s="1"/>
      <c r="G3196" s="1"/>
      <c r="H3196" s="1"/>
      <c r="I3196" s="1"/>
    </row>
    <row r="3197" ht="15.75" customHeight="1">
      <c r="A3197" s="1" t="s">
        <v>3293</v>
      </c>
      <c r="B3197" s="1" t="s">
        <v>3157</v>
      </c>
      <c r="C3197" s="1"/>
      <c r="D3197" s="1"/>
      <c r="E3197" s="1"/>
      <c r="F3197" s="1"/>
      <c r="G3197" s="1"/>
      <c r="H3197" s="1"/>
      <c r="I3197" s="1"/>
    </row>
    <row r="3198" ht="15.75" customHeight="1">
      <c r="A3198" s="1" t="s">
        <v>3294</v>
      </c>
      <c r="B3198" s="1" t="s">
        <v>3157</v>
      </c>
      <c r="C3198" s="1"/>
      <c r="D3198" s="1"/>
      <c r="E3198" s="1"/>
      <c r="F3198" s="1"/>
      <c r="G3198" s="1"/>
      <c r="H3198" s="1"/>
      <c r="I3198" s="1"/>
    </row>
    <row r="3199" ht="15.75" customHeight="1">
      <c r="A3199" s="1" t="s">
        <v>3295</v>
      </c>
      <c r="B3199" s="1" t="s">
        <v>3157</v>
      </c>
      <c r="C3199" s="1"/>
      <c r="D3199" s="1"/>
      <c r="E3199" s="1"/>
      <c r="F3199" s="1"/>
      <c r="G3199" s="1"/>
      <c r="H3199" s="1"/>
      <c r="I3199" s="1"/>
    </row>
    <row r="3200" ht="15.75" customHeight="1">
      <c r="A3200" s="1" t="s">
        <v>3296</v>
      </c>
      <c r="B3200" s="1" t="s">
        <v>3157</v>
      </c>
      <c r="C3200" s="1"/>
      <c r="D3200" s="1"/>
      <c r="E3200" s="1"/>
      <c r="F3200" s="1"/>
      <c r="G3200" s="1"/>
      <c r="H3200" s="1"/>
      <c r="I3200" s="1"/>
    </row>
    <row r="3201" ht="15.75" customHeight="1">
      <c r="A3201" s="1" t="s">
        <v>3297</v>
      </c>
      <c r="B3201" s="1" t="s">
        <v>3157</v>
      </c>
      <c r="C3201" s="1"/>
      <c r="D3201" s="1"/>
      <c r="E3201" s="1"/>
      <c r="F3201" s="1"/>
      <c r="G3201" s="1"/>
      <c r="H3201" s="1"/>
      <c r="I3201" s="1"/>
    </row>
    <row r="3202" ht="15.75" customHeight="1">
      <c r="A3202" s="1" t="s">
        <v>3298</v>
      </c>
      <c r="B3202" s="1" t="s">
        <v>3157</v>
      </c>
      <c r="C3202" s="1"/>
      <c r="D3202" s="1"/>
      <c r="E3202" s="1"/>
      <c r="F3202" s="1"/>
      <c r="G3202" s="1"/>
      <c r="H3202" s="1"/>
      <c r="I3202" s="1"/>
    </row>
    <row r="3203" ht="15.75" customHeight="1">
      <c r="A3203" s="1" t="s">
        <v>3299</v>
      </c>
      <c r="B3203" s="1" t="s">
        <v>3157</v>
      </c>
      <c r="C3203" s="1"/>
      <c r="D3203" s="1"/>
      <c r="E3203" s="1"/>
      <c r="F3203" s="1"/>
      <c r="G3203" s="1"/>
      <c r="H3203" s="1"/>
      <c r="I3203" s="1"/>
    </row>
    <row r="3204" ht="15.75" customHeight="1">
      <c r="A3204" s="1" t="s">
        <v>3300</v>
      </c>
      <c r="B3204" s="1" t="s">
        <v>3157</v>
      </c>
      <c r="C3204" s="1"/>
      <c r="D3204" s="1"/>
      <c r="E3204" s="1"/>
      <c r="F3204" s="1"/>
      <c r="G3204" s="1"/>
      <c r="H3204" s="1"/>
      <c r="I3204" s="1"/>
    </row>
    <row r="3205" ht="15.75" customHeight="1">
      <c r="A3205" s="1" t="s">
        <v>3301</v>
      </c>
      <c r="B3205" s="1" t="s">
        <v>3157</v>
      </c>
      <c r="C3205" s="1"/>
      <c r="D3205" s="1"/>
      <c r="E3205" s="1"/>
      <c r="F3205" s="1"/>
      <c r="G3205" s="1"/>
      <c r="H3205" s="1"/>
      <c r="I3205" s="1"/>
    </row>
    <row r="3206" ht="15.75" customHeight="1">
      <c r="A3206" s="1" t="s">
        <v>3302</v>
      </c>
      <c r="B3206" s="1" t="s">
        <v>3157</v>
      </c>
      <c r="C3206" s="1"/>
      <c r="D3206" s="1"/>
      <c r="E3206" s="1"/>
      <c r="F3206" s="1"/>
      <c r="G3206" s="1"/>
      <c r="H3206" s="1"/>
      <c r="I3206" s="1"/>
    </row>
    <row r="3207" ht="15.75" customHeight="1">
      <c r="A3207" s="1" t="s">
        <v>3303</v>
      </c>
      <c r="B3207" s="1" t="s">
        <v>3157</v>
      </c>
      <c r="C3207" s="1"/>
      <c r="D3207" s="1"/>
      <c r="E3207" s="1"/>
      <c r="F3207" s="1"/>
      <c r="G3207" s="1"/>
      <c r="H3207" s="1"/>
      <c r="I3207" s="1"/>
    </row>
    <row r="3208" ht="15.75" customHeight="1">
      <c r="A3208" s="1" t="s">
        <v>3304</v>
      </c>
      <c r="B3208" s="1" t="s">
        <v>3157</v>
      </c>
      <c r="C3208" s="1"/>
      <c r="D3208" s="1"/>
      <c r="E3208" s="1"/>
      <c r="F3208" s="1"/>
      <c r="G3208" s="1"/>
      <c r="H3208" s="1"/>
      <c r="I3208" s="1"/>
    </row>
    <row r="3209" ht="15.75" customHeight="1">
      <c r="A3209" s="1" t="s">
        <v>3305</v>
      </c>
      <c r="B3209" s="1" t="s">
        <v>3157</v>
      </c>
      <c r="C3209" s="1"/>
      <c r="D3209" s="1"/>
      <c r="E3209" s="1"/>
      <c r="F3209" s="1"/>
      <c r="G3209" s="1"/>
      <c r="H3209" s="1"/>
      <c r="I3209" s="1"/>
    </row>
    <row r="3210" ht="15.75" customHeight="1">
      <c r="A3210" s="1" t="s">
        <v>3306</v>
      </c>
      <c r="B3210" s="1" t="s">
        <v>3157</v>
      </c>
      <c r="C3210" s="1"/>
      <c r="D3210" s="1"/>
      <c r="E3210" s="1"/>
      <c r="F3210" s="1"/>
      <c r="G3210" s="1"/>
      <c r="H3210" s="1"/>
      <c r="I3210" s="1"/>
    </row>
    <row r="3211" ht="15.75" customHeight="1">
      <c r="A3211" s="1" t="s">
        <v>3307</v>
      </c>
      <c r="B3211" s="1" t="s">
        <v>3157</v>
      </c>
      <c r="C3211" s="1"/>
      <c r="D3211" s="1"/>
      <c r="E3211" s="1"/>
      <c r="F3211" s="1"/>
      <c r="G3211" s="1"/>
      <c r="H3211" s="1"/>
      <c r="I3211" s="1"/>
    </row>
    <row r="3212" ht="15.75" customHeight="1">
      <c r="A3212" s="1" t="s">
        <v>3308</v>
      </c>
      <c r="B3212" s="1" t="s">
        <v>3157</v>
      </c>
      <c r="C3212" s="1"/>
      <c r="D3212" s="1"/>
      <c r="E3212" s="1"/>
      <c r="F3212" s="1"/>
      <c r="G3212" s="1"/>
      <c r="H3212" s="1"/>
      <c r="I3212" s="1"/>
    </row>
    <row r="3213" ht="15.75" customHeight="1">
      <c r="A3213" s="1" t="s">
        <v>3309</v>
      </c>
      <c r="B3213" s="1" t="s">
        <v>3157</v>
      </c>
      <c r="C3213" s="1"/>
      <c r="D3213" s="1"/>
      <c r="E3213" s="1"/>
      <c r="F3213" s="1"/>
      <c r="G3213" s="1"/>
      <c r="H3213" s="1"/>
      <c r="I3213" s="1"/>
    </row>
    <row r="3214" ht="15.75" customHeight="1">
      <c r="A3214" s="1" t="s">
        <v>3310</v>
      </c>
      <c r="B3214" s="1" t="s">
        <v>3157</v>
      </c>
      <c r="C3214" s="1"/>
      <c r="D3214" s="1"/>
      <c r="E3214" s="1"/>
      <c r="F3214" s="1"/>
      <c r="G3214" s="1"/>
      <c r="H3214" s="1"/>
      <c r="I3214" s="1"/>
    </row>
    <row r="3215" ht="15.75" customHeight="1">
      <c r="A3215" s="1" t="s">
        <v>3311</v>
      </c>
      <c r="B3215" s="1" t="s">
        <v>3157</v>
      </c>
      <c r="C3215" s="1"/>
      <c r="D3215" s="1"/>
      <c r="E3215" s="1"/>
      <c r="F3215" s="1"/>
      <c r="G3215" s="1"/>
      <c r="H3215" s="1"/>
      <c r="I3215" s="1"/>
    </row>
    <row r="3216" ht="15.75" customHeight="1">
      <c r="A3216" s="1" t="s">
        <v>3312</v>
      </c>
      <c r="B3216" s="1" t="s">
        <v>3157</v>
      </c>
      <c r="C3216" s="1"/>
      <c r="D3216" s="1"/>
      <c r="E3216" s="1"/>
      <c r="F3216" s="1"/>
      <c r="G3216" s="1"/>
      <c r="H3216" s="1"/>
      <c r="I3216" s="1"/>
    </row>
    <row r="3217" ht="15.75" customHeight="1">
      <c r="A3217" s="1" t="s">
        <v>3313</v>
      </c>
      <c r="B3217" s="1" t="s">
        <v>3157</v>
      </c>
      <c r="C3217" s="1"/>
      <c r="D3217" s="1"/>
      <c r="E3217" s="1"/>
      <c r="F3217" s="1"/>
      <c r="G3217" s="1"/>
      <c r="H3217" s="1"/>
      <c r="I3217" s="1"/>
    </row>
    <row r="3218" ht="15.75" customHeight="1">
      <c r="A3218" s="1" t="s">
        <v>3314</v>
      </c>
      <c r="B3218" s="1" t="s">
        <v>3157</v>
      </c>
      <c r="C3218" s="1"/>
      <c r="D3218" s="1"/>
      <c r="E3218" s="1"/>
      <c r="F3218" s="1"/>
      <c r="G3218" s="1"/>
      <c r="H3218" s="1"/>
      <c r="I3218" s="1"/>
    </row>
    <row r="3219" ht="15.75" customHeight="1">
      <c r="A3219" s="1" t="s">
        <v>3315</v>
      </c>
      <c r="B3219" s="1" t="s">
        <v>3157</v>
      </c>
      <c r="C3219" s="1"/>
      <c r="D3219" s="1"/>
      <c r="E3219" s="1"/>
      <c r="F3219" s="1"/>
      <c r="G3219" s="1"/>
      <c r="H3219" s="1"/>
      <c r="I3219" s="1"/>
    </row>
    <row r="3220" ht="15.75" customHeight="1">
      <c r="A3220" s="1" t="s">
        <v>3316</v>
      </c>
      <c r="B3220" s="1" t="s">
        <v>3157</v>
      </c>
      <c r="C3220" s="1"/>
      <c r="D3220" s="1"/>
      <c r="E3220" s="1"/>
      <c r="F3220" s="1"/>
      <c r="G3220" s="1"/>
      <c r="H3220" s="1"/>
      <c r="I3220" s="1"/>
    </row>
    <row r="3221" ht="15.75" customHeight="1">
      <c r="A3221" s="1" t="s">
        <v>3317</v>
      </c>
      <c r="B3221" s="1" t="s">
        <v>3157</v>
      </c>
      <c r="C3221" s="1"/>
      <c r="D3221" s="1"/>
      <c r="E3221" s="1"/>
      <c r="F3221" s="1"/>
      <c r="G3221" s="1"/>
      <c r="H3221" s="1"/>
      <c r="I3221" s="1"/>
    </row>
    <row r="3222" ht="15.75" customHeight="1">
      <c r="A3222" s="1" t="s">
        <v>3318</v>
      </c>
      <c r="B3222" s="1" t="s">
        <v>3157</v>
      </c>
      <c r="C3222" s="1"/>
      <c r="D3222" s="1"/>
      <c r="E3222" s="1"/>
      <c r="F3222" s="1"/>
      <c r="G3222" s="1"/>
      <c r="H3222" s="1"/>
      <c r="I3222" s="1"/>
    </row>
    <row r="3223" ht="15.75" customHeight="1">
      <c r="A3223" s="1" t="s">
        <v>3319</v>
      </c>
      <c r="B3223" s="1" t="s">
        <v>3320</v>
      </c>
      <c r="C3223" s="1"/>
      <c r="D3223" s="1"/>
      <c r="E3223" s="1"/>
      <c r="F3223" s="1"/>
      <c r="G3223" s="1"/>
      <c r="H3223" s="1"/>
      <c r="I3223" s="1"/>
    </row>
    <row r="3224" ht="15.75" customHeight="1">
      <c r="A3224" s="1" t="s">
        <v>3321</v>
      </c>
      <c r="B3224" s="1" t="s">
        <v>3320</v>
      </c>
      <c r="C3224" s="1"/>
      <c r="D3224" s="1"/>
      <c r="E3224" s="1"/>
      <c r="F3224" s="1"/>
      <c r="G3224" s="1"/>
      <c r="H3224" s="1"/>
      <c r="I3224" s="1"/>
    </row>
    <row r="3225" ht="15.75" customHeight="1">
      <c r="A3225" s="1" t="s">
        <v>3322</v>
      </c>
      <c r="B3225" s="1" t="s">
        <v>3320</v>
      </c>
      <c r="C3225" s="1"/>
      <c r="D3225" s="1"/>
      <c r="E3225" s="1"/>
      <c r="F3225" s="1"/>
      <c r="G3225" s="1"/>
      <c r="H3225" s="1"/>
      <c r="I3225" s="1"/>
    </row>
    <row r="3226" ht="15.75" customHeight="1">
      <c r="A3226" s="1" t="s">
        <v>3323</v>
      </c>
      <c r="B3226" s="1" t="s">
        <v>3320</v>
      </c>
      <c r="C3226" s="1"/>
      <c r="D3226" s="1"/>
      <c r="E3226" s="1"/>
      <c r="F3226" s="1"/>
      <c r="G3226" s="1"/>
      <c r="H3226" s="1"/>
      <c r="I3226" s="1"/>
    </row>
    <row r="3227" ht="15.75" customHeight="1">
      <c r="A3227" s="1" t="s">
        <v>3324</v>
      </c>
      <c r="B3227" s="1" t="s">
        <v>3320</v>
      </c>
      <c r="C3227" s="1"/>
      <c r="D3227" s="1"/>
      <c r="E3227" s="1"/>
      <c r="F3227" s="1"/>
      <c r="G3227" s="1"/>
      <c r="H3227" s="1"/>
      <c r="I3227" s="1"/>
    </row>
    <row r="3228" ht="15.75" customHeight="1">
      <c r="A3228" s="1" t="s">
        <v>3325</v>
      </c>
      <c r="B3228" s="1" t="s">
        <v>3320</v>
      </c>
      <c r="C3228" s="1"/>
      <c r="D3228" s="1"/>
      <c r="E3228" s="1"/>
      <c r="F3228" s="1"/>
      <c r="G3228" s="1"/>
      <c r="H3228" s="1"/>
      <c r="I3228" s="1"/>
    </row>
    <row r="3229" ht="15.75" customHeight="1">
      <c r="A3229" s="1" t="s">
        <v>3326</v>
      </c>
      <c r="B3229" s="1" t="s">
        <v>3320</v>
      </c>
      <c r="C3229" s="1"/>
      <c r="D3229" s="1"/>
      <c r="E3229" s="1"/>
      <c r="F3229" s="1"/>
      <c r="G3229" s="1"/>
      <c r="H3229" s="1"/>
      <c r="I3229" s="1"/>
    </row>
    <row r="3230" ht="15.75" customHeight="1">
      <c r="A3230" s="1" t="s">
        <v>3327</v>
      </c>
      <c r="B3230" s="1" t="s">
        <v>3320</v>
      </c>
      <c r="C3230" s="1"/>
      <c r="D3230" s="1"/>
      <c r="E3230" s="1"/>
      <c r="F3230" s="1"/>
      <c r="G3230" s="1"/>
      <c r="H3230" s="1"/>
      <c r="I3230" s="1"/>
    </row>
    <row r="3231" ht="15.75" customHeight="1">
      <c r="A3231" s="1" t="s">
        <v>3328</v>
      </c>
      <c r="B3231" s="1" t="s">
        <v>3320</v>
      </c>
      <c r="C3231" s="1"/>
      <c r="D3231" s="1"/>
      <c r="E3231" s="1"/>
      <c r="F3231" s="1"/>
      <c r="G3231" s="1"/>
      <c r="H3231" s="1"/>
      <c r="I3231" s="1"/>
    </row>
    <row r="3232" ht="15.75" customHeight="1">
      <c r="A3232" s="1" t="s">
        <v>3329</v>
      </c>
      <c r="B3232" s="1" t="s">
        <v>3320</v>
      </c>
      <c r="C3232" s="1"/>
      <c r="D3232" s="1"/>
      <c r="E3232" s="1"/>
      <c r="F3232" s="1"/>
      <c r="G3232" s="1"/>
      <c r="H3232" s="1"/>
      <c r="I3232" s="1"/>
    </row>
    <row r="3233" ht="15.75" customHeight="1">
      <c r="A3233" s="1" t="s">
        <v>3330</v>
      </c>
      <c r="B3233" s="1" t="s">
        <v>3320</v>
      </c>
      <c r="C3233" s="1"/>
      <c r="D3233" s="1"/>
      <c r="E3233" s="1"/>
      <c r="F3233" s="1"/>
      <c r="G3233" s="1"/>
      <c r="H3233" s="1"/>
      <c r="I3233" s="1"/>
    </row>
    <row r="3234" ht="15.75" customHeight="1">
      <c r="A3234" s="1" t="s">
        <v>3331</v>
      </c>
      <c r="B3234" s="1" t="s">
        <v>3320</v>
      </c>
      <c r="C3234" s="1"/>
      <c r="D3234" s="1"/>
      <c r="E3234" s="1"/>
      <c r="F3234" s="1"/>
      <c r="G3234" s="1"/>
      <c r="H3234" s="1"/>
      <c r="I3234" s="1"/>
    </row>
    <row r="3235" ht="15.75" customHeight="1">
      <c r="A3235" s="1" t="s">
        <v>3332</v>
      </c>
      <c r="B3235" s="1" t="s">
        <v>3320</v>
      </c>
      <c r="C3235" s="1"/>
      <c r="D3235" s="1"/>
      <c r="E3235" s="1"/>
      <c r="F3235" s="1"/>
      <c r="G3235" s="1"/>
      <c r="H3235" s="1"/>
      <c r="I3235" s="1"/>
    </row>
    <row r="3236" ht="15.75" customHeight="1">
      <c r="A3236" s="1" t="s">
        <v>3333</v>
      </c>
      <c r="B3236" s="1" t="s">
        <v>3320</v>
      </c>
      <c r="C3236" s="1"/>
      <c r="D3236" s="1"/>
      <c r="E3236" s="1"/>
      <c r="F3236" s="1"/>
      <c r="G3236" s="1"/>
      <c r="H3236" s="1"/>
      <c r="I3236" s="1"/>
    </row>
    <row r="3237" ht="15.75" customHeight="1">
      <c r="A3237" s="1" t="s">
        <v>3334</v>
      </c>
      <c r="B3237" s="1" t="s">
        <v>3320</v>
      </c>
      <c r="C3237" s="1"/>
      <c r="D3237" s="1"/>
      <c r="E3237" s="1"/>
      <c r="F3237" s="1"/>
      <c r="G3237" s="1"/>
      <c r="H3237" s="1"/>
      <c r="I3237" s="1"/>
    </row>
    <row r="3238" ht="15.75" customHeight="1">
      <c r="A3238" s="1" t="s">
        <v>3335</v>
      </c>
      <c r="B3238" s="1" t="s">
        <v>3320</v>
      </c>
      <c r="C3238" s="1"/>
      <c r="D3238" s="1"/>
      <c r="E3238" s="1"/>
      <c r="F3238" s="1"/>
      <c r="G3238" s="1"/>
      <c r="H3238" s="1"/>
      <c r="I3238" s="1"/>
    </row>
    <row r="3239" ht="15.75" customHeight="1">
      <c r="A3239" s="1" t="s">
        <v>3336</v>
      </c>
      <c r="B3239" s="1" t="s">
        <v>3320</v>
      </c>
      <c r="C3239" s="1"/>
      <c r="D3239" s="1"/>
      <c r="E3239" s="1"/>
      <c r="F3239" s="1"/>
      <c r="G3239" s="1"/>
      <c r="H3239" s="1"/>
      <c r="I3239" s="1"/>
    </row>
    <row r="3240" ht="15.75" customHeight="1">
      <c r="A3240" s="1" t="s">
        <v>3337</v>
      </c>
      <c r="B3240" s="1" t="s">
        <v>3320</v>
      </c>
      <c r="C3240" s="1"/>
      <c r="D3240" s="1"/>
      <c r="E3240" s="1"/>
      <c r="F3240" s="1"/>
      <c r="G3240" s="1"/>
      <c r="H3240" s="1"/>
      <c r="I3240" s="1"/>
    </row>
    <row r="3241" ht="15.75" customHeight="1">
      <c r="A3241" s="1" t="s">
        <v>3338</v>
      </c>
      <c r="B3241" s="1" t="s">
        <v>3320</v>
      </c>
      <c r="C3241" s="1"/>
      <c r="D3241" s="1"/>
      <c r="E3241" s="1"/>
      <c r="F3241" s="1"/>
      <c r="G3241" s="1"/>
      <c r="H3241" s="1"/>
      <c r="I3241" s="1"/>
    </row>
    <row r="3242" ht="15.75" customHeight="1">
      <c r="A3242" s="1" t="s">
        <v>3339</v>
      </c>
      <c r="B3242" s="1" t="s">
        <v>3320</v>
      </c>
      <c r="C3242" s="1"/>
      <c r="D3242" s="1"/>
      <c r="E3242" s="1"/>
      <c r="F3242" s="1"/>
      <c r="G3242" s="1"/>
      <c r="H3242" s="1"/>
      <c r="I3242" s="1"/>
    </row>
    <row r="3243" ht="15.75" customHeight="1">
      <c r="A3243" s="1" t="s">
        <v>3340</v>
      </c>
      <c r="B3243" s="1" t="s">
        <v>3320</v>
      </c>
      <c r="C3243" s="1"/>
      <c r="D3243" s="1"/>
      <c r="E3243" s="1"/>
      <c r="F3243" s="1"/>
      <c r="G3243" s="1"/>
      <c r="H3243" s="1"/>
      <c r="I3243" s="1"/>
    </row>
    <row r="3244" ht="15.75" customHeight="1">
      <c r="A3244" s="1" t="s">
        <v>3341</v>
      </c>
      <c r="B3244" s="1" t="s">
        <v>3320</v>
      </c>
      <c r="C3244" s="1"/>
      <c r="D3244" s="1"/>
      <c r="E3244" s="1"/>
      <c r="F3244" s="1"/>
      <c r="G3244" s="1"/>
      <c r="H3244" s="1"/>
      <c r="I3244" s="1"/>
    </row>
    <row r="3245" ht="15.75" customHeight="1">
      <c r="A3245" s="1" t="s">
        <v>3342</v>
      </c>
      <c r="B3245" s="1" t="s">
        <v>3320</v>
      </c>
      <c r="C3245" s="1"/>
      <c r="D3245" s="1"/>
      <c r="E3245" s="1"/>
      <c r="F3245" s="1"/>
      <c r="G3245" s="1"/>
      <c r="H3245" s="1"/>
      <c r="I3245" s="1"/>
    </row>
    <row r="3246" ht="15.75" customHeight="1">
      <c r="A3246" s="1" t="s">
        <v>3343</v>
      </c>
      <c r="B3246" s="1" t="s">
        <v>3320</v>
      </c>
      <c r="C3246" s="1"/>
      <c r="D3246" s="1"/>
      <c r="E3246" s="1"/>
      <c r="F3246" s="1"/>
      <c r="G3246" s="1"/>
      <c r="H3246" s="1"/>
      <c r="I3246" s="1"/>
    </row>
    <row r="3247" ht="15.75" customHeight="1">
      <c r="A3247" s="1" t="s">
        <v>3344</v>
      </c>
      <c r="B3247" s="1" t="s">
        <v>3320</v>
      </c>
      <c r="C3247" s="1"/>
      <c r="D3247" s="1"/>
      <c r="E3247" s="1"/>
      <c r="F3247" s="1"/>
      <c r="G3247" s="1"/>
      <c r="H3247" s="1"/>
      <c r="I3247" s="1"/>
    </row>
    <row r="3248" ht="15.75" customHeight="1">
      <c r="A3248" s="1" t="s">
        <v>3345</v>
      </c>
      <c r="B3248" s="1" t="s">
        <v>3346</v>
      </c>
      <c r="C3248" s="1"/>
      <c r="D3248" s="1"/>
      <c r="E3248" s="1"/>
      <c r="F3248" s="1"/>
      <c r="G3248" s="1"/>
      <c r="H3248" s="1"/>
      <c r="I3248" s="1"/>
    </row>
    <row r="3249" ht="15.75" customHeight="1">
      <c r="A3249" s="1" t="s">
        <v>3347</v>
      </c>
      <c r="B3249" s="1" t="s">
        <v>3346</v>
      </c>
      <c r="C3249" s="1"/>
      <c r="D3249" s="1"/>
      <c r="E3249" s="1"/>
      <c r="F3249" s="1"/>
      <c r="G3249" s="1"/>
      <c r="H3249" s="1"/>
      <c r="I3249" s="1"/>
    </row>
    <row r="3250" ht="15.75" customHeight="1">
      <c r="A3250" s="1" t="s">
        <v>3348</v>
      </c>
      <c r="B3250" s="1" t="s">
        <v>3346</v>
      </c>
      <c r="C3250" s="1"/>
      <c r="D3250" s="1"/>
      <c r="E3250" s="1"/>
      <c r="F3250" s="1"/>
      <c r="G3250" s="1"/>
      <c r="H3250" s="1"/>
      <c r="I3250" s="1"/>
    </row>
    <row r="3251" ht="15.75" customHeight="1">
      <c r="A3251" s="1" t="s">
        <v>3349</v>
      </c>
      <c r="B3251" s="1" t="s">
        <v>3346</v>
      </c>
      <c r="C3251" s="1"/>
      <c r="D3251" s="1"/>
      <c r="E3251" s="1"/>
      <c r="F3251" s="1"/>
      <c r="G3251" s="1"/>
      <c r="H3251" s="1"/>
      <c r="I3251" s="1"/>
    </row>
    <row r="3252" ht="15.75" customHeight="1">
      <c r="A3252" s="1" t="s">
        <v>3350</v>
      </c>
      <c r="B3252" s="1" t="s">
        <v>3346</v>
      </c>
      <c r="C3252" s="1"/>
      <c r="D3252" s="1"/>
      <c r="E3252" s="1"/>
      <c r="F3252" s="1"/>
      <c r="G3252" s="1"/>
      <c r="H3252" s="1"/>
      <c r="I3252" s="1"/>
    </row>
    <row r="3253" ht="15.75" customHeight="1">
      <c r="A3253" s="1" t="s">
        <v>3351</v>
      </c>
      <c r="B3253" s="1" t="s">
        <v>3346</v>
      </c>
      <c r="C3253" s="1"/>
      <c r="D3253" s="1"/>
      <c r="E3253" s="1"/>
      <c r="F3253" s="1"/>
      <c r="G3253" s="1"/>
      <c r="H3253" s="1"/>
      <c r="I3253" s="1"/>
    </row>
    <row r="3254" ht="15.75" customHeight="1">
      <c r="A3254" s="1" t="s">
        <v>3352</v>
      </c>
      <c r="B3254" s="1" t="s">
        <v>3346</v>
      </c>
      <c r="C3254" s="1"/>
      <c r="D3254" s="1"/>
      <c r="E3254" s="1"/>
      <c r="F3254" s="1"/>
      <c r="G3254" s="1"/>
      <c r="H3254" s="1"/>
      <c r="I3254" s="1"/>
    </row>
    <row r="3255" ht="15.75" customHeight="1">
      <c r="A3255" s="1" t="s">
        <v>3353</v>
      </c>
      <c r="B3255" s="1" t="s">
        <v>3346</v>
      </c>
      <c r="C3255" s="1"/>
      <c r="D3255" s="1"/>
      <c r="E3255" s="1"/>
      <c r="F3255" s="1"/>
      <c r="G3255" s="1"/>
      <c r="H3255" s="1"/>
      <c r="I3255" s="1"/>
    </row>
    <row r="3256" ht="15.75" customHeight="1">
      <c r="A3256" s="1" t="s">
        <v>3354</v>
      </c>
      <c r="B3256" s="1" t="s">
        <v>3346</v>
      </c>
      <c r="C3256" s="1"/>
      <c r="D3256" s="1"/>
      <c r="E3256" s="1"/>
      <c r="F3256" s="1"/>
      <c r="G3256" s="1"/>
      <c r="H3256" s="1"/>
      <c r="I3256" s="1"/>
    </row>
    <row r="3257" ht="15.75" customHeight="1">
      <c r="A3257" s="1" t="s">
        <v>3355</v>
      </c>
      <c r="B3257" s="1" t="s">
        <v>3346</v>
      </c>
      <c r="C3257" s="1"/>
      <c r="D3257" s="1"/>
      <c r="E3257" s="1"/>
      <c r="F3257" s="1"/>
      <c r="G3257" s="1"/>
      <c r="H3257" s="1"/>
      <c r="I3257" s="1"/>
    </row>
    <row r="3258" ht="15.75" customHeight="1">
      <c r="A3258" s="1" t="s">
        <v>3356</v>
      </c>
      <c r="B3258" s="1" t="s">
        <v>3346</v>
      </c>
      <c r="C3258" s="1"/>
      <c r="D3258" s="1"/>
      <c r="E3258" s="1"/>
      <c r="F3258" s="1"/>
      <c r="G3258" s="1"/>
      <c r="H3258" s="1"/>
      <c r="I3258" s="1"/>
    </row>
    <row r="3259" ht="15.75" customHeight="1">
      <c r="A3259" s="1" t="s">
        <v>3357</v>
      </c>
      <c r="B3259" s="1" t="s">
        <v>3346</v>
      </c>
      <c r="C3259" s="1"/>
      <c r="D3259" s="1"/>
      <c r="E3259" s="1"/>
      <c r="F3259" s="1"/>
      <c r="G3259" s="1"/>
      <c r="H3259" s="1"/>
      <c r="I3259" s="1"/>
    </row>
    <row r="3260" ht="15.75" customHeight="1">
      <c r="A3260" s="1" t="s">
        <v>3358</v>
      </c>
      <c r="B3260" s="1" t="s">
        <v>3346</v>
      </c>
      <c r="C3260" s="1"/>
      <c r="D3260" s="1"/>
      <c r="E3260" s="1"/>
      <c r="F3260" s="1"/>
      <c r="G3260" s="1"/>
      <c r="H3260" s="1"/>
      <c r="I3260" s="1"/>
    </row>
    <row r="3261" ht="15.75" customHeight="1">
      <c r="A3261" s="1" t="s">
        <v>3359</v>
      </c>
      <c r="B3261" s="1" t="s">
        <v>3346</v>
      </c>
      <c r="C3261" s="1"/>
      <c r="D3261" s="1"/>
      <c r="E3261" s="1"/>
      <c r="F3261" s="1"/>
      <c r="G3261" s="1"/>
      <c r="H3261" s="1"/>
      <c r="I3261" s="1"/>
    </row>
    <row r="3262" ht="15.75" customHeight="1">
      <c r="A3262" s="1" t="s">
        <v>3360</v>
      </c>
      <c r="B3262" s="1" t="s">
        <v>3346</v>
      </c>
      <c r="C3262" s="1"/>
      <c r="D3262" s="1"/>
      <c r="E3262" s="1"/>
      <c r="F3262" s="1"/>
      <c r="G3262" s="1"/>
      <c r="H3262" s="1"/>
      <c r="I3262" s="1"/>
    </row>
    <row r="3263" ht="15.75" customHeight="1">
      <c r="A3263" s="1" t="s">
        <v>3361</v>
      </c>
      <c r="B3263" s="1" t="s">
        <v>3346</v>
      </c>
      <c r="C3263" s="1"/>
      <c r="D3263" s="1"/>
      <c r="E3263" s="1"/>
      <c r="F3263" s="1"/>
      <c r="G3263" s="1"/>
      <c r="H3263" s="1"/>
      <c r="I3263" s="1"/>
    </row>
    <row r="3264" ht="15.75" customHeight="1">
      <c r="A3264" s="1" t="s">
        <v>3362</v>
      </c>
      <c r="B3264" s="1" t="s">
        <v>3346</v>
      </c>
      <c r="C3264" s="1"/>
      <c r="D3264" s="1"/>
      <c r="E3264" s="1"/>
      <c r="F3264" s="1"/>
      <c r="G3264" s="1"/>
      <c r="H3264" s="1"/>
      <c r="I3264" s="1"/>
    </row>
    <row r="3265" ht="15.75" customHeight="1">
      <c r="A3265" s="1" t="s">
        <v>3363</v>
      </c>
      <c r="B3265" s="1" t="s">
        <v>3346</v>
      </c>
      <c r="C3265" s="1"/>
      <c r="D3265" s="1"/>
      <c r="E3265" s="1"/>
      <c r="F3265" s="1"/>
      <c r="G3265" s="1"/>
      <c r="H3265" s="1"/>
      <c r="I3265" s="1"/>
    </row>
    <row r="3266" ht="15.75" customHeight="1">
      <c r="A3266" s="1" t="s">
        <v>3364</v>
      </c>
      <c r="B3266" s="1" t="s">
        <v>3346</v>
      </c>
      <c r="C3266" s="1"/>
      <c r="D3266" s="1"/>
      <c r="E3266" s="1"/>
      <c r="F3266" s="1"/>
      <c r="G3266" s="1"/>
      <c r="H3266" s="1"/>
      <c r="I3266" s="1"/>
    </row>
    <row r="3267" ht="15.75" customHeight="1">
      <c r="A3267" s="1" t="s">
        <v>3365</v>
      </c>
      <c r="B3267" s="1" t="s">
        <v>3346</v>
      </c>
      <c r="C3267" s="1"/>
      <c r="D3267" s="1"/>
      <c r="E3267" s="1"/>
      <c r="F3267" s="1"/>
      <c r="G3267" s="1"/>
      <c r="H3267" s="1"/>
      <c r="I3267" s="1"/>
    </row>
    <row r="3268" ht="15.75" customHeight="1">
      <c r="A3268" s="1" t="s">
        <v>3366</v>
      </c>
      <c r="B3268" s="1" t="s">
        <v>3346</v>
      </c>
      <c r="C3268" s="1"/>
      <c r="D3268" s="1"/>
      <c r="E3268" s="1"/>
      <c r="F3268" s="1"/>
      <c r="G3268" s="1"/>
      <c r="H3268" s="1"/>
      <c r="I3268" s="1"/>
    </row>
    <row r="3269" ht="15.75" customHeight="1">
      <c r="A3269" s="1" t="s">
        <v>3367</v>
      </c>
      <c r="B3269" s="1" t="s">
        <v>3346</v>
      </c>
      <c r="C3269" s="1"/>
      <c r="D3269" s="1"/>
      <c r="E3269" s="1"/>
      <c r="F3269" s="1"/>
      <c r="G3269" s="1"/>
      <c r="H3269" s="1"/>
      <c r="I3269" s="1"/>
    </row>
    <row r="3270" ht="15.75" customHeight="1">
      <c r="A3270" s="1" t="s">
        <v>3368</v>
      </c>
      <c r="B3270" s="1" t="s">
        <v>3346</v>
      </c>
      <c r="C3270" s="1"/>
      <c r="D3270" s="1"/>
      <c r="E3270" s="1"/>
      <c r="F3270" s="1"/>
      <c r="G3270" s="1"/>
      <c r="H3270" s="1"/>
      <c r="I3270" s="1"/>
    </row>
    <row r="3271" ht="15.75" customHeight="1">
      <c r="A3271" s="1" t="s">
        <v>3369</v>
      </c>
      <c r="B3271" s="1" t="s">
        <v>3346</v>
      </c>
      <c r="C3271" s="1"/>
      <c r="D3271" s="1"/>
      <c r="E3271" s="1"/>
      <c r="F3271" s="1"/>
      <c r="G3271" s="1"/>
      <c r="H3271" s="1"/>
      <c r="I3271" s="1"/>
    </row>
    <row r="3272" ht="15.75" customHeight="1">
      <c r="A3272" s="1" t="s">
        <v>3370</v>
      </c>
      <c r="B3272" s="1" t="s">
        <v>3346</v>
      </c>
      <c r="C3272" s="1"/>
      <c r="D3272" s="1"/>
      <c r="E3272" s="1"/>
      <c r="F3272" s="1"/>
      <c r="G3272" s="1"/>
      <c r="H3272" s="1"/>
      <c r="I3272" s="1"/>
    </row>
    <row r="3273" ht="15.75" customHeight="1">
      <c r="A3273" s="1" t="s">
        <v>3371</v>
      </c>
      <c r="B3273" s="1" t="s">
        <v>3346</v>
      </c>
      <c r="C3273" s="1"/>
      <c r="D3273" s="1"/>
      <c r="E3273" s="1"/>
      <c r="F3273" s="1"/>
      <c r="G3273" s="1"/>
      <c r="H3273" s="1"/>
      <c r="I3273" s="1"/>
    </row>
    <row r="3274" ht="15.75" customHeight="1">
      <c r="A3274" s="1" t="s">
        <v>3372</v>
      </c>
      <c r="B3274" s="1" t="s">
        <v>3346</v>
      </c>
      <c r="C3274" s="1"/>
      <c r="D3274" s="1"/>
      <c r="E3274" s="1"/>
      <c r="F3274" s="1"/>
      <c r="G3274" s="1"/>
      <c r="H3274" s="1"/>
      <c r="I3274" s="1"/>
    </row>
    <row r="3275" ht="15.75" customHeight="1">
      <c r="A3275" s="1" t="s">
        <v>3373</v>
      </c>
      <c r="B3275" s="1" t="s">
        <v>3346</v>
      </c>
      <c r="C3275" s="1"/>
      <c r="D3275" s="1"/>
      <c r="E3275" s="1"/>
      <c r="F3275" s="1"/>
      <c r="G3275" s="1"/>
      <c r="H3275" s="1"/>
      <c r="I3275" s="1"/>
    </row>
    <row r="3276" ht="15.75" customHeight="1">
      <c r="A3276" s="1" t="s">
        <v>3374</v>
      </c>
      <c r="B3276" s="1" t="s">
        <v>3346</v>
      </c>
      <c r="C3276" s="1"/>
      <c r="D3276" s="1"/>
      <c r="E3276" s="1"/>
      <c r="F3276" s="1"/>
      <c r="G3276" s="1"/>
      <c r="H3276" s="1"/>
      <c r="I3276" s="1"/>
    </row>
    <row r="3277" ht="15.75" customHeight="1">
      <c r="A3277" s="1" t="s">
        <v>3375</v>
      </c>
      <c r="B3277" s="1" t="s">
        <v>3346</v>
      </c>
      <c r="C3277" s="1"/>
      <c r="D3277" s="1"/>
      <c r="E3277" s="1"/>
      <c r="F3277" s="1"/>
      <c r="G3277" s="1"/>
      <c r="H3277" s="1"/>
      <c r="I3277" s="1"/>
    </row>
    <row r="3278" ht="15.75" customHeight="1">
      <c r="A3278" s="1" t="s">
        <v>3376</v>
      </c>
      <c r="B3278" s="1" t="s">
        <v>3346</v>
      </c>
      <c r="C3278" s="1"/>
      <c r="D3278" s="1"/>
      <c r="E3278" s="1"/>
      <c r="F3278" s="1"/>
      <c r="G3278" s="1"/>
      <c r="H3278" s="1"/>
      <c r="I3278" s="1"/>
    </row>
    <row r="3279" ht="15.75" customHeight="1">
      <c r="A3279" s="1" t="s">
        <v>3377</v>
      </c>
      <c r="B3279" s="1" t="s">
        <v>3346</v>
      </c>
      <c r="C3279" s="1"/>
      <c r="D3279" s="1"/>
      <c r="E3279" s="1"/>
      <c r="F3279" s="1"/>
      <c r="G3279" s="1"/>
      <c r="H3279" s="1"/>
      <c r="I3279" s="1"/>
    </row>
    <row r="3280" ht="15.75" customHeight="1">
      <c r="A3280" s="1" t="s">
        <v>3378</v>
      </c>
      <c r="B3280" s="1" t="s">
        <v>3346</v>
      </c>
      <c r="C3280" s="1"/>
      <c r="D3280" s="1"/>
      <c r="E3280" s="1"/>
      <c r="F3280" s="1"/>
      <c r="G3280" s="1"/>
      <c r="H3280" s="1"/>
      <c r="I3280" s="1"/>
    </row>
    <row r="3281" ht="15.75" customHeight="1">
      <c r="A3281" s="1" t="s">
        <v>3379</v>
      </c>
      <c r="B3281" s="1" t="s">
        <v>3346</v>
      </c>
      <c r="C3281" s="1"/>
      <c r="D3281" s="1"/>
      <c r="E3281" s="1"/>
      <c r="F3281" s="1"/>
      <c r="G3281" s="1"/>
      <c r="H3281" s="1"/>
      <c r="I3281" s="1"/>
    </row>
    <row r="3282" ht="15.75" customHeight="1">
      <c r="A3282" s="1" t="s">
        <v>3380</v>
      </c>
      <c r="B3282" s="1" t="s">
        <v>3346</v>
      </c>
      <c r="C3282" s="1"/>
      <c r="D3282" s="1"/>
      <c r="E3282" s="1"/>
      <c r="F3282" s="1"/>
      <c r="G3282" s="1"/>
      <c r="H3282" s="1"/>
      <c r="I3282" s="1"/>
    </row>
    <row r="3283" ht="15.75" customHeight="1">
      <c r="A3283" s="1" t="s">
        <v>3381</v>
      </c>
      <c r="B3283" s="1" t="s">
        <v>3346</v>
      </c>
      <c r="C3283" s="1"/>
      <c r="D3283" s="1"/>
      <c r="E3283" s="1"/>
      <c r="F3283" s="1"/>
      <c r="G3283" s="1"/>
      <c r="H3283" s="1"/>
      <c r="I3283" s="1"/>
    </row>
    <row r="3284" ht="15.75" customHeight="1">
      <c r="A3284" s="1" t="s">
        <v>3382</v>
      </c>
      <c r="B3284" s="1" t="s">
        <v>3346</v>
      </c>
      <c r="C3284" s="1"/>
      <c r="D3284" s="1"/>
      <c r="E3284" s="1"/>
      <c r="F3284" s="1"/>
      <c r="G3284" s="1"/>
      <c r="H3284" s="1"/>
      <c r="I3284" s="1"/>
    </row>
    <row r="3285" ht="15.75" customHeight="1">
      <c r="A3285" s="1" t="s">
        <v>3383</v>
      </c>
      <c r="B3285" s="1" t="s">
        <v>3346</v>
      </c>
      <c r="C3285" s="1"/>
      <c r="D3285" s="1"/>
      <c r="E3285" s="1"/>
      <c r="F3285" s="1"/>
      <c r="G3285" s="1"/>
      <c r="H3285" s="1"/>
      <c r="I3285" s="1"/>
    </row>
    <row r="3286" ht="15.75" customHeight="1">
      <c r="A3286" s="1" t="s">
        <v>3384</v>
      </c>
      <c r="B3286" s="1" t="s">
        <v>3346</v>
      </c>
      <c r="C3286" s="1"/>
      <c r="D3286" s="1"/>
      <c r="E3286" s="1"/>
      <c r="F3286" s="1"/>
      <c r="G3286" s="1"/>
      <c r="H3286" s="1"/>
      <c r="I3286" s="1"/>
    </row>
    <row r="3287" ht="15.75" customHeight="1">
      <c r="A3287" s="1" t="s">
        <v>3385</v>
      </c>
      <c r="B3287" s="1" t="s">
        <v>3346</v>
      </c>
      <c r="C3287" s="1"/>
      <c r="D3287" s="1"/>
      <c r="E3287" s="1"/>
      <c r="F3287" s="1"/>
      <c r="G3287" s="1"/>
      <c r="H3287" s="1"/>
      <c r="I3287" s="1"/>
    </row>
    <row r="3288" ht="15.75" customHeight="1">
      <c r="A3288" s="1" t="s">
        <v>3386</v>
      </c>
      <c r="B3288" s="1" t="s">
        <v>3346</v>
      </c>
      <c r="C3288" s="1"/>
      <c r="D3288" s="1"/>
      <c r="E3288" s="1"/>
      <c r="F3288" s="1"/>
      <c r="G3288" s="1"/>
      <c r="H3288" s="1"/>
      <c r="I3288" s="1"/>
    </row>
    <row r="3289" ht="15.75" customHeight="1">
      <c r="A3289" s="1" t="s">
        <v>3387</v>
      </c>
      <c r="B3289" s="1" t="s">
        <v>3346</v>
      </c>
      <c r="C3289" s="1"/>
      <c r="D3289" s="1"/>
      <c r="E3289" s="1"/>
      <c r="F3289" s="1"/>
      <c r="G3289" s="1"/>
      <c r="H3289" s="1"/>
      <c r="I3289" s="1"/>
    </row>
    <row r="3290" ht="15.75" customHeight="1">
      <c r="A3290" s="1" t="s">
        <v>3388</v>
      </c>
      <c r="B3290" s="1" t="s">
        <v>3346</v>
      </c>
      <c r="C3290" s="1"/>
      <c r="D3290" s="1"/>
      <c r="E3290" s="1"/>
      <c r="F3290" s="1"/>
      <c r="G3290" s="1"/>
      <c r="H3290" s="1"/>
      <c r="I3290" s="1"/>
    </row>
    <row r="3291" ht="15.75" customHeight="1">
      <c r="A3291" s="1" t="s">
        <v>3389</v>
      </c>
      <c r="B3291" s="1" t="s">
        <v>3346</v>
      </c>
      <c r="C3291" s="1"/>
      <c r="D3291" s="1"/>
      <c r="E3291" s="1"/>
      <c r="F3291" s="1"/>
      <c r="G3291" s="1"/>
      <c r="H3291" s="1"/>
      <c r="I3291" s="1"/>
    </row>
    <row r="3292" ht="15.75" customHeight="1">
      <c r="A3292" s="1" t="s">
        <v>3390</v>
      </c>
      <c r="B3292" s="1" t="s">
        <v>3346</v>
      </c>
      <c r="C3292" s="1"/>
      <c r="D3292" s="1"/>
      <c r="E3292" s="1"/>
      <c r="F3292" s="1"/>
      <c r="G3292" s="1"/>
      <c r="H3292" s="1"/>
      <c r="I3292" s="1"/>
    </row>
    <row r="3293" ht="15.75" customHeight="1">
      <c r="A3293" s="1" t="s">
        <v>3391</v>
      </c>
      <c r="B3293" s="1" t="s">
        <v>3346</v>
      </c>
      <c r="C3293" s="1"/>
      <c r="D3293" s="1"/>
      <c r="E3293" s="1"/>
      <c r="F3293" s="1"/>
      <c r="G3293" s="1"/>
      <c r="H3293" s="1"/>
      <c r="I3293" s="1"/>
    </row>
    <row r="3294" ht="15.75" customHeight="1">
      <c r="A3294" s="1" t="s">
        <v>3392</v>
      </c>
      <c r="B3294" s="1" t="s">
        <v>3346</v>
      </c>
      <c r="C3294" s="1"/>
      <c r="D3294" s="1"/>
      <c r="E3294" s="1"/>
      <c r="F3294" s="1"/>
      <c r="G3294" s="1"/>
      <c r="H3294" s="1"/>
      <c r="I3294" s="1"/>
    </row>
    <row r="3295" ht="15.75" customHeight="1">
      <c r="A3295" s="1" t="s">
        <v>3393</v>
      </c>
      <c r="B3295" s="1" t="s">
        <v>3346</v>
      </c>
      <c r="C3295" s="1"/>
      <c r="D3295" s="1"/>
      <c r="E3295" s="1"/>
      <c r="F3295" s="1"/>
      <c r="G3295" s="1"/>
      <c r="H3295" s="1"/>
      <c r="I3295" s="1"/>
    </row>
    <row r="3296" ht="15.75" customHeight="1">
      <c r="A3296" s="1" t="s">
        <v>3394</v>
      </c>
      <c r="B3296" s="1" t="s">
        <v>3346</v>
      </c>
      <c r="C3296" s="1"/>
      <c r="D3296" s="1"/>
      <c r="E3296" s="1"/>
      <c r="F3296" s="1"/>
      <c r="G3296" s="1"/>
      <c r="H3296" s="1"/>
      <c r="I3296" s="1"/>
    </row>
    <row r="3297" ht="15.75" customHeight="1">
      <c r="A3297" s="1" t="s">
        <v>3395</v>
      </c>
      <c r="B3297" s="1" t="s">
        <v>3346</v>
      </c>
      <c r="C3297" s="1"/>
      <c r="D3297" s="1"/>
      <c r="E3297" s="1"/>
      <c r="F3297" s="1"/>
      <c r="G3297" s="1"/>
      <c r="H3297" s="1"/>
      <c r="I3297" s="1"/>
    </row>
    <row r="3298" ht="15.75" customHeight="1">
      <c r="A3298" s="1" t="s">
        <v>3396</v>
      </c>
      <c r="B3298" s="1" t="s">
        <v>3346</v>
      </c>
      <c r="C3298" s="1"/>
      <c r="D3298" s="1"/>
      <c r="E3298" s="1"/>
      <c r="F3298" s="1"/>
      <c r="G3298" s="1"/>
      <c r="H3298" s="1"/>
      <c r="I3298" s="1"/>
    </row>
    <row r="3299" ht="15.75" customHeight="1">
      <c r="A3299" s="1" t="s">
        <v>3397</v>
      </c>
      <c r="B3299" s="1" t="s">
        <v>3346</v>
      </c>
      <c r="C3299" s="1"/>
      <c r="D3299" s="1"/>
      <c r="E3299" s="1"/>
      <c r="F3299" s="1"/>
      <c r="G3299" s="1"/>
      <c r="H3299" s="1"/>
      <c r="I3299" s="1"/>
    </row>
    <row r="3300" ht="15.75" customHeight="1">
      <c r="A3300" s="1" t="s">
        <v>3398</v>
      </c>
      <c r="B3300" s="1" t="s">
        <v>3346</v>
      </c>
      <c r="C3300" s="1"/>
      <c r="D3300" s="1"/>
      <c r="E3300" s="1"/>
      <c r="F3300" s="1"/>
      <c r="G3300" s="1"/>
      <c r="H3300" s="1"/>
      <c r="I3300" s="1"/>
    </row>
    <row r="3301" ht="15.75" customHeight="1">
      <c r="A3301" s="1" t="s">
        <v>3399</v>
      </c>
      <c r="B3301" s="1" t="s">
        <v>3346</v>
      </c>
      <c r="C3301" s="1"/>
      <c r="D3301" s="1"/>
      <c r="E3301" s="1"/>
      <c r="F3301" s="1"/>
      <c r="G3301" s="1"/>
      <c r="H3301" s="1"/>
      <c r="I3301" s="1"/>
    </row>
    <row r="3302" ht="15.75" customHeight="1">
      <c r="A3302" s="1" t="s">
        <v>3400</v>
      </c>
      <c r="B3302" s="1" t="s">
        <v>3346</v>
      </c>
      <c r="C3302" s="1"/>
      <c r="D3302" s="1"/>
      <c r="E3302" s="1"/>
      <c r="F3302" s="1"/>
      <c r="G3302" s="1"/>
      <c r="H3302" s="1"/>
      <c r="I3302" s="1"/>
    </row>
    <row r="3303" ht="15.75" customHeight="1">
      <c r="A3303" s="1" t="s">
        <v>3401</v>
      </c>
      <c r="B3303" s="1" t="s">
        <v>3346</v>
      </c>
      <c r="C3303" s="1"/>
      <c r="D3303" s="1"/>
      <c r="E3303" s="1"/>
      <c r="F3303" s="1"/>
      <c r="G3303" s="1"/>
      <c r="H3303" s="1"/>
      <c r="I3303" s="1"/>
    </row>
    <row r="3304" ht="15.75" customHeight="1">
      <c r="A3304" s="1" t="s">
        <v>3402</v>
      </c>
      <c r="B3304" s="1" t="s">
        <v>3346</v>
      </c>
      <c r="C3304" s="1"/>
      <c r="D3304" s="1"/>
      <c r="E3304" s="1"/>
      <c r="F3304" s="1"/>
      <c r="G3304" s="1"/>
      <c r="H3304" s="1"/>
      <c r="I3304" s="1"/>
    </row>
    <row r="3305" ht="15.75" customHeight="1">
      <c r="A3305" s="1" t="s">
        <v>3403</v>
      </c>
      <c r="B3305" s="1" t="s">
        <v>3346</v>
      </c>
      <c r="C3305" s="1"/>
      <c r="D3305" s="1"/>
      <c r="E3305" s="1"/>
      <c r="F3305" s="1"/>
      <c r="G3305" s="1"/>
      <c r="H3305" s="1"/>
      <c r="I3305" s="1"/>
    </row>
    <row r="3306" ht="15.75" customHeight="1">
      <c r="A3306" s="1" t="s">
        <v>3404</v>
      </c>
      <c r="B3306" s="1" t="s">
        <v>3346</v>
      </c>
      <c r="C3306" s="1"/>
      <c r="D3306" s="1"/>
      <c r="E3306" s="1"/>
      <c r="F3306" s="1"/>
      <c r="G3306" s="1"/>
      <c r="H3306" s="1"/>
      <c r="I3306" s="1"/>
    </row>
    <row r="3307" ht="15.75" customHeight="1">
      <c r="A3307" s="1" t="s">
        <v>3405</v>
      </c>
      <c r="B3307" s="1" t="s">
        <v>3346</v>
      </c>
      <c r="C3307" s="1"/>
      <c r="D3307" s="1"/>
      <c r="E3307" s="1"/>
      <c r="F3307" s="1"/>
      <c r="G3307" s="1"/>
      <c r="H3307" s="1"/>
      <c r="I3307" s="1"/>
    </row>
    <row r="3308" ht="15.75" customHeight="1">
      <c r="A3308" s="1" t="s">
        <v>3406</v>
      </c>
      <c r="B3308" s="1" t="s">
        <v>3346</v>
      </c>
      <c r="C3308" s="1"/>
      <c r="D3308" s="1"/>
      <c r="E3308" s="1"/>
      <c r="F3308" s="1"/>
      <c r="G3308" s="1"/>
      <c r="H3308" s="1"/>
      <c r="I3308" s="1"/>
    </row>
    <row r="3309" ht="15.75" customHeight="1">
      <c r="A3309" s="1" t="s">
        <v>3407</v>
      </c>
      <c r="B3309" s="1" t="s">
        <v>3346</v>
      </c>
      <c r="C3309" s="1"/>
      <c r="D3309" s="1"/>
      <c r="E3309" s="1"/>
      <c r="F3309" s="1"/>
      <c r="G3309" s="1"/>
      <c r="H3309" s="1"/>
      <c r="I3309" s="1"/>
    </row>
    <row r="3310" ht="15.75" customHeight="1">
      <c r="A3310" s="1" t="s">
        <v>3408</v>
      </c>
      <c r="B3310" s="1" t="s">
        <v>3346</v>
      </c>
      <c r="C3310" s="1"/>
      <c r="D3310" s="1"/>
      <c r="E3310" s="1"/>
      <c r="F3310" s="1"/>
      <c r="G3310" s="1"/>
      <c r="H3310" s="1"/>
      <c r="I3310" s="1"/>
    </row>
    <row r="3311" ht="15.75" customHeight="1">
      <c r="A3311" s="1" t="s">
        <v>3409</v>
      </c>
      <c r="B3311" s="1" t="s">
        <v>3346</v>
      </c>
      <c r="C3311" s="1"/>
      <c r="D3311" s="1"/>
      <c r="E3311" s="1"/>
      <c r="F3311" s="1"/>
      <c r="G3311" s="1"/>
      <c r="H3311" s="1"/>
      <c r="I3311" s="1"/>
    </row>
    <row r="3312" ht="15.75" customHeight="1">
      <c r="A3312" s="1" t="s">
        <v>3410</v>
      </c>
      <c r="B3312" s="1" t="s">
        <v>3346</v>
      </c>
      <c r="C3312" s="1"/>
      <c r="D3312" s="1"/>
      <c r="E3312" s="1"/>
      <c r="F3312" s="1"/>
      <c r="G3312" s="1"/>
      <c r="H3312" s="1"/>
      <c r="I3312" s="1"/>
    </row>
    <row r="3313" ht="15.75" customHeight="1">
      <c r="A3313" s="1" t="s">
        <v>3411</v>
      </c>
      <c r="B3313" s="1" t="s">
        <v>3346</v>
      </c>
      <c r="C3313" s="1"/>
      <c r="D3313" s="1"/>
      <c r="E3313" s="1"/>
      <c r="F3313" s="1"/>
      <c r="G3313" s="1"/>
      <c r="H3313" s="1"/>
      <c r="I3313" s="1"/>
    </row>
    <row r="3314" ht="15.75" customHeight="1">
      <c r="A3314" s="1" t="s">
        <v>3412</v>
      </c>
      <c r="B3314" s="1" t="s">
        <v>3346</v>
      </c>
      <c r="C3314" s="1"/>
      <c r="D3314" s="1"/>
      <c r="E3314" s="1"/>
      <c r="F3314" s="1"/>
      <c r="G3314" s="1"/>
      <c r="H3314" s="1"/>
      <c r="I3314" s="1"/>
    </row>
    <row r="3315" ht="15.75" customHeight="1">
      <c r="A3315" s="1" t="s">
        <v>3413</v>
      </c>
      <c r="B3315" s="1" t="s">
        <v>3414</v>
      </c>
      <c r="C3315" s="1"/>
      <c r="D3315" s="1"/>
      <c r="E3315" s="1"/>
      <c r="F3315" s="1"/>
      <c r="G3315" s="1"/>
      <c r="H3315" s="1"/>
      <c r="I3315" s="1"/>
    </row>
    <row r="3316" ht="15.75" customHeight="1">
      <c r="A3316" s="1" t="s">
        <v>3415</v>
      </c>
      <c r="B3316" s="1" t="s">
        <v>3414</v>
      </c>
      <c r="C3316" s="1"/>
      <c r="D3316" s="1"/>
      <c r="E3316" s="1"/>
      <c r="F3316" s="1"/>
      <c r="G3316" s="1"/>
      <c r="H3316" s="1"/>
      <c r="I3316" s="1"/>
    </row>
    <row r="3317" ht="15.75" customHeight="1">
      <c r="A3317" s="1" t="s">
        <v>3416</v>
      </c>
      <c r="B3317" s="1" t="s">
        <v>3414</v>
      </c>
      <c r="C3317" s="1"/>
      <c r="D3317" s="1"/>
      <c r="E3317" s="1"/>
      <c r="F3317" s="1"/>
      <c r="G3317" s="1"/>
      <c r="H3317" s="1"/>
      <c r="I3317" s="1"/>
    </row>
    <row r="3318" ht="15.75" customHeight="1">
      <c r="A3318" s="1" t="s">
        <v>3417</v>
      </c>
      <c r="B3318" s="1" t="s">
        <v>3418</v>
      </c>
      <c r="C3318" s="1"/>
      <c r="D3318" s="1"/>
      <c r="E3318" s="1"/>
      <c r="F3318" s="1"/>
      <c r="G3318" s="1"/>
      <c r="H3318" s="1"/>
      <c r="I3318" s="1"/>
    </row>
    <row r="3319" ht="15.75" customHeight="1">
      <c r="A3319" s="1" t="s">
        <v>3419</v>
      </c>
      <c r="B3319" s="1" t="s">
        <v>3418</v>
      </c>
      <c r="C3319" s="1"/>
      <c r="D3319" s="1"/>
      <c r="E3319" s="1"/>
      <c r="F3319" s="1"/>
      <c r="G3319" s="1"/>
      <c r="H3319" s="1"/>
      <c r="I3319" s="1"/>
    </row>
    <row r="3320" ht="15.75" customHeight="1">
      <c r="A3320" s="1" t="s">
        <v>3420</v>
      </c>
      <c r="B3320" s="1" t="s">
        <v>3418</v>
      </c>
      <c r="C3320" s="1"/>
      <c r="D3320" s="1"/>
      <c r="E3320" s="1"/>
      <c r="F3320" s="1"/>
      <c r="G3320" s="1"/>
      <c r="H3320" s="1"/>
      <c r="I3320" s="1"/>
    </row>
    <row r="3321" ht="15.75" customHeight="1">
      <c r="A3321" s="1" t="s">
        <v>3421</v>
      </c>
      <c r="B3321" s="1" t="s">
        <v>3418</v>
      </c>
      <c r="C3321" s="1"/>
      <c r="D3321" s="1"/>
      <c r="E3321" s="1"/>
      <c r="F3321" s="1"/>
      <c r="G3321" s="1"/>
      <c r="H3321" s="1"/>
      <c r="I3321" s="1"/>
    </row>
    <row r="3322" ht="15.75" customHeight="1">
      <c r="A3322" s="1" t="s">
        <v>3422</v>
      </c>
      <c r="B3322" s="1" t="s">
        <v>3418</v>
      </c>
      <c r="C3322" s="1"/>
      <c r="D3322" s="1"/>
      <c r="E3322" s="1"/>
      <c r="F3322" s="1"/>
      <c r="G3322" s="1"/>
      <c r="H3322" s="1"/>
      <c r="I3322" s="1"/>
    </row>
    <row r="3323" ht="15.75" customHeight="1">
      <c r="A3323" s="1" t="s">
        <v>3423</v>
      </c>
      <c r="B3323" s="1" t="s">
        <v>3424</v>
      </c>
      <c r="C3323" s="1"/>
      <c r="D3323" s="1"/>
      <c r="E3323" s="1"/>
      <c r="F3323" s="1"/>
      <c r="G3323" s="1"/>
      <c r="H3323" s="1"/>
      <c r="I3323" s="1"/>
    </row>
    <row r="3324" ht="15.75" customHeight="1">
      <c r="A3324" s="1" t="s">
        <v>3425</v>
      </c>
      <c r="B3324" s="1" t="s">
        <v>3424</v>
      </c>
      <c r="C3324" s="1"/>
      <c r="D3324" s="1"/>
      <c r="E3324" s="1"/>
      <c r="F3324" s="1"/>
      <c r="G3324" s="1"/>
      <c r="H3324" s="1"/>
      <c r="I3324" s="1"/>
    </row>
    <row r="3325" ht="15.75" customHeight="1">
      <c r="A3325" s="1" t="s">
        <v>3426</v>
      </c>
      <c r="B3325" s="1" t="s">
        <v>3424</v>
      </c>
      <c r="C3325" s="1"/>
      <c r="D3325" s="1"/>
      <c r="E3325" s="1"/>
      <c r="F3325" s="1"/>
      <c r="G3325" s="1"/>
      <c r="H3325" s="1"/>
      <c r="I3325" s="1"/>
    </row>
    <row r="3326" ht="15.75" customHeight="1">
      <c r="A3326" s="1" t="s">
        <v>3427</v>
      </c>
      <c r="B3326" s="1" t="s">
        <v>3424</v>
      </c>
      <c r="C3326" s="1"/>
      <c r="D3326" s="1"/>
      <c r="E3326" s="1"/>
      <c r="F3326" s="1"/>
      <c r="G3326" s="1"/>
      <c r="H3326" s="1"/>
      <c r="I3326" s="1"/>
    </row>
    <row r="3327" ht="15.75" customHeight="1">
      <c r="A3327" s="1" t="s">
        <v>3428</v>
      </c>
      <c r="B3327" s="1" t="s">
        <v>3424</v>
      </c>
      <c r="C3327" s="1"/>
      <c r="D3327" s="1"/>
      <c r="E3327" s="1"/>
      <c r="F3327" s="1"/>
      <c r="G3327" s="1"/>
      <c r="H3327" s="1"/>
      <c r="I3327" s="1"/>
    </row>
    <row r="3328" ht="15.75" customHeight="1">
      <c r="A3328" s="1" t="s">
        <v>3429</v>
      </c>
      <c r="B3328" s="1" t="s">
        <v>3424</v>
      </c>
      <c r="C3328" s="1"/>
      <c r="D3328" s="1"/>
      <c r="E3328" s="1"/>
      <c r="F3328" s="1"/>
      <c r="G3328" s="1"/>
      <c r="H3328" s="1"/>
      <c r="I3328" s="1"/>
    </row>
    <row r="3329" ht="15.75" customHeight="1">
      <c r="A3329" s="1" t="s">
        <v>3430</v>
      </c>
      <c r="B3329" s="1" t="s">
        <v>3424</v>
      </c>
      <c r="C3329" s="1"/>
      <c r="D3329" s="1"/>
      <c r="E3329" s="1"/>
      <c r="F3329" s="1"/>
      <c r="G3329" s="1"/>
      <c r="H3329" s="1"/>
      <c r="I3329" s="1"/>
    </row>
    <row r="3330" ht="15.75" customHeight="1">
      <c r="A3330" s="1" t="s">
        <v>3431</v>
      </c>
      <c r="B3330" s="1" t="s">
        <v>3424</v>
      </c>
      <c r="C3330" s="1"/>
      <c r="D3330" s="1"/>
      <c r="E3330" s="1"/>
      <c r="F3330" s="1"/>
      <c r="G3330" s="1"/>
      <c r="H3330" s="1"/>
      <c r="I3330" s="1"/>
    </row>
    <row r="3331" ht="15.75" customHeight="1">
      <c r="A3331" s="1" t="s">
        <v>3432</v>
      </c>
      <c r="B3331" s="1" t="s">
        <v>3424</v>
      </c>
      <c r="C3331" s="1"/>
      <c r="D3331" s="1"/>
      <c r="E3331" s="1"/>
      <c r="F3331" s="1"/>
      <c r="G3331" s="1"/>
      <c r="H3331" s="1"/>
      <c r="I3331" s="1"/>
    </row>
    <row r="3332" ht="15.75" customHeight="1">
      <c r="A3332" s="1" t="s">
        <v>3433</v>
      </c>
      <c r="B3332" s="1" t="s">
        <v>3424</v>
      </c>
      <c r="C3332" s="1"/>
      <c r="D3332" s="1"/>
      <c r="E3332" s="1"/>
      <c r="F3332" s="1"/>
      <c r="G3332" s="1"/>
      <c r="H3332" s="1"/>
      <c r="I3332" s="1"/>
    </row>
    <row r="3333" ht="15.75" customHeight="1">
      <c r="A3333" s="1" t="s">
        <v>3434</v>
      </c>
      <c r="B3333" s="1" t="s">
        <v>3424</v>
      </c>
      <c r="C3333" s="1"/>
      <c r="D3333" s="1"/>
      <c r="E3333" s="1"/>
      <c r="F3333" s="1"/>
      <c r="G3333" s="1"/>
      <c r="H3333" s="1"/>
      <c r="I3333" s="1"/>
    </row>
    <row r="3334" ht="15.75" customHeight="1">
      <c r="A3334" s="1" t="s">
        <v>3435</v>
      </c>
      <c r="B3334" s="1" t="s">
        <v>3424</v>
      </c>
      <c r="C3334" s="1"/>
      <c r="D3334" s="1"/>
      <c r="E3334" s="1"/>
      <c r="F3334" s="1"/>
      <c r="G3334" s="1"/>
      <c r="H3334" s="1"/>
      <c r="I3334" s="1"/>
    </row>
    <row r="3335" ht="15.75" customHeight="1">
      <c r="A3335" s="1" t="s">
        <v>3436</v>
      </c>
      <c r="B3335" s="1" t="s">
        <v>3424</v>
      </c>
      <c r="C3335" s="1"/>
      <c r="D3335" s="1"/>
      <c r="E3335" s="1"/>
      <c r="F3335" s="1"/>
      <c r="G3335" s="1"/>
      <c r="H3335" s="1"/>
      <c r="I3335" s="1"/>
    </row>
    <row r="3336" ht="15.75" customHeight="1">
      <c r="A3336" s="1" t="s">
        <v>3437</v>
      </c>
      <c r="B3336" s="1" t="s">
        <v>3424</v>
      </c>
      <c r="C3336" s="1"/>
      <c r="D3336" s="1"/>
      <c r="E3336" s="1"/>
      <c r="F3336" s="1"/>
      <c r="G3336" s="1"/>
      <c r="H3336" s="1"/>
      <c r="I3336" s="1"/>
    </row>
    <row r="3337" ht="15.75" customHeight="1">
      <c r="A3337" s="1" t="s">
        <v>3438</v>
      </c>
      <c r="B3337" s="1" t="s">
        <v>3424</v>
      </c>
      <c r="C3337" s="1"/>
      <c r="D3337" s="1"/>
      <c r="E3337" s="1"/>
      <c r="F3337" s="1"/>
      <c r="G3337" s="1"/>
      <c r="H3337" s="1"/>
      <c r="I3337" s="1"/>
    </row>
    <row r="3338" ht="15.75" customHeight="1">
      <c r="A3338" s="1" t="s">
        <v>3439</v>
      </c>
      <c r="B3338" s="1" t="s">
        <v>3424</v>
      </c>
      <c r="C3338" s="1"/>
      <c r="D3338" s="1"/>
      <c r="E3338" s="1"/>
      <c r="F3338" s="1"/>
      <c r="G3338" s="1"/>
      <c r="H3338" s="1"/>
      <c r="I3338" s="1"/>
    </row>
    <row r="3339" ht="15.75" customHeight="1">
      <c r="A3339" s="1" t="s">
        <v>3440</v>
      </c>
      <c r="B3339" s="1" t="s">
        <v>3424</v>
      </c>
      <c r="C3339" s="1"/>
      <c r="D3339" s="1"/>
      <c r="E3339" s="1"/>
      <c r="F3339" s="1"/>
      <c r="G3339" s="1"/>
      <c r="H3339" s="1"/>
      <c r="I3339" s="1"/>
    </row>
    <row r="3340" ht="15.75" customHeight="1">
      <c r="A3340" s="1" t="s">
        <v>3441</v>
      </c>
      <c r="B3340" s="1" t="s">
        <v>3424</v>
      </c>
      <c r="C3340" s="1"/>
      <c r="D3340" s="1"/>
      <c r="E3340" s="1"/>
      <c r="F3340" s="1"/>
      <c r="G3340" s="1"/>
      <c r="H3340" s="1"/>
      <c r="I3340" s="1"/>
    </row>
    <row r="3341" ht="15.75" customHeight="1">
      <c r="A3341" s="1" t="s">
        <v>3442</v>
      </c>
      <c r="B3341" s="1" t="s">
        <v>3424</v>
      </c>
      <c r="C3341" s="1"/>
      <c r="D3341" s="1"/>
      <c r="E3341" s="1"/>
      <c r="F3341" s="1"/>
      <c r="G3341" s="1"/>
      <c r="H3341" s="1"/>
      <c r="I3341" s="1"/>
    </row>
    <row r="3342" ht="15.75" customHeight="1">
      <c r="A3342" s="1" t="s">
        <v>3443</v>
      </c>
      <c r="B3342" s="1" t="s">
        <v>3424</v>
      </c>
      <c r="C3342" s="1"/>
      <c r="D3342" s="1"/>
      <c r="E3342" s="1"/>
      <c r="F3342" s="1"/>
      <c r="G3342" s="1"/>
      <c r="H3342" s="1"/>
      <c r="I3342" s="1"/>
    </row>
    <row r="3343" ht="15.75" customHeight="1">
      <c r="A3343" s="1" t="s">
        <v>3444</v>
      </c>
      <c r="B3343" s="1" t="s">
        <v>3424</v>
      </c>
      <c r="C3343" s="1"/>
      <c r="D3343" s="1"/>
      <c r="E3343" s="1"/>
      <c r="F3343" s="1"/>
      <c r="G3343" s="1"/>
      <c r="H3343" s="1"/>
      <c r="I3343" s="1"/>
    </row>
    <row r="3344" ht="15.75" customHeight="1">
      <c r="A3344" s="1" t="s">
        <v>3445</v>
      </c>
      <c r="B3344" s="1" t="s">
        <v>3424</v>
      </c>
      <c r="C3344" s="1"/>
      <c r="D3344" s="1"/>
      <c r="E3344" s="1"/>
      <c r="F3344" s="1"/>
      <c r="G3344" s="1"/>
      <c r="H3344" s="1"/>
      <c r="I3344" s="1"/>
    </row>
    <row r="3345" ht="15.75" customHeight="1">
      <c r="A3345" s="1" t="s">
        <v>3446</v>
      </c>
      <c r="B3345" s="1" t="s">
        <v>3424</v>
      </c>
      <c r="C3345" s="1"/>
      <c r="D3345" s="1"/>
      <c r="E3345" s="1"/>
      <c r="F3345" s="1"/>
      <c r="G3345" s="1"/>
      <c r="H3345" s="1"/>
      <c r="I3345" s="1"/>
    </row>
    <row r="3346" ht="15.75" customHeight="1">
      <c r="A3346" s="1" t="s">
        <v>3447</v>
      </c>
      <c r="B3346" s="1" t="s">
        <v>3424</v>
      </c>
      <c r="C3346" s="1"/>
      <c r="D3346" s="1"/>
      <c r="E3346" s="1"/>
      <c r="F3346" s="1"/>
      <c r="G3346" s="1"/>
      <c r="H3346" s="1"/>
      <c r="I3346" s="1"/>
    </row>
    <row r="3347" ht="15.75" customHeight="1">
      <c r="A3347" s="1" t="s">
        <v>3448</v>
      </c>
      <c r="B3347" s="1" t="s">
        <v>3424</v>
      </c>
      <c r="C3347" s="1"/>
      <c r="D3347" s="1"/>
      <c r="E3347" s="1"/>
      <c r="F3347" s="1"/>
      <c r="G3347" s="1"/>
      <c r="H3347" s="1"/>
      <c r="I3347" s="1"/>
    </row>
    <row r="3348" ht="15.75" customHeight="1">
      <c r="A3348" s="1" t="s">
        <v>3449</v>
      </c>
      <c r="B3348" s="1" t="s">
        <v>3424</v>
      </c>
      <c r="C3348" s="1"/>
      <c r="D3348" s="1"/>
      <c r="E3348" s="1"/>
      <c r="F3348" s="1"/>
      <c r="G3348" s="1"/>
      <c r="H3348" s="1"/>
      <c r="I3348" s="1"/>
    </row>
    <row r="3349" ht="15.75" customHeight="1">
      <c r="A3349" s="1" t="s">
        <v>3450</v>
      </c>
      <c r="B3349" s="1" t="s">
        <v>3424</v>
      </c>
      <c r="C3349" s="1"/>
      <c r="D3349" s="1"/>
      <c r="E3349" s="1"/>
      <c r="F3349" s="1"/>
      <c r="G3349" s="1"/>
      <c r="H3349" s="1"/>
      <c r="I3349" s="1"/>
    </row>
    <row r="3350" ht="15.75" customHeight="1">
      <c r="A3350" s="1" t="s">
        <v>3451</v>
      </c>
      <c r="B3350" s="1" t="s">
        <v>3424</v>
      </c>
      <c r="C3350" s="1"/>
      <c r="D3350" s="1"/>
      <c r="E3350" s="1"/>
      <c r="F3350" s="1"/>
      <c r="G3350" s="1"/>
      <c r="H3350" s="1"/>
      <c r="I3350" s="1"/>
    </row>
    <row r="3351" ht="15.75" customHeight="1">
      <c r="A3351" s="1" t="s">
        <v>3452</v>
      </c>
      <c r="B3351" s="1" t="s">
        <v>3424</v>
      </c>
      <c r="C3351" s="1"/>
      <c r="D3351" s="1"/>
      <c r="E3351" s="1"/>
      <c r="F3351" s="1"/>
      <c r="G3351" s="1"/>
      <c r="H3351" s="1"/>
      <c r="I3351" s="1"/>
    </row>
    <row r="3352" ht="15.75" customHeight="1">
      <c r="A3352" s="1" t="s">
        <v>3453</v>
      </c>
      <c r="B3352" s="1" t="s">
        <v>3424</v>
      </c>
      <c r="C3352" s="1"/>
      <c r="D3352" s="1"/>
      <c r="E3352" s="1"/>
      <c r="F3352" s="1"/>
      <c r="G3352" s="1"/>
      <c r="H3352" s="1"/>
      <c r="I3352" s="1"/>
    </row>
    <row r="3353" ht="15.75" customHeight="1">
      <c r="A3353" s="1" t="s">
        <v>3454</v>
      </c>
      <c r="B3353" s="1" t="s">
        <v>3424</v>
      </c>
      <c r="C3353" s="1"/>
      <c r="D3353" s="1"/>
      <c r="E3353" s="1"/>
      <c r="F3353" s="1"/>
      <c r="G3353" s="1"/>
      <c r="H3353" s="1"/>
      <c r="I3353" s="1"/>
    </row>
    <row r="3354" ht="15.75" customHeight="1">
      <c r="A3354" s="1" t="s">
        <v>3455</v>
      </c>
      <c r="B3354" s="1" t="s">
        <v>3424</v>
      </c>
      <c r="C3354" s="1"/>
      <c r="D3354" s="1"/>
      <c r="E3354" s="1"/>
      <c r="F3354" s="1"/>
      <c r="G3354" s="1"/>
      <c r="H3354" s="1"/>
      <c r="I3354" s="1"/>
    </row>
    <row r="3355" ht="15.75" customHeight="1">
      <c r="A3355" s="1" t="s">
        <v>3456</v>
      </c>
      <c r="B3355" s="1" t="s">
        <v>3424</v>
      </c>
      <c r="C3355" s="1"/>
      <c r="D3355" s="1"/>
      <c r="E3355" s="1"/>
      <c r="F3355" s="1"/>
      <c r="G3355" s="1"/>
      <c r="H3355" s="1"/>
      <c r="I3355" s="1"/>
    </row>
    <row r="3356" ht="15.75" customHeight="1">
      <c r="A3356" s="1" t="s">
        <v>3457</v>
      </c>
      <c r="B3356" s="1" t="s">
        <v>3424</v>
      </c>
      <c r="C3356" s="1"/>
      <c r="D3356" s="1"/>
      <c r="E3356" s="1"/>
      <c r="F3356" s="1"/>
      <c r="G3356" s="1"/>
      <c r="H3356" s="1"/>
      <c r="I3356" s="1"/>
    </row>
    <row r="3357" ht="15.75" customHeight="1">
      <c r="A3357" s="1" t="s">
        <v>3458</v>
      </c>
      <c r="B3357" s="1" t="s">
        <v>3424</v>
      </c>
      <c r="C3357" s="1"/>
      <c r="D3357" s="1"/>
      <c r="E3357" s="1"/>
      <c r="F3357" s="1"/>
      <c r="G3357" s="1"/>
      <c r="H3357" s="1"/>
      <c r="I3357" s="1"/>
    </row>
    <row r="3358" ht="15.75" customHeight="1">
      <c r="A3358" s="1" t="s">
        <v>3459</v>
      </c>
      <c r="B3358" s="1" t="s">
        <v>3424</v>
      </c>
      <c r="C3358" s="1"/>
      <c r="D3358" s="1"/>
      <c r="E3358" s="1"/>
      <c r="F3358" s="1"/>
      <c r="G3358" s="1"/>
      <c r="H3358" s="1"/>
      <c r="I3358" s="1"/>
    </row>
    <row r="3359" ht="15.75" customHeight="1">
      <c r="A3359" s="1" t="s">
        <v>3460</v>
      </c>
      <c r="B3359" s="1" t="s">
        <v>3424</v>
      </c>
      <c r="C3359" s="1"/>
      <c r="D3359" s="1"/>
      <c r="E3359" s="1"/>
      <c r="F3359" s="1"/>
      <c r="G3359" s="1"/>
      <c r="H3359" s="1"/>
      <c r="I3359" s="1"/>
    </row>
    <row r="3360" ht="15.75" customHeight="1">
      <c r="A3360" s="1" t="s">
        <v>3461</v>
      </c>
      <c r="B3360" s="1" t="s">
        <v>3424</v>
      </c>
      <c r="C3360" s="1"/>
      <c r="D3360" s="1"/>
      <c r="E3360" s="1"/>
      <c r="F3360" s="1"/>
      <c r="G3360" s="1"/>
      <c r="H3360" s="1"/>
      <c r="I3360" s="1"/>
    </row>
    <row r="3361" ht="15.75" customHeight="1">
      <c r="A3361" s="1" t="s">
        <v>3462</v>
      </c>
      <c r="B3361" s="1" t="s">
        <v>3424</v>
      </c>
      <c r="C3361" s="1"/>
      <c r="D3361" s="1"/>
      <c r="E3361" s="1"/>
      <c r="F3361" s="1"/>
      <c r="G3361" s="1"/>
      <c r="H3361" s="1"/>
      <c r="I3361" s="1"/>
    </row>
    <row r="3362" ht="15.75" customHeight="1">
      <c r="A3362" s="1" t="s">
        <v>3463</v>
      </c>
      <c r="B3362" s="1" t="s">
        <v>3424</v>
      </c>
      <c r="C3362" s="1"/>
      <c r="D3362" s="1"/>
      <c r="E3362" s="1"/>
      <c r="F3362" s="1"/>
      <c r="G3362" s="1"/>
      <c r="H3362" s="1"/>
      <c r="I3362" s="1"/>
    </row>
    <row r="3363" ht="15.75" customHeight="1">
      <c r="A3363" s="1" t="s">
        <v>3464</v>
      </c>
      <c r="B3363" s="1" t="s">
        <v>3424</v>
      </c>
      <c r="C3363" s="1"/>
      <c r="D3363" s="1"/>
      <c r="E3363" s="1"/>
      <c r="F3363" s="1"/>
      <c r="G3363" s="1"/>
      <c r="H3363" s="1"/>
      <c r="I3363" s="1"/>
    </row>
    <row r="3364" ht="15.75" customHeight="1">
      <c r="A3364" s="1" t="s">
        <v>3465</v>
      </c>
      <c r="B3364" s="1" t="s">
        <v>3424</v>
      </c>
      <c r="C3364" s="1"/>
      <c r="D3364" s="1"/>
      <c r="E3364" s="1"/>
      <c r="F3364" s="1"/>
      <c r="G3364" s="1"/>
      <c r="H3364" s="1"/>
      <c r="I3364" s="1"/>
    </row>
    <row r="3365" ht="15.75" customHeight="1">
      <c r="A3365" s="1" t="s">
        <v>3466</v>
      </c>
      <c r="B3365" s="1" t="s">
        <v>3424</v>
      </c>
      <c r="C3365" s="1"/>
      <c r="D3365" s="1"/>
      <c r="E3365" s="1"/>
      <c r="F3365" s="1"/>
      <c r="G3365" s="1"/>
      <c r="H3365" s="1"/>
      <c r="I3365" s="1"/>
    </row>
    <row r="3366" ht="15.75" customHeight="1">
      <c r="A3366" s="1" t="s">
        <v>3467</v>
      </c>
      <c r="B3366" s="1" t="s">
        <v>3424</v>
      </c>
      <c r="C3366" s="1"/>
      <c r="D3366" s="1"/>
      <c r="E3366" s="1"/>
      <c r="F3366" s="1"/>
      <c r="G3366" s="1"/>
      <c r="H3366" s="1"/>
      <c r="I3366" s="1"/>
    </row>
    <row r="3367" ht="15.75" customHeight="1">
      <c r="A3367" s="1" t="s">
        <v>3468</v>
      </c>
      <c r="B3367" s="1" t="s">
        <v>3424</v>
      </c>
      <c r="C3367" s="1"/>
      <c r="D3367" s="1"/>
      <c r="E3367" s="1"/>
      <c r="F3367" s="1"/>
      <c r="G3367" s="1"/>
      <c r="H3367" s="1"/>
      <c r="I3367" s="1"/>
    </row>
    <row r="3368" ht="15.75" customHeight="1">
      <c r="A3368" s="1" t="s">
        <v>3469</v>
      </c>
      <c r="B3368" s="1" t="s">
        <v>3424</v>
      </c>
      <c r="C3368" s="1"/>
      <c r="D3368" s="1"/>
      <c r="E3368" s="1"/>
      <c r="F3368" s="1"/>
      <c r="G3368" s="1"/>
      <c r="H3368" s="1"/>
      <c r="I3368" s="1"/>
    </row>
    <row r="3369" ht="15.75" customHeight="1">
      <c r="A3369" s="1" t="s">
        <v>3470</v>
      </c>
      <c r="B3369" s="1" t="s">
        <v>3424</v>
      </c>
      <c r="C3369" s="1"/>
      <c r="D3369" s="1"/>
      <c r="E3369" s="1"/>
      <c r="F3369" s="1"/>
      <c r="G3369" s="1"/>
      <c r="H3369" s="1"/>
      <c r="I3369" s="1"/>
    </row>
    <row r="3370" ht="15.75" customHeight="1">
      <c r="A3370" s="1" t="s">
        <v>3471</v>
      </c>
      <c r="B3370" s="1" t="s">
        <v>3424</v>
      </c>
      <c r="C3370" s="1"/>
      <c r="D3370" s="1"/>
      <c r="E3370" s="1"/>
      <c r="F3370" s="1"/>
      <c r="G3370" s="1"/>
      <c r="H3370" s="1"/>
      <c r="I3370" s="1"/>
    </row>
    <row r="3371" ht="15.75" customHeight="1">
      <c r="A3371" s="1" t="s">
        <v>3472</v>
      </c>
      <c r="B3371" s="1" t="s">
        <v>3424</v>
      </c>
      <c r="C3371" s="1"/>
      <c r="D3371" s="1"/>
      <c r="E3371" s="1"/>
      <c r="F3371" s="1"/>
      <c r="G3371" s="1"/>
      <c r="H3371" s="1"/>
      <c r="I3371" s="1"/>
    </row>
    <row r="3372" ht="15.75" customHeight="1">
      <c r="A3372" s="1" t="s">
        <v>3473</v>
      </c>
      <c r="B3372" s="1" t="s">
        <v>3424</v>
      </c>
      <c r="C3372" s="1"/>
      <c r="D3372" s="1"/>
      <c r="E3372" s="1"/>
      <c r="F3372" s="1"/>
      <c r="G3372" s="1"/>
      <c r="H3372" s="1"/>
      <c r="I3372" s="1"/>
    </row>
    <row r="3373" ht="15.75" customHeight="1">
      <c r="A3373" s="1" t="s">
        <v>3474</v>
      </c>
      <c r="B3373" s="1" t="s">
        <v>3424</v>
      </c>
      <c r="C3373" s="1"/>
      <c r="D3373" s="1"/>
      <c r="E3373" s="1"/>
      <c r="F3373" s="1"/>
      <c r="G3373" s="1"/>
      <c r="H3373" s="1"/>
      <c r="I3373" s="1"/>
    </row>
    <row r="3374" ht="15.75" customHeight="1">
      <c r="A3374" s="1" t="s">
        <v>3475</v>
      </c>
      <c r="B3374" s="1" t="s">
        <v>3424</v>
      </c>
      <c r="C3374" s="1"/>
      <c r="D3374" s="1"/>
      <c r="E3374" s="1"/>
      <c r="F3374" s="1"/>
      <c r="G3374" s="1"/>
      <c r="H3374" s="1"/>
      <c r="I3374" s="1"/>
    </row>
    <row r="3375" ht="15.75" customHeight="1">
      <c r="A3375" s="1" t="s">
        <v>3476</v>
      </c>
      <c r="B3375" s="1" t="s">
        <v>3424</v>
      </c>
      <c r="C3375" s="1"/>
      <c r="D3375" s="1"/>
      <c r="E3375" s="1"/>
      <c r="F3375" s="1"/>
      <c r="G3375" s="1"/>
      <c r="H3375" s="1"/>
      <c r="I3375" s="1"/>
    </row>
    <row r="3376" ht="15.75" customHeight="1">
      <c r="A3376" s="1" t="s">
        <v>3477</v>
      </c>
      <c r="B3376" s="1" t="s">
        <v>3424</v>
      </c>
      <c r="C3376" s="1"/>
      <c r="D3376" s="1"/>
      <c r="E3376" s="1"/>
      <c r="F3376" s="1"/>
      <c r="G3376" s="1"/>
      <c r="H3376" s="1"/>
      <c r="I3376" s="1"/>
    </row>
    <row r="3377" ht="15.75" customHeight="1">
      <c r="A3377" s="1" t="s">
        <v>3478</v>
      </c>
      <c r="B3377" s="1" t="s">
        <v>3424</v>
      </c>
      <c r="C3377" s="1"/>
      <c r="D3377" s="1"/>
      <c r="E3377" s="1"/>
      <c r="F3377" s="1"/>
      <c r="G3377" s="1"/>
      <c r="H3377" s="1"/>
      <c r="I3377" s="1"/>
    </row>
    <row r="3378" ht="15.75" customHeight="1">
      <c r="A3378" s="1" t="s">
        <v>3479</v>
      </c>
      <c r="B3378" s="1" t="s">
        <v>3424</v>
      </c>
      <c r="C3378" s="1"/>
      <c r="D3378" s="1"/>
      <c r="E3378" s="1"/>
      <c r="F3378" s="1"/>
      <c r="G3378" s="1"/>
      <c r="H3378" s="1"/>
      <c r="I3378" s="1"/>
    </row>
    <row r="3379" ht="15.75" customHeight="1">
      <c r="A3379" s="1" t="s">
        <v>3480</v>
      </c>
      <c r="B3379" s="1" t="s">
        <v>3424</v>
      </c>
      <c r="C3379" s="1"/>
      <c r="D3379" s="1"/>
      <c r="E3379" s="1"/>
      <c r="F3379" s="1"/>
      <c r="G3379" s="1"/>
      <c r="H3379" s="1"/>
      <c r="I3379" s="1"/>
    </row>
    <row r="3380" ht="15.75" customHeight="1">
      <c r="A3380" s="1" t="s">
        <v>3481</v>
      </c>
      <c r="B3380" s="1" t="s">
        <v>3424</v>
      </c>
      <c r="C3380" s="1"/>
      <c r="D3380" s="1"/>
      <c r="E3380" s="1"/>
      <c r="F3380" s="1"/>
      <c r="G3380" s="1"/>
      <c r="H3380" s="1"/>
      <c r="I3380" s="1"/>
    </row>
    <row r="3381" ht="15.75" customHeight="1">
      <c r="A3381" s="1" t="s">
        <v>3482</v>
      </c>
      <c r="B3381" s="1" t="s">
        <v>3424</v>
      </c>
      <c r="C3381" s="1"/>
      <c r="D3381" s="1"/>
      <c r="E3381" s="1"/>
      <c r="F3381" s="1"/>
      <c r="G3381" s="1"/>
      <c r="H3381" s="1"/>
      <c r="I3381" s="1"/>
    </row>
    <row r="3382" ht="15.75" customHeight="1">
      <c r="A3382" s="1" t="s">
        <v>3483</v>
      </c>
      <c r="B3382" s="1" t="s">
        <v>3424</v>
      </c>
      <c r="C3382" s="1"/>
      <c r="D3382" s="1"/>
      <c r="E3382" s="1"/>
      <c r="F3382" s="1"/>
      <c r="G3382" s="1"/>
      <c r="H3382" s="1"/>
      <c r="I3382" s="1"/>
    </row>
    <row r="3383" ht="15.75" customHeight="1">
      <c r="A3383" s="1" t="s">
        <v>3484</v>
      </c>
      <c r="B3383" s="1" t="s">
        <v>3424</v>
      </c>
      <c r="C3383" s="1"/>
      <c r="D3383" s="1"/>
      <c r="E3383" s="1"/>
      <c r="F3383" s="1"/>
      <c r="G3383" s="1"/>
      <c r="H3383" s="1"/>
      <c r="I3383" s="1"/>
    </row>
    <row r="3384" ht="15.75" customHeight="1">
      <c r="A3384" s="1" t="s">
        <v>3485</v>
      </c>
      <c r="B3384" s="1" t="s">
        <v>3424</v>
      </c>
      <c r="C3384" s="1"/>
      <c r="D3384" s="1"/>
      <c r="E3384" s="1"/>
      <c r="F3384" s="1"/>
      <c r="G3384" s="1"/>
      <c r="H3384" s="1"/>
      <c r="I3384" s="1"/>
    </row>
    <row r="3385" ht="15.75" customHeight="1">
      <c r="A3385" s="1" t="s">
        <v>3486</v>
      </c>
      <c r="B3385" s="1" t="s">
        <v>3424</v>
      </c>
      <c r="C3385" s="1"/>
      <c r="D3385" s="1"/>
      <c r="E3385" s="1"/>
      <c r="F3385" s="1"/>
      <c r="G3385" s="1"/>
      <c r="H3385" s="1"/>
      <c r="I3385" s="1"/>
    </row>
    <row r="3386" ht="15.75" customHeight="1">
      <c r="A3386" s="1" t="s">
        <v>3487</v>
      </c>
      <c r="B3386" s="1" t="s">
        <v>3424</v>
      </c>
      <c r="C3386" s="1"/>
      <c r="D3386" s="1"/>
      <c r="E3386" s="1"/>
      <c r="F3386" s="1"/>
      <c r="G3386" s="1"/>
      <c r="H3386" s="1"/>
      <c r="I3386" s="1"/>
    </row>
    <row r="3387" ht="15.75" customHeight="1">
      <c r="A3387" s="1" t="s">
        <v>3488</v>
      </c>
      <c r="B3387" s="1" t="s">
        <v>3424</v>
      </c>
      <c r="C3387" s="1"/>
      <c r="D3387" s="1"/>
      <c r="E3387" s="1"/>
      <c r="F3387" s="1"/>
      <c r="G3387" s="1"/>
      <c r="H3387" s="1"/>
      <c r="I3387" s="1"/>
    </row>
    <row r="3388" ht="15.75" customHeight="1">
      <c r="A3388" s="1" t="s">
        <v>3489</v>
      </c>
      <c r="B3388" s="1" t="s">
        <v>3490</v>
      </c>
      <c r="C3388" s="1"/>
      <c r="D3388" s="1"/>
      <c r="E3388" s="1"/>
      <c r="F3388" s="1"/>
      <c r="G3388" s="1"/>
      <c r="H3388" s="1"/>
      <c r="I3388" s="1"/>
    </row>
    <row r="3389" ht="15.75" customHeight="1">
      <c r="A3389" s="1" t="s">
        <v>3491</v>
      </c>
      <c r="B3389" s="1" t="s">
        <v>3490</v>
      </c>
      <c r="C3389" s="1"/>
      <c r="D3389" s="1"/>
      <c r="E3389" s="1"/>
      <c r="F3389" s="1"/>
      <c r="G3389" s="1"/>
      <c r="H3389" s="1"/>
      <c r="I3389" s="1"/>
    </row>
    <row r="3390" ht="15.75" customHeight="1">
      <c r="A3390" s="1" t="s">
        <v>3492</v>
      </c>
      <c r="B3390" s="1" t="s">
        <v>3490</v>
      </c>
      <c r="C3390" s="1"/>
      <c r="D3390" s="1"/>
      <c r="E3390" s="1"/>
      <c r="F3390" s="1"/>
      <c r="G3390" s="1"/>
      <c r="H3390" s="1"/>
      <c r="I3390" s="1"/>
    </row>
    <row r="3391" ht="15.75" customHeight="1">
      <c r="A3391" s="1" t="s">
        <v>3493</v>
      </c>
      <c r="B3391" s="1" t="s">
        <v>3490</v>
      </c>
      <c r="C3391" s="1"/>
      <c r="D3391" s="1"/>
      <c r="E3391" s="1"/>
      <c r="F3391" s="1"/>
      <c r="G3391" s="1"/>
      <c r="H3391" s="1"/>
      <c r="I3391" s="1"/>
    </row>
    <row r="3392" ht="15.75" customHeight="1">
      <c r="A3392" s="1" t="s">
        <v>3494</v>
      </c>
      <c r="B3392" s="1" t="s">
        <v>3490</v>
      </c>
      <c r="C3392" s="1"/>
      <c r="D3392" s="1"/>
      <c r="E3392" s="1"/>
      <c r="F3392" s="1"/>
      <c r="G3392" s="1"/>
      <c r="H3392" s="1"/>
      <c r="I3392" s="1"/>
    </row>
    <row r="3393" ht="15.75" customHeight="1">
      <c r="A3393" s="1" t="s">
        <v>3495</v>
      </c>
      <c r="B3393" s="1" t="s">
        <v>3490</v>
      </c>
      <c r="C3393" s="1"/>
      <c r="D3393" s="1"/>
      <c r="E3393" s="1"/>
      <c r="F3393" s="1"/>
      <c r="G3393" s="1"/>
      <c r="H3393" s="1"/>
      <c r="I3393" s="1"/>
    </row>
    <row r="3394" ht="15.75" customHeight="1">
      <c r="A3394" s="1" t="s">
        <v>3496</v>
      </c>
      <c r="B3394" s="1" t="s">
        <v>3490</v>
      </c>
      <c r="C3394" s="1"/>
      <c r="D3394" s="1"/>
      <c r="E3394" s="1"/>
      <c r="F3394" s="1"/>
      <c r="G3394" s="1"/>
      <c r="H3394" s="1"/>
      <c r="I3394" s="1"/>
    </row>
    <row r="3395" ht="15.75" customHeight="1">
      <c r="A3395" s="1" t="s">
        <v>3497</v>
      </c>
      <c r="B3395" s="1" t="s">
        <v>3490</v>
      </c>
      <c r="C3395" s="1"/>
      <c r="D3395" s="1"/>
      <c r="E3395" s="1"/>
      <c r="F3395" s="1"/>
      <c r="G3395" s="1"/>
      <c r="H3395" s="1"/>
      <c r="I3395" s="1"/>
    </row>
    <row r="3396" ht="15.75" customHeight="1">
      <c r="A3396" s="1" t="s">
        <v>3498</v>
      </c>
      <c r="B3396" s="1" t="s">
        <v>3490</v>
      </c>
      <c r="C3396" s="1"/>
      <c r="D3396" s="1"/>
      <c r="E3396" s="1"/>
      <c r="F3396" s="1"/>
      <c r="G3396" s="1"/>
      <c r="H3396" s="1"/>
      <c r="I3396" s="1"/>
    </row>
    <row r="3397" ht="15.75" customHeight="1">
      <c r="A3397" s="1" t="s">
        <v>3499</v>
      </c>
      <c r="B3397" s="1" t="s">
        <v>3490</v>
      </c>
      <c r="C3397" s="1"/>
      <c r="D3397" s="1"/>
      <c r="E3397" s="1"/>
      <c r="F3397" s="1"/>
      <c r="G3397" s="1"/>
      <c r="H3397" s="1"/>
      <c r="I3397" s="1"/>
    </row>
    <row r="3398" ht="15.75" customHeight="1">
      <c r="A3398" s="1" t="s">
        <v>3500</v>
      </c>
      <c r="B3398" s="1" t="s">
        <v>3490</v>
      </c>
      <c r="C3398" s="1"/>
      <c r="D3398" s="1"/>
      <c r="E3398" s="1"/>
      <c r="F3398" s="1"/>
      <c r="G3398" s="1"/>
      <c r="H3398" s="1"/>
      <c r="I3398" s="1"/>
    </row>
    <row r="3399" ht="15.75" customHeight="1">
      <c r="A3399" s="1" t="s">
        <v>3501</v>
      </c>
      <c r="B3399" s="1" t="s">
        <v>3502</v>
      </c>
      <c r="C3399" s="1"/>
      <c r="D3399" s="1"/>
      <c r="E3399" s="1"/>
      <c r="F3399" s="1"/>
      <c r="G3399" s="1"/>
      <c r="H3399" s="1"/>
      <c r="I3399" s="1"/>
    </row>
    <row r="3400" ht="15.75" customHeight="1">
      <c r="A3400" s="1" t="s">
        <v>3503</v>
      </c>
      <c r="B3400" s="1" t="s">
        <v>3502</v>
      </c>
      <c r="C3400" s="1"/>
      <c r="D3400" s="1"/>
      <c r="E3400" s="1"/>
      <c r="F3400" s="1"/>
      <c r="G3400" s="1"/>
      <c r="H3400" s="1"/>
      <c r="I3400" s="1"/>
    </row>
    <row r="3401" ht="15.75" customHeight="1">
      <c r="A3401" s="1" t="s">
        <v>3504</v>
      </c>
      <c r="B3401" s="1" t="s">
        <v>3502</v>
      </c>
      <c r="C3401" s="1"/>
      <c r="D3401" s="1"/>
      <c r="E3401" s="1"/>
      <c r="F3401" s="1"/>
      <c r="G3401" s="1"/>
      <c r="H3401" s="1"/>
      <c r="I3401" s="1"/>
    </row>
    <row r="3402" ht="15.75" customHeight="1">
      <c r="A3402" s="1" t="s">
        <v>3505</v>
      </c>
      <c r="B3402" s="1" t="s">
        <v>3502</v>
      </c>
      <c r="C3402" s="1"/>
      <c r="D3402" s="1"/>
      <c r="E3402" s="1"/>
      <c r="F3402" s="1"/>
      <c r="G3402" s="1"/>
      <c r="H3402" s="1"/>
      <c r="I3402" s="1"/>
    </row>
    <row r="3403" ht="15.75" customHeight="1">
      <c r="A3403" s="1" t="s">
        <v>3506</v>
      </c>
      <c r="B3403" s="1" t="s">
        <v>3502</v>
      </c>
      <c r="C3403" s="1"/>
      <c r="D3403" s="1"/>
      <c r="E3403" s="1"/>
      <c r="F3403" s="1"/>
      <c r="G3403" s="1"/>
      <c r="H3403" s="1"/>
      <c r="I3403" s="1"/>
    </row>
    <row r="3404" ht="15.75" customHeight="1">
      <c r="A3404" s="1" t="s">
        <v>3507</v>
      </c>
      <c r="B3404" s="1" t="s">
        <v>3502</v>
      </c>
      <c r="C3404" s="1"/>
      <c r="D3404" s="1"/>
      <c r="E3404" s="1"/>
      <c r="F3404" s="1"/>
      <c r="G3404" s="1"/>
      <c r="H3404" s="1"/>
      <c r="I3404" s="1"/>
    </row>
    <row r="3405" ht="15.75" customHeight="1">
      <c r="A3405" s="1" t="s">
        <v>3508</v>
      </c>
      <c r="B3405" s="1" t="s">
        <v>3509</v>
      </c>
      <c r="C3405" s="1"/>
      <c r="D3405" s="1"/>
      <c r="E3405" s="1"/>
      <c r="F3405" s="1"/>
      <c r="G3405" s="1"/>
      <c r="H3405" s="1"/>
      <c r="I3405" s="1"/>
    </row>
    <row r="3406" ht="15.75" customHeight="1">
      <c r="A3406" s="1" t="s">
        <v>3510</v>
      </c>
      <c r="B3406" s="1" t="s">
        <v>3509</v>
      </c>
      <c r="C3406" s="1"/>
      <c r="D3406" s="1"/>
      <c r="E3406" s="1"/>
      <c r="F3406" s="1"/>
      <c r="G3406" s="1"/>
      <c r="H3406" s="1"/>
      <c r="I3406" s="1"/>
    </row>
    <row r="3407" ht="15.75" customHeight="1">
      <c r="A3407" s="1" t="s">
        <v>3511</v>
      </c>
      <c r="B3407" s="1" t="s">
        <v>3509</v>
      </c>
      <c r="C3407" s="1"/>
      <c r="D3407" s="1"/>
      <c r="E3407" s="1"/>
      <c r="F3407" s="1"/>
      <c r="G3407" s="1"/>
      <c r="H3407" s="1"/>
      <c r="I3407" s="1"/>
    </row>
    <row r="3408" ht="15.75" customHeight="1">
      <c r="A3408" s="1" t="s">
        <v>3512</v>
      </c>
      <c r="B3408" s="1" t="s">
        <v>3509</v>
      </c>
      <c r="C3408" s="1"/>
      <c r="D3408" s="1"/>
      <c r="E3408" s="1"/>
      <c r="F3408" s="1"/>
      <c r="G3408" s="1"/>
      <c r="H3408" s="1"/>
      <c r="I3408" s="1"/>
    </row>
    <row r="3409" ht="15.75" customHeight="1">
      <c r="A3409" s="1" t="s">
        <v>3513</v>
      </c>
      <c r="B3409" s="1" t="s">
        <v>3509</v>
      </c>
      <c r="C3409" s="1"/>
      <c r="D3409" s="1"/>
      <c r="E3409" s="1"/>
      <c r="F3409" s="1"/>
      <c r="G3409" s="1"/>
      <c r="H3409" s="1"/>
      <c r="I3409" s="1"/>
    </row>
    <row r="3410" ht="15.75" customHeight="1">
      <c r="A3410" s="1" t="s">
        <v>3514</v>
      </c>
      <c r="B3410" s="1" t="s">
        <v>3509</v>
      </c>
      <c r="C3410" s="1"/>
      <c r="D3410" s="1"/>
      <c r="E3410" s="1"/>
      <c r="F3410" s="1"/>
      <c r="G3410" s="1"/>
      <c r="H3410" s="1"/>
      <c r="I3410" s="1"/>
    </row>
    <row r="3411" ht="15.75" customHeight="1">
      <c r="A3411" s="1" t="s">
        <v>3515</v>
      </c>
      <c r="B3411" s="1" t="s">
        <v>3509</v>
      </c>
      <c r="C3411" s="1"/>
      <c r="D3411" s="1"/>
      <c r="E3411" s="1"/>
      <c r="F3411" s="1"/>
      <c r="G3411" s="1"/>
      <c r="H3411" s="1"/>
      <c r="I3411" s="1"/>
    </row>
    <row r="3412" ht="15.75" customHeight="1">
      <c r="A3412" s="1" t="s">
        <v>3516</v>
      </c>
      <c r="B3412" s="1" t="s">
        <v>3509</v>
      </c>
      <c r="C3412" s="1"/>
      <c r="D3412" s="1"/>
      <c r="E3412" s="1"/>
      <c r="F3412" s="1"/>
      <c r="G3412" s="1"/>
      <c r="H3412" s="1"/>
      <c r="I3412" s="1"/>
    </row>
    <row r="3413" ht="15.75" customHeight="1">
      <c r="A3413" s="1" t="s">
        <v>3517</v>
      </c>
      <c r="B3413" s="1" t="s">
        <v>3509</v>
      </c>
      <c r="C3413" s="1"/>
      <c r="D3413" s="1"/>
      <c r="E3413" s="1"/>
      <c r="F3413" s="1"/>
      <c r="G3413" s="1"/>
      <c r="H3413" s="1"/>
      <c r="I3413" s="1"/>
    </row>
    <row r="3414" ht="15.75" customHeight="1">
      <c r="A3414" s="1" t="s">
        <v>3518</v>
      </c>
      <c r="B3414" s="1" t="s">
        <v>3509</v>
      </c>
      <c r="C3414" s="1"/>
      <c r="D3414" s="1"/>
      <c r="E3414" s="1"/>
      <c r="F3414" s="1"/>
      <c r="G3414" s="1"/>
      <c r="H3414" s="1"/>
      <c r="I3414" s="1"/>
    </row>
    <row r="3415" ht="15.75" customHeight="1">
      <c r="A3415" s="1" t="s">
        <v>3519</v>
      </c>
      <c r="B3415" s="1" t="s">
        <v>3509</v>
      </c>
      <c r="C3415" s="1"/>
      <c r="D3415" s="1"/>
      <c r="E3415" s="1"/>
      <c r="F3415" s="1"/>
      <c r="G3415" s="1"/>
      <c r="H3415" s="1"/>
      <c r="I3415" s="1"/>
    </row>
    <row r="3416" ht="15.75" customHeight="1">
      <c r="A3416" s="1" t="s">
        <v>3520</v>
      </c>
      <c r="B3416" s="1" t="s">
        <v>3509</v>
      </c>
      <c r="C3416" s="1"/>
      <c r="D3416" s="1"/>
      <c r="E3416" s="1"/>
      <c r="F3416" s="1"/>
      <c r="G3416" s="1"/>
      <c r="H3416" s="1"/>
      <c r="I3416" s="1"/>
    </row>
    <row r="3417" ht="15.75" customHeight="1">
      <c r="A3417" s="1" t="s">
        <v>3521</v>
      </c>
      <c r="B3417" s="1" t="s">
        <v>3509</v>
      </c>
      <c r="C3417" s="1"/>
      <c r="D3417" s="1"/>
      <c r="E3417" s="1"/>
      <c r="F3417" s="1"/>
      <c r="G3417" s="1"/>
      <c r="H3417" s="1"/>
      <c r="I3417" s="1"/>
    </row>
    <row r="3418" ht="15.75" customHeight="1">
      <c r="A3418" s="1" t="s">
        <v>3522</v>
      </c>
      <c r="B3418" s="1" t="s">
        <v>3509</v>
      </c>
      <c r="C3418" s="1"/>
      <c r="D3418" s="1"/>
      <c r="E3418" s="1"/>
      <c r="F3418" s="1"/>
      <c r="G3418" s="1"/>
      <c r="H3418" s="1"/>
      <c r="I3418" s="1"/>
    </row>
    <row r="3419" ht="15.75" customHeight="1">
      <c r="A3419" s="1" t="s">
        <v>3523</v>
      </c>
      <c r="B3419" s="1" t="s">
        <v>3509</v>
      </c>
      <c r="C3419" s="1"/>
      <c r="D3419" s="1"/>
      <c r="E3419" s="1"/>
      <c r="F3419" s="1"/>
      <c r="G3419" s="1"/>
      <c r="H3419" s="1"/>
      <c r="I3419" s="1"/>
    </row>
    <row r="3420" ht="15.75" customHeight="1">
      <c r="A3420" s="1" t="s">
        <v>3524</v>
      </c>
      <c r="B3420" s="1" t="s">
        <v>3525</v>
      </c>
      <c r="C3420" s="1"/>
      <c r="D3420" s="1"/>
      <c r="E3420" s="1"/>
      <c r="F3420" s="1"/>
      <c r="G3420" s="1"/>
      <c r="H3420" s="1"/>
      <c r="I3420" s="1"/>
    </row>
    <row r="3421" ht="15.75" customHeight="1">
      <c r="A3421" s="1" t="s">
        <v>3526</v>
      </c>
      <c r="B3421" s="1" t="s">
        <v>3525</v>
      </c>
      <c r="C3421" s="1"/>
      <c r="D3421" s="1"/>
      <c r="E3421" s="1"/>
      <c r="F3421" s="1"/>
      <c r="G3421" s="1"/>
      <c r="H3421" s="1"/>
      <c r="I3421" s="1"/>
    </row>
    <row r="3422" ht="15.75" customHeight="1">
      <c r="A3422" s="1" t="s">
        <v>3527</v>
      </c>
      <c r="B3422" s="1" t="s">
        <v>3525</v>
      </c>
      <c r="C3422" s="1"/>
      <c r="D3422" s="1"/>
      <c r="E3422" s="1"/>
      <c r="F3422" s="1"/>
      <c r="G3422" s="1"/>
      <c r="H3422" s="1"/>
      <c r="I3422" s="1"/>
    </row>
    <row r="3423" ht="15.75" customHeight="1">
      <c r="A3423" s="1" t="s">
        <v>3528</v>
      </c>
      <c r="B3423" s="1" t="s">
        <v>3525</v>
      </c>
      <c r="C3423" s="1"/>
      <c r="D3423" s="1"/>
      <c r="E3423" s="1"/>
      <c r="F3423" s="1"/>
      <c r="G3423" s="1"/>
      <c r="H3423" s="1"/>
      <c r="I3423" s="1"/>
    </row>
    <row r="3424" ht="15.75" customHeight="1">
      <c r="A3424" s="1" t="s">
        <v>3529</v>
      </c>
      <c r="B3424" s="1" t="s">
        <v>3525</v>
      </c>
      <c r="C3424" s="1"/>
      <c r="D3424" s="1"/>
      <c r="E3424" s="1"/>
      <c r="F3424" s="1"/>
      <c r="G3424" s="1"/>
      <c r="H3424" s="1"/>
      <c r="I3424" s="1"/>
    </row>
    <row r="3425" ht="15.75" customHeight="1">
      <c r="A3425" s="1" t="s">
        <v>3530</v>
      </c>
      <c r="B3425" s="1" t="s">
        <v>3525</v>
      </c>
      <c r="C3425" s="1"/>
      <c r="D3425" s="1"/>
      <c r="E3425" s="1"/>
      <c r="F3425" s="1"/>
      <c r="G3425" s="1"/>
      <c r="H3425" s="1"/>
      <c r="I3425" s="1"/>
    </row>
    <row r="3426" ht="15.75" customHeight="1">
      <c r="A3426" s="1" t="s">
        <v>3531</v>
      </c>
      <c r="B3426" s="1" t="s">
        <v>3525</v>
      </c>
      <c r="C3426" s="1"/>
      <c r="D3426" s="1"/>
      <c r="E3426" s="1"/>
      <c r="F3426" s="1"/>
      <c r="G3426" s="1"/>
      <c r="H3426" s="1"/>
      <c r="I3426" s="1"/>
    </row>
    <row r="3427" ht="15.75" customHeight="1">
      <c r="A3427" s="1" t="s">
        <v>3532</v>
      </c>
      <c r="B3427" s="1" t="s">
        <v>3525</v>
      </c>
      <c r="C3427" s="1"/>
      <c r="D3427" s="1"/>
      <c r="E3427" s="1"/>
      <c r="F3427" s="1"/>
      <c r="G3427" s="1"/>
      <c r="H3427" s="1"/>
      <c r="I3427" s="1"/>
    </row>
    <row r="3428" ht="15.75" customHeight="1">
      <c r="A3428" s="1" t="s">
        <v>3533</v>
      </c>
      <c r="B3428" s="1" t="s">
        <v>3525</v>
      </c>
      <c r="C3428" s="1"/>
      <c r="D3428" s="1"/>
      <c r="E3428" s="1"/>
      <c r="F3428" s="1"/>
      <c r="G3428" s="1"/>
      <c r="H3428" s="1"/>
      <c r="I3428" s="1"/>
    </row>
    <row r="3429" ht="15.75" customHeight="1">
      <c r="A3429" s="1" t="s">
        <v>3534</v>
      </c>
      <c r="B3429" s="1" t="s">
        <v>3525</v>
      </c>
      <c r="C3429" s="1"/>
      <c r="D3429" s="1"/>
      <c r="E3429" s="1"/>
      <c r="F3429" s="1"/>
      <c r="G3429" s="1"/>
      <c r="H3429" s="1"/>
      <c r="I3429" s="1"/>
    </row>
    <row r="3430" ht="15.75" customHeight="1">
      <c r="A3430" s="1" t="s">
        <v>3535</v>
      </c>
      <c r="B3430" s="1" t="s">
        <v>3525</v>
      </c>
      <c r="C3430" s="1"/>
      <c r="D3430" s="1"/>
      <c r="E3430" s="1"/>
      <c r="F3430" s="1"/>
      <c r="G3430" s="1"/>
      <c r="H3430" s="1"/>
      <c r="I3430" s="1"/>
    </row>
    <row r="3431" ht="15.75" customHeight="1">
      <c r="A3431" s="1" t="s">
        <v>3536</v>
      </c>
      <c r="B3431" s="1" t="s">
        <v>3525</v>
      </c>
      <c r="C3431" s="1"/>
      <c r="D3431" s="1"/>
      <c r="E3431" s="1"/>
      <c r="F3431" s="1"/>
      <c r="G3431" s="1"/>
      <c r="H3431" s="1"/>
      <c r="I3431" s="1"/>
    </row>
    <row r="3432" ht="15.75" customHeight="1">
      <c r="A3432" s="1" t="s">
        <v>3537</v>
      </c>
      <c r="B3432" s="1" t="s">
        <v>3525</v>
      </c>
      <c r="C3432" s="1"/>
      <c r="D3432" s="1"/>
      <c r="E3432" s="1"/>
      <c r="F3432" s="1"/>
      <c r="G3432" s="1"/>
      <c r="H3432" s="1"/>
      <c r="I3432" s="1"/>
    </row>
    <row r="3433" ht="15.75" customHeight="1">
      <c r="A3433" s="1" t="s">
        <v>3538</v>
      </c>
      <c r="B3433" s="1" t="s">
        <v>3525</v>
      </c>
      <c r="C3433" s="1"/>
      <c r="D3433" s="1"/>
      <c r="E3433" s="1"/>
      <c r="F3433" s="1"/>
      <c r="G3433" s="1"/>
      <c r="H3433" s="1"/>
      <c r="I3433" s="1"/>
    </row>
    <row r="3434" ht="15.75" customHeight="1">
      <c r="A3434" s="1" t="s">
        <v>3539</v>
      </c>
      <c r="B3434" s="1" t="s">
        <v>3525</v>
      </c>
      <c r="C3434" s="1"/>
      <c r="D3434" s="1"/>
      <c r="E3434" s="1"/>
      <c r="F3434" s="1"/>
      <c r="G3434" s="1"/>
      <c r="H3434" s="1"/>
      <c r="I3434" s="1"/>
    </row>
    <row r="3435" ht="15.75" customHeight="1">
      <c r="A3435" s="1" t="s">
        <v>3540</v>
      </c>
      <c r="B3435" s="1" t="s">
        <v>3525</v>
      </c>
      <c r="C3435" s="1"/>
      <c r="D3435" s="1"/>
      <c r="E3435" s="1"/>
      <c r="F3435" s="1"/>
      <c r="G3435" s="1"/>
      <c r="H3435" s="1"/>
      <c r="I3435" s="1"/>
    </row>
    <row r="3436" ht="15.75" customHeight="1">
      <c r="A3436" s="1" t="s">
        <v>3541</v>
      </c>
      <c r="B3436" s="1" t="s">
        <v>3525</v>
      </c>
      <c r="C3436" s="1"/>
      <c r="D3436" s="1"/>
      <c r="E3436" s="1"/>
      <c r="F3436" s="1"/>
      <c r="G3436" s="1"/>
      <c r="H3436" s="1"/>
      <c r="I3436" s="1"/>
    </row>
    <row r="3437" ht="15.75" customHeight="1">
      <c r="A3437" s="1" t="s">
        <v>3542</v>
      </c>
      <c r="B3437" s="1" t="s">
        <v>3525</v>
      </c>
      <c r="C3437" s="1"/>
      <c r="D3437" s="1"/>
      <c r="E3437" s="1"/>
      <c r="F3437" s="1"/>
      <c r="G3437" s="1"/>
      <c r="H3437" s="1"/>
      <c r="I3437" s="1"/>
    </row>
    <row r="3438" ht="15.75" customHeight="1">
      <c r="A3438" s="1" t="s">
        <v>3543</v>
      </c>
      <c r="B3438" s="1" t="s">
        <v>3525</v>
      </c>
      <c r="C3438" s="1"/>
      <c r="D3438" s="1"/>
      <c r="E3438" s="1"/>
      <c r="F3438" s="1"/>
      <c r="G3438" s="1"/>
      <c r="H3438" s="1"/>
      <c r="I3438" s="1"/>
    </row>
    <row r="3439" ht="15.75" customHeight="1">
      <c r="A3439" s="1" t="s">
        <v>3544</v>
      </c>
      <c r="B3439" s="1" t="s">
        <v>3525</v>
      </c>
      <c r="C3439" s="1"/>
      <c r="D3439" s="1"/>
      <c r="E3439" s="1"/>
      <c r="F3439" s="1"/>
      <c r="G3439" s="1"/>
      <c r="H3439" s="1"/>
      <c r="I3439" s="1"/>
    </row>
    <row r="3440" ht="15.75" customHeight="1">
      <c r="A3440" s="1" t="s">
        <v>3545</v>
      </c>
      <c r="B3440" s="1" t="s">
        <v>3525</v>
      </c>
      <c r="C3440" s="1"/>
      <c r="D3440" s="1"/>
      <c r="E3440" s="1"/>
      <c r="F3440" s="1"/>
      <c r="G3440" s="1"/>
      <c r="H3440" s="1"/>
      <c r="I3440" s="1"/>
    </row>
    <row r="3441" ht="15.75" customHeight="1">
      <c r="A3441" s="1" t="s">
        <v>3546</v>
      </c>
      <c r="B3441" s="1" t="s">
        <v>3525</v>
      </c>
      <c r="C3441" s="1"/>
      <c r="D3441" s="1"/>
      <c r="E3441" s="1"/>
      <c r="F3441" s="1"/>
      <c r="G3441" s="1"/>
      <c r="H3441" s="1"/>
      <c r="I3441" s="1"/>
    </row>
    <row r="3442" ht="15.75" customHeight="1">
      <c r="A3442" s="1" t="s">
        <v>3547</v>
      </c>
      <c r="B3442" s="1" t="s">
        <v>3525</v>
      </c>
      <c r="C3442" s="1"/>
      <c r="D3442" s="1"/>
      <c r="E3442" s="1"/>
      <c r="F3442" s="1"/>
      <c r="G3442" s="1"/>
      <c r="H3442" s="1"/>
      <c r="I3442" s="1"/>
    </row>
    <row r="3443" ht="15.75" customHeight="1">
      <c r="A3443" s="1" t="s">
        <v>3548</v>
      </c>
      <c r="B3443" s="1" t="s">
        <v>3525</v>
      </c>
      <c r="C3443" s="1"/>
      <c r="D3443" s="1"/>
      <c r="E3443" s="1"/>
      <c r="F3443" s="1"/>
      <c r="G3443" s="1"/>
      <c r="H3443" s="1"/>
      <c r="I3443" s="1"/>
    </row>
    <row r="3444" ht="15.75" customHeight="1">
      <c r="A3444" s="1" t="s">
        <v>3549</v>
      </c>
      <c r="B3444" s="1" t="s">
        <v>3525</v>
      </c>
      <c r="C3444" s="1"/>
      <c r="D3444" s="1"/>
      <c r="E3444" s="1"/>
      <c r="F3444" s="1"/>
      <c r="G3444" s="1"/>
      <c r="H3444" s="1"/>
      <c r="I3444" s="1"/>
    </row>
    <row r="3445" ht="15.75" customHeight="1">
      <c r="A3445" s="1" t="s">
        <v>3550</v>
      </c>
      <c r="B3445" s="1" t="s">
        <v>3525</v>
      </c>
      <c r="C3445" s="1"/>
      <c r="D3445" s="1"/>
      <c r="E3445" s="1"/>
      <c r="F3445" s="1"/>
      <c r="G3445" s="1"/>
      <c r="H3445" s="1"/>
      <c r="I3445" s="1"/>
    </row>
    <row r="3446" ht="15.75" customHeight="1">
      <c r="A3446" s="1" t="s">
        <v>3551</v>
      </c>
      <c r="B3446" s="1" t="s">
        <v>3525</v>
      </c>
      <c r="C3446" s="1"/>
      <c r="D3446" s="1"/>
      <c r="E3446" s="1"/>
      <c r="F3446" s="1"/>
      <c r="G3446" s="1"/>
      <c r="H3446" s="1"/>
      <c r="I3446" s="1"/>
    </row>
    <row r="3447" ht="15.75" customHeight="1">
      <c r="A3447" s="1" t="s">
        <v>3552</v>
      </c>
      <c r="B3447" s="1" t="s">
        <v>3525</v>
      </c>
      <c r="C3447" s="1"/>
      <c r="D3447" s="1"/>
      <c r="E3447" s="1"/>
      <c r="F3447" s="1"/>
      <c r="G3447" s="1"/>
      <c r="H3447" s="1"/>
      <c r="I3447" s="1"/>
    </row>
    <row r="3448" ht="15.75" customHeight="1">
      <c r="A3448" s="1" t="s">
        <v>3553</v>
      </c>
      <c r="B3448" s="1" t="s">
        <v>3525</v>
      </c>
      <c r="C3448" s="1"/>
      <c r="D3448" s="1"/>
      <c r="E3448" s="1"/>
      <c r="F3448" s="1"/>
      <c r="G3448" s="1"/>
      <c r="H3448" s="1"/>
      <c r="I3448" s="1"/>
    </row>
    <row r="3449" ht="15.75" customHeight="1">
      <c r="A3449" s="1" t="s">
        <v>3554</v>
      </c>
      <c r="B3449" s="1" t="s">
        <v>3525</v>
      </c>
      <c r="C3449" s="1"/>
      <c r="D3449" s="1"/>
      <c r="E3449" s="1"/>
      <c r="F3449" s="1"/>
      <c r="G3449" s="1"/>
      <c r="H3449" s="1"/>
      <c r="I3449" s="1"/>
    </row>
    <row r="3450" ht="15.75" customHeight="1">
      <c r="A3450" s="1" t="s">
        <v>3555</v>
      </c>
      <c r="B3450" s="1" t="s">
        <v>3525</v>
      </c>
      <c r="C3450" s="1"/>
      <c r="D3450" s="1"/>
      <c r="E3450" s="1"/>
      <c r="F3450" s="1"/>
      <c r="G3450" s="1"/>
      <c r="H3450" s="1"/>
      <c r="I3450" s="1"/>
    </row>
    <row r="3451" ht="15.75" customHeight="1">
      <c r="A3451" s="1" t="s">
        <v>3556</v>
      </c>
      <c r="B3451" s="1" t="s">
        <v>3525</v>
      </c>
      <c r="C3451" s="1"/>
      <c r="D3451" s="1"/>
      <c r="E3451" s="1"/>
      <c r="F3451" s="1"/>
      <c r="G3451" s="1"/>
      <c r="H3451" s="1"/>
      <c r="I3451" s="1"/>
    </row>
    <row r="3452" ht="15.75" customHeight="1">
      <c r="A3452" s="1" t="s">
        <v>3557</v>
      </c>
      <c r="B3452" s="1" t="s">
        <v>3525</v>
      </c>
      <c r="C3452" s="1"/>
      <c r="D3452" s="1"/>
      <c r="E3452" s="1"/>
      <c r="F3452" s="1"/>
      <c r="G3452" s="1"/>
      <c r="H3452" s="1"/>
      <c r="I3452" s="1"/>
    </row>
    <row r="3453" ht="15.75" customHeight="1">
      <c r="A3453" s="1" t="s">
        <v>3558</v>
      </c>
      <c r="B3453" s="1" t="s">
        <v>3525</v>
      </c>
      <c r="C3453" s="1"/>
      <c r="D3453" s="1"/>
      <c r="E3453" s="1"/>
      <c r="F3453" s="1"/>
      <c r="G3453" s="1"/>
      <c r="H3453" s="1"/>
      <c r="I3453" s="1"/>
    </row>
    <row r="3454" ht="15.75" customHeight="1">
      <c r="A3454" s="1" t="s">
        <v>3559</v>
      </c>
      <c r="B3454" s="1" t="s">
        <v>3525</v>
      </c>
      <c r="C3454" s="1"/>
      <c r="D3454" s="1"/>
      <c r="E3454" s="1"/>
      <c r="F3454" s="1"/>
      <c r="G3454" s="1"/>
      <c r="H3454" s="1"/>
      <c r="I3454" s="1"/>
    </row>
    <row r="3455" ht="15.75" customHeight="1">
      <c r="A3455" s="1" t="s">
        <v>3560</v>
      </c>
      <c r="B3455" s="1" t="s">
        <v>3525</v>
      </c>
      <c r="C3455" s="1"/>
      <c r="D3455" s="1"/>
      <c r="E3455" s="1"/>
      <c r="F3455" s="1"/>
      <c r="G3455" s="1"/>
      <c r="H3455" s="1"/>
      <c r="I3455" s="1"/>
    </row>
    <row r="3456" ht="15.75" customHeight="1">
      <c r="A3456" s="1" t="s">
        <v>3561</v>
      </c>
      <c r="B3456" s="1" t="s">
        <v>3525</v>
      </c>
      <c r="C3456" s="1"/>
      <c r="D3456" s="1"/>
      <c r="E3456" s="1"/>
      <c r="F3456" s="1"/>
      <c r="G3456" s="1"/>
      <c r="H3456" s="1"/>
      <c r="I3456" s="1"/>
    </row>
    <row r="3457" ht="15.75" customHeight="1">
      <c r="A3457" s="1" t="s">
        <v>3562</v>
      </c>
      <c r="B3457" s="1" t="s">
        <v>3525</v>
      </c>
      <c r="C3457" s="1"/>
      <c r="D3457" s="1"/>
      <c r="E3457" s="1"/>
      <c r="F3457" s="1"/>
      <c r="G3457" s="1"/>
      <c r="H3457" s="1"/>
      <c r="I3457" s="1"/>
    </row>
    <row r="3458" ht="15.75" customHeight="1">
      <c r="A3458" s="1" t="s">
        <v>3563</v>
      </c>
      <c r="B3458" s="1" t="s">
        <v>3525</v>
      </c>
      <c r="C3458" s="1"/>
      <c r="D3458" s="1"/>
      <c r="E3458" s="1"/>
      <c r="F3458" s="1"/>
      <c r="G3458" s="1"/>
      <c r="H3458" s="1"/>
      <c r="I3458" s="1"/>
    </row>
    <row r="3459" ht="15.75" customHeight="1">
      <c r="A3459" s="1" t="s">
        <v>3564</v>
      </c>
      <c r="B3459" s="1" t="s">
        <v>3525</v>
      </c>
      <c r="C3459" s="1"/>
      <c r="D3459" s="1"/>
      <c r="E3459" s="1"/>
      <c r="F3459" s="1"/>
      <c r="G3459" s="1"/>
      <c r="H3459" s="1"/>
      <c r="I3459" s="1"/>
    </row>
    <row r="3460" ht="15.75" customHeight="1">
      <c r="A3460" s="1" t="s">
        <v>3565</v>
      </c>
      <c r="B3460" s="1" t="s">
        <v>3525</v>
      </c>
      <c r="C3460" s="1"/>
      <c r="D3460" s="1"/>
      <c r="E3460" s="1"/>
      <c r="F3460" s="1"/>
      <c r="G3460" s="1"/>
      <c r="H3460" s="1"/>
      <c r="I3460" s="1"/>
    </row>
    <row r="3461" ht="15.75" customHeight="1">
      <c r="A3461" s="1" t="s">
        <v>3566</v>
      </c>
      <c r="B3461" s="1" t="s">
        <v>3525</v>
      </c>
      <c r="C3461" s="1"/>
      <c r="D3461" s="1"/>
      <c r="E3461" s="1"/>
      <c r="F3461" s="1"/>
      <c r="G3461" s="1"/>
      <c r="H3461" s="1"/>
      <c r="I3461" s="1"/>
    </row>
    <row r="3462" ht="15.75" customHeight="1">
      <c r="A3462" s="1" t="s">
        <v>3567</v>
      </c>
      <c r="B3462" s="1" t="s">
        <v>3525</v>
      </c>
      <c r="C3462" s="1"/>
      <c r="D3462" s="1"/>
      <c r="E3462" s="1"/>
      <c r="F3462" s="1"/>
      <c r="G3462" s="1"/>
      <c r="H3462" s="1"/>
      <c r="I3462" s="1"/>
    </row>
    <row r="3463" ht="15.75" customHeight="1">
      <c r="A3463" s="1" t="s">
        <v>3568</v>
      </c>
      <c r="B3463" s="1" t="s">
        <v>3525</v>
      </c>
      <c r="C3463" s="1"/>
      <c r="D3463" s="1"/>
      <c r="E3463" s="1"/>
      <c r="F3463" s="1"/>
      <c r="G3463" s="1"/>
      <c r="H3463" s="1"/>
      <c r="I3463" s="1"/>
    </row>
    <row r="3464" ht="15.75" customHeight="1">
      <c r="A3464" s="1" t="s">
        <v>3569</v>
      </c>
      <c r="B3464" s="1" t="s">
        <v>3525</v>
      </c>
      <c r="C3464" s="1"/>
      <c r="D3464" s="1"/>
      <c r="E3464" s="1"/>
      <c r="F3464" s="1"/>
      <c r="G3464" s="1"/>
      <c r="H3464" s="1"/>
      <c r="I3464" s="1"/>
    </row>
    <row r="3465" ht="15.75" customHeight="1">
      <c r="A3465" s="1" t="s">
        <v>3570</v>
      </c>
      <c r="B3465" s="1" t="s">
        <v>3525</v>
      </c>
      <c r="C3465" s="1"/>
      <c r="D3465" s="1"/>
      <c r="E3465" s="1"/>
      <c r="F3465" s="1"/>
      <c r="G3465" s="1"/>
      <c r="H3465" s="1"/>
      <c r="I3465" s="1"/>
    </row>
    <row r="3466" ht="15.75" customHeight="1">
      <c r="A3466" s="1" t="s">
        <v>3571</v>
      </c>
      <c r="B3466" s="1" t="s">
        <v>3525</v>
      </c>
      <c r="C3466" s="1"/>
      <c r="D3466" s="1"/>
      <c r="E3466" s="1"/>
      <c r="F3466" s="1"/>
      <c r="G3466" s="1"/>
      <c r="H3466" s="1"/>
      <c r="I3466" s="1"/>
    </row>
    <row r="3467" ht="15.75" customHeight="1">
      <c r="A3467" s="1" t="s">
        <v>3572</v>
      </c>
      <c r="B3467" s="1" t="s">
        <v>3525</v>
      </c>
      <c r="C3467" s="1"/>
      <c r="D3467" s="1"/>
      <c r="E3467" s="1"/>
      <c r="F3467" s="1"/>
      <c r="G3467" s="1"/>
      <c r="H3467" s="1"/>
      <c r="I3467" s="1"/>
    </row>
    <row r="3468" ht="15.75" customHeight="1">
      <c r="A3468" s="1" t="s">
        <v>3573</v>
      </c>
      <c r="B3468" s="1" t="s">
        <v>3525</v>
      </c>
      <c r="C3468" s="1"/>
      <c r="D3468" s="1"/>
      <c r="E3468" s="1"/>
      <c r="F3468" s="1"/>
      <c r="G3468" s="1"/>
      <c r="H3468" s="1"/>
      <c r="I3468" s="1"/>
    </row>
    <row r="3469" ht="15.75" customHeight="1">
      <c r="A3469" s="1" t="s">
        <v>3574</v>
      </c>
      <c r="B3469" s="1" t="s">
        <v>3525</v>
      </c>
      <c r="C3469" s="1"/>
      <c r="D3469" s="1"/>
      <c r="E3469" s="1"/>
      <c r="F3469" s="1"/>
      <c r="G3469" s="1"/>
      <c r="H3469" s="1"/>
      <c r="I3469" s="1"/>
    </row>
    <row r="3470" ht="15.75" customHeight="1">
      <c r="A3470" s="1" t="s">
        <v>3575</v>
      </c>
      <c r="B3470" s="1" t="s">
        <v>3525</v>
      </c>
      <c r="C3470" s="1"/>
      <c r="D3470" s="1"/>
      <c r="E3470" s="1"/>
      <c r="F3470" s="1"/>
      <c r="G3470" s="1"/>
      <c r="H3470" s="1"/>
      <c r="I3470" s="1"/>
    </row>
    <row r="3471" ht="15.75" customHeight="1">
      <c r="A3471" s="1" t="s">
        <v>3576</v>
      </c>
      <c r="B3471" s="1" t="s">
        <v>3525</v>
      </c>
      <c r="C3471" s="1"/>
      <c r="D3471" s="1"/>
      <c r="E3471" s="1"/>
      <c r="F3471" s="1"/>
      <c r="G3471" s="1"/>
      <c r="H3471" s="1"/>
      <c r="I3471" s="1"/>
    </row>
    <row r="3472" ht="15.75" customHeight="1">
      <c r="A3472" s="1" t="s">
        <v>3577</v>
      </c>
      <c r="B3472" s="1" t="s">
        <v>3525</v>
      </c>
      <c r="C3472" s="1"/>
      <c r="D3472" s="1"/>
      <c r="E3472" s="1"/>
      <c r="F3472" s="1"/>
      <c r="G3472" s="1"/>
      <c r="H3472" s="1"/>
      <c r="I3472" s="1"/>
    </row>
    <row r="3473" ht="15.75" customHeight="1">
      <c r="A3473" s="1" t="s">
        <v>3578</v>
      </c>
      <c r="B3473" s="1" t="s">
        <v>3525</v>
      </c>
      <c r="C3473" s="1"/>
      <c r="D3473" s="1"/>
      <c r="E3473" s="1"/>
      <c r="F3473" s="1"/>
      <c r="G3473" s="1"/>
      <c r="H3473" s="1"/>
      <c r="I3473" s="1"/>
    </row>
    <row r="3474" ht="15.75" customHeight="1">
      <c r="A3474" s="1" t="s">
        <v>3579</v>
      </c>
      <c r="B3474" s="1" t="s">
        <v>3525</v>
      </c>
      <c r="C3474" s="1"/>
      <c r="D3474" s="1"/>
      <c r="E3474" s="1"/>
      <c r="F3474" s="1"/>
      <c r="G3474" s="1"/>
      <c r="H3474" s="1"/>
      <c r="I3474" s="1"/>
    </row>
    <row r="3475" ht="15.75" customHeight="1">
      <c r="A3475" s="1" t="s">
        <v>3580</v>
      </c>
      <c r="B3475" s="1" t="s">
        <v>3525</v>
      </c>
      <c r="C3475" s="1"/>
      <c r="D3475" s="1"/>
      <c r="E3475" s="1"/>
      <c r="F3475" s="1"/>
      <c r="G3475" s="1"/>
      <c r="H3475" s="1"/>
      <c r="I3475" s="1"/>
    </row>
    <row r="3476" ht="15.75" customHeight="1">
      <c r="A3476" s="1" t="s">
        <v>3581</v>
      </c>
      <c r="B3476" s="1" t="s">
        <v>3525</v>
      </c>
      <c r="C3476" s="1"/>
      <c r="D3476" s="1"/>
      <c r="E3476" s="1"/>
      <c r="F3476" s="1"/>
      <c r="G3476" s="1"/>
      <c r="H3476" s="1"/>
      <c r="I3476" s="1"/>
    </row>
    <row r="3477" ht="15.75" customHeight="1">
      <c r="A3477" s="1" t="s">
        <v>3582</v>
      </c>
      <c r="B3477" s="1" t="s">
        <v>3525</v>
      </c>
      <c r="C3477" s="1"/>
      <c r="D3477" s="1"/>
      <c r="E3477" s="1"/>
      <c r="F3477" s="1"/>
      <c r="G3477" s="1"/>
      <c r="H3477" s="1"/>
      <c r="I3477" s="1"/>
    </row>
    <row r="3478" ht="15.75" customHeight="1">
      <c r="A3478" s="1" t="s">
        <v>3583</v>
      </c>
      <c r="B3478" s="1" t="s">
        <v>3525</v>
      </c>
      <c r="C3478" s="1"/>
      <c r="D3478" s="1"/>
      <c r="E3478" s="1"/>
      <c r="F3478" s="1"/>
      <c r="G3478" s="1"/>
      <c r="H3478" s="1"/>
      <c r="I3478" s="1"/>
    </row>
    <row r="3479" ht="15.75" customHeight="1">
      <c r="A3479" s="1" t="s">
        <v>3584</v>
      </c>
      <c r="B3479" s="1" t="s">
        <v>3525</v>
      </c>
      <c r="C3479" s="1"/>
      <c r="D3479" s="1"/>
      <c r="E3479" s="1"/>
      <c r="F3479" s="1"/>
      <c r="G3479" s="1"/>
      <c r="H3479" s="1"/>
      <c r="I3479" s="1"/>
    </row>
    <row r="3480" ht="15.75" customHeight="1">
      <c r="A3480" s="1" t="s">
        <v>3585</v>
      </c>
      <c r="B3480" s="1" t="s">
        <v>3525</v>
      </c>
      <c r="C3480" s="1"/>
      <c r="D3480" s="1"/>
      <c r="E3480" s="1"/>
      <c r="F3480" s="1"/>
      <c r="G3480" s="1"/>
      <c r="H3480" s="1"/>
      <c r="I3480" s="1"/>
    </row>
    <row r="3481" ht="15.75" customHeight="1">
      <c r="A3481" s="1" t="s">
        <v>3586</v>
      </c>
      <c r="B3481" s="1" t="s">
        <v>3525</v>
      </c>
      <c r="C3481" s="1"/>
      <c r="D3481" s="1"/>
      <c r="E3481" s="1"/>
      <c r="F3481" s="1"/>
      <c r="G3481" s="1"/>
      <c r="H3481" s="1"/>
      <c r="I3481" s="1"/>
    </row>
    <row r="3482" ht="15.75" customHeight="1">
      <c r="A3482" s="1" t="s">
        <v>3587</v>
      </c>
      <c r="B3482" s="1" t="s">
        <v>3525</v>
      </c>
      <c r="C3482" s="1"/>
      <c r="D3482" s="1"/>
      <c r="E3482" s="1"/>
      <c r="F3482" s="1"/>
      <c r="G3482" s="1"/>
      <c r="H3482" s="1"/>
      <c r="I3482" s="1"/>
    </row>
    <row r="3483" ht="15.75" customHeight="1">
      <c r="A3483" s="1" t="s">
        <v>3588</v>
      </c>
      <c r="B3483" s="1" t="s">
        <v>3525</v>
      </c>
      <c r="C3483" s="1"/>
      <c r="D3483" s="1"/>
      <c r="E3483" s="1"/>
      <c r="F3483" s="1"/>
      <c r="G3483" s="1"/>
      <c r="H3483" s="1"/>
      <c r="I3483" s="1"/>
    </row>
    <row r="3484" ht="15.75" customHeight="1">
      <c r="A3484" s="1" t="s">
        <v>3589</v>
      </c>
      <c r="B3484" s="1" t="s">
        <v>3525</v>
      </c>
      <c r="C3484" s="1"/>
      <c r="D3484" s="1"/>
      <c r="E3484" s="1"/>
      <c r="F3484" s="1"/>
      <c r="G3484" s="1"/>
      <c r="H3484" s="1"/>
      <c r="I3484" s="1"/>
    </row>
    <row r="3485" ht="15.75" customHeight="1">
      <c r="A3485" s="1" t="s">
        <v>3590</v>
      </c>
      <c r="B3485" s="1" t="s">
        <v>3525</v>
      </c>
      <c r="C3485" s="1"/>
      <c r="D3485" s="1"/>
      <c r="E3485" s="1"/>
      <c r="F3485" s="1"/>
      <c r="G3485" s="1"/>
      <c r="H3485" s="1"/>
      <c r="I3485" s="1"/>
    </row>
    <row r="3486" ht="15.75" customHeight="1">
      <c r="A3486" s="1" t="s">
        <v>3591</v>
      </c>
      <c r="B3486" s="1" t="s">
        <v>3525</v>
      </c>
      <c r="C3486" s="1"/>
      <c r="D3486" s="1"/>
      <c r="E3486" s="1"/>
      <c r="F3486" s="1"/>
      <c r="G3486" s="1"/>
      <c r="H3486" s="1"/>
      <c r="I3486" s="1"/>
    </row>
    <row r="3487" ht="15.75" customHeight="1">
      <c r="A3487" s="1" t="s">
        <v>3592</v>
      </c>
      <c r="B3487" s="1" t="s">
        <v>3525</v>
      </c>
      <c r="C3487" s="1"/>
      <c r="D3487" s="1"/>
      <c r="E3487" s="1"/>
      <c r="F3487" s="1"/>
      <c r="G3487" s="1"/>
      <c r="H3487" s="1"/>
      <c r="I3487" s="1"/>
    </row>
    <row r="3488" ht="15.75" customHeight="1">
      <c r="A3488" s="1" t="s">
        <v>3593</v>
      </c>
      <c r="B3488" s="1" t="s">
        <v>3525</v>
      </c>
      <c r="C3488" s="1"/>
      <c r="D3488" s="1"/>
      <c r="E3488" s="1"/>
      <c r="F3488" s="1"/>
      <c r="G3488" s="1"/>
      <c r="H3488" s="1"/>
      <c r="I3488" s="1"/>
    </row>
    <row r="3489" ht="15.75" customHeight="1">
      <c r="A3489" s="1" t="s">
        <v>3594</v>
      </c>
      <c r="B3489" s="1" t="s">
        <v>3525</v>
      </c>
      <c r="C3489" s="1"/>
      <c r="D3489" s="1"/>
      <c r="E3489" s="1"/>
      <c r="F3489" s="1"/>
      <c r="G3489" s="1"/>
      <c r="H3489" s="1"/>
      <c r="I3489" s="1"/>
    </row>
    <row r="3490" ht="15.75" customHeight="1">
      <c r="A3490" s="1" t="s">
        <v>3595</v>
      </c>
      <c r="B3490" s="1" t="s">
        <v>3525</v>
      </c>
      <c r="C3490" s="1"/>
      <c r="D3490" s="1"/>
      <c r="E3490" s="1"/>
      <c r="F3490" s="1"/>
      <c r="G3490" s="1"/>
      <c r="H3490" s="1"/>
      <c r="I3490" s="1"/>
    </row>
    <row r="3491" ht="15.75" customHeight="1">
      <c r="A3491" s="1" t="s">
        <v>3596</v>
      </c>
      <c r="B3491" s="1" t="s">
        <v>3525</v>
      </c>
      <c r="C3491" s="1"/>
      <c r="D3491" s="1"/>
      <c r="E3491" s="1"/>
      <c r="F3491" s="1"/>
      <c r="G3491" s="1"/>
      <c r="H3491" s="1"/>
      <c r="I3491" s="1"/>
    </row>
    <row r="3492" ht="15.75" customHeight="1">
      <c r="A3492" s="1" t="s">
        <v>3597</v>
      </c>
      <c r="B3492" s="1" t="s">
        <v>3525</v>
      </c>
      <c r="C3492" s="1"/>
      <c r="D3492" s="1"/>
      <c r="E3492" s="1"/>
      <c r="F3492" s="1"/>
      <c r="G3492" s="1"/>
      <c r="H3492" s="1"/>
      <c r="I3492" s="1"/>
    </row>
    <row r="3493" ht="15.75" customHeight="1">
      <c r="A3493" s="1" t="s">
        <v>3598</v>
      </c>
      <c r="B3493" s="1" t="s">
        <v>3525</v>
      </c>
      <c r="C3493" s="1"/>
      <c r="D3493" s="1"/>
      <c r="E3493" s="1"/>
      <c r="F3493" s="1"/>
      <c r="G3493" s="1"/>
      <c r="H3493" s="1"/>
      <c r="I3493" s="1"/>
    </row>
    <row r="3494" ht="15.75" customHeight="1">
      <c r="A3494" s="1" t="s">
        <v>3599</v>
      </c>
      <c r="B3494" s="1" t="s">
        <v>3525</v>
      </c>
      <c r="C3494" s="1"/>
      <c r="D3494" s="1"/>
      <c r="E3494" s="1"/>
      <c r="F3494" s="1"/>
      <c r="G3494" s="1"/>
      <c r="H3494" s="1"/>
      <c r="I3494" s="1"/>
    </row>
    <row r="3495" ht="15.75" customHeight="1">
      <c r="A3495" s="1" t="s">
        <v>3600</v>
      </c>
      <c r="B3495" s="1" t="s">
        <v>3525</v>
      </c>
      <c r="C3495" s="1"/>
      <c r="D3495" s="1"/>
      <c r="E3495" s="1"/>
      <c r="F3495" s="1"/>
      <c r="G3495" s="1"/>
      <c r="H3495" s="1"/>
      <c r="I3495" s="1"/>
    </row>
    <row r="3496" ht="15.75" customHeight="1">
      <c r="A3496" s="1" t="s">
        <v>3601</v>
      </c>
      <c r="B3496" s="1" t="s">
        <v>3525</v>
      </c>
      <c r="C3496" s="1"/>
      <c r="D3496" s="1"/>
      <c r="E3496" s="1"/>
      <c r="F3496" s="1"/>
      <c r="G3496" s="1"/>
      <c r="H3496" s="1"/>
      <c r="I3496" s="1"/>
    </row>
    <row r="3497" ht="15.75" customHeight="1">
      <c r="A3497" s="1" t="s">
        <v>3602</v>
      </c>
      <c r="B3497" s="1" t="s">
        <v>3525</v>
      </c>
      <c r="C3497" s="1"/>
      <c r="D3497" s="1"/>
      <c r="E3497" s="1"/>
      <c r="F3497" s="1"/>
      <c r="G3497" s="1"/>
      <c r="H3497" s="1"/>
      <c r="I3497" s="1"/>
    </row>
    <row r="3498" ht="15.75" customHeight="1">
      <c r="A3498" s="1" t="s">
        <v>3603</v>
      </c>
      <c r="B3498" s="1" t="s">
        <v>3525</v>
      </c>
      <c r="C3498" s="1"/>
      <c r="D3498" s="1"/>
      <c r="E3498" s="1"/>
      <c r="F3498" s="1"/>
      <c r="G3498" s="1"/>
      <c r="H3498" s="1"/>
      <c r="I3498" s="1"/>
    </row>
    <row r="3499" ht="15.75" customHeight="1">
      <c r="A3499" s="1" t="s">
        <v>3604</v>
      </c>
      <c r="B3499" s="1" t="s">
        <v>3525</v>
      </c>
      <c r="C3499" s="1"/>
      <c r="D3499" s="1"/>
      <c r="E3499" s="1"/>
      <c r="F3499" s="1"/>
      <c r="G3499" s="1"/>
      <c r="H3499" s="1"/>
      <c r="I3499" s="1"/>
    </row>
    <row r="3500" ht="15.75" customHeight="1">
      <c r="A3500" s="1" t="s">
        <v>3605</v>
      </c>
      <c r="B3500" s="1" t="s">
        <v>3525</v>
      </c>
      <c r="C3500" s="1"/>
      <c r="D3500" s="1"/>
      <c r="E3500" s="1"/>
      <c r="F3500" s="1"/>
      <c r="G3500" s="1"/>
      <c r="H3500" s="1"/>
      <c r="I3500" s="1"/>
    </row>
    <row r="3501" ht="15.75" customHeight="1">
      <c r="A3501" s="1" t="s">
        <v>3606</v>
      </c>
      <c r="B3501" s="1" t="s">
        <v>3525</v>
      </c>
      <c r="C3501" s="1"/>
      <c r="D3501" s="1"/>
      <c r="E3501" s="1"/>
      <c r="F3501" s="1"/>
      <c r="G3501" s="1"/>
      <c r="H3501" s="1"/>
      <c r="I3501" s="1"/>
    </row>
    <row r="3502" ht="15.75" customHeight="1">
      <c r="A3502" s="1" t="s">
        <v>3607</v>
      </c>
      <c r="B3502" s="1" t="s">
        <v>3525</v>
      </c>
      <c r="C3502" s="1"/>
      <c r="D3502" s="1"/>
      <c r="E3502" s="1"/>
      <c r="F3502" s="1"/>
      <c r="G3502" s="1"/>
      <c r="H3502" s="1"/>
      <c r="I3502" s="1"/>
    </row>
    <row r="3503" ht="15.75" customHeight="1">
      <c r="A3503" s="1" t="s">
        <v>3608</v>
      </c>
      <c r="B3503" s="1" t="s">
        <v>3525</v>
      </c>
      <c r="C3503" s="1"/>
      <c r="D3503" s="1"/>
      <c r="E3503" s="1"/>
      <c r="F3503" s="1"/>
      <c r="G3503" s="1"/>
      <c r="H3503" s="1"/>
      <c r="I3503" s="1"/>
    </row>
    <row r="3504" ht="15.75" customHeight="1">
      <c r="A3504" s="1" t="s">
        <v>3609</v>
      </c>
      <c r="B3504" s="1" t="s">
        <v>3525</v>
      </c>
      <c r="C3504" s="1"/>
      <c r="D3504" s="1"/>
      <c r="E3504" s="1"/>
      <c r="F3504" s="1"/>
      <c r="G3504" s="1"/>
      <c r="H3504" s="1"/>
      <c r="I3504" s="1"/>
    </row>
    <row r="3505" ht="15.75" customHeight="1">
      <c r="A3505" s="1" t="s">
        <v>3610</v>
      </c>
      <c r="B3505" s="1" t="s">
        <v>3525</v>
      </c>
      <c r="C3505" s="1"/>
      <c r="D3505" s="1"/>
      <c r="E3505" s="1"/>
      <c r="F3505" s="1"/>
      <c r="G3505" s="1"/>
      <c r="H3505" s="1"/>
      <c r="I3505" s="1"/>
    </row>
    <row r="3506" ht="15.75" customHeight="1">
      <c r="A3506" s="1" t="s">
        <v>3611</v>
      </c>
      <c r="B3506" s="1" t="s">
        <v>3525</v>
      </c>
      <c r="C3506" s="1"/>
      <c r="D3506" s="1"/>
      <c r="E3506" s="1"/>
      <c r="F3506" s="1"/>
      <c r="G3506" s="1"/>
      <c r="H3506" s="1"/>
      <c r="I3506" s="1"/>
    </row>
    <row r="3507" ht="15.75" customHeight="1">
      <c r="A3507" s="1" t="s">
        <v>3612</v>
      </c>
      <c r="B3507" s="1" t="s">
        <v>3525</v>
      </c>
      <c r="C3507" s="1"/>
      <c r="D3507" s="1"/>
      <c r="E3507" s="1"/>
      <c r="F3507" s="1"/>
      <c r="G3507" s="1"/>
      <c r="H3507" s="1"/>
      <c r="I3507" s="1"/>
    </row>
    <row r="3508" ht="15.75" customHeight="1">
      <c r="A3508" s="1" t="s">
        <v>3613</v>
      </c>
      <c r="B3508" s="1" t="s">
        <v>3525</v>
      </c>
      <c r="C3508" s="1"/>
      <c r="D3508" s="1"/>
      <c r="E3508" s="1"/>
      <c r="F3508" s="1"/>
      <c r="G3508" s="1"/>
      <c r="H3508" s="1"/>
      <c r="I3508" s="1"/>
    </row>
    <row r="3509" ht="15.75" customHeight="1">
      <c r="A3509" s="1" t="s">
        <v>3614</v>
      </c>
      <c r="B3509" s="1" t="s">
        <v>3525</v>
      </c>
      <c r="C3509" s="1"/>
      <c r="D3509" s="1"/>
      <c r="E3509" s="1"/>
      <c r="F3509" s="1"/>
      <c r="G3509" s="1"/>
      <c r="H3509" s="1"/>
      <c r="I3509" s="1"/>
    </row>
    <row r="3510" ht="15.75" customHeight="1">
      <c r="A3510" s="1" t="s">
        <v>3615</v>
      </c>
      <c r="B3510" s="1" t="s">
        <v>3525</v>
      </c>
      <c r="C3510" s="1"/>
      <c r="D3510" s="1"/>
      <c r="E3510" s="1"/>
      <c r="F3510" s="1"/>
      <c r="G3510" s="1"/>
      <c r="H3510" s="1"/>
      <c r="I3510" s="1"/>
    </row>
    <row r="3511" ht="15.75" customHeight="1">
      <c r="A3511" s="1" t="s">
        <v>3616</v>
      </c>
      <c r="B3511" s="1" t="s">
        <v>3525</v>
      </c>
      <c r="C3511" s="1"/>
      <c r="D3511" s="1"/>
      <c r="E3511" s="1"/>
      <c r="F3511" s="1"/>
      <c r="G3511" s="1"/>
      <c r="H3511" s="1"/>
      <c r="I3511" s="1"/>
    </row>
    <row r="3512" ht="15.75" customHeight="1">
      <c r="A3512" s="1" t="s">
        <v>3617</v>
      </c>
      <c r="B3512" s="1" t="s">
        <v>3618</v>
      </c>
      <c r="C3512" s="1"/>
      <c r="D3512" s="1"/>
      <c r="E3512" s="1"/>
      <c r="F3512" s="1"/>
      <c r="G3512" s="1"/>
      <c r="H3512" s="1"/>
      <c r="I3512" s="1"/>
    </row>
    <row r="3513" ht="15.75" customHeight="1">
      <c r="A3513" s="1" t="s">
        <v>3619</v>
      </c>
      <c r="B3513" s="1" t="s">
        <v>3618</v>
      </c>
      <c r="C3513" s="1"/>
      <c r="D3513" s="1"/>
      <c r="E3513" s="1"/>
      <c r="F3513" s="1"/>
      <c r="G3513" s="1"/>
      <c r="H3513" s="1"/>
      <c r="I3513" s="1"/>
    </row>
    <row r="3514" ht="15.75" customHeight="1">
      <c r="A3514" s="1" t="s">
        <v>3620</v>
      </c>
      <c r="B3514" s="1" t="s">
        <v>3621</v>
      </c>
      <c r="C3514" s="1"/>
      <c r="D3514" s="1"/>
      <c r="E3514" s="1"/>
      <c r="F3514" s="1"/>
      <c r="G3514" s="1"/>
      <c r="H3514" s="1"/>
      <c r="I3514" s="1"/>
    </row>
    <row r="3515" ht="15.75" customHeight="1">
      <c r="A3515" s="1" t="s">
        <v>3622</v>
      </c>
      <c r="B3515" s="1" t="s">
        <v>3621</v>
      </c>
      <c r="C3515" s="1"/>
      <c r="D3515" s="1"/>
      <c r="E3515" s="1"/>
      <c r="F3515" s="1"/>
      <c r="G3515" s="1"/>
      <c r="H3515" s="1"/>
      <c r="I3515" s="1"/>
    </row>
    <row r="3516" ht="15.75" customHeight="1">
      <c r="A3516" s="1" t="s">
        <v>3623</v>
      </c>
      <c r="B3516" s="1" t="s">
        <v>3621</v>
      </c>
      <c r="C3516" s="1"/>
      <c r="D3516" s="1"/>
      <c r="E3516" s="1"/>
      <c r="F3516" s="1"/>
      <c r="G3516" s="1"/>
      <c r="H3516" s="1"/>
      <c r="I3516" s="1"/>
    </row>
    <row r="3517" ht="15.75" customHeight="1">
      <c r="A3517" s="1" t="s">
        <v>3624</v>
      </c>
      <c r="B3517" s="1" t="s">
        <v>3621</v>
      </c>
      <c r="C3517" s="1"/>
      <c r="D3517" s="1"/>
      <c r="E3517" s="1"/>
      <c r="F3517" s="1"/>
      <c r="G3517" s="1"/>
      <c r="H3517" s="1"/>
      <c r="I3517" s="1"/>
    </row>
    <row r="3518" ht="15.75" customHeight="1">
      <c r="A3518" s="1" t="s">
        <v>3625</v>
      </c>
      <c r="B3518" s="1" t="s">
        <v>3626</v>
      </c>
      <c r="C3518" s="1"/>
      <c r="D3518" s="1"/>
      <c r="E3518" s="1"/>
      <c r="F3518" s="1"/>
      <c r="G3518" s="1"/>
      <c r="H3518" s="1"/>
      <c r="I3518" s="1"/>
    </row>
    <row r="3519" ht="15.75" customHeight="1">
      <c r="A3519" s="1" t="s">
        <v>3627</v>
      </c>
      <c r="B3519" s="1" t="s">
        <v>3626</v>
      </c>
      <c r="C3519" s="1"/>
      <c r="D3519" s="1"/>
      <c r="E3519" s="1"/>
      <c r="F3519" s="1"/>
      <c r="G3519" s="1"/>
      <c r="H3519" s="1"/>
      <c r="I3519" s="1"/>
    </row>
    <row r="3520" ht="15.75" customHeight="1">
      <c r="A3520" s="1" t="s">
        <v>3628</v>
      </c>
      <c r="B3520" s="1" t="s">
        <v>3626</v>
      </c>
      <c r="C3520" s="1"/>
      <c r="D3520" s="1"/>
      <c r="E3520" s="1"/>
      <c r="F3520" s="1"/>
      <c r="G3520" s="1"/>
      <c r="H3520" s="1"/>
      <c r="I3520" s="1"/>
    </row>
    <row r="3521" ht="15.75" customHeight="1">
      <c r="A3521" s="1" t="s">
        <v>3629</v>
      </c>
      <c r="B3521" s="1" t="s">
        <v>3626</v>
      </c>
      <c r="C3521" s="1"/>
      <c r="D3521" s="1"/>
      <c r="E3521" s="1"/>
      <c r="F3521" s="1"/>
      <c r="G3521" s="1"/>
      <c r="H3521" s="1"/>
      <c r="I3521" s="1"/>
    </row>
    <row r="3522" ht="15.75" customHeight="1">
      <c r="A3522" s="1" t="s">
        <v>3630</v>
      </c>
      <c r="B3522" s="1" t="s">
        <v>3626</v>
      </c>
      <c r="C3522" s="1"/>
      <c r="D3522" s="1"/>
      <c r="E3522" s="1"/>
      <c r="F3522" s="1"/>
      <c r="G3522" s="1"/>
      <c r="H3522" s="1"/>
      <c r="I3522" s="1"/>
    </row>
    <row r="3523" ht="15.75" customHeight="1">
      <c r="A3523" s="1" t="s">
        <v>3631</v>
      </c>
      <c r="B3523" s="1" t="s">
        <v>3626</v>
      </c>
      <c r="C3523" s="1"/>
      <c r="D3523" s="1"/>
      <c r="E3523" s="1"/>
      <c r="F3523" s="1"/>
      <c r="G3523" s="1"/>
      <c r="H3523" s="1"/>
      <c r="I3523" s="1"/>
    </row>
    <row r="3524" ht="15.75" customHeight="1">
      <c r="A3524" s="1" t="s">
        <v>3632</v>
      </c>
      <c r="B3524" s="1" t="s">
        <v>3633</v>
      </c>
      <c r="C3524" s="1"/>
      <c r="D3524" s="1"/>
      <c r="E3524" s="1"/>
      <c r="F3524" s="1"/>
      <c r="G3524" s="1"/>
      <c r="H3524" s="1"/>
      <c r="I3524" s="1"/>
    </row>
    <row r="3525" ht="15.75" customHeight="1">
      <c r="A3525" s="1" t="s">
        <v>3634</v>
      </c>
      <c r="B3525" s="1" t="s">
        <v>3633</v>
      </c>
      <c r="C3525" s="1"/>
      <c r="D3525" s="1"/>
      <c r="E3525" s="1"/>
      <c r="F3525" s="1"/>
      <c r="G3525" s="1"/>
      <c r="H3525" s="1"/>
      <c r="I3525" s="1"/>
    </row>
    <row r="3526" ht="15.75" customHeight="1">
      <c r="A3526" s="1" t="s">
        <v>3635</v>
      </c>
      <c r="B3526" s="1" t="s">
        <v>3633</v>
      </c>
      <c r="C3526" s="1"/>
      <c r="D3526" s="1"/>
      <c r="E3526" s="1"/>
      <c r="F3526" s="1"/>
      <c r="G3526" s="1"/>
      <c r="H3526" s="1"/>
      <c r="I3526" s="1"/>
    </row>
    <row r="3527" ht="15.75" customHeight="1">
      <c r="A3527" s="1" t="s">
        <v>3636</v>
      </c>
      <c r="B3527" s="1" t="s">
        <v>3633</v>
      </c>
      <c r="C3527" s="1"/>
      <c r="D3527" s="1"/>
      <c r="E3527" s="1"/>
      <c r="F3527" s="1"/>
      <c r="G3527" s="1"/>
      <c r="H3527" s="1"/>
      <c r="I3527" s="1"/>
    </row>
    <row r="3528" ht="15.75" customHeight="1">
      <c r="A3528" s="1" t="s">
        <v>3637</v>
      </c>
      <c r="B3528" s="1" t="s">
        <v>3633</v>
      </c>
      <c r="C3528" s="1"/>
      <c r="D3528" s="1"/>
      <c r="E3528" s="1"/>
      <c r="F3528" s="1"/>
      <c r="G3528" s="1"/>
      <c r="H3528" s="1"/>
      <c r="I3528" s="1"/>
    </row>
    <row r="3529" ht="15.75" customHeight="1">
      <c r="A3529" s="1" t="s">
        <v>3638</v>
      </c>
      <c r="B3529" s="1" t="s">
        <v>3633</v>
      </c>
      <c r="C3529" s="1"/>
      <c r="D3529" s="1"/>
      <c r="E3529" s="1"/>
      <c r="F3529" s="1"/>
      <c r="G3529" s="1"/>
      <c r="H3529" s="1"/>
      <c r="I3529" s="1"/>
    </row>
    <row r="3530" ht="15.75" customHeight="1">
      <c r="A3530" s="1" t="s">
        <v>3639</v>
      </c>
      <c r="B3530" s="1" t="s">
        <v>3633</v>
      </c>
      <c r="C3530" s="1"/>
      <c r="D3530" s="1"/>
      <c r="E3530" s="1"/>
      <c r="F3530" s="1"/>
      <c r="G3530" s="1"/>
      <c r="H3530" s="1"/>
      <c r="I3530" s="1"/>
    </row>
    <row r="3531" ht="15.75" customHeight="1">
      <c r="A3531" s="1" t="s">
        <v>3640</v>
      </c>
      <c r="B3531" s="1" t="s">
        <v>3633</v>
      </c>
      <c r="C3531" s="1"/>
      <c r="D3531" s="1"/>
      <c r="E3531" s="1"/>
      <c r="F3531" s="1"/>
      <c r="G3531" s="1"/>
      <c r="H3531" s="1"/>
      <c r="I3531" s="1"/>
    </row>
    <row r="3532" ht="15.75" customHeight="1">
      <c r="A3532" s="1" t="s">
        <v>3641</v>
      </c>
      <c r="B3532" s="1" t="s">
        <v>3633</v>
      </c>
      <c r="C3532" s="1"/>
      <c r="D3532" s="1"/>
      <c r="E3532" s="1"/>
      <c r="F3532" s="1"/>
      <c r="G3532" s="1"/>
      <c r="H3532" s="1"/>
      <c r="I3532" s="1"/>
    </row>
    <row r="3533" ht="15.75" customHeight="1">
      <c r="A3533" s="1" t="s">
        <v>3642</v>
      </c>
      <c r="B3533" s="1" t="s">
        <v>3633</v>
      </c>
      <c r="C3533" s="1"/>
      <c r="D3533" s="1"/>
      <c r="E3533" s="1"/>
      <c r="F3533" s="1"/>
      <c r="G3533" s="1"/>
      <c r="H3533" s="1"/>
      <c r="I3533" s="1"/>
    </row>
    <row r="3534" ht="15.75" customHeight="1">
      <c r="A3534" s="1" t="s">
        <v>3643</v>
      </c>
      <c r="B3534" s="1" t="s">
        <v>3633</v>
      </c>
      <c r="C3534" s="1"/>
      <c r="D3534" s="1"/>
      <c r="E3534" s="1"/>
      <c r="F3534" s="1"/>
      <c r="G3534" s="1"/>
      <c r="H3534" s="1"/>
      <c r="I3534" s="1"/>
    </row>
    <row r="3535" ht="15.75" customHeight="1">
      <c r="A3535" s="1" t="s">
        <v>3644</v>
      </c>
      <c r="B3535" s="1" t="s">
        <v>3633</v>
      </c>
      <c r="C3535" s="1"/>
      <c r="D3535" s="1"/>
      <c r="E3535" s="1"/>
      <c r="F3535" s="1"/>
      <c r="G3535" s="1"/>
      <c r="H3535" s="1"/>
      <c r="I3535" s="1"/>
    </row>
    <row r="3536" ht="15.75" customHeight="1">
      <c r="A3536" s="1" t="s">
        <v>3645</v>
      </c>
      <c r="B3536" s="1" t="s">
        <v>3633</v>
      </c>
      <c r="C3536" s="1"/>
      <c r="D3536" s="1"/>
      <c r="E3536" s="1"/>
      <c r="F3536" s="1"/>
      <c r="G3536" s="1"/>
      <c r="H3536" s="1"/>
      <c r="I3536" s="1"/>
    </row>
    <row r="3537" ht="15.75" customHeight="1">
      <c r="A3537" s="1" t="s">
        <v>3646</v>
      </c>
      <c r="B3537" s="1" t="s">
        <v>3633</v>
      </c>
      <c r="C3537" s="1"/>
      <c r="D3537" s="1"/>
      <c r="E3537" s="1"/>
      <c r="F3537" s="1"/>
      <c r="G3537" s="1"/>
      <c r="H3537" s="1"/>
      <c r="I3537" s="1"/>
    </row>
    <row r="3538" ht="15.75" customHeight="1">
      <c r="A3538" s="1" t="s">
        <v>3647</v>
      </c>
      <c r="B3538" s="1" t="s">
        <v>3648</v>
      </c>
      <c r="C3538" s="1"/>
      <c r="D3538" s="1"/>
      <c r="E3538" s="1"/>
      <c r="F3538" s="1"/>
      <c r="G3538" s="1"/>
      <c r="H3538" s="1"/>
      <c r="I3538" s="1"/>
    </row>
    <row r="3539" ht="15.75" customHeight="1">
      <c r="A3539" s="1" t="s">
        <v>3649</v>
      </c>
      <c r="B3539" s="1" t="s">
        <v>3648</v>
      </c>
      <c r="C3539" s="1"/>
      <c r="D3539" s="1"/>
      <c r="E3539" s="1"/>
      <c r="F3539" s="1"/>
      <c r="G3539" s="1"/>
      <c r="H3539" s="1"/>
      <c r="I3539" s="1"/>
    </row>
    <row r="3540" ht="15.75" customHeight="1">
      <c r="A3540" s="1" t="s">
        <v>3650</v>
      </c>
      <c r="B3540" s="1" t="s">
        <v>3648</v>
      </c>
      <c r="C3540" s="1"/>
      <c r="D3540" s="1"/>
      <c r="E3540" s="1"/>
      <c r="F3540" s="1"/>
      <c r="G3540" s="1"/>
      <c r="H3540" s="1"/>
      <c r="I3540" s="1"/>
    </row>
    <row r="3541" ht="15.75" customHeight="1">
      <c r="A3541" s="1" t="s">
        <v>3651</v>
      </c>
      <c r="B3541" s="1" t="s">
        <v>3648</v>
      </c>
      <c r="C3541" s="1"/>
      <c r="D3541" s="1"/>
      <c r="E3541" s="1"/>
      <c r="F3541" s="1"/>
      <c r="G3541" s="1"/>
      <c r="H3541" s="1"/>
      <c r="I3541" s="1"/>
    </row>
    <row r="3542" ht="15.75" customHeight="1">
      <c r="A3542" s="1" t="s">
        <v>3652</v>
      </c>
      <c r="B3542" s="1" t="s">
        <v>3648</v>
      </c>
      <c r="C3542" s="1"/>
      <c r="D3542" s="1"/>
      <c r="E3542" s="1"/>
      <c r="F3542" s="1"/>
      <c r="G3542" s="1"/>
      <c r="H3542" s="1"/>
      <c r="I3542" s="1"/>
    </row>
    <row r="3543" ht="15.75" customHeight="1">
      <c r="A3543" s="1" t="s">
        <v>3653</v>
      </c>
      <c r="B3543" s="1" t="s">
        <v>3648</v>
      </c>
      <c r="C3543" s="1"/>
      <c r="D3543" s="1"/>
      <c r="E3543" s="1"/>
      <c r="F3543" s="1"/>
      <c r="G3543" s="1"/>
      <c r="H3543" s="1"/>
      <c r="I3543" s="1"/>
    </row>
    <row r="3544" ht="15.75" customHeight="1">
      <c r="A3544" s="1" t="s">
        <v>3654</v>
      </c>
      <c r="B3544" s="1" t="s">
        <v>3648</v>
      </c>
      <c r="C3544" s="1"/>
      <c r="D3544" s="1"/>
      <c r="E3544" s="1"/>
      <c r="F3544" s="1"/>
      <c r="G3544" s="1"/>
      <c r="H3544" s="1"/>
      <c r="I3544" s="1"/>
    </row>
    <row r="3545" ht="15.75" customHeight="1">
      <c r="A3545" s="1" t="s">
        <v>3655</v>
      </c>
      <c r="B3545" s="1" t="s">
        <v>3648</v>
      </c>
      <c r="C3545" s="1"/>
      <c r="D3545" s="1"/>
      <c r="E3545" s="1"/>
      <c r="F3545" s="1"/>
      <c r="G3545" s="1"/>
      <c r="H3545" s="1"/>
      <c r="I3545" s="1"/>
    </row>
    <row r="3546" ht="15.75" customHeight="1">
      <c r="A3546" s="1" t="s">
        <v>3656</v>
      </c>
      <c r="B3546" s="1" t="s">
        <v>3648</v>
      </c>
      <c r="C3546" s="1"/>
      <c r="D3546" s="1"/>
      <c r="E3546" s="1"/>
      <c r="F3546" s="1"/>
      <c r="G3546" s="1"/>
      <c r="H3546" s="1"/>
      <c r="I3546" s="1"/>
    </row>
    <row r="3547" ht="15.75" customHeight="1">
      <c r="A3547" s="1" t="s">
        <v>3657</v>
      </c>
      <c r="B3547" s="1" t="s">
        <v>3648</v>
      </c>
      <c r="C3547" s="1"/>
      <c r="D3547" s="1"/>
      <c r="E3547" s="1"/>
      <c r="F3547" s="1"/>
      <c r="G3547" s="1"/>
      <c r="H3547" s="1"/>
      <c r="I3547" s="1"/>
    </row>
    <row r="3548" ht="15.75" customHeight="1">
      <c r="A3548" s="1" t="s">
        <v>3658</v>
      </c>
      <c r="B3548" s="1" t="s">
        <v>3648</v>
      </c>
      <c r="C3548" s="1"/>
      <c r="D3548" s="1"/>
      <c r="E3548" s="1"/>
      <c r="F3548" s="1"/>
      <c r="G3548" s="1"/>
      <c r="H3548" s="1"/>
      <c r="I3548" s="1"/>
    </row>
    <row r="3549" ht="15.75" customHeight="1">
      <c r="A3549" s="1" t="s">
        <v>3659</v>
      </c>
      <c r="B3549" s="1" t="s">
        <v>3648</v>
      </c>
      <c r="C3549" s="1"/>
      <c r="D3549" s="1"/>
      <c r="E3549" s="1"/>
      <c r="F3549" s="1"/>
      <c r="G3549" s="1"/>
      <c r="H3549" s="1"/>
      <c r="I3549" s="1"/>
    </row>
    <row r="3550" ht="15.75" customHeight="1">
      <c r="A3550" s="1" t="s">
        <v>3660</v>
      </c>
      <c r="B3550" s="1" t="s">
        <v>3648</v>
      </c>
      <c r="C3550" s="1"/>
      <c r="D3550" s="1"/>
      <c r="E3550" s="1"/>
      <c r="F3550" s="1"/>
      <c r="G3550" s="1"/>
      <c r="H3550" s="1"/>
      <c r="I3550" s="1"/>
    </row>
    <row r="3551" ht="15.75" customHeight="1">
      <c r="A3551" s="1" t="s">
        <v>3661</v>
      </c>
      <c r="B3551" s="1" t="s">
        <v>3648</v>
      </c>
      <c r="C3551" s="1"/>
      <c r="D3551" s="1"/>
      <c r="E3551" s="1"/>
      <c r="F3551" s="1"/>
      <c r="G3551" s="1"/>
      <c r="H3551" s="1"/>
      <c r="I3551" s="1"/>
    </row>
    <row r="3552" ht="15.75" customHeight="1">
      <c r="A3552" s="1" t="s">
        <v>3662</v>
      </c>
      <c r="B3552" s="1" t="s">
        <v>3648</v>
      </c>
      <c r="C3552" s="1"/>
      <c r="D3552" s="1"/>
      <c r="E3552" s="1"/>
      <c r="F3552" s="1"/>
      <c r="G3552" s="1"/>
      <c r="H3552" s="1"/>
      <c r="I3552" s="1"/>
    </row>
    <row r="3553" ht="15.75" customHeight="1">
      <c r="A3553" s="1" t="s">
        <v>3663</v>
      </c>
      <c r="B3553" s="1" t="s">
        <v>3648</v>
      </c>
      <c r="C3553" s="1"/>
      <c r="D3553" s="1"/>
      <c r="E3553" s="1"/>
      <c r="F3553" s="1"/>
      <c r="G3553" s="1"/>
      <c r="H3553" s="1"/>
      <c r="I3553" s="1"/>
    </row>
    <row r="3554" ht="15.75" customHeight="1">
      <c r="A3554" s="1" t="s">
        <v>3664</v>
      </c>
      <c r="B3554" s="1" t="s">
        <v>3648</v>
      </c>
      <c r="C3554" s="1"/>
      <c r="D3554" s="1"/>
      <c r="E3554" s="1"/>
      <c r="F3554" s="1"/>
      <c r="G3554" s="1"/>
      <c r="H3554" s="1"/>
      <c r="I3554" s="1"/>
    </row>
    <row r="3555" ht="15.75" customHeight="1">
      <c r="A3555" s="1" t="s">
        <v>3665</v>
      </c>
      <c r="B3555" s="1" t="s">
        <v>3648</v>
      </c>
      <c r="C3555" s="1"/>
      <c r="D3555" s="1"/>
      <c r="E3555" s="1"/>
      <c r="F3555" s="1"/>
      <c r="G3555" s="1"/>
      <c r="H3555" s="1"/>
      <c r="I3555" s="1"/>
    </row>
    <row r="3556" ht="15.75" customHeight="1">
      <c r="A3556" s="1" t="s">
        <v>3666</v>
      </c>
      <c r="B3556" s="1" t="s">
        <v>3648</v>
      </c>
      <c r="C3556" s="1"/>
      <c r="D3556" s="1"/>
      <c r="E3556" s="1"/>
      <c r="F3556" s="1"/>
      <c r="G3556" s="1"/>
      <c r="H3556" s="1"/>
      <c r="I3556" s="1"/>
    </row>
    <row r="3557" ht="15.75" customHeight="1">
      <c r="A3557" s="1" t="s">
        <v>3667</v>
      </c>
      <c r="B3557" s="1" t="s">
        <v>3648</v>
      </c>
      <c r="C3557" s="1"/>
      <c r="D3557" s="1"/>
      <c r="E3557" s="1"/>
      <c r="F3557" s="1"/>
      <c r="G3557" s="1"/>
      <c r="H3557" s="1"/>
      <c r="I3557" s="1"/>
    </row>
    <row r="3558" ht="15.75" customHeight="1">
      <c r="A3558" s="1" t="s">
        <v>3668</v>
      </c>
      <c r="B3558" s="1" t="s">
        <v>3648</v>
      </c>
      <c r="C3558" s="1"/>
      <c r="D3558" s="1"/>
      <c r="E3558" s="1"/>
      <c r="F3558" s="1"/>
      <c r="G3558" s="1"/>
      <c r="H3558" s="1"/>
      <c r="I3558" s="1"/>
    </row>
    <row r="3559" ht="15.75" customHeight="1">
      <c r="A3559" s="1" t="s">
        <v>3669</v>
      </c>
      <c r="B3559" s="1" t="s">
        <v>3648</v>
      </c>
      <c r="C3559" s="1"/>
      <c r="D3559" s="1"/>
      <c r="E3559" s="1"/>
      <c r="F3559" s="1"/>
      <c r="G3559" s="1"/>
      <c r="H3559" s="1"/>
      <c r="I3559" s="1"/>
    </row>
    <row r="3560" ht="15.75" customHeight="1">
      <c r="A3560" s="1" t="s">
        <v>3670</v>
      </c>
      <c r="B3560" s="1" t="s">
        <v>3648</v>
      </c>
      <c r="C3560" s="1"/>
      <c r="D3560" s="1"/>
      <c r="E3560" s="1"/>
      <c r="F3560" s="1"/>
      <c r="G3560" s="1"/>
      <c r="H3560" s="1"/>
      <c r="I3560" s="1"/>
    </row>
    <row r="3561" ht="15.75" customHeight="1">
      <c r="A3561" s="1" t="s">
        <v>3671</v>
      </c>
      <c r="B3561" s="1" t="s">
        <v>3648</v>
      </c>
      <c r="C3561" s="1"/>
      <c r="D3561" s="1"/>
      <c r="E3561" s="1"/>
      <c r="F3561" s="1"/>
      <c r="G3561" s="1"/>
      <c r="H3561" s="1"/>
      <c r="I3561" s="1"/>
    </row>
    <row r="3562" ht="15.75" customHeight="1">
      <c r="A3562" s="1" t="s">
        <v>3672</v>
      </c>
      <c r="B3562" s="1" t="s">
        <v>3648</v>
      </c>
      <c r="C3562" s="1"/>
      <c r="D3562" s="1"/>
      <c r="E3562" s="1"/>
      <c r="F3562" s="1"/>
      <c r="G3562" s="1"/>
      <c r="H3562" s="1"/>
      <c r="I3562" s="1"/>
    </row>
    <row r="3563" ht="15.75" customHeight="1">
      <c r="A3563" s="1" t="s">
        <v>3673</v>
      </c>
      <c r="B3563" s="1" t="s">
        <v>3648</v>
      </c>
      <c r="C3563" s="1"/>
      <c r="D3563" s="1"/>
      <c r="E3563" s="1"/>
      <c r="F3563" s="1"/>
      <c r="G3563" s="1"/>
      <c r="H3563" s="1"/>
      <c r="I3563" s="1"/>
    </row>
    <row r="3564" ht="15.75" customHeight="1">
      <c r="A3564" s="1" t="s">
        <v>3674</v>
      </c>
      <c r="B3564" s="1" t="s">
        <v>3648</v>
      </c>
      <c r="C3564" s="1"/>
      <c r="D3564" s="1"/>
      <c r="E3564" s="1"/>
      <c r="F3564" s="1"/>
      <c r="G3564" s="1"/>
      <c r="H3564" s="1"/>
      <c r="I3564" s="1"/>
    </row>
    <row r="3565" ht="15.75" customHeight="1">
      <c r="A3565" s="1" t="s">
        <v>3675</v>
      </c>
      <c r="B3565" s="1" t="s">
        <v>3648</v>
      </c>
      <c r="C3565" s="1"/>
      <c r="D3565" s="1"/>
      <c r="E3565" s="1"/>
      <c r="F3565" s="1"/>
      <c r="G3565" s="1"/>
      <c r="H3565" s="1"/>
      <c r="I3565" s="1"/>
    </row>
    <row r="3566" ht="15.75" customHeight="1">
      <c r="A3566" s="1" t="s">
        <v>3676</v>
      </c>
      <c r="B3566" s="1" t="s">
        <v>3648</v>
      </c>
      <c r="C3566" s="1"/>
      <c r="D3566" s="1"/>
      <c r="E3566" s="1"/>
      <c r="F3566" s="1"/>
      <c r="G3566" s="1"/>
      <c r="H3566" s="1"/>
      <c r="I3566" s="1"/>
    </row>
    <row r="3567" ht="15.75" customHeight="1">
      <c r="A3567" s="1" t="s">
        <v>3677</v>
      </c>
      <c r="B3567" s="1" t="s">
        <v>3648</v>
      </c>
      <c r="C3567" s="1"/>
      <c r="D3567" s="1"/>
      <c r="E3567" s="1"/>
      <c r="F3567" s="1"/>
      <c r="G3567" s="1"/>
      <c r="H3567" s="1"/>
      <c r="I3567" s="1"/>
    </row>
    <row r="3568" ht="15.75" customHeight="1">
      <c r="A3568" s="1" t="s">
        <v>3678</v>
      </c>
      <c r="B3568" s="1" t="s">
        <v>3648</v>
      </c>
      <c r="C3568" s="1"/>
      <c r="D3568" s="1"/>
      <c r="E3568" s="1"/>
      <c r="F3568" s="1"/>
      <c r="G3568" s="1"/>
      <c r="H3568" s="1"/>
      <c r="I3568" s="1"/>
    </row>
    <row r="3569" ht="15.75" customHeight="1">
      <c r="A3569" s="1" t="s">
        <v>3679</v>
      </c>
      <c r="B3569" s="1" t="s">
        <v>3648</v>
      </c>
      <c r="C3569" s="1"/>
      <c r="D3569" s="1"/>
      <c r="E3569" s="1"/>
      <c r="F3569" s="1"/>
      <c r="G3569" s="1"/>
      <c r="H3569" s="1"/>
      <c r="I3569" s="1"/>
    </row>
    <row r="3570" ht="15.75" customHeight="1">
      <c r="A3570" s="1" t="s">
        <v>3680</v>
      </c>
      <c r="B3570" s="1" t="s">
        <v>3648</v>
      </c>
      <c r="C3570" s="1"/>
      <c r="D3570" s="1"/>
      <c r="E3570" s="1"/>
      <c r="F3570" s="1"/>
      <c r="G3570" s="1"/>
      <c r="H3570" s="1"/>
      <c r="I3570" s="1"/>
    </row>
    <row r="3571" ht="15.75" customHeight="1">
      <c r="A3571" s="1" t="s">
        <v>3681</v>
      </c>
      <c r="B3571" s="1" t="s">
        <v>3648</v>
      </c>
      <c r="C3571" s="1"/>
      <c r="D3571" s="1"/>
      <c r="E3571" s="1"/>
      <c r="F3571" s="1"/>
      <c r="G3571" s="1"/>
      <c r="H3571" s="1"/>
      <c r="I3571" s="1"/>
    </row>
    <row r="3572" ht="15.75" customHeight="1">
      <c r="A3572" s="1" t="s">
        <v>3682</v>
      </c>
      <c r="B3572" s="1" t="s">
        <v>3648</v>
      </c>
      <c r="C3572" s="1"/>
      <c r="D3572" s="1"/>
      <c r="E3572" s="1"/>
      <c r="F3572" s="1"/>
      <c r="G3572" s="1"/>
      <c r="H3572" s="1"/>
      <c r="I3572" s="1"/>
    </row>
    <row r="3573" ht="15.75" customHeight="1">
      <c r="A3573" s="1" t="s">
        <v>3683</v>
      </c>
      <c r="B3573" s="1" t="s">
        <v>3648</v>
      </c>
      <c r="C3573" s="1"/>
      <c r="D3573" s="1"/>
      <c r="E3573" s="1"/>
      <c r="F3573" s="1"/>
      <c r="G3573" s="1"/>
      <c r="H3573" s="1"/>
      <c r="I3573" s="1"/>
    </row>
    <row r="3574" ht="15.75" customHeight="1">
      <c r="A3574" s="1" t="s">
        <v>3684</v>
      </c>
      <c r="B3574" s="1" t="s">
        <v>3648</v>
      </c>
      <c r="C3574" s="1"/>
      <c r="D3574" s="1"/>
      <c r="E3574" s="1"/>
      <c r="F3574" s="1"/>
      <c r="G3574" s="1"/>
      <c r="H3574" s="1"/>
      <c r="I3574" s="1"/>
    </row>
    <row r="3575" ht="15.75" customHeight="1">
      <c r="A3575" s="1" t="s">
        <v>3685</v>
      </c>
      <c r="B3575" s="1" t="s">
        <v>3648</v>
      </c>
      <c r="C3575" s="1"/>
      <c r="D3575" s="1"/>
      <c r="E3575" s="1"/>
      <c r="F3575" s="1"/>
      <c r="G3575" s="1"/>
      <c r="H3575" s="1"/>
      <c r="I3575" s="1"/>
    </row>
    <row r="3576" ht="15.75" customHeight="1">
      <c r="A3576" s="1" t="s">
        <v>3686</v>
      </c>
      <c r="B3576" s="1" t="s">
        <v>3648</v>
      </c>
      <c r="C3576" s="1"/>
      <c r="D3576" s="1"/>
      <c r="E3576" s="1"/>
      <c r="F3576" s="1"/>
      <c r="G3576" s="1"/>
      <c r="H3576" s="1"/>
      <c r="I3576" s="1"/>
    </row>
    <row r="3577" ht="15.75" customHeight="1">
      <c r="A3577" s="1" t="s">
        <v>3687</v>
      </c>
      <c r="B3577" s="1" t="s">
        <v>3648</v>
      </c>
      <c r="C3577" s="1"/>
      <c r="D3577" s="1"/>
      <c r="E3577" s="1"/>
      <c r="F3577" s="1"/>
      <c r="G3577" s="1"/>
      <c r="H3577" s="1"/>
      <c r="I3577" s="1"/>
    </row>
    <row r="3578" ht="15.75" customHeight="1">
      <c r="A3578" s="1" t="s">
        <v>3688</v>
      </c>
      <c r="B3578" s="1" t="s">
        <v>3648</v>
      </c>
      <c r="C3578" s="1"/>
      <c r="D3578" s="1"/>
      <c r="E3578" s="1"/>
      <c r="F3578" s="1"/>
      <c r="G3578" s="1"/>
      <c r="H3578" s="1"/>
      <c r="I3578" s="1"/>
    </row>
    <row r="3579" ht="15.75" customHeight="1">
      <c r="A3579" s="1" t="s">
        <v>3689</v>
      </c>
      <c r="B3579" s="1" t="s">
        <v>3648</v>
      </c>
      <c r="C3579" s="1"/>
      <c r="D3579" s="1"/>
      <c r="E3579" s="1"/>
      <c r="F3579" s="1"/>
      <c r="G3579" s="1"/>
      <c r="H3579" s="1"/>
      <c r="I3579" s="1"/>
    </row>
    <row r="3580" ht="15.75" customHeight="1">
      <c r="A3580" s="1" t="s">
        <v>3690</v>
      </c>
      <c r="B3580" s="1" t="s">
        <v>3648</v>
      </c>
      <c r="C3580" s="1"/>
      <c r="D3580" s="1"/>
      <c r="E3580" s="1"/>
      <c r="F3580" s="1"/>
      <c r="G3580" s="1"/>
      <c r="H3580" s="1"/>
      <c r="I3580" s="1"/>
    </row>
    <row r="3581" ht="15.75" customHeight="1">
      <c r="A3581" s="1" t="s">
        <v>3691</v>
      </c>
      <c r="B3581" s="1" t="s">
        <v>3648</v>
      </c>
      <c r="C3581" s="1"/>
      <c r="D3581" s="1"/>
      <c r="E3581" s="1"/>
      <c r="F3581" s="1"/>
      <c r="G3581" s="1"/>
      <c r="H3581" s="1"/>
      <c r="I3581" s="1"/>
    </row>
    <row r="3582" ht="15.75" customHeight="1">
      <c r="A3582" s="1" t="s">
        <v>3692</v>
      </c>
      <c r="B3582" s="1" t="s">
        <v>3648</v>
      </c>
      <c r="C3582" s="1"/>
      <c r="D3582" s="1"/>
      <c r="E3582" s="1"/>
      <c r="F3582" s="1"/>
      <c r="G3582" s="1"/>
      <c r="H3582" s="1"/>
      <c r="I3582" s="1"/>
    </row>
    <row r="3583" ht="15.75" customHeight="1">
      <c r="A3583" s="1" t="s">
        <v>3693</v>
      </c>
      <c r="B3583" s="1" t="s">
        <v>3648</v>
      </c>
      <c r="C3583" s="1"/>
      <c r="D3583" s="1"/>
      <c r="E3583" s="1"/>
      <c r="F3583" s="1"/>
      <c r="G3583" s="1"/>
      <c r="H3583" s="1"/>
      <c r="I3583" s="1"/>
    </row>
    <row r="3584" ht="15.75" customHeight="1">
      <c r="A3584" s="1" t="s">
        <v>3694</v>
      </c>
      <c r="B3584" s="1" t="s">
        <v>3648</v>
      </c>
      <c r="C3584" s="1"/>
      <c r="D3584" s="1"/>
      <c r="E3584" s="1"/>
      <c r="F3584" s="1"/>
      <c r="G3584" s="1"/>
      <c r="H3584" s="1"/>
      <c r="I3584" s="1"/>
    </row>
    <row r="3585" ht="15.75" customHeight="1">
      <c r="A3585" s="1" t="s">
        <v>3695</v>
      </c>
      <c r="B3585" s="1" t="s">
        <v>3648</v>
      </c>
      <c r="C3585" s="1"/>
      <c r="D3585" s="1"/>
      <c r="E3585" s="1"/>
      <c r="F3585" s="1"/>
      <c r="G3585" s="1"/>
      <c r="H3585" s="1"/>
      <c r="I3585" s="1"/>
    </row>
    <row r="3586" ht="15.75" customHeight="1">
      <c r="A3586" s="1" t="s">
        <v>3696</v>
      </c>
      <c r="B3586" s="1" t="s">
        <v>3648</v>
      </c>
      <c r="C3586" s="1"/>
      <c r="D3586" s="1"/>
      <c r="E3586" s="1"/>
      <c r="F3586" s="1"/>
      <c r="G3586" s="1"/>
      <c r="H3586" s="1"/>
      <c r="I3586" s="1"/>
    </row>
    <row r="3587" ht="15.75" customHeight="1">
      <c r="A3587" s="1" t="s">
        <v>3697</v>
      </c>
      <c r="B3587" s="1" t="s">
        <v>3648</v>
      </c>
      <c r="C3587" s="1"/>
      <c r="D3587" s="1"/>
      <c r="E3587" s="1"/>
      <c r="F3587" s="1"/>
      <c r="G3587" s="1"/>
      <c r="H3587" s="1"/>
      <c r="I3587" s="1"/>
    </row>
    <row r="3588" ht="15.75" customHeight="1">
      <c r="A3588" s="1" t="s">
        <v>3698</v>
      </c>
      <c r="B3588" s="1" t="s">
        <v>3648</v>
      </c>
      <c r="C3588" s="1"/>
      <c r="D3588" s="1"/>
      <c r="E3588" s="1"/>
      <c r="F3588" s="1"/>
      <c r="G3588" s="1"/>
      <c r="H3588" s="1"/>
      <c r="I3588" s="1"/>
    </row>
    <row r="3589" ht="15.75" customHeight="1">
      <c r="A3589" s="1" t="s">
        <v>3699</v>
      </c>
      <c r="B3589" s="1" t="s">
        <v>3648</v>
      </c>
      <c r="C3589" s="1"/>
      <c r="D3589" s="1"/>
      <c r="E3589" s="1"/>
      <c r="F3589" s="1"/>
      <c r="G3589" s="1"/>
      <c r="H3589" s="1"/>
      <c r="I3589" s="1"/>
    </row>
    <row r="3590" ht="15.75" customHeight="1">
      <c r="A3590" s="1" t="s">
        <v>3700</v>
      </c>
      <c r="B3590" s="1" t="s">
        <v>3648</v>
      </c>
      <c r="C3590" s="1"/>
      <c r="D3590" s="1"/>
      <c r="E3590" s="1"/>
      <c r="F3590" s="1"/>
      <c r="G3590" s="1"/>
      <c r="H3590" s="1"/>
      <c r="I3590" s="1"/>
    </row>
    <row r="3591" ht="15.75" customHeight="1">
      <c r="A3591" s="1" t="s">
        <v>3701</v>
      </c>
      <c r="B3591" s="1" t="s">
        <v>3648</v>
      </c>
      <c r="C3591" s="1"/>
      <c r="D3591" s="1"/>
      <c r="E3591" s="1"/>
      <c r="F3591" s="1"/>
      <c r="G3591" s="1"/>
      <c r="H3591" s="1"/>
      <c r="I3591" s="1"/>
    </row>
    <row r="3592" ht="15.75" customHeight="1">
      <c r="A3592" s="1" t="s">
        <v>3702</v>
      </c>
      <c r="B3592" s="1" t="s">
        <v>3648</v>
      </c>
      <c r="C3592" s="1"/>
      <c r="D3592" s="1"/>
      <c r="E3592" s="1"/>
      <c r="F3592" s="1"/>
      <c r="G3592" s="1"/>
      <c r="H3592" s="1"/>
      <c r="I3592" s="1"/>
    </row>
    <row r="3593" ht="15.75" customHeight="1">
      <c r="A3593" s="1" t="s">
        <v>3703</v>
      </c>
      <c r="B3593" s="1" t="s">
        <v>3648</v>
      </c>
      <c r="C3593" s="1"/>
      <c r="D3593" s="1"/>
      <c r="E3593" s="1"/>
      <c r="F3593" s="1"/>
      <c r="G3593" s="1"/>
      <c r="H3593" s="1"/>
      <c r="I3593" s="1"/>
    </row>
    <row r="3594" ht="15.75" customHeight="1">
      <c r="A3594" s="1" t="s">
        <v>3704</v>
      </c>
      <c r="B3594" s="1" t="s">
        <v>3648</v>
      </c>
      <c r="C3594" s="1"/>
      <c r="D3594" s="1"/>
      <c r="E3594" s="1"/>
      <c r="F3594" s="1"/>
      <c r="G3594" s="1"/>
      <c r="H3594" s="1"/>
      <c r="I3594" s="1"/>
    </row>
    <row r="3595" ht="15.75" customHeight="1">
      <c r="A3595" s="1" t="s">
        <v>3705</v>
      </c>
      <c r="B3595" s="1" t="s">
        <v>3648</v>
      </c>
      <c r="C3595" s="1"/>
      <c r="D3595" s="1"/>
      <c r="E3595" s="1"/>
      <c r="F3595" s="1"/>
      <c r="G3595" s="1"/>
      <c r="H3595" s="1"/>
      <c r="I3595" s="1"/>
    </row>
    <row r="3596" ht="15.75" customHeight="1">
      <c r="A3596" s="1" t="s">
        <v>3706</v>
      </c>
      <c r="B3596" s="1" t="s">
        <v>3648</v>
      </c>
      <c r="C3596" s="1"/>
      <c r="D3596" s="1"/>
      <c r="E3596" s="1"/>
      <c r="F3596" s="1"/>
      <c r="G3596" s="1"/>
      <c r="H3596" s="1"/>
      <c r="I3596" s="1"/>
    </row>
    <row r="3597" ht="15.75" customHeight="1">
      <c r="A3597" s="1" t="s">
        <v>3707</v>
      </c>
      <c r="B3597" s="1" t="s">
        <v>3648</v>
      </c>
      <c r="C3597" s="1"/>
      <c r="D3597" s="1"/>
      <c r="E3597" s="1"/>
      <c r="F3597" s="1"/>
      <c r="G3597" s="1"/>
      <c r="H3597" s="1"/>
      <c r="I3597" s="1"/>
    </row>
    <row r="3598" ht="15.75" customHeight="1">
      <c r="A3598" s="1" t="s">
        <v>3708</v>
      </c>
      <c r="B3598" s="1" t="s">
        <v>3648</v>
      </c>
      <c r="C3598" s="1"/>
      <c r="D3598" s="1"/>
      <c r="E3598" s="1"/>
      <c r="F3598" s="1"/>
      <c r="G3598" s="1"/>
      <c r="H3598" s="1"/>
      <c r="I3598" s="1"/>
    </row>
    <row r="3599" ht="15.75" customHeight="1">
      <c r="A3599" s="1" t="s">
        <v>3709</v>
      </c>
      <c r="B3599" s="1" t="s">
        <v>3648</v>
      </c>
      <c r="C3599" s="1"/>
      <c r="D3599" s="1"/>
      <c r="E3599" s="1"/>
      <c r="F3599" s="1"/>
      <c r="G3599" s="1"/>
      <c r="H3599" s="1"/>
      <c r="I3599" s="1"/>
    </row>
    <row r="3600" ht="15.75" customHeight="1">
      <c r="A3600" s="1" t="s">
        <v>3710</v>
      </c>
      <c r="B3600" s="1" t="s">
        <v>3648</v>
      </c>
      <c r="C3600" s="1"/>
      <c r="D3600" s="1"/>
      <c r="E3600" s="1"/>
      <c r="F3600" s="1"/>
      <c r="G3600" s="1"/>
      <c r="H3600" s="1"/>
      <c r="I3600" s="1"/>
    </row>
    <row r="3601" ht="15.75" customHeight="1">
      <c r="A3601" s="1" t="s">
        <v>3711</v>
      </c>
      <c r="B3601" s="1" t="s">
        <v>3648</v>
      </c>
      <c r="C3601" s="1"/>
      <c r="D3601" s="1"/>
      <c r="E3601" s="1"/>
      <c r="F3601" s="1"/>
      <c r="G3601" s="1"/>
      <c r="H3601" s="1"/>
      <c r="I3601" s="1"/>
    </row>
    <row r="3602" ht="15.75" customHeight="1">
      <c r="A3602" s="1" t="s">
        <v>3712</v>
      </c>
      <c r="B3602" s="1" t="s">
        <v>3648</v>
      </c>
      <c r="C3602" s="1"/>
      <c r="D3602" s="1"/>
      <c r="E3602" s="1"/>
      <c r="F3602" s="1"/>
      <c r="G3602" s="1"/>
      <c r="H3602" s="1"/>
      <c r="I3602" s="1"/>
    </row>
    <row r="3603" ht="15.75" customHeight="1">
      <c r="A3603" s="1" t="s">
        <v>3713</v>
      </c>
      <c r="B3603" s="1" t="s">
        <v>3648</v>
      </c>
      <c r="C3603" s="1"/>
      <c r="D3603" s="1"/>
      <c r="E3603" s="1"/>
      <c r="F3603" s="1"/>
      <c r="G3603" s="1"/>
      <c r="H3603" s="1"/>
      <c r="I3603" s="1"/>
    </row>
    <row r="3604" ht="15.75" customHeight="1">
      <c r="A3604" s="1" t="s">
        <v>3714</v>
      </c>
      <c r="B3604" s="1" t="s">
        <v>3648</v>
      </c>
      <c r="C3604" s="1"/>
      <c r="D3604" s="1"/>
      <c r="E3604" s="1"/>
      <c r="F3604" s="1"/>
      <c r="G3604" s="1"/>
      <c r="H3604" s="1"/>
      <c r="I3604" s="1"/>
    </row>
    <row r="3605" ht="15.75" customHeight="1">
      <c r="A3605" s="1" t="s">
        <v>3715</v>
      </c>
      <c r="B3605" s="1" t="s">
        <v>3648</v>
      </c>
      <c r="C3605" s="1"/>
      <c r="D3605" s="1"/>
      <c r="E3605" s="1"/>
      <c r="F3605" s="1"/>
      <c r="G3605" s="1"/>
      <c r="H3605" s="1"/>
      <c r="I3605" s="1"/>
    </row>
    <row r="3606" ht="15.75" customHeight="1">
      <c r="A3606" s="1" t="s">
        <v>3716</v>
      </c>
      <c r="B3606" s="1" t="s">
        <v>3648</v>
      </c>
      <c r="C3606" s="1"/>
      <c r="D3606" s="1"/>
      <c r="E3606" s="1"/>
      <c r="F3606" s="1"/>
      <c r="G3606" s="1"/>
      <c r="H3606" s="1"/>
      <c r="I3606" s="1"/>
    </row>
    <row r="3607" ht="15.75" customHeight="1">
      <c r="A3607" s="1" t="s">
        <v>3717</v>
      </c>
      <c r="B3607" s="1" t="s">
        <v>3648</v>
      </c>
      <c r="C3607" s="1"/>
      <c r="D3607" s="1"/>
      <c r="E3607" s="1"/>
      <c r="F3607" s="1"/>
      <c r="G3607" s="1"/>
      <c r="H3607" s="1"/>
      <c r="I3607" s="1"/>
    </row>
    <row r="3608" ht="15.75" customHeight="1">
      <c r="A3608" s="1" t="s">
        <v>3718</v>
      </c>
      <c r="B3608" s="1" t="s">
        <v>3648</v>
      </c>
      <c r="C3608" s="1"/>
      <c r="D3608" s="1"/>
      <c r="E3608" s="1"/>
      <c r="F3608" s="1"/>
      <c r="G3608" s="1"/>
      <c r="H3608" s="1"/>
      <c r="I3608" s="1"/>
    </row>
    <row r="3609" ht="15.75" customHeight="1">
      <c r="A3609" s="1" t="s">
        <v>3719</v>
      </c>
      <c r="B3609" s="1" t="s">
        <v>3648</v>
      </c>
      <c r="C3609" s="1"/>
      <c r="D3609" s="1"/>
      <c r="E3609" s="1"/>
      <c r="F3609" s="1"/>
      <c r="G3609" s="1"/>
      <c r="H3609" s="1"/>
      <c r="I3609" s="1"/>
    </row>
    <row r="3610" ht="15.75" customHeight="1">
      <c r="A3610" s="1" t="s">
        <v>3720</v>
      </c>
      <c r="B3610" s="1" t="s">
        <v>3648</v>
      </c>
      <c r="C3610" s="1"/>
      <c r="D3610" s="1"/>
      <c r="E3610" s="1"/>
      <c r="F3610" s="1"/>
      <c r="G3610" s="1"/>
      <c r="H3610" s="1"/>
      <c r="I3610" s="1"/>
    </row>
    <row r="3611" ht="15.75" customHeight="1">
      <c r="A3611" s="1" t="s">
        <v>3721</v>
      </c>
      <c r="B3611" s="1" t="s">
        <v>3648</v>
      </c>
      <c r="C3611" s="1"/>
      <c r="D3611" s="1"/>
      <c r="E3611" s="1"/>
      <c r="F3611" s="1"/>
      <c r="G3611" s="1"/>
      <c r="H3611" s="1"/>
      <c r="I3611" s="1"/>
    </row>
    <row r="3612" ht="15.75" customHeight="1">
      <c r="A3612" s="1" t="s">
        <v>3722</v>
      </c>
      <c r="B3612" s="1" t="s">
        <v>3648</v>
      </c>
      <c r="C3612" s="1"/>
      <c r="D3612" s="1"/>
      <c r="E3612" s="1"/>
      <c r="F3612" s="1"/>
      <c r="G3612" s="1"/>
      <c r="H3612" s="1"/>
      <c r="I3612" s="1"/>
    </row>
    <row r="3613" ht="15.75" customHeight="1">
      <c r="A3613" s="1" t="s">
        <v>3723</v>
      </c>
      <c r="B3613" s="1" t="s">
        <v>3648</v>
      </c>
      <c r="C3613" s="1"/>
      <c r="D3613" s="1"/>
      <c r="E3613" s="1"/>
      <c r="F3613" s="1"/>
      <c r="G3613" s="1"/>
      <c r="H3613" s="1"/>
      <c r="I3613" s="1"/>
    </row>
    <row r="3614" ht="15.75" customHeight="1">
      <c r="A3614" s="1" t="s">
        <v>3724</v>
      </c>
      <c r="B3614" s="1" t="s">
        <v>3648</v>
      </c>
      <c r="C3614" s="1"/>
      <c r="D3614" s="1"/>
      <c r="E3614" s="1"/>
      <c r="F3614" s="1"/>
      <c r="G3614" s="1"/>
      <c r="H3614" s="1"/>
      <c r="I3614" s="1"/>
    </row>
    <row r="3615" ht="15.75" customHeight="1">
      <c r="A3615" s="1" t="s">
        <v>3725</v>
      </c>
      <c r="B3615" s="1" t="s">
        <v>3648</v>
      </c>
      <c r="C3615" s="1"/>
      <c r="D3615" s="1"/>
      <c r="E3615" s="1"/>
      <c r="F3615" s="1"/>
      <c r="G3615" s="1"/>
      <c r="H3615" s="1"/>
      <c r="I3615" s="1"/>
    </row>
    <row r="3616" ht="15.75" customHeight="1">
      <c r="A3616" s="1" t="s">
        <v>3726</v>
      </c>
      <c r="B3616" s="1" t="s">
        <v>3648</v>
      </c>
      <c r="C3616" s="1"/>
      <c r="D3616" s="1"/>
      <c r="E3616" s="1"/>
      <c r="F3616" s="1"/>
      <c r="G3616" s="1"/>
      <c r="H3616" s="1"/>
      <c r="I3616" s="1"/>
    </row>
    <row r="3617" ht="15.75" customHeight="1">
      <c r="A3617" s="1" t="s">
        <v>3727</v>
      </c>
      <c r="B3617" s="1" t="s">
        <v>3648</v>
      </c>
      <c r="C3617" s="1"/>
      <c r="D3617" s="1"/>
      <c r="E3617" s="1"/>
      <c r="F3617" s="1"/>
      <c r="G3617" s="1"/>
      <c r="H3617" s="1"/>
      <c r="I3617" s="1"/>
    </row>
    <row r="3618" ht="15.75" customHeight="1">
      <c r="A3618" s="1" t="s">
        <v>3728</v>
      </c>
      <c r="B3618" s="1" t="s">
        <v>3648</v>
      </c>
      <c r="C3618" s="1"/>
      <c r="D3618" s="1"/>
      <c r="E3618" s="1"/>
      <c r="F3618" s="1"/>
      <c r="G3618" s="1"/>
      <c r="H3618" s="1"/>
      <c r="I3618" s="1"/>
    </row>
    <row r="3619" ht="15.75" customHeight="1">
      <c r="A3619" s="1" t="s">
        <v>3729</v>
      </c>
      <c r="B3619" s="1" t="s">
        <v>3648</v>
      </c>
      <c r="C3619" s="1"/>
      <c r="D3619" s="1"/>
      <c r="E3619" s="1"/>
      <c r="F3619" s="1"/>
      <c r="G3619" s="1"/>
      <c r="H3619" s="1"/>
      <c r="I3619" s="1"/>
    </row>
    <row r="3620" ht="15.75" customHeight="1">
      <c r="A3620" s="1" t="s">
        <v>3730</v>
      </c>
      <c r="B3620" s="1" t="s">
        <v>3648</v>
      </c>
      <c r="C3620" s="1"/>
      <c r="D3620" s="1"/>
      <c r="E3620" s="1"/>
      <c r="F3620" s="1"/>
      <c r="G3620" s="1"/>
      <c r="H3620" s="1"/>
      <c r="I3620" s="1"/>
    </row>
    <row r="3621" ht="15.75" customHeight="1">
      <c r="A3621" s="1" t="s">
        <v>3731</v>
      </c>
      <c r="B3621" s="1" t="s">
        <v>3648</v>
      </c>
      <c r="C3621" s="1"/>
      <c r="D3621" s="1"/>
      <c r="E3621" s="1"/>
      <c r="F3621" s="1"/>
      <c r="G3621" s="1"/>
      <c r="H3621" s="1"/>
      <c r="I3621" s="1"/>
    </row>
    <row r="3622" ht="15.75" customHeight="1">
      <c r="A3622" s="1" t="s">
        <v>3732</v>
      </c>
      <c r="B3622" s="1" t="s">
        <v>3648</v>
      </c>
      <c r="C3622" s="1"/>
      <c r="D3622" s="1"/>
      <c r="E3622" s="1"/>
      <c r="F3622" s="1"/>
      <c r="G3622" s="1"/>
      <c r="H3622" s="1"/>
      <c r="I3622" s="1"/>
    </row>
    <row r="3623" ht="15.75" customHeight="1">
      <c r="A3623" s="1" t="s">
        <v>3733</v>
      </c>
      <c r="B3623" s="1" t="s">
        <v>3648</v>
      </c>
      <c r="C3623" s="1"/>
      <c r="D3623" s="1"/>
      <c r="E3623" s="1"/>
      <c r="F3623" s="1"/>
      <c r="G3623" s="1"/>
      <c r="H3623" s="1"/>
      <c r="I3623" s="1"/>
    </row>
    <row r="3624" ht="15.75" customHeight="1">
      <c r="A3624" s="1" t="s">
        <v>3734</v>
      </c>
      <c r="B3624" s="1" t="s">
        <v>3648</v>
      </c>
      <c r="C3624" s="1"/>
      <c r="D3624" s="1"/>
      <c r="E3624" s="1"/>
      <c r="F3624" s="1"/>
      <c r="G3624" s="1"/>
      <c r="H3624" s="1"/>
      <c r="I3624" s="1"/>
    </row>
    <row r="3625" ht="15.75" customHeight="1">
      <c r="A3625" s="1" t="s">
        <v>3735</v>
      </c>
      <c r="B3625" s="1" t="s">
        <v>3648</v>
      </c>
      <c r="C3625" s="1"/>
      <c r="D3625" s="1"/>
      <c r="E3625" s="1"/>
      <c r="F3625" s="1"/>
      <c r="G3625" s="1"/>
      <c r="H3625" s="1"/>
      <c r="I3625" s="1"/>
    </row>
    <row r="3626" ht="15.75" customHeight="1">
      <c r="A3626" s="1" t="s">
        <v>3736</v>
      </c>
      <c r="B3626" s="1" t="s">
        <v>3648</v>
      </c>
      <c r="C3626" s="1"/>
      <c r="D3626" s="1"/>
      <c r="E3626" s="1"/>
      <c r="F3626" s="1"/>
      <c r="G3626" s="1"/>
      <c r="H3626" s="1"/>
      <c r="I3626" s="1"/>
    </row>
    <row r="3627" ht="15.75" customHeight="1">
      <c r="A3627" s="1" t="s">
        <v>3737</v>
      </c>
      <c r="B3627" s="1" t="s">
        <v>3648</v>
      </c>
      <c r="C3627" s="1"/>
      <c r="D3627" s="1"/>
      <c r="E3627" s="1"/>
      <c r="F3627" s="1"/>
      <c r="G3627" s="1"/>
      <c r="H3627" s="1"/>
      <c r="I3627" s="1"/>
    </row>
    <row r="3628" ht="15.75" customHeight="1">
      <c r="A3628" s="1" t="s">
        <v>3738</v>
      </c>
      <c r="B3628" s="1" t="s">
        <v>3648</v>
      </c>
      <c r="C3628" s="1"/>
      <c r="D3628" s="1"/>
      <c r="E3628" s="1"/>
      <c r="F3628" s="1"/>
      <c r="G3628" s="1"/>
      <c r="H3628" s="1"/>
      <c r="I3628" s="1"/>
    </row>
    <row r="3629" ht="15.75" customHeight="1">
      <c r="A3629" s="1" t="s">
        <v>3739</v>
      </c>
      <c r="B3629" s="1" t="s">
        <v>3648</v>
      </c>
      <c r="C3629" s="1"/>
      <c r="D3629" s="1"/>
      <c r="E3629" s="1"/>
      <c r="F3629" s="1"/>
      <c r="G3629" s="1"/>
      <c r="H3629" s="1"/>
      <c r="I3629" s="1"/>
    </row>
    <row r="3630" ht="15.75" customHeight="1">
      <c r="A3630" s="1" t="s">
        <v>3740</v>
      </c>
      <c r="B3630" s="1" t="s">
        <v>3648</v>
      </c>
      <c r="C3630" s="1"/>
      <c r="D3630" s="1"/>
      <c r="E3630" s="1"/>
      <c r="F3630" s="1"/>
      <c r="G3630" s="1"/>
      <c r="H3630" s="1"/>
      <c r="I3630" s="1"/>
    </row>
    <row r="3631" ht="15.75" customHeight="1">
      <c r="A3631" s="1" t="s">
        <v>3741</v>
      </c>
      <c r="B3631" s="1" t="s">
        <v>3648</v>
      </c>
      <c r="C3631" s="1"/>
      <c r="D3631" s="1"/>
      <c r="E3631" s="1"/>
      <c r="F3631" s="1"/>
      <c r="G3631" s="1"/>
      <c r="H3631" s="1"/>
      <c r="I3631" s="1"/>
    </row>
    <row r="3632" ht="15.75" customHeight="1">
      <c r="A3632" s="1" t="s">
        <v>3742</v>
      </c>
      <c r="B3632" s="1" t="s">
        <v>3648</v>
      </c>
      <c r="C3632" s="1"/>
      <c r="D3632" s="1"/>
      <c r="E3632" s="1"/>
      <c r="F3632" s="1"/>
      <c r="G3632" s="1"/>
      <c r="H3632" s="1"/>
      <c r="I3632" s="1"/>
    </row>
    <row r="3633" ht="15.75" customHeight="1">
      <c r="A3633" s="1" t="s">
        <v>3743</v>
      </c>
      <c r="B3633" s="1" t="s">
        <v>3648</v>
      </c>
      <c r="C3633" s="1"/>
      <c r="D3633" s="1"/>
      <c r="E3633" s="1"/>
      <c r="F3633" s="1"/>
      <c r="G3633" s="1"/>
      <c r="H3633" s="1"/>
      <c r="I3633" s="1"/>
    </row>
    <row r="3634" ht="15.75" customHeight="1">
      <c r="A3634" s="1" t="s">
        <v>3744</v>
      </c>
      <c r="B3634" s="1" t="s">
        <v>3648</v>
      </c>
      <c r="C3634" s="1"/>
      <c r="D3634" s="1"/>
      <c r="E3634" s="1"/>
      <c r="F3634" s="1"/>
      <c r="G3634" s="1"/>
      <c r="H3634" s="1"/>
      <c r="I3634" s="1"/>
    </row>
    <row r="3635" ht="15.75" customHeight="1">
      <c r="A3635" s="1" t="s">
        <v>3745</v>
      </c>
      <c r="B3635" s="1" t="s">
        <v>3648</v>
      </c>
      <c r="C3635" s="1"/>
      <c r="D3635" s="1"/>
      <c r="E3635" s="1"/>
      <c r="F3635" s="1"/>
      <c r="G3635" s="1"/>
      <c r="H3635" s="1"/>
      <c r="I3635" s="1"/>
    </row>
    <row r="3636" ht="15.75" customHeight="1">
      <c r="A3636" s="1" t="s">
        <v>3746</v>
      </c>
      <c r="B3636" s="1" t="s">
        <v>3648</v>
      </c>
      <c r="C3636" s="1"/>
      <c r="D3636" s="1"/>
      <c r="E3636" s="1"/>
      <c r="F3636" s="1"/>
      <c r="G3636" s="1"/>
      <c r="H3636" s="1"/>
      <c r="I3636" s="1"/>
    </row>
    <row r="3637" ht="15.75" customHeight="1">
      <c r="A3637" s="1" t="s">
        <v>3747</v>
      </c>
      <c r="B3637" s="1" t="s">
        <v>3648</v>
      </c>
      <c r="C3637" s="1"/>
      <c r="D3637" s="1"/>
      <c r="E3637" s="1"/>
      <c r="F3637" s="1"/>
      <c r="G3637" s="1"/>
      <c r="H3637" s="1"/>
      <c r="I3637" s="1"/>
    </row>
    <row r="3638" ht="15.75" customHeight="1">
      <c r="A3638" s="1" t="s">
        <v>3748</v>
      </c>
      <c r="B3638" s="1" t="s">
        <v>3648</v>
      </c>
      <c r="C3638" s="1"/>
      <c r="D3638" s="1"/>
      <c r="E3638" s="1"/>
      <c r="F3638" s="1"/>
      <c r="G3638" s="1"/>
      <c r="H3638" s="1"/>
      <c r="I3638" s="1"/>
    </row>
    <row r="3639" ht="15.75" customHeight="1">
      <c r="A3639" s="1" t="s">
        <v>3749</v>
      </c>
      <c r="B3639" s="1" t="s">
        <v>3648</v>
      </c>
      <c r="C3639" s="1"/>
      <c r="D3639" s="1"/>
      <c r="E3639" s="1"/>
      <c r="F3639" s="1"/>
      <c r="G3639" s="1"/>
      <c r="H3639" s="1"/>
      <c r="I3639" s="1"/>
    </row>
    <row r="3640" ht="15.75" customHeight="1">
      <c r="A3640" s="1" t="s">
        <v>3750</v>
      </c>
      <c r="B3640" s="1" t="s">
        <v>3648</v>
      </c>
      <c r="C3640" s="1"/>
      <c r="D3640" s="1"/>
      <c r="E3640" s="1"/>
      <c r="F3640" s="1"/>
      <c r="G3640" s="1"/>
      <c r="H3640" s="1"/>
      <c r="I3640" s="1"/>
    </row>
    <row r="3641" ht="15.75" customHeight="1">
      <c r="A3641" s="1" t="s">
        <v>3751</v>
      </c>
      <c r="B3641" s="1" t="s">
        <v>3648</v>
      </c>
      <c r="C3641" s="1"/>
      <c r="D3641" s="1"/>
      <c r="E3641" s="1"/>
      <c r="F3641" s="1"/>
      <c r="G3641" s="1"/>
      <c r="H3641" s="1"/>
      <c r="I3641" s="1"/>
    </row>
    <row r="3642" ht="15.75" customHeight="1">
      <c r="A3642" s="1" t="s">
        <v>3752</v>
      </c>
      <c r="B3642" s="1" t="s">
        <v>3648</v>
      </c>
      <c r="C3642" s="1"/>
      <c r="D3642" s="1"/>
      <c r="E3642" s="1"/>
      <c r="F3642" s="1"/>
      <c r="G3642" s="1"/>
      <c r="H3642" s="1"/>
      <c r="I3642" s="1"/>
    </row>
    <row r="3643" ht="15.75" customHeight="1">
      <c r="A3643" s="1" t="s">
        <v>3753</v>
      </c>
      <c r="B3643" s="1" t="s">
        <v>3648</v>
      </c>
      <c r="C3643" s="1"/>
      <c r="D3643" s="1"/>
      <c r="E3643" s="1"/>
      <c r="F3643" s="1"/>
      <c r="G3643" s="1"/>
      <c r="H3643" s="1"/>
      <c r="I3643" s="1"/>
    </row>
    <row r="3644" ht="15.75" customHeight="1">
      <c r="A3644" s="1" t="s">
        <v>3754</v>
      </c>
      <c r="B3644" s="1" t="s">
        <v>3648</v>
      </c>
      <c r="C3644" s="1"/>
      <c r="D3644" s="1"/>
      <c r="E3644" s="1"/>
      <c r="F3644" s="1"/>
      <c r="G3644" s="1"/>
      <c r="H3644" s="1"/>
      <c r="I3644" s="1"/>
    </row>
    <row r="3645" ht="15.75" customHeight="1">
      <c r="A3645" s="1" t="s">
        <v>3755</v>
      </c>
      <c r="B3645" s="1" t="s">
        <v>3648</v>
      </c>
      <c r="C3645" s="1"/>
      <c r="D3645" s="1"/>
      <c r="E3645" s="1"/>
      <c r="F3645" s="1"/>
      <c r="G3645" s="1"/>
      <c r="H3645" s="1"/>
      <c r="I3645" s="1"/>
    </row>
    <row r="3646" ht="15.75" customHeight="1">
      <c r="A3646" s="1" t="s">
        <v>3756</v>
      </c>
      <c r="B3646" s="1" t="s">
        <v>3648</v>
      </c>
      <c r="C3646" s="1"/>
      <c r="D3646" s="1"/>
      <c r="E3646" s="1"/>
      <c r="F3646" s="1"/>
      <c r="G3646" s="1"/>
      <c r="H3646" s="1"/>
      <c r="I3646" s="1"/>
    </row>
    <row r="3647" ht="15.75" customHeight="1">
      <c r="A3647" s="1" t="s">
        <v>3757</v>
      </c>
      <c r="B3647" s="1" t="s">
        <v>3648</v>
      </c>
      <c r="C3647" s="1"/>
      <c r="D3647" s="1"/>
      <c r="E3647" s="1"/>
      <c r="F3647" s="1"/>
      <c r="G3647" s="1"/>
      <c r="H3647" s="1"/>
      <c r="I3647" s="1"/>
    </row>
    <row r="3648" ht="15.75" customHeight="1">
      <c r="A3648" s="1" t="s">
        <v>3758</v>
      </c>
      <c r="B3648" s="1" t="s">
        <v>3648</v>
      </c>
      <c r="C3648" s="1"/>
      <c r="D3648" s="1"/>
      <c r="E3648" s="1"/>
      <c r="F3648" s="1"/>
      <c r="G3648" s="1"/>
      <c r="H3648" s="1"/>
      <c r="I3648" s="1"/>
    </row>
    <row r="3649" ht="15.75" customHeight="1">
      <c r="A3649" s="1" t="s">
        <v>3759</v>
      </c>
      <c r="B3649" s="1" t="s">
        <v>3648</v>
      </c>
      <c r="C3649" s="1"/>
      <c r="D3649" s="1"/>
      <c r="E3649" s="1"/>
      <c r="F3649" s="1"/>
      <c r="G3649" s="1"/>
      <c r="H3649" s="1"/>
      <c r="I3649" s="1"/>
    </row>
    <row r="3650" ht="15.75" customHeight="1">
      <c r="A3650" s="1" t="s">
        <v>3760</v>
      </c>
      <c r="B3650" s="1" t="s">
        <v>3648</v>
      </c>
      <c r="C3650" s="1"/>
      <c r="D3650" s="1"/>
      <c r="E3650" s="1"/>
      <c r="F3650" s="1"/>
      <c r="G3650" s="1"/>
      <c r="H3650" s="1"/>
      <c r="I3650" s="1"/>
    </row>
    <row r="3651" ht="15.75" customHeight="1">
      <c r="A3651" s="1" t="s">
        <v>3761</v>
      </c>
      <c r="B3651" s="1" t="s">
        <v>3648</v>
      </c>
      <c r="C3651" s="1"/>
      <c r="D3651" s="1"/>
      <c r="E3651" s="1"/>
      <c r="F3651" s="1"/>
      <c r="G3651" s="1"/>
      <c r="H3651" s="1"/>
      <c r="I3651" s="1"/>
    </row>
    <row r="3652" ht="15.75" customHeight="1">
      <c r="A3652" s="1" t="s">
        <v>3762</v>
      </c>
      <c r="B3652" s="1" t="s">
        <v>3648</v>
      </c>
      <c r="C3652" s="1"/>
      <c r="D3652" s="1"/>
      <c r="E3652" s="1"/>
      <c r="F3652" s="1"/>
      <c r="G3652" s="1"/>
      <c r="H3652" s="1"/>
      <c r="I3652" s="1"/>
    </row>
    <row r="3653" ht="15.75" customHeight="1">
      <c r="A3653" s="1" t="s">
        <v>3763</v>
      </c>
      <c r="B3653" s="1" t="s">
        <v>3648</v>
      </c>
      <c r="C3653" s="1"/>
      <c r="D3653" s="1"/>
      <c r="E3653" s="1"/>
      <c r="F3653" s="1"/>
      <c r="G3653" s="1"/>
      <c r="H3653" s="1"/>
      <c r="I3653" s="1"/>
    </row>
    <row r="3654" ht="15.75" customHeight="1">
      <c r="A3654" s="1" t="s">
        <v>3764</v>
      </c>
      <c r="B3654" s="1" t="s">
        <v>3648</v>
      </c>
      <c r="C3654" s="1"/>
      <c r="D3654" s="1"/>
      <c r="E3654" s="1"/>
      <c r="F3654" s="1"/>
      <c r="G3654" s="1"/>
      <c r="H3654" s="1"/>
      <c r="I3654" s="1"/>
    </row>
    <row r="3655" ht="15.75" customHeight="1">
      <c r="A3655" s="1" t="s">
        <v>3765</v>
      </c>
      <c r="B3655" s="1" t="s">
        <v>3648</v>
      </c>
      <c r="C3655" s="1"/>
      <c r="D3655" s="1"/>
      <c r="E3655" s="1"/>
      <c r="F3655" s="1"/>
      <c r="G3655" s="1"/>
      <c r="H3655" s="1"/>
      <c r="I3655" s="1"/>
    </row>
    <row r="3656" ht="15.75" customHeight="1">
      <c r="A3656" s="1" t="s">
        <v>3766</v>
      </c>
      <c r="B3656" s="1" t="s">
        <v>3648</v>
      </c>
      <c r="C3656" s="1"/>
      <c r="D3656" s="1"/>
      <c r="E3656" s="1"/>
      <c r="F3656" s="1"/>
      <c r="G3656" s="1"/>
      <c r="H3656" s="1"/>
      <c r="I3656" s="1"/>
    </row>
    <row r="3657" ht="15.75" customHeight="1">
      <c r="A3657" s="1" t="s">
        <v>3767</v>
      </c>
      <c r="B3657" s="1" t="s">
        <v>3648</v>
      </c>
      <c r="C3657" s="1"/>
      <c r="D3657" s="1"/>
      <c r="E3657" s="1"/>
      <c r="F3657" s="1"/>
      <c r="G3657" s="1"/>
      <c r="H3657" s="1"/>
      <c r="I3657" s="1"/>
    </row>
    <row r="3658" ht="15.75" customHeight="1">
      <c r="A3658" s="1" t="s">
        <v>3768</v>
      </c>
      <c r="B3658" s="1" t="s">
        <v>3648</v>
      </c>
      <c r="C3658" s="1"/>
      <c r="D3658" s="1"/>
      <c r="E3658" s="1"/>
      <c r="F3658" s="1"/>
      <c r="G3658" s="1"/>
      <c r="H3658" s="1"/>
      <c r="I3658" s="1"/>
    </row>
    <row r="3659" ht="15.75" customHeight="1">
      <c r="A3659" s="1" t="s">
        <v>3769</v>
      </c>
      <c r="B3659" s="1" t="s">
        <v>3648</v>
      </c>
      <c r="C3659" s="1"/>
      <c r="D3659" s="1"/>
      <c r="E3659" s="1"/>
      <c r="F3659" s="1"/>
      <c r="G3659" s="1"/>
      <c r="H3659" s="1"/>
      <c r="I3659" s="1"/>
    </row>
    <row r="3660" ht="15.75" customHeight="1">
      <c r="A3660" s="1" t="s">
        <v>3770</v>
      </c>
      <c r="B3660" s="1" t="s">
        <v>3648</v>
      </c>
      <c r="C3660" s="1"/>
      <c r="D3660" s="1"/>
      <c r="E3660" s="1"/>
      <c r="F3660" s="1"/>
      <c r="G3660" s="1"/>
      <c r="H3660" s="1"/>
      <c r="I3660" s="1"/>
    </row>
    <row r="3661" ht="15.75" customHeight="1">
      <c r="A3661" s="1" t="s">
        <v>3771</v>
      </c>
      <c r="B3661" s="1" t="s">
        <v>3648</v>
      </c>
      <c r="C3661" s="1"/>
      <c r="D3661" s="1"/>
      <c r="E3661" s="1"/>
      <c r="F3661" s="1"/>
      <c r="G3661" s="1"/>
      <c r="H3661" s="1"/>
      <c r="I3661" s="1"/>
    </row>
    <row r="3662" ht="15.75" customHeight="1">
      <c r="A3662" s="1" t="s">
        <v>3772</v>
      </c>
      <c r="B3662" s="1" t="s">
        <v>3648</v>
      </c>
      <c r="C3662" s="1"/>
      <c r="D3662" s="1"/>
      <c r="E3662" s="1"/>
      <c r="F3662" s="1"/>
      <c r="G3662" s="1"/>
      <c r="H3662" s="1"/>
      <c r="I3662" s="1"/>
    </row>
    <row r="3663" ht="15.75" customHeight="1">
      <c r="A3663" s="1" t="s">
        <v>3773</v>
      </c>
      <c r="B3663" s="1" t="s">
        <v>3648</v>
      </c>
      <c r="C3663" s="1"/>
      <c r="D3663" s="1"/>
      <c r="E3663" s="1"/>
      <c r="F3663" s="1"/>
      <c r="G3663" s="1"/>
      <c r="H3663" s="1"/>
      <c r="I3663" s="1"/>
    </row>
    <row r="3664" ht="15.75" customHeight="1">
      <c r="A3664" s="1" t="s">
        <v>3774</v>
      </c>
      <c r="B3664" s="1" t="s">
        <v>3775</v>
      </c>
      <c r="C3664" s="1"/>
      <c r="D3664" s="1"/>
      <c r="E3664" s="1"/>
      <c r="F3664" s="1"/>
      <c r="G3664" s="1"/>
      <c r="H3664" s="1"/>
      <c r="I3664" s="1"/>
    </row>
    <row r="3665" ht="15.75" customHeight="1">
      <c r="A3665" s="1" t="s">
        <v>3776</v>
      </c>
      <c r="B3665" s="1" t="s">
        <v>3775</v>
      </c>
      <c r="C3665" s="1"/>
      <c r="D3665" s="1"/>
      <c r="E3665" s="1"/>
      <c r="F3665" s="1"/>
      <c r="G3665" s="1"/>
      <c r="H3665" s="1"/>
      <c r="I3665" s="1"/>
    </row>
    <row r="3666" ht="15.75" customHeight="1">
      <c r="A3666" s="1" t="s">
        <v>3777</v>
      </c>
      <c r="B3666" s="1" t="s">
        <v>3775</v>
      </c>
      <c r="C3666" s="1"/>
      <c r="D3666" s="1"/>
      <c r="E3666" s="1"/>
      <c r="F3666" s="1"/>
      <c r="G3666" s="1"/>
      <c r="H3666" s="1"/>
      <c r="I3666" s="1"/>
    </row>
    <row r="3667" ht="15.75" customHeight="1">
      <c r="A3667" s="1" t="s">
        <v>3778</v>
      </c>
      <c r="B3667" s="1" t="s">
        <v>3775</v>
      </c>
      <c r="C3667" s="1"/>
      <c r="D3667" s="1"/>
      <c r="E3667" s="1"/>
      <c r="F3667" s="1"/>
      <c r="G3667" s="1"/>
      <c r="H3667" s="1"/>
      <c r="I3667" s="1"/>
    </row>
    <row r="3668" ht="15.75" customHeight="1">
      <c r="A3668" s="1" t="s">
        <v>3779</v>
      </c>
      <c r="B3668" s="1" t="s">
        <v>3775</v>
      </c>
      <c r="C3668" s="1"/>
      <c r="D3668" s="1"/>
      <c r="E3668" s="1"/>
      <c r="F3668" s="1"/>
      <c r="G3668" s="1"/>
      <c r="H3668" s="1"/>
      <c r="I3668" s="1"/>
    </row>
    <row r="3669" ht="15.75" customHeight="1">
      <c r="A3669" s="1" t="s">
        <v>3780</v>
      </c>
      <c r="B3669" s="1" t="s">
        <v>3775</v>
      </c>
      <c r="C3669" s="1"/>
      <c r="D3669" s="1"/>
      <c r="E3669" s="1"/>
      <c r="F3669" s="1"/>
      <c r="G3669" s="1"/>
      <c r="H3669" s="1"/>
      <c r="I3669" s="1"/>
    </row>
    <row r="3670" ht="15.75" customHeight="1">
      <c r="A3670" s="1" t="s">
        <v>3781</v>
      </c>
      <c r="B3670" s="1" t="s">
        <v>3775</v>
      </c>
      <c r="C3670" s="1"/>
      <c r="D3670" s="1"/>
      <c r="E3670" s="1"/>
      <c r="F3670" s="1"/>
      <c r="G3670" s="1"/>
      <c r="H3670" s="1"/>
      <c r="I3670" s="1"/>
    </row>
    <row r="3671" ht="15.75" customHeight="1">
      <c r="A3671" s="1" t="s">
        <v>3782</v>
      </c>
      <c r="B3671" s="1" t="s">
        <v>3775</v>
      </c>
      <c r="C3671" s="1"/>
      <c r="D3671" s="1"/>
      <c r="E3671" s="1"/>
      <c r="F3671" s="1"/>
      <c r="G3671" s="1"/>
      <c r="H3671" s="1"/>
      <c r="I3671" s="1"/>
    </row>
    <row r="3672" ht="15.75" customHeight="1">
      <c r="A3672" s="1" t="s">
        <v>3783</v>
      </c>
      <c r="B3672" s="1" t="s">
        <v>3775</v>
      </c>
      <c r="C3672" s="1"/>
      <c r="D3672" s="1"/>
      <c r="E3672" s="1"/>
      <c r="F3672" s="1"/>
      <c r="G3672" s="1"/>
      <c r="H3672" s="1"/>
      <c r="I3672" s="1"/>
    </row>
    <row r="3673" ht="15.75" customHeight="1">
      <c r="A3673" s="1" t="s">
        <v>3784</v>
      </c>
      <c r="B3673" s="1" t="s">
        <v>3775</v>
      </c>
      <c r="C3673" s="1"/>
      <c r="D3673" s="1"/>
      <c r="E3673" s="1"/>
      <c r="F3673" s="1"/>
      <c r="G3673" s="1"/>
      <c r="H3673" s="1"/>
      <c r="I3673" s="1"/>
    </row>
    <row r="3674" ht="15.75" customHeight="1">
      <c r="A3674" s="1" t="s">
        <v>3785</v>
      </c>
      <c r="B3674" s="1" t="s">
        <v>3786</v>
      </c>
      <c r="C3674" s="1"/>
      <c r="D3674" s="1"/>
      <c r="E3674" s="1"/>
      <c r="F3674" s="1"/>
      <c r="G3674" s="1"/>
      <c r="H3674" s="1"/>
      <c r="I3674" s="1"/>
    </row>
    <row r="3675" ht="15.75" customHeight="1">
      <c r="A3675" s="1" t="s">
        <v>3787</v>
      </c>
      <c r="B3675" s="1" t="s">
        <v>3786</v>
      </c>
      <c r="C3675" s="1"/>
      <c r="D3675" s="1"/>
      <c r="E3675" s="1"/>
      <c r="F3675" s="1"/>
      <c r="G3675" s="1"/>
      <c r="H3675" s="1"/>
      <c r="I3675" s="1"/>
    </row>
    <row r="3676" ht="15.75" customHeight="1">
      <c r="A3676" s="1" t="s">
        <v>3788</v>
      </c>
      <c r="B3676" s="1" t="s">
        <v>3786</v>
      </c>
      <c r="C3676" s="1"/>
      <c r="D3676" s="1"/>
      <c r="E3676" s="1"/>
      <c r="F3676" s="1"/>
      <c r="G3676" s="1"/>
      <c r="H3676" s="1"/>
      <c r="I3676" s="1"/>
    </row>
    <row r="3677" ht="15.75" customHeight="1">
      <c r="A3677" s="1" t="s">
        <v>3789</v>
      </c>
      <c r="B3677" s="1" t="s">
        <v>3786</v>
      </c>
      <c r="C3677" s="1"/>
      <c r="D3677" s="1"/>
      <c r="E3677" s="1"/>
      <c r="F3677" s="1"/>
      <c r="G3677" s="1"/>
      <c r="H3677" s="1"/>
      <c r="I3677" s="1"/>
    </row>
    <row r="3678" ht="15.75" customHeight="1">
      <c r="A3678" s="1" t="s">
        <v>3790</v>
      </c>
      <c r="B3678" s="1" t="s">
        <v>3786</v>
      </c>
      <c r="C3678" s="1"/>
      <c r="D3678" s="1"/>
      <c r="E3678" s="1"/>
      <c r="F3678" s="1"/>
      <c r="G3678" s="1"/>
      <c r="H3678" s="1"/>
      <c r="I3678" s="1"/>
    </row>
    <row r="3679" ht="15.75" customHeight="1">
      <c r="A3679" s="1" t="s">
        <v>3791</v>
      </c>
      <c r="B3679" s="1" t="s">
        <v>3786</v>
      </c>
      <c r="C3679" s="1"/>
      <c r="D3679" s="1"/>
      <c r="E3679" s="1"/>
      <c r="F3679" s="1"/>
      <c r="G3679" s="1"/>
      <c r="H3679" s="1"/>
      <c r="I3679" s="1"/>
    </row>
    <row r="3680" ht="15.75" customHeight="1">
      <c r="A3680" s="1" t="s">
        <v>3792</v>
      </c>
      <c r="B3680" s="1" t="s">
        <v>3786</v>
      </c>
      <c r="C3680" s="1"/>
      <c r="D3680" s="1"/>
      <c r="E3680" s="1"/>
      <c r="F3680" s="1"/>
      <c r="G3680" s="1"/>
      <c r="H3680" s="1"/>
      <c r="I3680" s="1"/>
    </row>
    <row r="3681" ht="15.75" customHeight="1">
      <c r="A3681" s="1" t="s">
        <v>3793</v>
      </c>
      <c r="B3681" s="1" t="s">
        <v>3786</v>
      </c>
      <c r="C3681" s="1"/>
      <c r="D3681" s="1"/>
      <c r="E3681" s="1"/>
      <c r="F3681" s="1"/>
      <c r="G3681" s="1"/>
      <c r="H3681" s="1"/>
      <c r="I3681" s="1"/>
    </row>
    <row r="3682" ht="15.75" customHeight="1">
      <c r="A3682" s="1" t="s">
        <v>3794</v>
      </c>
      <c r="B3682" s="1" t="s">
        <v>3786</v>
      </c>
      <c r="C3682" s="1"/>
      <c r="D3682" s="1"/>
      <c r="E3682" s="1"/>
      <c r="F3682" s="1"/>
      <c r="G3682" s="1"/>
      <c r="H3682" s="1"/>
      <c r="I3682" s="1"/>
    </row>
    <row r="3683" ht="15.75" customHeight="1">
      <c r="A3683" s="1" t="s">
        <v>3795</v>
      </c>
      <c r="B3683" s="1" t="s">
        <v>3786</v>
      </c>
      <c r="C3683" s="1"/>
      <c r="D3683" s="1"/>
      <c r="E3683" s="1"/>
      <c r="F3683" s="1"/>
      <c r="G3683" s="1"/>
      <c r="H3683" s="1"/>
      <c r="I3683" s="1"/>
    </row>
    <row r="3684" ht="15.75" customHeight="1">
      <c r="A3684" s="1" t="s">
        <v>3796</v>
      </c>
      <c r="B3684" s="1" t="s">
        <v>3786</v>
      </c>
      <c r="C3684" s="1"/>
      <c r="D3684" s="1"/>
      <c r="E3684" s="1"/>
      <c r="F3684" s="1"/>
      <c r="G3684" s="1"/>
      <c r="H3684" s="1"/>
      <c r="I3684" s="1"/>
    </row>
    <row r="3685" ht="15.75" customHeight="1">
      <c r="A3685" s="1" t="s">
        <v>3797</v>
      </c>
      <c r="B3685" s="1" t="s">
        <v>3786</v>
      </c>
      <c r="C3685" s="1"/>
      <c r="D3685" s="1"/>
      <c r="E3685" s="1"/>
      <c r="F3685" s="1"/>
      <c r="G3685" s="1"/>
      <c r="H3685" s="1"/>
      <c r="I3685" s="1"/>
    </row>
    <row r="3686" ht="15.75" customHeight="1">
      <c r="A3686" s="1" t="s">
        <v>3798</v>
      </c>
      <c r="B3686" s="1" t="s">
        <v>3786</v>
      </c>
      <c r="C3686" s="1"/>
      <c r="D3686" s="1"/>
      <c r="E3686" s="1"/>
      <c r="F3686" s="1"/>
      <c r="G3686" s="1"/>
      <c r="H3686" s="1"/>
      <c r="I3686" s="1"/>
    </row>
    <row r="3687" ht="15.75" customHeight="1">
      <c r="A3687" s="1" t="s">
        <v>3799</v>
      </c>
      <c r="B3687" s="1" t="s">
        <v>3786</v>
      </c>
      <c r="C3687" s="1"/>
      <c r="D3687" s="1"/>
      <c r="E3687" s="1"/>
      <c r="F3687" s="1"/>
      <c r="G3687" s="1"/>
      <c r="H3687" s="1"/>
      <c r="I3687" s="1"/>
    </row>
    <row r="3688" ht="15.75" customHeight="1">
      <c r="A3688" s="1" t="s">
        <v>3800</v>
      </c>
      <c r="B3688" s="1" t="s">
        <v>3786</v>
      </c>
      <c r="C3688" s="1"/>
      <c r="D3688" s="1"/>
      <c r="E3688" s="1"/>
      <c r="F3688" s="1"/>
      <c r="G3688" s="1"/>
      <c r="H3688" s="1"/>
      <c r="I3688" s="1"/>
    </row>
    <row r="3689" ht="15.75" customHeight="1">
      <c r="A3689" s="1" t="s">
        <v>3801</v>
      </c>
      <c r="B3689" s="1" t="s">
        <v>3786</v>
      </c>
      <c r="C3689" s="1"/>
      <c r="D3689" s="1"/>
      <c r="E3689" s="1"/>
      <c r="F3689" s="1"/>
      <c r="G3689" s="1"/>
      <c r="H3689" s="1"/>
      <c r="I3689" s="1"/>
    </row>
    <row r="3690" ht="15.75" customHeight="1">
      <c r="A3690" s="1" t="s">
        <v>3802</v>
      </c>
      <c r="B3690" s="1" t="s">
        <v>3786</v>
      </c>
      <c r="C3690" s="1"/>
      <c r="D3690" s="1"/>
      <c r="E3690" s="1"/>
      <c r="F3690" s="1"/>
      <c r="G3690" s="1"/>
      <c r="H3690" s="1"/>
      <c r="I3690" s="1"/>
    </row>
    <row r="3691" ht="15.75" customHeight="1">
      <c r="A3691" s="1" t="s">
        <v>3803</v>
      </c>
      <c r="B3691" s="1" t="s">
        <v>3786</v>
      </c>
      <c r="C3691" s="1"/>
      <c r="D3691" s="1"/>
      <c r="E3691" s="1"/>
      <c r="F3691" s="1"/>
      <c r="G3691" s="1"/>
      <c r="H3691" s="1"/>
      <c r="I3691" s="1"/>
    </row>
    <row r="3692" ht="15.75" customHeight="1">
      <c r="A3692" s="1" t="s">
        <v>3804</v>
      </c>
      <c r="B3692" s="1" t="s">
        <v>3786</v>
      </c>
      <c r="C3692" s="1"/>
      <c r="D3692" s="1"/>
      <c r="E3692" s="1"/>
      <c r="F3692" s="1"/>
      <c r="G3692" s="1"/>
      <c r="H3692" s="1"/>
      <c r="I3692" s="1"/>
    </row>
    <row r="3693" ht="15.75" customHeight="1">
      <c r="A3693" s="1" t="s">
        <v>3805</v>
      </c>
      <c r="B3693" s="1" t="s">
        <v>3786</v>
      </c>
      <c r="C3693" s="1"/>
      <c r="D3693" s="1"/>
      <c r="E3693" s="1"/>
      <c r="F3693" s="1"/>
      <c r="G3693" s="1"/>
      <c r="H3693" s="1"/>
      <c r="I3693" s="1"/>
    </row>
    <row r="3694" ht="15.75" customHeight="1">
      <c r="A3694" s="1" t="s">
        <v>3806</v>
      </c>
      <c r="B3694" s="1" t="s">
        <v>3786</v>
      </c>
      <c r="C3694" s="1"/>
      <c r="D3694" s="1"/>
      <c r="E3694" s="1"/>
      <c r="F3694" s="1"/>
      <c r="G3694" s="1"/>
      <c r="H3694" s="1"/>
      <c r="I3694" s="1"/>
    </row>
    <row r="3695" ht="15.75" customHeight="1">
      <c r="A3695" s="1" t="s">
        <v>3807</v>
      </c>
      <c r="B3695" s="1" t="s">
        <v>3808</v>
      </c>
      <c r="C3695" s="1"/>
      <c r="D3695" s="1"/>
      <c r="E3695" s="1"/>
      <c r="F3695" s="1"/>
      <c r="G3695" s="1"/>
      <c r="H3695" s="1"/>
      <c r="I3695" s="1"/>
    </row>
    <row r="3696" ht="15.75" customHeight="1">
      <c r="A3696" s="1" t="s">
        <v>3809</v>
      </c>
      <c r="B3696" s="1" t="s">
        <v>3808</v>
      </c>
      <c r="C3696" s="1"/>
      <c r="D3696" s="1"/>
      <c r="E3696" s="1"/>
      <c r="F3696" s="1"/>
      <c r="G3696" s="1"/>
      <c r="H3696" s="1"/>
      <c r="I3696" s="1"/>
    </row>
    <row r="3697" ht="15.75" customHeight="1">
      <c r="A3697" s="1" t="s">
        <v>3810</v>
      </c>
      <c r="B3697" s="1" t="s">
        <v>3808</v>
      </c>
      <c r="C3697" s="1"/>
      <c r="D3697" s="1"/>
      <c r="E3697" s="1"/>
      <c r="F3697" s="1"/>
      <c r="G3697" s="1"/>
      <c r="H3697" s="1"/>
      <c r="I3697" s="1"/>
    </row>
    <row r="3698" ht="15.75" customHeight="1">
      <c r="A3698" s="1" t="s">
        <v>3811</v>
      </c>
      <c r="B3698" s="1" t="s">
        <v>3808</v>
      </c>
      <c r="C3698" s="1"/>
      <c r="D3698" s="1"/>
      <c r="E3698" s="1"/>
      <c r="F3698" s="1"/>
      <c r="G3698" s="1"/>
      <c r="H3698" s="1"/>
      <c r="I3698" s="1"/>
    </row>
    <row r="3699" ht="15.75" customHeight="1">
      <c r="A3699" s="1" t="s">
        <v>3812</v>
      </c>
      <c r="B3699" s="1" t="s">
        <v>3808</v>
      </c>
      <c r="C3699" s="1"/>
      <c r="D3699" s="1"/>
      <c r="E3699" s="1"/>
      <c r="F3699" s="1"/>
      <c r="G3699" s="1"/>
      <c r="H3699" s="1"/>
      <c r="I3699" s="1"/>
    </row>
    <row r="3700" ht="15.75" customHeight="1">
      <c r="A3700" s="1" t="s">
        <v>3813</v>
      </c>
      <c r="B3700" s="1" t="s">
        <v>3808</v>
      </c>
      <c r="C3700" s="1"/>
      <c r="D3700" s="1"/>
      <c r="E3700" s="1"/>
      <c r="F3700" s="1"/>
      <c r="G3700" s="1"/>
      <c r="H3700" s="1"/>
      <c r="I3700" s="1"/>
    </row>
    <row r="3701" ht="15.75" customHeight="1">
      <c r="A3701" s="1" t="s">
        <v>3814</v>
      </c>
      <c r="B3701" s="1" t="s">
        <v>3808</v>
      </c>
      <c r="C3701" s="1"/>
      <c r="D3701" s="1"/>
      <c r="E3701" s="1"/>
      <c r="F3701" s="1"/>
      <c r="G3701" s="1"/>
      <c r="H3701" s="1"/>
      <c r="I3701" s="1"/>
    </row>
    <row r="3702" ht="15.75" customHeight="1">
      <c r="A3702" s="1" t="s">
        <v>3815</v>
      </c>
      <c r="B3702" s="1" t="s">
        <v>3808</v>
      </c>
      <c r="C3702" s="1"/>
      <c r="D3702" s="1"/>
      <c r="E3702" s="1"/>
      <c r="F3702" s="1"/>
      <c r="G3702" s="1"/>
      <c r="H3702" s="1"/>
      <c r="I3702" s="1"/>
    </row>
    <row r="3703" ht="15.75" customHeight="1">
      <c r="A3703" s="1" t="s">
        <v>3816</v>
      </c>
      <c r="B3703" s="1" t="s">
        <v>3808</v>
      </c>
      <c r="C3703" s="1"/>
      <c r="D3703" s="1"/>
      <c r="E3703" s="1"/>
      <c r="F3703" s="1"/>
      <c r="G3703" s="1"/>
      <c r="H3703" s="1"/>
      <c r="I3703" s="1"/>
    </row>
    <row r="3704" ht="15.75" customHeight="1">
      <c r="A3704" s="1" t="s">
        <v>3817</v>
      </c>
      <c r="B3704" s="1" t="s">
        <v>3808</v>
      </c>
      <c r="C3704" s="1"/>
      <c r="D3704" s="1"/>
      <c r="E3704" s="1"/>
      <c r="F3704" s="1"/>
      <c r="G3704" s="1"/>
      <c r="H3704" s="1"/>
      <c r="I3704" s="1"/>
    </row>
    <row r="3705" ht="15.75" customHeight="1">
      <c r="A3705" s="1" t="s">
        <v>3818</v>
      </c>
      <c r="B3705" s="1" t="s">
        <v>3808</v>
      </c>
      <c r="C3705" s="1"/>
      <c r="D3705" s="1"/>
      <c r="E3705" s="1"/>
      <c r="F3705" s="1"/>
      <c r="G3705" s="1"/>
      <c r="H3705" s="1"/>
      <c r="I3705" s="1"/>
    </row>
    <row r="3706" ht="15.75" customHeight="1">
      <c r="A3706" s="1" t="s">
        <v>3819</v>
      </c>
      <c r="B3706" s="1" t="s">
        <v>3808</v>
      </c>
      <c r="C3706" s="1"/>
      <c r="D3706" s="1"/>
      <c r="E3706" s="1"/>
      <c r="F3706" s="1"/>
      <c r="G3706" s="1"/>
      <c r="H3706" s="1"/>
      <c r="I3706" s="1"/>
    </row>
    <row r="3707" ht="15.75" customHeight="1">
      <c r="A3707" s="1" t="s">
        <v>3820</v>
      </c>
      <c r="B3707" s="1" t="s">
        <v>3808</v>
      </c>
      <c r="C3707" s="1"/>
      <c r="D3707" s="1"/>
      <c r="E3707" s="1"/>
      <c r="F3707" s="1"/>
      <c r="G3707" s="1"/>
      <c r="H3707" s="1"/>
      <c r="I3707" s="1"/>
    </row>
    <row r="3708" ht="15.75" customHeight="1">
      <c r="A3708" s="1" t="s">
        <v>3821</v>
      </c>
      <c r="B3708" s="1" t="s">
        <v>3808</v>
      </c>
      <c r="C3708" s="1"/>
      <c r="D3708" s="1"/>
      <c r="E3708" s="1"/>
      <c r="F3708" s="1"/>
      <c r="G3708" s="1"/>
      <c r="H3708" s="1"/>
      <c r="I3708" s="1"/>
    </row>
    <row r="3709" ht="15.75" customHeight="1">
      <c r="A3709" s="1" t="s">
        <v>3822</v>
      </c>
      <c r="B3709" s="1" t="s">
        <v>3808</v>
      </c>
      <c r="C3709" s="1"/>
      <c r="D3709" s="1"/>
      <c r="E3709" s="1"/>
      <c r="F3709" s="1"/>
      <c r="G3709" s="1"/>
      <c r="H3709" s="1"/>
      <c r="I3709" s="1"/>
    </row>
    <row r="3710" ht="15.75" customHeight="1">
      <c r="A3710" s="1" t="s">
        <v>3823</v>
      </c>
      <c r="B3710" s="1" t="s">
        <v>3808</v>
      </c>
      <c r="C3710" s="1"/>
      <c r="D3710" s="1"/>
      <c r="E3710" s="1"/>
      <c r="F3710" s="1"/>
      <c r="G3710" s="1"/>
      <c r="H3710" s="1"/>
      <c r="I3710" s="1"/>
    </row>
    <row r="3711" ht="15.75" customHeight="1">
      <c r="A3711" s="1" t="s">
        <v>3824</v>
      </c>
      <c r="B3711" s="1" t="s">
        <v>3808</v>
      </c>
      <c r="C3711" s="1"/>
      <c r="D3711" s="1"/>
      <c r="E3711" s="1"/>
      <c r="F3711" s="1"/>
      <c r="G3711" s="1"/>
      <c r="H3711" s="1"/>
      <c r="I3711" s="1"/>
    </row>
    <row r="3712" ht="15.75" customHeight="1">
      <c r="A3712" s="1" t="s">
        <v>3825</v>
      </c>
      <c r="B3712" s="1" t="s">
        <v>3826</v>
      </c>
      <c r="C3712" s="1"/>
      <c r="D3712" s="1"/>
      <c r="E3712" s="1"/>
      <c r="F3712" s="1"/>
      <c r="G3712" s="1"/>
      <c r="H3712" s="1"/>
      <c r="I3712" s="1"/>
    </row>
    <row r="3713" ht="15.75" customHeight="1">
      <c r="A3713" s="1" t="s">
        <v>3827</v>
      </c>
      <c r="B3713" s="1" t="s">
        <v>3826</v>
      </c>
      <c r="C3713" s="1"/>
      <c r="D3713" s="1"/>
      <c r="E3713" s="1"/>
      <c r="F3713" s="1"/>
      <c r="G3713" s="1"/>
      <c r="H3713" s="1"/>
      <c r="I3713" s="1"/>
    </row>
    <row r="3714" ht="15.75" customHeight="1">
      <c r="A3714" s="1" t="s">
        <v>3828</v>
      </c>
      <c r="B3714" s="1" t="s">
        <v>3826</v>
      </c>
      <c r="C3714" s="1"/>
      <c r="D3714" s="1"/>
      <c r="E3714" s="1"/>
      <c r="F3714" s="1"/>
      <c r="G3714" s="1"/>
      <c r="H3714" s="1"/>
      <c r="I3714" s="1"/>
    </row>
    <row r="3715" ht="15.75" customHeight="1">
      <c r="A3715" s="1" t="s">
        <v>3829</v>
      </c>
      <c r="B3715" s="1" t="s">
        <v>3826</v>
      </c>
      <c r="C3715" s="1"/>
      <c r="D3715" s="1"/>
      <c r="E3715" s="1"/>
      <c r="F3715" s="1"/>
      <c r="G3715" s="1"/>
      <c r="H3715" s="1"/>
      <c r="I3715" s="1"/>
    </row>
    <row r="3716" ht="15.75" customHeight="1">
      <c r="A3716" s="1" t="s">
        <v>3830</v>
      </c>
      <c r="B3716" s="1" t="s">
        <v>3826</v>
      </c>
      <c r="C3716" s="1"/>
      <c r="D3716" s="1"/>
      <c r="E3716" s="1"/>
      <c r="F3716" s="1"/>
      <c r="G3716" s="1"/>
      <c r="H3716" s="1"/>
      <c r="I3716" s="1"/>
    </row>
    <row r="3717" ht="15.75" customHeight="1">
      <c r="A3717" s="1" t="s">
        <v>3831</v>
      </c>
      <c r="B3717" s="1" t="s">
        <v>3826</v>
      </c>
      <c r="C3717" s="1"/>
      <c r="D3717" s="1"/>
      <c r="E3717" s="1"/>
      <c r="F3717" s="1"/>
      <c r="G3717" s="1"/>
      <c r="H3717" s="1"/>
      <c r="I3717" s="1"/>
    </row>
    <row r="3718" ht="15.75" customHeight="1">
      <c r="A3718" s="1" t="s">
        <v>3832</v>
      </c>
      <c r="B3718" s="1" t="s">
        <v>3826</v>
      </c>
      <c r="C3718" s="1"/>
      <c r="D3718" s="1"/>
      <c r="E3718" s="1"/>
      <c r="F3718" s="1"/>
      <c r="G3718" s="1"/>
      <c r="H3718" s="1"/>
      <c r="I3718" s="1"/>
    </row>
    <row r="3719" ht="15.75" customHeight="1">
      <c r="A3719" s="1" t="s">
        <v>3833</v>
      </c>
      <c r="B3719" s="1" t="s">
        <v>3826</v>
      </c>
      <c r="C3719" s="1"/>
      <c r="D3719" s="1"/>
      <c r="E3719" s="1"/>
      <c r="F3719" s="1"/>
      <c r="G3719" s="1"/>
      <c r="H3719" s="1"/>
      <c r="I3719" s="1"/>
    </row>
    <row r="3720" ht="15.75" customHeight="1">
      <c r="A3720" s="1" t="s">
        <v>3834</v>
      </c>
      <c r="B3720" s="1" t="s">
        <v>3826</v>
      </c>
      <c r="C3720" s="1"/>
      <c r="D3720" s="1"/>
      <c r="E3720" s="1"/>
      <c r="F3720" s="1"/>
      <c r="G3720" s="1"/>
      <c r="H3720" s="1"/>
      <c r="I3720" s="1"/>
    </row>
    <row r="3721" ht="15.75" customHeight="1">
      <c r="A3721" s="1" t="s">
        <v>3835</v>
      </c>
      <c r="B3721" s="1" t="s">
        <v>3836</v>
      </c>
      <c r="C3721" s="1"/>
      <c r="D3721" s="1"/>
      <c r="E3721" s="1"/>
      <c r="F3721" s="1"/>
      <c r="G3721" s="1"/>
      <c r="H3721" s="1"/>
      <c r="I3721" s="1"/>
    </row>
    <row r="3722" ht="15.75" customHeight="1">
      <c r="A3722" s="1" t="s">
        <v>3837</v>
      </c>
      <c r="B3722" s="1" t="s">
        <v>3836</v>
      </c>
      <c r="C3722" s="1"/>
      <c r="D3722" s="1"/>
      <c r="E3722" s="1"/>
      <c r="F3722" s="1"/>
      <c r="G3722" s="1"/>
      <c r="H3722" s="1"/>
      <c r="I3722" s="1"/>
    </row>
    <row r="3723" ht="15.75" customHeight="1">
      <c r="A3723" s="1" t="s">
        <v>3838</v>
      </c>
      <c r="B3723" s="1" t="s">
        <v>3836</v>
      </c>
      <c r="C3723" s="1"/>
      <c r="D3723" s="1"/>
      <c r="E3723" s="1"/>
      <c r="F3723" s="1"/>
      <c r="G3723" s="1"/>
      <c r="H3723" s="1"/>
      <c r="I3723" s="1"/>
    </row>
    <row r="3724" ht="15.75" customHeight="1">
      <c r="A3724" s="1" t="s">
        <v>3839</v>
      </c>
      <c r="B3724" s="1" t="s">
        <v>3836</v>
      </c>
      <c r="C3724" s="1"/>
      <c r="D3724" s="1"/>
      <c r="E3724" s="1"/>
      <c r="F3724" s="1"/>
      <c r="G3724" s="1"/>
      <c r="H3724" s="1"/>
      <c r="I3724" s="1"/>
    </row>
    <row r="3725" ht="15.75" customHeight="1">
      <c r="A3725" s="1" t="s">
        <v>3840</v>
      </c>
      <c r="B3725" s="1" t="s">
        <v>3836</v>
      </c>
      <c r="C3725" s="1"/>
      <c r="D3725" s="1"/>
      <c r="E3725" s="1"/>
      <c r="F3725" s="1"/>
      <c r="G3725" s="1"/>
      <c r="H3725" s="1"/>
      <c r="I3725" s="1"/>
    </row>
    <row r="3726" ht="15.75" customHeight="1">
      <c r="A3726" s="1" t="s">
        <v>3841</v>
      </c>
      <c r="B3726" s="1" t="s">
        <v>3836</v>
      </c>
      <c r="C3726" s="1"/>
      <c r="D3726" s="1"/>
      <c r="E3726" s="1"/>
      <c r="F3726" s="1"/>
      <c r="G3726" s="1"/>
      <c r="H3726" s="1"/>
      <c r="I3726" s="1"/>
    </row>
    <row r="3727" ht="15.75" customHeight="1">
      <c r="A3727" s="1" t="s">
        <v>3842</v>
      </c>
      <c r="B3727" s="1" t="s">
        <v>3836</v>
      </c>
      <c r="C3727" s="1"/>
      <c r="D3727" s="1"/>
      <c r="E3727" s="1"/>
      <c r="F3727" s="1"/>
      <c r="G3727" s="1"/>
      <c r="H3727" s="1"/>
      <c r="I3727" s="1"/>
    </row>
    <row r="3728" ht="15.75" customHeight="1">
      <c r="A3728" s="1" t="s">
        <v>3843</v>
      </c>
      <c r="B3728" s="1" t="s">
        <v>3836</v>
      </c>
      <c r="C3728" s="1"/>
      <c r="D3728" s="1"/>
      <c r="E3728" s="1"/>
      <c r="F3728" s="1"/>
      <c r="G3728" s="1"/>
      <c r="H3728" s="1"/>
      <c r="I3728" s="1"/>
    </row>
    <row r="3729" ht="15.75" customHeight="1">
      <c r="A3729" s="1" t="s">
        <v>3844</v>
      </c>
      <c r="B3729" s="1" t="s">
        <v>3836</v>
      </c>
      <c r="C3729" s="1"/>
      <c r="D3729" s="1"/>
      <c r="E3729" s="1"/>
      <c r="F3729" s="1"/>
      <c r="G3729" s="1"/>
      <c r="H3729" s="1"/>
      <c r="I3729" s="1"/>
    </row>
    <row r="3730" ht="15.75" customHeight="1">
      <c r="A3730" s="1" t="s">
        <v>3845</v>
      </c>
      <c r="B3730" s="1" t="s">
        <v>3836</v>
      </c>
      <c r="C3730" s="1"/>
      <c r="D3730" s="1"/>
      <c r="E3730" s="1"/>
      <c r="F3730" s="1"/>
      <c r="G3730" s="1"/>
      <c r="H3730" s="1"/>
      <c r="I3730" s="1"/>
    </row>
    <row r="3731" ht="15.75" customHeight="1">
      <c r="A3731" s="1" t="s">
        <v>3846</v>
      </c>
      <c r="B3731" s="1" t="s">
        <v>3836</v>
      </c>
      <c r="C3731" s="1"/>
      <c r="D3731" s="1"/>
      <c r="E3731" s="1"/>
      <c r="F3731" s="1"/>
      <c r="G3731" s="1"/>
      <c r="H3731" s="1"/>
      <c r="I3731" s="1"/>
    </row>
    <row r="3732" ht="15.75" customHeight="1">
      <c r="A3732" s="1" t="s">
        <v>3847</v>
      </c>
      <c r="B3732" s="1" t="s">
        <v>3836</v>
      </c>
      <c r="C3732" s="1"/>
      <c r="D3732" s="1"/>
      <c r="E3732" s="1"/>
      <c r="F3732" s="1"/>
      <c r="G3732" s="1"/>
      <c r="H3732" s="1"/>
      <c r="I3732" s="1"/>
    </row>
    <row r="3733" ht="15.75" customHeight="1">
      <c r="A3733" s="1" t="s">
        <v>3848</v>
      </c>
      <c r="B3733" s="1" t="s">
        <v>3836</v>
      </c>
      <c r="C3733" s="1"/>
      <c r="D3733" s="1"/>
      <c r="E3733" s="1"/>
      <c r="F3733" s="1"/>
      <c r="G3733" s="1"/>
      <c r="H3733" s="1"/>
      <c r="I3733" s="1"/>
    </row>
    <row r="3734" ht="15.75" customHeight="1">
      <c r="A3734" s="1" t="s">
        <v>3849</v>
      </c>
      <c r="B3734" s="1" t="s">
        <v>3850</v>
      </c>
      <c r="C3734" s="1"/>
      <c r="D3734" s="1"/>
      <c r="E3734" s="1"/>
      <c r="F3734" s="1"/>
      <c r="G3734" s="1"/>
      <c r="H3734" s="1"/>
      <c r="I3734" s="1"/>
    </row>
    <row r="3735" ht="15.75" customHeight="1">
      <c r="A3735" s="1" t="s">
        <v>3851</v>
      </c>
      <c r="B3735" s="1" t="s">
        <v>3850</v>
      </c>
      <c r="C3735" s="1"/>
      <c r="D3735" s="1"/>
      <c r="E3735" s="1"/>
      <c r="F3735" s="1"/>
      <c r="G3735" s="1"/>
      <c r="H3735" s="1"/>
      <c r="I3735" s="1"/>
    </row>
    <row r="3736" ht="15.75" customHeight="1">
      <c r="A3736" s="1" t="s">
        <v>3852</v>
      </c>
      <c r="B3736" s="1" t="s">
        <v>3850</v>
      </c>
      <c r="C3736" s="1"/>
      <c r="D3736" s="1"/>
      <c r="E3736" s="1"/>
      <c r="F3736" s="1"/>
      <c r="G3736" s="1"/>
      <c r="H3736" s="1"/>
      <c r="I3736" s="1"/>
    </row>
    <row r="3737" ht="15.75" customHeight="1">
      <c r="A3737" s="1" t="s">
        <v>3853</v>
      </c>
      <c r="B3737" s="1" t="s">
        <v>3850</v>
      </c>
      <c r="C3737" s="1"/>
      <c r="D3737" s="1"/>
      <c r="E3737" s="1"/>
      <c r="F3737" s="1"/>
      <c r="G3737" s="1"/>
      <c r="H3737" s="1"/>
      <c r="I3737" s="1"/>
    </row>
    <row r="3738" ht="15.75" customHeight="1">
      <c r="A3738" s="1" t="s">
        <v>3854</v>
      </c>
      <c r="B3738" s="1" t="s">
        <v>3850</v>
      </c>
      <c r="C3738" s="1"/>
      <c r="D3738" s="1"/>
      <c r="E3738" s="1"/>
      <c r="F3738" s="1"/>
      <c r="G3738" s="1"/>
      <c r="H3738" s="1"/>
      <c r="I3738" s="1"/>
    </row>
    <row r="3739" ht="15.75" customHeight="1">
      <c r="A3739" s="1" t="s">
        <v>3855</v>
      </c>
      <c r="B3739" s="1" t="s">
        <v>3850</v>
      </c>
      <c r="C3739" s="1"/>
      <c r="D3739" s="1"/>
      <c r="E3739" s="1"/>
      <c r="F3739" s="1"/>
      <c r="G3739" s="1"/>
      <c r="H3739" s="1"/>
      <c r="I3739" s="1"/>
    </row>
    <row r="3740" ht="15.75" customHeight="1">
      <c r="A3740" s="1" t="s">
        <v>3856</v>
      </c>
      <c r="B3740" s="1" t="s">
        <v>3850</v>
      </c>
      <c r="C3740" s="1"/>
      <c r="D3740" s="1"/>
      <c r="E3740" s="1"/>
      <c r="F3740" s="1"/>
      <c r="G3740" s="1"/>
      <c r="H3740" s="1"/>
      <c r="I3740" s="1"/>
    </row>
    <row r="3741" ht="15.75" customHeight="1">
      <c r="A3741" s="1" t="s">
        <v>3857</v>
      </c>
      <c r="B3741" s="1" t="s">
        <v>3850</v>
      </c>
      <c r="C3741" s="1"/>
      <c r="D3741" s="1"/>
      <c r="E3741" s="1"/>
      <c r="F3741" s="1"/>
      <c r="G3741" s="1"/>
      <c r="H3741" s="1"/>
      <c r="I3741" s="1"/>
    </row>
    <row r="3742" ht="15.75" customHeight="1">
      <c r="A3742" s="1" t="s">
        <v>3858</v>
      </c>
      <c r="B3742" s="1" t="s">
        <v>3850</v>
      </c>
      <c r="C3742" s="1"/>
      <c r="D3742" s="1"/>
      <c r="E3742" s="1"/>
      <c r="F3742" s="1"/>
      <c r="G3742" s="1"/>
      <c r="H3742" s="1"/>
      <c r="I3742" s="1"/>
    </row>
    <row r="3743" ht="15.75" customHeight="1">
      <c r="A3743" s="1" t="s">
        <v>3859</v>
      </c>
      <c r="B3743" s="1" t="s">
        <v>3850</v>
      </c>
      <c r="C3743" s="1"/>
      <c r="D3743" s="1"/>
      <c r="E3743" s="1"/>
      <c r="F3743" s="1"/>
      <c r="G3743" s="1"/>
      <c r="H3743" s="1"/>
      <c r="I3743" s="1"/>
    </row>
    <row r="3744" ht="15.75" customHeight="1">
      <c r="A3744" s="1" t="s">
        <v>3860</v>
      </c>
      <c r="B3744" s="1" t="s">
        <v>3850</v>
      </c>
      <c r="C3744" s="1"/>
      <c r="D3744" s="1"/>
      <c r="E3744" s="1"/>
      <c r="F3744" s="1"/>
      <c r="G3744" s="1"/>
      <c r="H3744" s="1"/>
      <c r="I3744" s="1"/>
    </row>
    <row r="3745" ht="15.75" customHeight="1">
      <c r="A3745" s="1" t="s">
        <v>3861</v>
      </c>
      <c r="B3745" s="1" t="s">
        <v>3850</v>
      </c>
      <c r="C3745" s="1"/>
      <c r="D3745" s="1"/>
      <c r="E3745" s="1"/>
      <c r="F3745" s="1"/>
      <c r="G3745" s="1"/>
      <c r="H3745" s="1"/>
      <c r="I3745" s="1"/>
    </row>
    <row r="3746" ht="15.75" customHeight="1">
      <c r="A3746" s="1" t="s">
        <v>3862</v>
      </c>
      <c r="B3746" s="1" t="s">
        <v>3850</v>
      </c>
      <c r="C3746" s="1"/>
      <c r="D3746" s="1"/>
      <c r="E3746" s="1"/>
      <c r="F3746" s="1"/>
      <c r="G3746" s="1"/>
      <c r="H3746" s="1"/>
      <c r="I3746" s="1"/>
    </row>
    <row r="3747" ht="15.75" customHeight="1">
      <c r="A3747" s="1" t="s">
        <v>3863</v>
      </c>
      <c r="B3747" s="1" t="s">
        <v>3850</v>
      </c>
      <c r="C3747" s="1"/>
      <c r="D3747" s="1"/>
      <c r="E3747" s="1"/>
      <c r="F3747" s="1"/>
      <c r="G3747" s="1"/>
      <c r="H3747" s="1"/>
      <c r="I3747" s="1"/>
    </row>
    <row r="3748" ht="15.75" customHeight="1">
      <c r="A3748" s="1" t="s">
        <v>3864</v>
      </c>
      <c r="B3748" s="1" t="s">
        <v>3850</v>
      </c>
      <c r="C3748" s="1"/>
      <c r="D3748" s="1"/>
      <c r="E3748" s="1"/>
      <c r="F3748" s="1"/>
      <c r="G3748" s="1"/>
      <c r="H3748" s="1"/>
      <c r="I3748" s="1"/>
    </row>
    <row r="3749" ht="15.75" customHeight="1">
      <c r="A3749" s="1" t="s">
        <v>3865</v>
      </c>
      <c r="B3749" s="1" t="s">
        <v>3850</v>
      </c>
      <c r="C3749" s="1"/>
      <c r="D3749" s="1"/>
      <c r="E3749" s="1"/>
      <c r="F3749" s="1"/>
      <c r="G3749" s="1"/>
      <c r="H3749" s="1"/>
      <c r="I3749" s="1"/>
    </row>
    <row r="3750" ht="15.75" customHeight="1">
      <c r="A3750" s="1" t="s">
        <v>3866</v>
      </c>
      <c r="B3750" s="1" t="s">
        <v>3850</v>
      </c>
      <c r="C3750" s="1"/>
      <c r="D3750" s="1"/>
      <c r="E3750" s="1"/>
      <c r="F3750" s="1"/>
      <c r="G3750" s="1"/>
      <c r="H3750" s="1"/>
      <c r="I3750" s="1"/>
    </row>
    <row r="3751" ht="15.75" customHeight="1">
      <c r="A3751" s="1" t="s">
        <v>3867</v>
      </c>
      <c r="B3751" s="1" t="s">
        <v>3850</v>
      </c>
      <c r="C3751" s="1"/>
      <c r="D3751" s="1"/>
      <c r="E3751" s="1"/>
      <c r="F3751" s="1"/>
      <c r="G3751" s="1"/>
      <c r="H3751" s="1"/>
      <c r="I3751" s="1"/>
    </row>
    <row r="3752" ht="15.75" customHeight="1">
      <c r="A3752" s="1" t="s">
        <v>3868</v>
      </c>
      <c r="B3752" s="1" t="s">
        <v>3850</v>
      </c>
      <c r="C3752" s="1"/>
      <c r="D3752" s="1"/>
      <c r="E3752" s="1"/>
      <c r="F3752" s="1"/>
      <c r="G3752" s="1"/>
      <c r="H3752" s="1"/>
      <c r="I3752" s="1"/>
    </row>
    <row r="3753" ht="15.75" customHeight="1">
      <c r="A3753" s="1" t="s">
        <v>3869</v>
      </c>
      <c r="B3753" s="1" t="s">
        <v>3850</v>
      </c>
      <c r="C3753" s="1"/>
      <c r="D3753" s="1"/>
      <c r="E3753" s="1"/>
      <c r="F3753" s="1"/>
      <c r="G3753" s="1"/>
      <c r="H3753" s="1"/>
      <c r="I3753" s="1"/>
    </row>
    <row r="3754" ht="15.75" customHeight="1">
      <c r="A3754" s="1" t="s">
        <v>3870</v>
      </c>
      <c r="B3754" s="1" t="s">
        <v>3850</v>
      </c>
      <c r="C3754" s="1"/>
      <c r="D3754" s="1"/>
      <c r="E3754" s="1"/>
      <c r="F3754" s="1"/>
      <c r="G3754" s="1"/>
      <c r="H3754" s="1"/>
      <c r="I3754" s="1"/>
    </row>
    <row r="3755" ht="15.75" customHeight="1">
      <c r="A3755" s="1" t="s">
        <v>3871</v>
      </c>
      <c r="B3755" s="1" t="s">
        <v>3850</v>
      </c>
      <c r="C3755" s="1"/>
      <c r="D3755" s="1"/>
      <c r="E3755" s="1"/>
      <c r="F3755" s="1"/>
      <c r="G3755" s="1"/>
      <c r="H3755" s="1"/>
      <c r="I3755" s="1"/>
    </row>
    <row r="3756" ht="15.75" customHeight="1">
      <c r="A3756" s="1" t="s">
        <v>3872</v>
      </c>
      <c r="B3756" s="1" t="s">
        <v>3850</v>
      </c>
      <c r="C3756" s="1"/>
      <c r="D3756" s="1"/>
      <c r="E3756" s="1"/>
      <c r="F3756" s="1"/>
      <c r="G3756" s="1"/>
      <c r="H3756" s="1"/>
      <c r="I3756" s="1"/>
    </row>
    <row r="3757" ht="15.75" customHeight="1">
      <c r="A3757" s="1" t="s">
        <v>3873</v>
      </c>
      <c r="B3757" s="1" t="s">
        <v>3850</v>
      </c>
      <c r="C3757" s="1"/>
      <c r="D3757" s="1"/>
      <c r="E3757" s="1"/>
      <c r="F3757" s="1"/>
      <c r="G3757" s="1"/>
      <c r="H3757" s="1"/>
      <c r="I3757" s="1"/>
    </row>
    <row r="3758" ht="15.75" customHeight="1">
      <c r="A3758" s="1" t="s">
        <v>3874</v>
      </c>
      <c r="B3758" s="1" t="s">
        <v>3850</v>
      </c>
      <c r="C3758" s="1"/>
      <c r="D3758" s="1"/>
      <c r="E3758" s="1"/>
      <c r="F3758" s="1"/>
      <c r="G3758" s="1"/>
      <c r="H3758" s="1"/>
      <c r="I3758" s="1"/>
    </row>
    <row r="3759" ht="15.75" customHeight="1">
      <c r="A3759" s="1" t="s">
        <v>3875</v>
      </c>
      <c r="B3759" s="1" t="s">
        <v>3876</v>
      </c>
      <c r="C3759" s="1"/>
      <c r="D3759" s="1"/>
      <c r="E3759" s="1"/>
      <c r="F3759" s="1"/>
      <c r="G3759" s="1"/>
      <c r="H3759" s="1"/>
      <c r="I3759" s="1"/>
    </row>
    <row r="3760" ht="15.75" customHeight="1">
      <c r="A3760" s="1" t="s">
        <v>3877</v>
      </c>
      <c r="B3760" s="1" t="s">
        <v>3876</v>
      </c>
      <c r="C3760" s="1"/>
      <c r="D3760" s="1"/>
      <c r="E3760" s="1"/>
      <c r="F3760" s="1"/>
      <c r="G3760" s="1"/>
      <c r="H3760" s="1"/>
      <c r="I3760" s="1"/>
    </row>
    <row r="3761" ht="15.75" customHeight="1">
      <c r="A3761" s="1" t="s">
        <v>3878</v>
      </c>
      <c r="B3761" s="1" t="s">
        <v>3876</v>
      </c>
      <c r="C3761" s="1"/>
      <c r="D3761" s="1"/>
      <c r="E3761" s="1"/>
      <c r="F3761" s="1"/>
      <c r="G3761" s="1"/>
      <c r="H3761" s="1"/>
      <c r="I3761" s="1"/>
    </row>
    <row r="3762" ht="15.75" customHeight="1">
      <c r="A3762" s="1" t="s">
        <v>3879</v>
      </c>
      <c r="B3762" s="1" t="s">
        <v>3876</v>
      </c>
      <c r="C3762" s="1"/>
      <c r="D3762" s="1"/>
      <c r="E3762" s="1"/>
      <c r="F3762" s="1"/>
      <c r="G3762" s="1"/>
      <c r="H3762" s="1"/>
      <c r="I3762" s="1"/>
    </row>
    <row r="3763" ht="15.75" customHeight="1">
      <c r="A3763" s="1" t="s">
        <v>3880</v>
      </c>
      <c r="B3763" s="1" t="s">
        <v>3876</v>
      </c>
      <c r="C3763" s="1"/>
      <c r="D3763" s="1"/>
      <c r="E3763" s="1"/>
      <c r="F3763" s="1"/>
      <c r="G3763" s="1"/>
      <c r="H3763" s="1"/>
      <c r="I3763" s="1"/>
    </row>
    <row r="3764" ht="15.75" customHeight="1">
      <c r="A3764" s="1" t="s">
        <v>3881</v>
      </c>
      <c r="B3764" s="1" t="s">
        <v>3876</v>
      </c>
      <c r="C3764" s="1"/>
      <c r="D3764" s="1"/>
      <c r="E3764" s="1"/>
      <c r="F3764" s="1"/>
      <c r="G3764" s="1"/>
      <c r="H3764" s="1"/>
      <c r="I3764" s="1"/>
    </row>
    <row r="3765" ht="15.75" customHeight="1">
      <c r="A3765" s="1" t="s">
        <v>3882</v>
      </c>
      <c r="B3765" s="1" t="s">
        <v>3876</v>
      </c>
      <c r="C3765" s="1"/>
      <c r="D3765" s="1"/>
      <c r="E3765" s="1"/>
      <c r="F3765" s="1"/>
      <c r="G3765" s="1"/>
      <c r="H3765" s="1"/>
      <c r="I3765" s="1"/>
    </row>
    <row r="3766" ht="15.75" customHeight="1">
      <c r="A3766" s="1" t="s">
        <v>3883</v>
      </c>
      <c r="B3766" s="1" t="s">
        <v>3876</v>
      </c>
      <c r="C3766" s="1"/>
      <c r="D3766" s="1"/>
      <c r="E3766" s="1"/>
      <c r="F3766" s="1"/>
      <c r="G3766" s="1"/>
      <c r="H3766" s="1"/>
      <c r="I3766" s="1"/>
    </row>
    <row r="3767" ht="15.75" customHeight="1">
      <c r="A3767" s="1" t="s">
        <v>3884</v>
      </c>
      <c r="B3767" s="1" t="s">
        <v>3876</v>
      </c>
      <c r="C3767" s="1"/>
      <c r="D3767" s="1"/>
      <c r="E3767" s="1"/>
      <c r="F3767" s="1"/>
      <c r="G3767" s="1"/>
      <c r="H3767" s="1"/>
      <c r="I3767" s="1"/>
    </row>
    <row r="3768" ht="15.75" customHeight="1">
      <c r="A3768" s="1" t="s">
        <v>3885</v>
      </c>
      <c r="B3768" s="1" t="s">
        <v>3876</v>
      </c>
      <c r="C3768" s="1"/>
      <c r="D3768" s="1"/>
      <c r="E3768" s="1"/>
      <c r="F3768" s="1"/>
      <c r="G3768" s="1"/>
      <c r="H3768" s="1"/>
      <c r="I3768" s="1"/>
    </row>
    <row r="3769" ht="15.75" customHeight="1">
      <c r="A3769" s="1" t="s">
        <v>3886</v>
      </c>
      <c r="B3769" s="1" t="s">
        <v>3876</v>
      </c>
      <c r="C3769" s="1"/>
      <c r="D3769" s="1"/>
      <c r="E3769" s="1"/>
      <c r="F3769" s="1"/>
      <c r="G3769" s="1"/>
      <c r="H3769" s="1"/>
      <c r="I3769" s="1"/>
    </row>
    <row r="3770" ht="15.75" customHeight="1">
      <c r="A3770" s="1" t="s">
        <v>3887</v>
      </c>
      <c r="B3770" s="1" t="s">
        <v>3876</v>
      </c>
      <c r="C3770" s="1"/>
      <c r="D3770" s="1"/>
      <c r="E3770" s="1"/>
      <c r="F3770" s="1"/>
      <c r="G3770" s="1"/>
      <c r="H3770" s="1"/>
      <c r="I3770" s="1"/>
    </row>
    <row r="3771" ht="15.75" customHeight="1">
      <c r="A3771" s="1" t="s">
        <v>3888</v>
      </c>
      <c r="B3771" s="1" t="s">
        <v>3876</v>
      </c>
      <c r="C3771" s="1"/>
      <c r="D3771" s="1"/>
      <c r="E3771" s="1"/>
      <c r="F3771" s="1"/>
      <c r="G3771" s="1"/>
      <c r="H3771" s="1"/>
      <c r="I3771" s="1"/>
    </row>
    <row r="3772" ht="15.75" customHeight="1">
      <c r="A3772" s="1" t="s">
        <v>3889</v>
      </c>
      <c r="B3772" s="1" t="s">
        <v>3876</v>
      </c>
      <c r="C3772" s="1"/>
      <c r="D3772" s="1"/>
      <c r="E3772" s="1"/>
      <c r="F3772" s="1"/>
      <c r="G3772" s="1"/>
      <c r="H3772" s="1"/>
      <c r="I3772" s="1"/>
    </row>
    <row r="3773" ht="15.75" customHeight="1">
      <c r="A3773" s="1" t="s">
        <v>3890</v>
      </c>
      <c r="B3773" s="1" t="s">
        <v>3876</v>
      </c>
      <c r="C3773" s="1"/>
      <c r="D3773" s="1"/>
      <c r="E3773" s="1"/>
      <c r="F3773" s="1"/>
      <c r="G3773" s="1"/>
      <c r="H3773" s="1"/>
      <c r="I3773" s="1"/>
    </row>
    <row r="3774" ht="15.75" customHeight="1">
      <c r="A3774" s="1" t="s">
        <v>3891</v>
      </c>
      <c r="B3774" s="1" t="s">
        <v>3876</v>
      </c>
      <c r="C3774" s="1"/>
      <c r="D3774" s="1"/>
      <c r="E3774" s="1"/>
      <c r="F3774" s="1"/>
      <c r="G3774" s="1"/>
      <c r="H3774" s="1"/>
      <c r="I3774" s="1"/>
    </row>
    <row r="3775" ht="15.75" customHeight="1">
      <c r="A3775" s="1" t="s">
        <v>3892</v>
      </c>
      <c r="B3775" s="1" t="s">
        <v>3876</v>
      </c>
      <c r="C3775" s="1"/>
      <c r="D3775" s="1"/>
      <c r="E3775" s="1"/>
      <c r="F3775" s="1"/>
      <c r="G3775" s="1"/>
      <c r="H3775" s="1"/>
      <c r="I3775" s="1"/>
    </row>
    <row r="3776" ht="15.75" customHeight="1">
      <c r="A3776" s="1" t="s">
        <v>3893</v>
      </c>
      <c r="B3776" s="1" t="s">
        <v>3876</v>
      </c>
      <c r="C3776" s="1"/>
      <c r="D3776" s="1"/>
      <c r="E3776" s="1"/>
      <c r="F3776" s="1"/>
      <c r="G3776" s="1"/>
      <c r="H3776" s="1"/>
      <c r="I3776" s="1"/>
    </row>
    <row r="3777" ht="15.75" customHeight="1">
      <c r="A3777" s="1" t="s">
        <v>3894</v>
      </c>
      <c r="B3777" s="1" t="s">
        <v>3876</v>
      </c>
      <c r="C3777" s="1"/>
      <c r="D3777" s="1"/>
      <c r="E3777" s="1"/>
      <c r="F3777" s="1"/>
      <c r="G3777" s="1"/>
      <c r="H3777" s="1"/>
      <c r="I3777" s="1"/>
    </row>
    <row r="3778" ht="15.75" customHeight="1">
      <c r="A3778" s="1" t="s">
        <v>3895</v>
      </c>
      <c r="B3778" s="1" t="s">
        <v>3876</v>
      </c>
      <c r="C3778" s="1"/>
      <c r="D3778" s="1"/>
      <c r="E3778" s="1"/>
      <c r="F3778" s="1"/>
      <c r="G3778" s="1"/>
      <c r="H3778" s="1"/>
      <c r="I3778" s="1"/>
    </row>
    <row r="3779" ht="15.75" customHeight="1">
      <c r="A3779" s="1" t="s">
        <v>3896</v>
      </c>
      <c r="B3779" s="1" t="s">
        <v>3876</v>
      </c>
      <c r="C3779" s="1"/>
      <c r="D3779" s="1"/>
      <c r="E3779" s="1"/>
      <c r="F3779" s="1"/>
      <c r="G3779" s="1"/>
      <c r="H3779" s="1"/>
      <c r="I3779" s="1"/>
    </row>
    <row r="3780" ht="15.75" customHeight="1">
      <c r="A3780" s="1" t="s">
        <v>3897</v>
      </c>
      <c r="B3780" s="1" t="s">
        <v>3876</v>
      </c>
      <c r="C3780" s="1"/>
      <c r="D3780" s="1"/>
      <c r="E3780" s="1"/>
      <c r="F3780" s="1"/>
      <c r="G3780" s="1"/>
      <c r="H3780" s="1"/>
      <c r="I3780" s="1"/>
    </row>
    <row r="3781" ht="15.75" customHeight="1">
      <c r="A3781" s="1" t="s">
        <v>3898</v>
      </c>
      <c r="B3781" s="1" t="s">
        <v>3876</v>
      </c>
      <c r="C3781" s="1"/>
      <c r="D3781" s="1"/>
      <c r="E3781" s="1"/>
      <c r="F3781" s="1"/>
      <c r="G3781" s="1"/>
      <c r="H3781" s="1"/>
      <c r="I3781" s="1"/>
    </row>
    <row r="3782" ht="15.75" customHeight="1">
      <c r="A3782" s="1" t="s">
        <v>3899</v>
      </c>
      <c r="B3782" s="1" t="s">
        <v>3876</v>
      </c>
      <c r="C3782" s="1"/>
      <c r="D3782" s="1"/>
      <c r="E3782" s="1"/>
      <c r="F3782" s="1"/>
      <c r="G3782" s="1"/>
      <c r="H3782" s="1"/>
      <c r="I3782" s="1"/>
    </row>
    <row r="3783" ht="15.75" customHeight="1">
      <c r="A3783" s="1" t="s">
        <v>3900</v>
      </c>
      <c r="B3783" s="1" t="s">
        <v>3876</v>
      </c>
      <c r="C3783" s="1"/>
      <c r="D3783" s="1"/>
      <c r="E3783" s="1"/>
      <c r="F3783" s="1"/>
      <c r="G3783" s="1"/>
      <c r="H3783" s="1"/>
      <c r="I3783" s="1"/>
    </row>
    <row r="3784" ht="15.75" customHeight="1">
      <c r="A3784" s="1" t="s">
        <v>3901</v>
      </c>
      <c r="B3784" s="1" t="s">
        <v>3876</v>
      </c>
      <c r="C3784" s="1"/>
      <c r="D3784" s="1"/>
      <c r="E3784" s="1"/>
      <c r="F3784" s="1"/>
      <c r="G3784" s="1"/>
      <c r="H3784" s="1"/>
      <c r="I3784" s="1"/>
    </row>
    <row r="3785" ht="15.75" customHeight="1">
      <c r="A3785" s="1" t="s">
        <v>3902</v>
      </c>
      <c r="B3785" s="1" t="s">
        <v>3876</v>
      </c>
      <c r="C3785" s="1"/>
      <c r="D3785" s="1"/>
      <c r="E3785" s="1"/>
      <c r="F3785" s="1"/>
      <c r="G3785" s="1"/>
      <c r="H3785" s="1"/>
      <c r="I3785" s="1"/>
    </row>
    <row r="3786" ht="15.75" customHeight="1">
      <c r="A3786" s="1" t="s">
        <v>3903</v>
      </c>
      <c r="B3786" s="1" t="s">
        <v>3876</v>
      </c>
      <c r="C3786" s="1"/>
      <c r="D3786" s="1"/>
      <c r="E3786" s="1"/>
      <c r="F3786" s="1"/>
      <c r="G3786" s="1"/>
      <c r="H3786" s="1"/>
      <c r="I3786" s="1"/>
    </row>
    <row r="3787" ht="15.75" customHeight="1">
      <c r="A3787" s="1" t="s">
        <v>3904</v>
      </c>
      <c r="B3787" s="1" t="s">
        <v>3876</v>
      </c>
      <c r="C3787" s="1"/>
      <c r="D3787" s="1"/>
      <c r="E3787" s="1"/>
      <c r="F3787" s="1"/>
      <c r="G3787" s="1"/>
      <c r="H3787" s="1"/>
      <c r="I3787" s="1"/>
    </row>
    <row r="3788" ht="15.75" customHeight="1">
      <c r="A3788" s="1" t="s">
        <v>3905</v>
      </c>
      <c r="B3788" s="1" t="s">
        <v>3876</v>
      </c>
      <c r="C3788" s="1"/>
      <c r="D3788" s="1"/>
      <c r="E3788" s="1"/>
      <c r="F3788" s="1"/>
      <c r="G3788" s="1"/>
      <c r="H3788" s="1"/>
      <c r="I3788" s="1"/>
    </row>
    <row r="3789" ht="15.75" customHeight="1">
      <c r="A3789" s="1" t="s">
        <v>3906</v>
      </c>
      <c r="B3789" s="1" t="s">
        <v>3876</v>
      </c>
      <c r="C3789" s="1"/>
      <c r="D3789" s="1"/>
      <c r="E3789" s="1"/>
      <c r="F3789" s="1"/>
      <c r="G3789" s="1"/>
      <c r="H3789" s="1"/>
      <c r="I3789" s="1"/>
    </row>
    <row r="3790" ht="15.75" customHeight="1">
      <c r="A3790" s="1" t="s">
        <v>3907</v>
      </c>
      <c r="B3790" s="1" t="s">
        <v>3876</v>
      </c>
      <c r="C3790" s="1"/>
      <c r="D3790" s="1"/>
      <c r="E3790" s="1"/>
      <c r="F3790" s="1"/>
      <c r="G3790" s="1"/>
      <c r="H3790" s="1"/>
      <c r="I3790" s="1"/>
    </row>
    <row r="3791" ht="15.75" customHeight="1">
      <c r="A3791" s="1" t="s">
        <v>3908</v>
      </c>
      <c r="B3791" s="1" t="s">
        <v>3876</v>
      </c>
      <c r="C3791" s="1"/>
      <c r="D3791" s="1"/>
      <c r="E3791" s="1"/>
      <c r="F3791" s="1"/>
      <c r="G3791" s="1"/>
      <c r="H3791" s="1"/>
      <c r="I3791" s="1"/>
    </row>
    <row r="3792" ht="15.75" customHeight="1">
      <c r="A3792" s="1" t="s">
        <v>3909</v>
      </c>
      <c r="B3792" s="1" t="s">
        <v>3876</v>
      </c>
      <c r="C3792" s="1"/>
      <c r="D3792" s="1"/>
      <c r="E3792" s="1"/>
      <c r="F3792" s="1"/>
      <c r="G3792" s="1"/>
      <c r="H3792" s="1"/>
      <c r="I3792" s="1"/>
    </row>
    <row r="3793" ht="15.75" customHeight="1">
      <c r="A3793" s="1" t="s">
        <v>3910</v>
      </c>
      <c r="B3793" s="1" t="s">
        <v>3876</v>
      </c>
      <c r="C3793" s="1"/>
      <c r="D3793" s="1"/>
      <c r="E3793" s="1"/>
      <c r="F3793" s="1"/>
      <c r="G3793" s="1"/>
      <c r="H3793" s="1"/>
      <c r="I3793" s="1"/>
    </row>
    <row r="3794" ht="15.75" customHeight="1">
      <c r="A3794" s="1" t="s">
        <v>3911</v>
      </c>
      <c r="B3794" s="1" t="s">
        <v>3876</v>
      </c>
      <c r="C3794" s="1"/>
      <c r="D3794" s="1"/>
      <c r="E3794" s="1"/>
      <c r="F3794" s="1"/>
      <c r="G3794" s="1"/>
      <c r="H3794" s="1"/>
      <c r="I3794" s="1"/>
    </row>
    <row r="3795" ht="15.75" customHeight="1">
      <c r="A3795" s="1" t="s">
        <v>3912</v>
      </c>
      <c r="B3795" s="1" t="s">
        <v>3876</v>
      </c>
      <c r="C3795" s="1"/>
      <c r="D3795" s="1"/>
      <c r="E3795" s="1"/>
      <c r="F3795" s="1"/>
      <c r="G3795" s="1"/>
      <c r="H3795" s="1"/>
      <c r="I3795" s="1"/>
    </row>
    <row r="3796" ht="15.75" customHeight="1">
      <c r="A3796" s="1" t="s">
        <v>3913</v>
      </c>
      <c r="B3796" s="1" t="s">
        <v>3876</v>
      </c>
      <c r="C3796" s="1"/>
      <c r="D3796" s="1"/>
      <c r="E3796" s="1"/>
      <c r="F3796" s="1"/>
      <c r="G3796" s="1"/>
      <c r="H3796" s="1"/>
      <c r="I3796" s="1"/>
    </row>
    <row r="3797" ht="15.75" customHeight="1">
      <c r="A3797" s="1" t="s">
        <v>3914</v>
      </c>
      <c r="B3797" s="1" t="s">
        <v>3876</v>
      </c>
      <c r="C3797" s="1"/>
      <c r="D3797" s="1"/>
      <c r="E3797" s="1"/>
      <c r="F3797" s="1"/>
      <c r="G3797" s="1"/>
      <c r="H3797" s="1"/>
      <c r="I3797" s="1"/>
    </row>
    <row r="3798" ht="15.75" customHeight="1">
      <c r="A3798" s="1" t="s">
        <v>3915</v>
      </c>
      <c r="B3798" s="1" t="s">
        <v>3876</v>
      </c>
      <c r="C3798" s="1"/>
      <c r="D3798" s="1"/>
      <c r="E3798" s="1"/>
      <c r="F3798" s="1"/>
      <c r="G3798" s="1"/>
      <c r="H3798" s="1"/>
      <c r="I3798" s="1"/>
    </row>
    <row r="3799" ht="15.75" customHeight="1">
      <c r="A3799" s="1" t="s">
        <v>3916</v>
      </c>
      <c r="B3799" s="1" t="s">
        <v>3876</v>
      </c>
      <c r="C3799" s="1"/>
      <c r="D3799" s="1"/>
      <c r="E3799" s="1"/>
      <c r="F3799" s="1"/>
      <c r="G3799" s="1"/>
      <c r="H3799" s="1"/>
      <c r="I3799" s="1"/>
    </row>
    <row r="3800" ht="15.75" customHeight="1">
      <c r="A3800" s="1" t="s">
        <v>3917</v>
      </c>
      <c r="B3800" s="1" t="s">
        <v>3918</v>
      </c>
      <c r="C3800" s="1"/>
      <c r="D3800" s="1"/>
      <c r="E3800" s="1"/>
      <c r="F3800" s="1"/>
      <c r="G3800" s="1"/>
      <c r="H3800" s="1"/>
      <c r="I3800" s="1"/>
    </row>
    <row r="3801" ht="15.75" customHeight="1">
      <c r="A3801" s="1" t="s">
        <v>3919</v>
      </c>
      <c r="B3801" s="1" t="s">
        <v>3918</v>
      </c>
      <c r="C3801" s="1"/>
      <c r="D3801" s="1"/>
      <c r="E3801" s="1"/>
      <c r="F3801" s="1"/>
      <c r="G3801" s="1"/>
      <c r="H3801" s="1"/>
      <c r="I3801" s="1"/>
    </row>
    <row r="3802" ht="15.75" customHeight="1">
      <c r="A3802" s="1" t="s">
        <v>3920</v>
      </c>
      <c r="B3802" s="1" t="s">
        <v>3918</v>
      </c>
      <c r="C3802" s="1"/>
      <c r="D3802" s="1"/>
      <c r="E3802" s="1"/>
      <c r="F3802" s="1"/>
      <c r="G3802" s="1"/>
      <c r="H3802" s="1"/>
      <c r="I3802" s="1"/>
    </row>
    <row r="3803" ht="15.75" customHeight="1">
      <c r="A3803" s="1" t="s">
        <v>3921</v>
      </c>
      <c r="B3803" s="1" t="s">
        <v>3918</v>
      </c>
      <c r="C3803" s="1"/>
      <c r="D3803" s="1"/>
      <c r="E3803" s="1"/>
      <c r="F3803" s="1"/>
      <c r="G3803" s="1"/>
      <c r="H3803" s="1"/>
      <c r="I3803" s="1"/>
    </row>
    <row r="3804" ht="15.75" customHeight="1">
      <c r="A3804" s="1" t="s">
        <v>3922</v>
      </c>
      <c r="B3804" s="1" t="s">
        <v>3918</v>
      </c>
      <c r="C3804" s="1"/>
      <c r="D3804" s="1"/>
      <c r="E3804" s="1"/>
      <c r="F3804" s="1"/>
      <c r="G3804" s="1"/>
      <c r="H3804" s="1"/>
      <c r="I3804" s="1"/>
    </row>
    <row r="3805" ht="15.75" customHeight="1">
      <c r="A3805" s="1" t="s">
        <v>3923</v>
      </c>
      <c r="B3805" s="1" t="s">
        <v>3918</v>
      </c>
      <c r="C3805" s="1"/>
      <c r="D3805" s="1"/>
      <c r="E3805" s="1"/>
      <c r="F3805" s="1"/>
      <c r="G3805" s="1"/>
      <c r="H3805" s="1"/>
      <c r="I3805" s="1"/>
    </row>
    <row r="3806" ht="15.75" customHeight="1">
      <c r="A3806" s="1" t="s">
        <v>3924</v>
      </c>
      <c r="B3806" s="1" t="s">
        <v>3918</v>
      </c>
      <c r="C3806" s="1"/>
      <c r="D3806" s="1"/>
      <c r="E3806" s="1"/>
      <c r="F3806" s="1"/>
      <c r="G3806" s="1"/>
      <c r="H3806" s="1"/>
      <c r="I3806" s="1"/>
    </row>
    <row r="3807" ht="15.75" customHeight="1">
      <c r="A3807" s="1" t="s">
        <v>3925</v>
      </c>
      <c r="B3807" s="1" t="s">
        <v>3918</v>
      </c>
      <c r="C3807" s="1"/>
      <c r="D3807" s="1"/>
      <c r="E3807" s="1"/>
      <c r="F3807" s="1"/>
      <c r="G3807" s="1"/>
      <c r="H3807" s="1"/>
      <c r="I3807" s="1"/>
    </row>
    <row r="3808" ht="15.75" customHeight="1">
      <c r="A3808" s="1" t="s">
        <v>3926</v>
      </c>
      <c r="B3808" s="1" t="s">
        <v>3918</v>
      </c>
      <c r="C3808" s="1"/>
      <c r="D3808" s="1"/>
      <c r="E3808" s="1"/>
      <c r="F3808" s="1"/>
      <c r="G3808" s="1"/>
      <c r="H3808" s="1"/>
      <c r="I3808" s="1"/>
    </row>
    <row r="3809" ht="15.75" customHeight="1">
      <c r="A3809" s="1" t="s">
        <v>3927</v>
      </c>
      <c r="B3809" s="1" t="s">
        <v>3918</v>
      </c>
      <c r="C3809" s="1"/>
      <c r="D3809" s="1"/>
      <c r="E3809" s="1"/>
      <c r="F3809" s="1"/>
      <c r="G3809" s="1"/>
      <c r="H3809" s="1"/>
      <c r="I3809" s="1"/>
    </row>
    <row r="3810" ht="15.75" customHeight="1">
      <c r="A3810" s="1" t="s">
        <v>3928</v>
      </c>
      <c r="B3810" s="1" t="s">
        <v>3918</v>
      </c>
      <c r="C3810" s="1"/>
      <c r="D3810" s="1"/>
      <c r="E3810" s="1"/>
      <c r="F3810" s="1"/>
      <c r="G3810" s="1"/>
      <c r="H3810" s="1"/>
      <c r="I3810" s="1"/>
    </row>
    <row r="3811" ht="15.75" customHeight="1">
      <c r="A3811" s="1" t="s">
        <v>3929</v>
      </c>
      <c r="B3811" s="1" t="s">
        <v>3918</v>
      </c>
      <c r="C3811" s="1"/>
      <c r="D3811" s="1"/>
      <c r="E3811" s="1"/>
      <c r="F3811" s="1"/>
      <c r="G3811" s="1"/>
      <c r="H3811" s="1"/>
      <c r="I3811" s="1"/>
    </row>
    <row r="3812" ht="15.75" customHeight="1">
      <c r="A3812" s="1" t="s">
        <v>3930</v>
      </c>
      <c r="B3812" s="1" t="s">
        <v>3918</v>
      </c>
      <c r="C3812" s="1"/>
      <c r="D3812" s="1"/>
      <c r="E3812" s="1"/>
      <c r="F3812" s="1"/>
      <c r="G3812" s="1"/>
      <c r="H3812" s="1"/>
      <c r="I3812" s="1"/>
    </row>
    <row r="3813" ht="15.75" customHeight="1">
      <c r="A3813" s="1" t="s">
        <v>3931</v>
      </c>
      <c r="B3813" s="1" t="s">
        <v>3918</v>
      </c>
      <c r="C3813" s="1"/>
      <c r="D3813" s="1"/>
      <c r="E3813" s="1"/>
      <c r="F3813" s="1"/>
      <c r="G3813" s="1"/>
      <c r="H3813" s="1"/>
      <c r="I3813" s="1"/>
    </row>
    <row r="3814" ht="15.75" customHeight="1">
      <c r="A3814" s="1" t="s">
        <v>3932</v>
      </c>
      <c r="B3814" s="1" t="s">
        <v>3918</v>
      </c>
      <c r="C3814" s="1"/>
      <c r="D3814" s="1"/>
      <c r="E3814" s="1"/>
      <c r="F3814" s="1"/>
      <c r="G3814" s="1"/>
      <c r="H3814" s="1"/>
      <c r="I3814" s="1"/>
    </row>
    <row r="3815" ht="15.75" customHeight="1">
      <c r="A3815" s="1" t="s">
        <v>3933</v>
      </c>
      <c r="B3815" s="1" t="s">
        <v>3918</v>
      </c>
      <c r="C3815" s="1"/>
      <c r="D3815" s="1"/>
      <c r="E3815" s="1"/>
      <c r="F3815" s="1"/>
      <c r="G3815" s="1"/>
      <c r="H3815" s="1"/>
      <c r="I3815" s="1"/>
    </row>
    <row r="3816" ht="15.75" customHeight="1">
      <c r="A3816" s="1" t="s">
        <v>3934</v>
      </c>
      <c r="B3816" s="1" t="s">
        <v>3918</v>
      </c>
      <c r="C3816" s="1"/>
      <c r="D3816" s="1"/>
      <c r="E3816" s="1"/>
      <c r="F3816" s="1"/>
      <c r="G3816" s="1"/>
      <c r="H3816" s="1"/>
      <c r="I3816" s="1"/>
    </row>
    <row r="3817" ht="15.75" customHeight="1">
      <c r="A3817" s="1" t="s">
        <v>3935</v>
      </c>
      <c r="B3817" s="1" t="s">
        <v>3918</v>
      </c>
      <c r="C3817" s="1"/>
      <c r="D3817" s="1"/>
      <c r="E3817" s="1"/>
      <c r="F3817" s="1"/>
      <c r="G3817" s="1"/>
      <c r="H3817" s="1"/>
      <c r="I3817" s="1"/>
    </row>
    <row r="3818" ht="15.75" customHeight="1">
      <c r="A3818" s="1" t="s">
        <v>3936</v>
      </c>
      <c r="B3818" s="1" t="s">
        <v>3918</v>
      </c>
      <c r="C3818" s="1"/>
      <c r="D3818" s="1"/>
      <c r="E3818" s="1"/>
      <c r="F3818" s="1"/>
      <c r="G3818" s="1"/>
      <c r="H3818" s="1"/>
      <c r="I3818" s="1"/>
    </row>
    <row r="3819" ht="15.75" customHeight="1">
      <c r="A3819" s="1" t="s">
        <v>3937</v>
      </c>
      <c r="B3819" s="1" t="s">
        <v>3918</v>
      </c>
      <c r="C3819" s="1"/>
      <c r="D3819" s="1"/>
      <c r="E3819" s="1"/>
      <c r="F3819" s="1"/>
      <c r="G3819" s="1"/>
      <c r="H3819" s="1"/>
      <c r="I3819" s="1"/>
    </row>
    <row r="3820" ht="15.75" customHeight="1">
      <c r="A3820" s="1" t="s">
        <v>3938</v>
      </c>
      <c r="B3820" s="1" t="s">
        <v>3918</v>
      </c>
      <c r="C3820" s="1"/>
      <c r="D3820" s="1"/>
      <c r="E3820" s="1"/>
      <c r="F3820" s="1"/>
      <c r="G3820" s="1"/>
      <c r="H3820" s="1"/>
      <c r="I3820" s="1"/>
    </row>
    <row r="3821" ht="15.75" customHeight="1">
      <c r="A3821" s="1" t="s">
        <v>3939</v>
      </c>
      <c r="B3821" s="1" t="s">
        <v>3918</v>
      </c>
      <c r="C3821" s="1"/>
      <c r="D3821" s="1"/>
      <c r="E3821" s="1"/>
      <c r="F3821" s="1"/>
      <c r="G3821" s="1"/>
      <c r="H3821" s="1"/>
      <c r="I3821" s="1"/>
    </row>
    <row r="3822" ht="15.75" customHeight="1">
      <c r="A3822" s="1" t="s">
        <v>3940</v>
      </c>
      <c r="B3822" s="1" t="s">
        <v>3918</v>
      </c>
      <c r="C3822" s="1"/>
      <c r="D3822" s="1"/>
      <c r="E3822" s="1"/>
      <c r="F3822" s="1"/>
      <c r="G3822" s="1"/>
      <c r="H3822" s="1"/>
      <c r="I3822" s="1"/>
    </row>
    <row r="3823" ht="15.75" customHeight="1">
      <c r="A3823" s="1" t="s">
        <v>3941</v>
      </c>
      <c r="B3823" s="1" t="s">
        <v>3918</v>
      </c>
      <c r="C3823" s="1"/>
      <c r="D3823" s="1"/>
      <c r="E3823" s="1"/>
      <c r="F3823" s="1"/>
      <c r="G3823" s="1"/>
      <c r="H3823" s="1"/>
      <c r="I3823" s="1"/>
    </row>
    <row r="3824" ht="15.75" customHeight="1">
      <c r="A3824" s="1" t="s">
        <v>3942</v>
      </c>
      <c r="B3824" s="1" t="s">
        <v>3918</v>
      </c>
      <c r="C3824" s="1"/>
      <c r="D3824" s="1"/>
      <c r="E3824" s="1"/>
      <c r="F3824" s="1"/>
      <c r="G3824" s="1"/>
      <c r="H3824" s="1"/>
      <c r="I3824" s="1"/>
    </row>
    <row r="3825" ht="15.75" customHeight="1">
      <c r="A3825" s="1" t="s">
        <v>3943</v>
      </c>
      <c r="B3825" s="1" t="s">
        <v>3918</v>
      </c>
      <c r="C3825" s="1"/>
      <c r="D3825" s="1"/>
      <c r="E3825" s="1"/>
      <c r="F3825" s="1"/>
      <c r="G3825" s="1"/>
      <c r="H3825" s="1"/>
      <c r="I3825" s="1"/>
    </row>
    <row r="3826" ht="15.75" customHeight="1">
      <c r="A3826" s="1" t="s">
        <v>3944</v>
      </c>
      <c r="B3826" s="1" t="s">
        <v>3918</v>
      </c>
      <c r="C3826" s="1"/>
      <c r="D3826" s="1"/>
      <c r="E3826" s="1"/>
      <c r="F3826" s="1"/>
      <c r="G3826" s="1"/>
      <c r="H3826" s="1"/>
      <c r="I3826" s="1"/>
    </row>
    <row r="3827" ht="15.75" customHeight="1">
      <c r="A3827" s="1" t="s">
        <v>3945</v>
      </c>
      <c r="B3827" s="1" t="s">
        <v>3918</v>
      </c>
      <c r="C3827" s="1"/>
      <c r="D3827" s="1"/>
      <c r="E3827" s="1"/>
      <c r="F3827" s="1"/>
      <c r="G3827" s="1"/>
      <c r="H3827" s="1"/>
      <c r="I3827" s="1"/>
    </row>
    <row r="3828" ht="15.75" customHeight="1">
      <c r="A3828" s="1" t="s">
        <v>3946</v>
      </c>
      <c r="B3828" s="1" t="s">
        <v>3918</v>
      </c>
      <c r="C3828" s="1"/>
      <c r="D3828" s="1"/>
      <c r="E3828" s="1"/>
      <c r="F3828" s="1"/>
      <c r="G3828" s="1"/>
      <c r="H3828" s="1"/>
      <c r="I3828" s="1"/>
    </row>
    <row r="3829" ht="15.75" customHeight="1">
      <c r="A3829" s="1" t="s">
        <v>3947</v>
      </c>
      <c r="B3829" s="1" t="s">
        <v>3918</v>
      </c>
      <c r="C3829" s="1"/>
      <c r="D3829" s="1"/>
      <c r="E3829" s="1"/>
      <c r="F3829" s="1"/>
      <c r="G3829" s="1"/>
      <c r="H3829" s="1"/>
      <c r="I3829" s="1"/>
    </row>
    <row r="3830" ht="15.75" customHeight="1">
      <c r="A3830" s="1" t="s">
        <v>3948</v>
      </c>
      <c r="B3830" s="1" t="s">
        <v>3918</v>
      </c>
      <c r="C3830" s="1"/>
      <c r="D3830" s="1"/>
      <c r="E3830" s="1"/>
      <c r="F3830" s="1"/>
      <c r="G3830" s="1"/>
      <c r="H3830" s="1"/>
      <c r="I3830" s="1"/>
    </row>
    <row r="3831" ht="15.75" customHeight="1">
      <c r="A3831" s="1" t="s">
        <v>3949</v>
      </c>
      <c r="B3831" s="1" t="s">
        <v>3918</v>
      </c>
      <c r="C3831" s="1"/>
      <c r="D3831" s="1"/>
      <c r="E3831" s="1"/>
      <c r="F3831" s="1"/>
      <c r="G3831" s="1"/>
      <c r="H3831" s="1"/>
      <c r="I3831" s="1"/>
    </row>
    <row r="3832" ht="15.75" customHeight="1">
      <c r="A3832" s="1" t="s">
        <v>3950</v>
      </c>
      <c r="B3832" s="1" t="s">
        <v>3918</v>
      </c>
      <c r="C3832" s="1"/>
      <c r="D3832" s="1"/>
      <c r="E3832" s="1"/>
      <c r="F3832" s="1"/>
      <c r="G3832" s="1"/>
      <c r="H3832" s="1"/>
      <c r="I3832" s="1"/>
    </row>
    <row r="3833" ht="15.75" customHeight="1">
      <c r="A3833" s="1" t="s">
        <v>3951</v>
      </c>
      <c r="B3833" s="1" t="s">
        <v>3918</v>
      </c>
      <c r="C3833" s="1"/>
      <c r="D3833" s="1"/>
      <c r="E3833" s="1"/>
      <c r="F3833" s="1"/>
      <c r="G3833" s="1"/>
      <c r="H3833" s="1"/>
      <c r="I3833" s="1"/>
    </row>
    <row r="3834" ht="15.75" customHeight="1">
      <c r="A3834" s="1" t="s">
        <v>3952</v>
      </c>
      <c r="B3834" s="1" t="s">
        <v>3918</v>
      </c>
      <c r="C3834" s="1"/>
      <c r="D3834" s="1"/>
      <c r="E3834" s="1"/>
      <c r="F3834" s="1"/>
      <c r="G3834" s="1"/>
      <c r="H3834" s="1"/>
      <c r="I3834" s="1"/>
    </row>
    <row r="3835" ht="15.75" customHeight="1">
      <c r="A3835" s="1" t="s">
        <v>3953</v>
      </c>
      <c r="B3835" s="1" t="s">
        <v>3918</v>
      </c>
      <c r="C3835" s="1"/>
      <c r="D3835" s="1"/>
      <c r="E3835" s="1"/>
      <c r="F3835" s="1"/>
      <c r="G3835" s="1"/>
      <c r="H3835" s="1"/>
      <c r="I3835" s="1"/>
    </row>
    <row r="3836" ht="15.75" customHeight="1">
      <c r="A3836" s="1" t="s">
        <v>3954</v>
      </c>
      <c r="B3836" s="1" t="s">
        <v>3918</v>
      </c>
      <c r="C3836" s="1"/>
      <c r="D3836" s="1"/>
      <c r="E3836" s="1"/>
      <c r="F3836" s="1"/>
      <c r="G3836" s="1"/>
      <c r="H3836" s="1"/>
      <c r="I3836" s="1"/>
    </row>
    <row r="3837" ht="15.75" customHeight="1">
      <c r="A3837" s="1" t="s">
        <v>3955</v>
      </c>
      <c r="B3837" s="1" t="s">
        <v>3918</v>
      </c>
      <c r="C3837" s="1"/>
      <c r="D3837" s="1"/>
      <c r="E3837" s="1"/>
      <c r="F3837" s="1"/>
      <c r="G3837" s="1"/>
      <c r="H3837" s="1"/>
      <c r="I3837" s="1"/>
    </row>
    <row r="3838" ht="15.75" customHeight="1">
      <c r="A3838" s="1" t="s">
        <v>3956</v>
      </c>
      <c r="B3838" s="1" t="s">
        <v>3918</v>
      </c>
      <c r="C3838" s="1"/>
      <c r="D3838" s="1"/>
      <c r="E3838" s="1"/>
      <c r="F3838" s="1"/>
      <c r="G3838" s="1"/>
      <c r="H3838" s="1"/>
      <c r="I3838" s="1"/>
    </row>
    <row r="3839" ht="15.75" customHeight="1">
      <c r="A3839" s="1" t="s">
        <v>3957</v>
      </c>
      <c r="B3839" s="1" t="s">
        <v>3918</v>
      </c>
      <c r="C3839" s="1"/>
      <c r="D3839" s="1"/>
      <c r="E3839" s="1"/>
      <c r="F3839" s="1"/>
      <c r="G3839" s="1"/>
      <c r="H3839" s="1"/>
      <c r="I3839" s="1"/>
    </row>
    <row r="3840" ht="15.75" customHeight="1">
      <c r="A3840" s="1" t="s">
        <v>3958</v>
      </c>
      <c r="B3840" s="1" t="s">
        <v>3918</v>
      </c>
      <c r="C3840" s="1"/>
      <c r="D3840" s="1"/>
      <c r="E3840" s="1"/>
      <c r="F3840" s="1"/>
      <c r="G3840" s="1"/>
      <c r="H3840" s="1"/>
      <c r="I3840" s="1"/>
    </row>
    <row r="3841" ht="15.75" customHeight="1">
      <c r="A3841" s="1" t="s">
        <v>3959</v>
      </c>
      <c r="B3841" s="1" t="s">
        <v>3918</v>
      </c>
      <c r="C3841" s="1"/>
      <c r="D3841" s="1"/>
      <c r="E3841" s="1"/>
      <c r="F3841" s="1"/>
      <c r="G3841" s="1"/>
      <c r="H3841" s="1"/>
      <c r="I3841" s="1"/>
    </row>
    <row r="3842" ht="15.75" customHeight="1">
      <c r="A3842" s="1" t="s">
        <v>3960</v>
      </c>
      <c r="B3842" s="1" t="s">
        <v>3918</v>
      </c>
      <c r="C3842" s="1"/>
      <c r="D3842" s="1"/>
      <c r="E3842" s="1"/>
      <c r="F3842" s="1"/>
      <c r="G3842" s="1"/>
      <c r="H3842" s="1"/>
      <c r="I3842" s="1"/>
    </row>
    <row r="3843" ht="15.75" customHeight="1">
      <c r="A3843" s="1" t="s">
        <v>3961</v>
      </c>
      <c r="B3843" s="1" t="s">
        <v>3918</v>
      </c>
      <c r="C3843" s="1"/>
      <c r="D3843" s="1"/>
      <c r="E3843" s="1"/>
      <c r="F3843" s="1"/>
      <c r="G3843" s="1"/>
      <c r="H3843" s="1"/>
      <c r="I3843" s="1"/>
    </row>
    <row r="3844" ht="15.75" customHeight="1">
      <c r="A3844" s="1" t="s">
        <v>3962</v>
      </c>
      <c r="B3844" s="1" t="s">
        <v>3918</v>
      </c>
      <c r="C3844" s="1"/>
      <c r="D3844" s="1"/>
      <c r="E3844" s="1"/>
      <c r="F3844" s="1"/>
      <c r="G3844" s="1"/>
      <c r="H3844" s="1"/>
      <c r="I3844" s="1"/>
    </row>
    <row r="3845" ht="15.75" customHeight="1">
      <c r="A3845" s="1" t="s">
        <v>3963</v>
      </c>
      <c r="B3845" s="1" t="s">
        <v>3918</v>
      </c>
      <c r="C3845" s="1"/>
      <c r="D3845" s="1"/>
      <c r="E3845" s="1"/>
      <c r="F3845" s="1"/>
      <c r="G3845" s="1"/>
      <c r="H3845" s="1"/>
      <c r="I3845" s="1"/>
    </row>
    <row r="3846" ht="15.75" customHeight="1">
      <c r="A3846" s="1" t="s">
        <v>3964</v>
      </c>
      <c r="B3846" s="1" t="s">
        <v>3918</v>
      </c>
      <c r="C3846" s="1"/>
      <c r="D3846" s="1"/>
      <c r="E3846" s="1"/>
      <c r="F3846" s="1"/>
      <c r="G3846" s="1"/>
      <c r="H3846" s="1"/>
      <c r="I3846" s="1"/>
    </row>
    <row r="3847" ht="15.75" customHeight="1">
      <c r="A3847" s="1" t="s">
        <v>3965</v>
      </c>
      <c r="B3847" s="1" t="s">
        <v>3918</v>
      </c>
      <c r="C3847" s="1"/>
      <c r="D3847" s="1"/>
      <c r="E3847" s="1"/>
      <c r="F3847" s="1"/>
      <c r="G3847" s="1"/>
      <c r="H3847" s="1"/>
      <c r="I3847" s="1"/>
    </row>
    <row r="3848" ht="15.75" customHeight="1">
      <c r="A3848" s="1" t="s">
        <v>3966</v>
      </c>
      <c r="B3848" s="1" t="s">
        <v>3918</v>
      </c>
      <c r="C3848" s="1"/>
      <c r="D3848" s="1"/>
      <c r="E3848" s="1"/>
      <c r="F3848" s="1"/>
      <c r="G3848" s="1"/>
      <c r="H3848" s="1"/>
      <c r="I3848" s="1"/>
    </row>
    <row r="3849" ht="15.75" customHeight="1">
      <c r="A3849" s="1" t="s">
        <v>3967</v>
      </c>
      <c r="B3849" s="1" t="s">
        <v>3918</v>
      </c>
      <c r="C3849" s="1"/>
      <c r="D3849" s="1"/>
      <c r="E3849" s="1"/>
      <c r="F3849" s="1"/>
      <c r="G3849" s="1"/>
      <c r="H3849" s="1"/>
      <c r="I3849" s="1"/>
    </row>
    <row r="3850" ht="15.75" customHeight="1">
      <c r="A3850" s="1" t="s">
        <v>3968</v>
      </c>
      <c r="B3850" s="1" t="s">
        <v>3918</v>
      </c>
      <c r="C3850" s="1"/>
      <c r="D3850" s="1"/>
      <c r="E3850" s="1"/>
      <c r="F3850" s="1"/>
      <c r="G3850" s="1"/>
      <c r="H3850" s="1"/>
      <c r="I3850" s="1"/>
    </row>
    <row r="3851" ht="15.75" customHeight="1">
      <c r="A3851" s="1" t="s">
        <v>3969</v>
      </c>
      <c r="B3851" s="1" t="s">
        <v>3918</v>
      </c>
      <c r="C3851" s="1"/>
      <c r="D3851" s="1"/>
      <c r="E3851" s="1"/>
      <c r="F3851" s="1"/>
      <c r="G3851" s="1"/>
      <c r="H3851" s="1"/>
      <c r="I3851" s="1"/>
    </row>
    <row r="3852" ht="15.75" customHeight="1">
      <c r="A3852" s="1" t="s">
        <v>3970</v>
      </c>
      <c r="B3852" s="1" t="s">
        <v>3918</v>
      </c>
      <c r="C3852" s="1"/>
      <c r="D3852" s="1"/>
      <c r="E3852" s="1"/>
      <c r="F3852" s="1"/>
      <c r="G3852" s="1"/>
      <c r="H3852" s="1"/>
      <c r="I3852" s="1"/>
    </row>
    <row r="3853" ht="15.75" customHeight="1">
      <c r="A3853" s="1" t="s">
        <v>3971</v>
      </c>
      <c r="B3853" s="1" t="s">
        <v>3918</v>
      </c>
      <c r="C3853" s="1"/>
      <c r="D3853" s="1"/>
      <c r="E3853" s="1"/>
      <c r="F3853" s="1"/>
      <c r="G3853" s="1"/>
      <c r="H3853" s="1"/>
      <c r="I3853" s="1"/>
    </row>
    <row r="3854" ht="15.75" customHeight="1">
      <c r="A3854" s="1" t="s">
        <v>3972</v>
      </c>
      <c r="B3854" s="1" t="s">
        <v>3918</v>
      </c>
      <c r="C3854" s="1"/>
      <c r="D3854" s="1"/>
      <c r="E3854" s="1"/>
      <c r="F3854" s="1"/>
      <c r="G3854" s="1"/>
      <c r="H3854" s="1"/>
      <c r="I3854" s="1"/>
    </row>
    <row r="3855" ht="15.75" customHeight="1">
      <c r="A3855" s="1" t="s">
        <v>3973</v>
      </c>
      <c r="B3855" s="1" t="s">
        <v>3918</v>
      </c>
      <c r="C3855" s="1"/>
      <c r="D3855" s="1"/>
      <c r="E3855" s="1"/>
      <c r="F3855" s="1"/>
      <c r="G3855" s="1"/>
      <c r="H3855" s="1"/>
      <c r="I3855" s="1"/>
    </row>
    <row r="3856" ht="15.75" customHeight="1">
      <c r="A3856" s="1" t="s">
        <v>3974</v>
      </c>
      <c r="B3856" s="1" t="s">
        <v>3918</v>
      </c>
      <c r="C3856" s="1"/>
      <c r="D3856" s="1"/>
      <c r="E3856" s="1"/>
      <c r="F3856" s="1"/>
      <c r="G3856" s="1"/>
      <c r="H3856" s="1"/>
      <c r="I3856" s="1"/>
    </row>
    <row r="3857" ht="15.75" customHeight="1">
      <c r="A3857" s="1" t="s">
        <v>3975</v>
      </c>
      <c r="B3857" s="1" t="s">
        <v>3918</v>
      </c>
      <c r="C3857" s="1"/>
      <c r="D3857" s="1"/>
      <c r="E3857" s="1"/>
      <c r="F3857" s="1"/>
      <c r="G3857" s="1"/>
      <c r="H3857" s="1"/>
      <c r="I3857" s="1"/>
    </row>
    <row r="3858" ht="15.75" customHeight="1">
      <c r="A3858" s="1" t="s">
        <v>3976</v>
      </c>
      <c r="B3858" s="1" t="s">
        <v>3918</v>
      </c>
      <c r="C3858" s="1"/>
      <c r="D3858" s="1"/>
      <c r="E3858" s="1"/>
      <c r="F3858" s="1"/>
      <c r="G3858" s="1"/>
      <c r="H3858" s="1"/>
      <c r="I3858" s="1"/>
    </row>
    <row r="3859" ht="15.75" customHeight="1">
      <c r="A3859" s="1" t="s">
        <v>3977</v>
      </c>
      <c r="B3859" s="1" t="s">
        <v>3918</v>
      </c>
      <c r="C3859" s="1"/>
      <c r="D3859" s="1"/>
      <c r="E3859" s="1"/>
      <c r="F3859" s="1"/>
      <c r="G3859" s="1"/>
      <c r="H3859" s="1"/>
      <c r="I3859" s="1"/>
    </row>
    <row r="3860" ht="15.75" customHeight="1">
      <c r="A3860" s="1" t="s">
        <v>3978</v>
      </c>
      <c r="B3860" s="1" t="s">
        <v>3918</v>
      </c>
      <c r="C3860" s="1"/>
      <c r="D3860" s="1"/>
      <c r="E3860" s="1"/>
      <c r="F3860" s="1"/>
      <c r="G3860" s="1"/>
      <c r="H3860" s="1"/>
      <c r="I3860" s="1"/>
    </row>
    <row r="3861" ht="15.75" customHeight="1">
      <c r="A3861" s="1" t="s">
        <v>3979</v>
      </c>
      <c r="B3861" s="1" t="s">
        <v>3918</v>
      </c>
      <c r="C3861" s="1"/>
      <c r="D3861" s="1"/>
      <c r="E3861" s="1"/>
      <c r="F3861" s="1"/>
      <c r="G3861" s="1"/>
      <c r="H3861" s="1"/>
      <c r="I3861" s="1"/>
    </row>
    <row r="3862" ht="15.75" customHeight="1">
      <c r="A3862" s="1" t="s">
        <v>3980</v>
      </c>
      <c r="B3862" s="1" t="s">
        <v>3918</v>
      </c>
      <c r="C3862" s="1"/>
      <c r="D3862" s="1"/>
      <c r="E3862" s="1"/>
      <c r="F3862" s="1"/>
      <c r="G3862" s="1"/>
      <c r="H3862" s="1"/>
      <c r="I3862" s="1"/>
    </row>
    <row r="3863" ht="15.75" customHeight="1">
      <c r="A3863" s="1" t="s">
        <v>3981</v>
      </c>
      <c r="B3863" s="1" t="s">
        <v>3918</v>
      </c>
      <c r="C3863" s="1"/>
      <c r="D3863" s="1"/>
      <c r="E3863" s="1"/>
      <c r="F3863" s="1"/>
      <c r="G3863" s="1"/>
      <c r="H3863" s="1"/>
      <c r="I3863" s="1"/>
    </row>
    <row r="3864" ht="15.75" customHeight="1">
      <c r="A3864" s="1" t="s">
        <v>3982</v>
      </c>
      <c r="B3864" s="1" t="s">
        <v>3918</v>
      </c>
      <c r="C3864" s="1"/>
      <c r="D3864" s="1"/>
      <c r="E3864" s="1"/>
      <c r="F3864" s="1"/>
      <c r="G3864" s="1"/>
      <c r="H3864" s="1"/>
      <c r="I3864" s="1"/>
    </row>
    <row r="3865" ht="15.75" customHeight="1">
      <c r="A3865" s="1" t="s">
        <v>3983</v>
      </c>
      <c r="B3865" s="1" t="s">
        <v>3918</v>
      </c>
      <c r="C3865" s="1"/>
      <c r="D3865" s="1"/>
      <c r="E3865" s="1"/>
      <c r="F3865" s="1"/>
      <c r="G3865" s="1"/>
      <c r="H3865" s="1"/>
      <c r="I3865" s="1"/>
    </row>
    <row r="3866" ht="15.75" customHeight="1">
      <c r="A3866" s="1" t="s">
        <v>3984</v>
      </c>
      <c r="B3866" s="1" t="s">
        <v>3918</v>
      </c>
      <c r="C3866" s="1"/>
      <c r="D3866" s="1"/>
      <c r="E3866" s="1"/>
      <c r="F3866" s="1"/>
      <c r="G3866" s="1"/>
      <c r="H3866" s="1"/>
      <c r="I3866" s="1"/>
    </row>
    <row r="3867" ht="15.75" customHeight="1">
      <c r="A3867" s="1" t="s">
        <v>3985</v>
      </c>
      <c r="B3867" s="1" t="s">
        <v>3918</v>
      </c>
      <c r="C3867" s="1"/>
      <c r="D3867" s="1"/>
      <c r="E3867" s="1"/>
      <c r="F3867" s="1"/>
      <c r="G3867" s="1"/>
      <c r="H3867" s="1"/>
      <c r="I3867" s="1"/>
    </row>
    <row r="3868" ht="15.75" customHeight="1">
      <c r="A3868" s="1" t="s">
        <v>3986</v>
      </c>
      <c r="B3868" s="1" t="s">
        <v>3918</v>
      </c>
      <c r="C3868" s="1"/>
      <c r="D3868" s="1"/>
      <c r="E3868" s="1"/>
      <c r="F3868" s="1"/>
      <c r="G3868" s="1"/>
      <c r="H3868" s="1"/>
      <c r="I3868" s="1"/>
    </row>
    <row r="3869" ht="15.75" customHeight="1">
      <c r="A3869" s="1" t="s">
        <v>3987</v>
      </c>
      <c r="B3869" s="1" t="s">
        <v>3918</v>
      </c>
      <c r="C3869" s="1"/>
      <c r="D3869" s="1"/>
      <c r="E3869" s="1"/>
      <c r="F3869" s="1"/>
      <c r="G3869" s="1"/>
      <c r="H3869" s="1"/>
      <c r="I3869" s="1"/>
    </row>
    <row r="3870" ht="15.75" customHeight="1">
      <c r="A3870" s="1" t="s">
        <v>3988</v>
      </c>
      <c r="B3870" s="1" t="s">
        <v>3918</v>
      </c>
      <c r="C3870" s="1"/>
      <c r="D3870" s="1"/>
      <c r="E3870" s="1"/>
      <c r="F3870" s="1"/>
      <c r="G3870" s="1"/>
      <c r="H3870" s="1"/>
      <c r="I3870" s="1"/>
    </row>
    <row r="3871" ht="15.75" customHeight="1">
      <c r="A3871" s="1" t="s">
        <v>3989</v>
      </c>
      <c r="B3871" s="1" t="s">
        <v>3918</v>
      </c>
      <c r="C3871" s="1"/>
      <c r="D3871" s="1"/>
      <c r="E3871" s="1"/>
      <c r="F3871" s="1"/>
      <c r="G3871" s="1"/>
      <c r="H3871" s="1"/>
      <c r="I3871" s="1"/>
    </row>
    <row r="3872" ht="15.75" customHeight="1">
      <c r="A3872" s="1" t="s">
        <v>3990</v>
      </c>
      <c r="B3872" s="1" t="s">
        <v>3918</v>
      </c>
      <c r="C3872" s="1"/>
      <c r="D3872" s="1"/>
      <c r="E3872" s="1"/>
      <c r="F3872" s="1"/>
      <c r="G3872" s="1"/>
      <c r="H3872" s="1"/>
      <c r="I3872" s="1"/>
    </row>
    <row r="3873" ht="15.75" customHeight="1">
      <c r="A3873" s="1" t="s">
        <v>3991</v>
      </c>
      <c r="B3873" s="1" t="s">
        <v>3918</v>
      </c>
      <c r="C3873" s="1"/>
      <c r="D3873" s="1"/>
      <c r="E3873" s="1"/>
      <c r="F3873" s="1"/>
      <c r="G3873" s="1"/>
      <c r="H3873" s="1"/>
      <c r="I3873" s="1"/>
    </row>
    <row r="3874" ht="15.75" customHeight="1">
      <c r="A3874" s="1" t="s">
        <v>3992</v>
      </c>
      <c r="B3874" s="1" t="s">
        <v>3918</v>
      </c>
      <c r="C3874" s="1"/>
      <c r="D3874" s="1"/>
      <c r="E3874" s="1"/>
      <c r="F3874" s="1"/>
      <c r="G3874" s="1"/>
      <c r="H3874" s="1"/>
      <c r="I3874" s="1"/>
    </row>
    <row r="3875" ht="15.75" customHeight="1">
      <c r="A3875" s="1" t="s">
        <v>3993</v>
      </c>
      <c r="B3875" s="1" t="s">
        <v>3918</v>
      </c>
      <c r="C3875" s="1"/>
      <c r="D3875" s="1"/>
      <c r="E3875" s="1"/>
      <c r="F3875" s="1"/>
      <c r="G3875" s="1"/>
      <c r="H3875" s="1"/>
      <c r="I3875" s="1"/>
    </row>
    <row r="3876" ht="15.75" customHeight="1">
      <c r="A3876" s="1" t="s">
        <v>3994</v>
      </c>
      <c r="B3876" s="1" t="s">
        <v>3918</v>
      </c>
      <c r="C3876" s="1"/>
      <c r="D3876" s="1"/>
      <c r="E3876" s="1"/>
      <c r="F3876" s="1"/>
      <c r="G3876" s="1"/>
      <c r="H3876" s="1"/>
      <c r="I3876" s="1"/>
    </row>
    <row r="3877" ht="15.75" customHeight="1">
      <c r="A3877" s="1" t="s">
        <v>3995</v>
      </c>
      <c r="B3877" s="1" t="s">
        <v>3918</v>
      </c>
      <c r="C3877" s="1"/>
      <c r="D3877" s="1"/>
      <c r="E3877" s="1"/>
      <c r="F3877" s="1"/>
      <c r="G3877" s="1"/>
      <c r="H3877" s="1"/>
      <c r="I3877" s="1"/>
    </row>
    <row r="3878" ht="15.75" customHeight="1">
      <c r="A3878" s="1" t="s">
        <v>3996</v>
      </c>
      <c r="B3878" s="1" t="s">
        <v>3918</v>
      </c>
      <c r="C3878" s="1"/>
      <c r="D3878" s="1"/>
      <c r="E3878" s="1"/>
      <c r="F3878" s="1"/>
      <c r="G3878" s="1"/>
      <c r="H3878" s="1"/>
      <c r="I3878" s="1"/>
    </row>
    <row r="3879" ht="15.75" customHeight="1">
      <c r="A3879" s="1" t="s">
        <v>3997</v>
      </c>
      <c r="B3879" s="1" t="s">
        <v>3918</v>
      </c>
      <c r="C3879" s="1"/>
      <c r="D3879" s="1"/>
      <c r="E3879" s="1"/>
      <c r="F3879" s="1"/>
      <c r="G3879" s="1"/>
      <c r="H3879" s="1"/>
      <c r="I3879" s="1"/>
    </row>
    <row r="3880" ht="15.75" customHeight="1">
      <c r="A3880" s="1" t="s">
        <v>3998</v>
      </c>
      <c r="B3880" s="1" t="s">
        <v>3918</v>
      </c>
      <c r="C3880" s="1"/>
      <c r="D3880" s="1"/>
      <c r="E3880" s="1"/>
      <c r="F3880" s="1"/>
      <c r="G3880" s="1"/>
      <c r="H3880" s="1"/>
      <c r="I3880" s="1"/>
    </row>
    <row r="3881" ht="15.75" customHeight="1">
      <c r="A3881" s="1" t="s">
        <v>3999</v>
      </c>
      <c r="B3881" s="1" t="s">
        <v>3918</v>
      </c>
      <c r="C3881" s="1"/>
      <c r="D3881" s="1"/>
      <c r="E3881" s="1"/>
      <c r="F3881" s="1"/>
      <c r="G3881" s="1"/>
      <c r="H3881" s="1"/>
      <c r="I3881" s="1"/>
    </row>
    <row r="3882" ht="15.75" customHeight="1">
      <c r="A3882" s="1" t="s">
        <v>4000</v>
      </c>
      <c r="B3882" s="1" t="s">
        <v>3918</v>
      </c>
      <c r="C3882" s="1"/>
      <c r="D3882" s="1"/>
      <c r="E3882" s="1"/>
      <c r="F3882" s="1"/>
      <c r="G3882" s="1"/>
      <c r="H3882" s="1"/>
      <c r="I3882" s="1"/>
    </row>
    <row r="3883" ht="15.75" customHeight="1">
      <c r="A3883" s="1" t="s">
        <v>4001</v>
      </c>
      <c r="B3883" s="1" t="s">
        <v>3918</v>
      </c>
      <c r="C3883" s="1"/>
      <c r="D3883" s="1"/>
      <c r="E3883" s="1"/>
      <c r="F3883" s="1"/>
      <c r="G3883" s="1"/>
      <c r="H3883" s="1"/>
      <c r="I3883" s="1"/>
    </row>
    <row r="3884" ht="15.75" customHeight="1">
      <c r="A3884" s="1" t="s">
        <v>4002</v>
      </c>
      <c r="B3884" s="1" t="s">
        <v>3918</v>
      </c>
      <c r="C3884" s="1"/>
      <c r="D3884" s="1"/>
      <c r="E3884" s="1"/>
      <c r="F3884" s="1"/>
      <c r="G3884" s="1"/>
      <c r="H3884" s="1"/>
      <c r="I3884" s="1"/>
    </row>
    <row r="3885" ht="15.75" customHeight="1">
      <c r="A3885" s="1" t="s">
        <v>4003</v>
      </c>
      <c r="B3885" s="1" t="s">
        <v>3918</v>
      </c>
      <c r="C3885" s="1"/>
      <c r="D3885" s="1"/>
      <c r="E3885" s="1"/>
      <c r="F3885" s="1"/>
      <c r="G3885" s="1"/>
      <c r="H3885" s="1"/>
      <c r="I3885" s="1"/>
    </row>
    <row r="3886" ht="15.75" customHeight="1">
      <c r="A3886" s="1" t="s">
        <v>4004</v>
      </c>
      <c r="B3886" s="1" t="s">
        <v>3918</v>
      </c>
      <c r="C3886" s="1"/>
      <c r="D3886" s="1"/>
      <c r="E3886" s="1"/>
      <c r="F3886" s="1"/>
      <c r="G3886" s="1"/>
      <c r="H3886" s="1"/>
      <c r="I3886" s="1"/>
    </row>
    <row r="3887" ht="15.75" customHeight="1">
      <c r="A3887" s="1" t="s">
        <v>4005</v>
      </c>
      <c r="B3887" s="1" t="s">
        <v>3918</v>
      </c>
      <c r="C3887" s="1"/>
      <c r="D3887" s="1"/>
      <c r="E3887" s="1"/>
      <c r="F3887" s="1"/>
      <c r="G3887" s="1"/>
      <c r="H3887" s="1"/>
      <c r="I3887" s="1"/>
    </row>
    <row r="3888" ht="15.75" customHeight="1">
      <c r="A3888" s="1" t="s">
        <v>4006</v>
      </c>
      <c r="B3888" s="1" t="s">
        <v>3918</v>
      </c>
      <c r="C3888" s="1"/>
      <c r="D3888" s="1"/>
      <c r="E3888" s="1"/>
      <c r="F3888" s="1"/>
      <c r="G3888" s="1"/>
      <c r="H3888" s="1"/>
      <c r="I3888" s="1"/>
    </row>
    <row r="3889" ht="15.75" customHeight="1">
      <c r="A3889" s="1" t="s">
        <v>4007</v>
      </c>
      <c r="B3889" s="1" t="s">
        <v>3918</v>
      </c>
      <c r="C3889" s="1"/>
      <c r="D3889" s="1"/>
      <c r="E3889" s="1"/>
      <c r="F3889" s="1"/>
      <c r="G3889" s="1"/>
      <c r="H3889" s="1"/>
      <c r="I3889" s="1"/>
    </row>
    <row r="3890" ht="15.75" customHeight="1">
      <c r="A3890" s="1" t="s">
        <v>4008</v>
      </c>
      <c r="B3890" s="1" t="s">
        <v>3918</v>
      </c>
      <c r="C3890" s="1"/>
      <c r="D3890" s="1"/>
      <c r="E3890" s="1"/>
      <c r="F3890" s="1"/>
      <c r="G3890" s="1"/>
      <c r="H3890" s="1"/>
      <c r="I3890" s="1"/>
    </row>
    <row r="3891" ht="15.75" customHeight="1">
      <c r="A3891" s="1" t="s">
        <v>4009</v>
      </c>
      <c r="B3891" s="1" t="s">
        <v>3918</v>
      </c>
      <c r="C3891" s="1"/>
      <c r="D3891" s="1"/>
      <c r="E3891" s="1"/>
      <c r="F3891" s="1"/>
      <c r="G3891" s="1"/>
      <c r="H3891" s="1"/>
      <c r="I3891" s="1"/>
    </row>
    <row r="3892" ht="15.75" customHeight="1">
      <c r="A3892" s="1" t="s">
        <v>4010</v>
      </c>
      <c r="B3892" s="1" t="s">
        <v>3918</v>
      </c>
      <c r="C3892" s="1"/>
      <c r="D3892" s="1"/>
      <c r="E3892" s="1"/>
      <c r="F3892" s="1"/>
      <c r="G3892" s="1"/>
      <c r="H3892" s="1"/>
      <c r="I3892" s="1"/>
    </row>
    <row r="3893" ht="15.75" customHeight="1">
      <c r="A3893" s="1" t="s">
        <v>4011</v>
      </c>
      <c r="B3893" s="1" t="s">
        <v>3918</v>
      </c>
      <c r="C3893" s="1"/>
      <c r="D3893" s="1"/>
      <c r="E3893" s="1"/>
      <c r="F3893" s="1"/>
      <c r="G3893" s="1"/>
      <c r="H3893" s="1"/>
      <c r="I3893" s="1"/>
    </row>
    <row r="3894" ht="15.75" customHeight="1">
      <c r="A3894" s="1" t="s">
        <v>4012</v>
      </c>
      <c r="B3894" s="1" t="s">
        <v>3918</v>
      </c>
      <c r="C3894" s="1"/>
      <c r="D3894" s="1"/>
      <c r="E3894" s="1"/>
      <c r="F3894" s="1"/>
      <c r="G3894" s="1"/>
      <c r="H3894" s="1"/>
      <c r="I3894" s="1"/>
    </row>
    <row r="3895" ht="15.75" customHeight="1">
      <c r="A3895" s="1" t="s">
        <v>4013</v>
      </c>
      <c r="B3895" s="1" t="s">
        <v>3918</v>
      </c>
      <c r="C3895" s="1"/>
      <c r="D3895" s="1"/>
      <c r="E3895" s="1"/>
      <c r="F3895" s="1"/>
      <c r="G3895" s="1"/>
      <c r="H3895" s="1"/>
      <c r="I3895" s="1"/>
    </row>
    <row r="3896" ht="15.75" customHeight="1">
      <c r="A3896" s="1" t="s">
        <v>4014</v>
      </c>
      <c r="B3896" s="1" t="s">
        <v>3918</v>
      </c>
      <c r="C3896" s="1"/>
      <c r="D3896" s="1"/>
      <c r="E3896" s="1"/>
      <c r="F3896" s="1"/>
      <c r="G3896" s="1"/>
      <c r="H3896" s="1"/>
      <c r="I3896" s="1"/>
    </row>
    <row r="3897" ht="15.75" customHeight="1">
      <c r="A3897" s="1" t="s">
        <v>4015</v>
      </c>
      <c r="B3897" s="1" t="s">
        <v>3918</v>
      </c>
      <c r="C3897" s="1"/>
      <c r="D3897" s="1"/>
      <c r="E3897" s="1"/>
      <c r="F3897" s="1"/>
      <c r="G3897" s="1"/>
      <c r="H3897" s="1"/>
      <c r="I3897" s="1"/>
    </row>
    <row r="3898" ht="15.75" customHeight="1">
      <c r="A3898" s="1" t="s">
        <v>4016</v>
      </c>
      <c r="B3898" s="1" t="s">
        <v>3918</v>
      </c>
      <c r="C3898" s="1"/>
      <c r="D3898" s="1"/>
      <c r="E3898" s="1"/>
      <c r="F3898" s="1"/>
      <c r="G3898" s="1"/>
      <c r="H3898" s="1"/>
      <c r="I3898" s="1"/>
    </row>
    <row r="3899" ht="15.75" customHeight="1">
      <c r="A3899" s="1" t="s">
        <v>4017</v>
      </c>
      <c r="B3899" s="1" t="s">
        <v>3918</v>
      </c>
      <c r="C3899" s="1"/>
      <c r="D3899" s="1"/>
      <c r="E3899" s="1"/>
      <c r="F3899" s="1"/>
      <c r="G3899" s="1"/>
      <c r="H3899" s="1"/>
      <c r="I3899" s="1"/>
    </row>
    <row r="3900" ht="15.75" customHeight="1">
      <c r="A3900" s="1" t="s">
        <v>4018</v>
      </c>
      <c r="B3900" s="1" t="s">
        <v>3918</v>
      </c>
      <c r="C3900" s="1"/>
      <c r="D3900" s="1"/>
      <c r="E3900" s="1"/>
      <c r="F3900" s="1"/>
      <c r="G3900" s="1"/>
      <c r="H3900" s="1"/>
      <c r="I3900" s="1"/>
    </row>
    <row r="3901" ht="15.75" customHeight="1">
      <c r="A3901" s="1" t="s">
        <v>4019</v>
      </c>
      <c r="B3901" s="1" t="s">
        <v>3918</v>
      </c>
      <c r="C3901" s="1"/>
      <c r="D3901" s="1"/>
      <c r="E3901" s="1"/>
      <c r="F3901" s="1"/>
      <c r="G3901" s="1"/>
      <c r="H3901" s="1"/>
      <c r="I3901" s="1"/>
    </row>
    <row r="3902" ht="15.75" customHeight="1">
      <c r="A3902" s="1" t="s">
        <v>4020</v>
      </c>
      <c r="B3902" s="1" t="s">
        <v>3918</v>
      </c>
      <c r="C3902" s="1"/>
      <c r="D3902" s="1"/>
      <c r="E3902" s="1"/>
      <c r="F3902" s="1"/>
      <c r="G3902" s="1"/>
      <c r="H3902" s="1"/>
      <c r="I3902" s="1"/>
    </row>
    <row r="3903" ht="15.75" customHeight="1">
      <c r="A3903" s="1" t="s">
        <v>4021</v>
      </c>
      <c r="B3903" s="1" t="s">
        <v>3918</v>
      </c>
      <c r="C3903" s="1"/>
      <c r="D3903" s="1"/>
      <c r="E3903" s="1"/>
      <c r="F3903" s="1"/>
      <c r="G3903" s="1"/>
      <c r="H3903" s="1"/>
      <c r="I3903" s="1"/>
    </row>
    <row r="3904" ht="15.75" customHeight="1">
      <c r="A3904" s="1" t="s">
        <v>4022</v>
      </c>
      <c r="B3904" s="1" t="s">
        <v>3918</v>
      </c>
      <c r="C3904" s="1"/>
      <c r="D3904" s="1"/>
      <c r="E3904" s="1"/>
      <c r="F3904" s="1"/>
      <c r="G3904" s="1"/>
      <c r="H3904" s="1"/>
      <c r="I3904" s="1"/>
    </row>
    <row r="3905" ht="15.75" customHeight="1">
      <c r="A3905" s="1" t="s">
        <v>4023</v>
      </c>
      <c r="B3905" s="1" t="s">
        <v>3918</v>
      </c>
      <c r="C3905" s="1"/>
      <c r="D3905" s="1"/>
      <c r="E3905" s="1"/>
      <c r="F3905" s="1"/>
      <c r="G3905" s="1"/>
      <c r="H3905" s="1"/>
      <c r="I3905" s="1"/>
    </row>
    <row r="3906" ht="15.75" customHeight="1">
      <c r="A3906" s="1" t="s">
        <v>4024</v>
      </c>
      <c r="B3906" s="1" t="s">
        <v>3918</v>
      </c>
      <c r="C3906" s="1"/>
      <c r="D3906" s="1"/>
      <c r="E3906" s="1"/>
      <c r="F3906" s="1"/>
      <c r="G3906" s="1"/>
      <c r="H3906" s="1"/>
      <c r="I3906" s="1"/>
    </row>
    <row r="3907" ht="15.75" customHeight="1">
      <c r="A3907" s="1" t="s">
        <v>4025</v>
      </c>
      <c r="B3907" s="1" t="s">
        <v>3918</v>
      </c>
      <c r="C3907" s="1"/>
      <c r="D3907" s="1"/>
      <c r="E3907" s="1"/>
      <c r="F3907" s="1"/>
      <c r="G3907" s="1"/>
      <c r="H3907" s="1"/>
      <c r="I3907" s="1"/>
    </row>
    <row r="3908" ht="15.75" customHeight="1">
      <c r="A3908" s="1" t="s">
        <v>4026</v>
      </c>
      <c r="B3908" s="1" t="s">
        <v>3918</v>
      </c>
      <c r="C3908" s="1"/>
      <c r="D3908" s="1"/>
      <c r="E3908" s="1"/>
      <c r="F3908" s="1"/>
      <c r="G3908" s="1"/>
      <c r="H3908" s="1"/>
      <c r="I3908" s="1"/>
    </row>
    <row r="3909" ht="15.75" customHeight="1">
      <c r="A3909" s="1" t="s">
        <v>4027</v>
      </c>
      <c r="B3909" s="1" t="s">
        <v>3918</v>
      </c>
      <c r="C3909" s="1"/>
      <c r="D3909" s="1"/>
      <c r="E3909" s="1"/>
      <c r="F3909" s="1"/>
      <c r="G3909" s="1"/>
      <c r="H3909" s="1"/>
      <c r="I3909" s="1"/>
    </row>
    <row r="3910" ht="15.75" customHeight="1">
      <c r="A3910" s="1" t="s">
        <v>4028</v>
      </c>
      <c r="B3910" s="1" t="s">
        <v>3918</v>
      </c>
      <c r="C3910" s="1"/>
      <c r="D3910" s="1"/>
      <c r="E3910" s="1"/>
      <c r="F3910" s="1"/>
      <c r="G3910" s="1"/>
      <c r="H3910" s="1"/>
      <c r="I3910" s="1"/>
    </row>
    <row r="3911" ht="15.75" customHeight="1">
      <c r="A3911" s="1" t="s">
        <v>4029</v>
      </c>
      <c r="B3911" s="1" t="s">
        <v>3918</v>
      </c>
      <c r="C3911" s="1"/>
      <c r="D3911" s="1"/>
      <c r="E3911" s="1"/>
      <c r="F3911" s="1"/>
      <c r="G3911" s="1"/>
      <c r="H3911" s="1"/>
      <c r="I3911" s="1"/>
    </row>
    <row r="3912" ht="15.75" customHeight="1">
      <c r="A3912" s="1" t="s">
        <v>4030</v>
      </c>
      <c r="B3912" s="1" t="s">
        <v>3918</v>
      </c>
      <c r="C3912" s="1"/>
      <c r="D3912" s="1"/>
      <c r="E3912" s="1"/>
      <c r="F3912" s="1"/>
      <c r="G3912" s="1"/>
      <c r="H3912" s="1"/>
      <c r="I3912" s="1"/>
    </row>
    <row r="3913" ht="15.75" customHeight="1">
      <c r="A3913" s="1" t="s">
        <v>4031</v>
      </c>
      <c r="B3913" s="1" t="s">
        <v>3918</v>
      </c>
      <c r="C3913" s="1"/>
      <c r="D3913" s="1"/>
      <c r="E3913" s="1"/>
      <c r="F3913" s="1"/>
      <c r="G3913" s="1"/>
      <c r="H3913" s="1"/>
      <c r="I3913" s="1"/>
    </row>
    <row r="3914" ht="15.75" customHeight="1">
      <c r="A3914" s="1" t="s">
        <v>4032</v>
      </c>
      <c r="B3914" s="1" t="s">
        <v>3918</v>
      </c>
      <c r="C3914" s="1"/>
      <c r="D3914" s="1"/>
      <c r="E3914" s="1"/>
      <c r="F3914" s="1"/>
      <c r="G3914" s="1"/>
      <c r="H3914" s="1"/>
      <c r="I3914" s="1"/>
    </row>
    <row r="3915" ht="15.75" customHeight="1">
      <c r="A3915" s="1" t="s">
        <v>4033</v>
      </c>
      <c r="B3915" s="1" t="s">
        <v>3918</v>
      </c>
      <c r="C3915" s="1"/>
      <c r="D3915" s="1"/>
      <c r="E3915" s="1"/>
      <c r="F3915" s="1"/>
      <c r="G3915" s="1"/>
      <c r="H3915" s="1"/>
      <c r="I3915" s="1"/>
    </row>
    <row r="3916" ht="15.75" customHeight="1">
      <c r="A3916" s="1" t="s">
        <v>4034</v>
      </c>
      <c r="B3916" s="1" t="s">
        <v>3918</v>
      </c>
      <c r="C3916" s="1"/>
      <c r="D3916" s="1"/>
      <c r="E3916" s="1"/>
      <c r="F3916" s="1"/>
      <c r="G3916" s="1"/>
      <c r="H3916" s="1"/>
      <c r="I3916" s="1"/>
    </row>
    <row r="3917" ht="15.75" customHeight="1">
      <c r="A3917" s="1" t="s">
        <v>4035</v>
      </c>
      <c r="B3917" s="1" t="s">
        <v>3918</v>
      </c>
      <c r="C3917" s="1"/>
      <c r="D3917" s="1"/>
      <c r="E3917" s="1"/>
      <c r="F3917" s="1"/>
      <c r="G3917" s="1"/>
      <c r="H3917" s="1"/>
      <c r="I3917" s="1"/>
    </row>
    <row r="3918" ht="15.75" customHeight="1">
      <c r="A3918" s="1" t="s">
        <v>4036</v>
      </c>
      <c r="B3918" s="1" t="s">
        <v>3918</v>
      </c>
      <c r="C3918" s="1"/>
      <c r="D3918" s="1"/>
      <c r="E3918" s="1"/>
      <c r="F3918" s="1"/>
      <c r="G3918" s="1"/>
      <c r="H3918" s="1"/>
      <c r="I3918" s="1"/>
    </row>
    <row r="3919" ht="15.75" customHeight="1">
      <c r="A3919" s="1" t="s">
        <v>4037</v>
      </c>
      <c r="B3919" s="1" t="s">
        <v>3918</v>
      </c>
      <c r="C3919" s="1"/>
      <c r="D3919" s="1"/>
      <c r="E3919" s="1"/>
      <c r="F3919" s="1"/>
      <c r="G3919" s="1"/>
      <c r="H3919" s="1"/>
      <c r="I3919" s="1"/>
    </row>
    <row r="3920" ht="15.75" customHeight="1">
      <c r="A3920" s="1" t="s">
        <v>4038</v>
      </c>
      <c r="B3920" s="1" t="s">
        <v>3918</v>
      </c>
      <c r="C3920" s="1"/>
      <c r="D3920" s="1"/>
      <c r="E3920" s="1"/>
      <c r="F3920" s="1"/>
      <c r="G3920" s="1"/>
      <c r="H3920" s="1"/>
      <c r="I3920" s="1"/>
    </row>
    <row r="3921" ht="15.75" customHeight="1">
      <c r="A3921" s="1" t="s">
        <v>4039</v>
      </c>
      <c r="B3921" s="1" t="s">
        <v>3918</v>
      </c>
      <c r="C3921" s="1"/>
      <c r="D3921" s="1"/>
      <c r="E3921" s="1"/>
      <c r="F3921" s="1"/>
      <c r="G3921" s="1"/>
      <c r="H3921" s="1"/>
      <c r="I3921" s="1"/>
    </row>
    <row r="3922" ht="15.75" customHeight="1">
      <c r="A3922" s="1" t="s">
        <v>4040</v>
      </c>
      <c r="B3922" s="1" t="s">
        <v>3918</v>
      </c>
      <c r="C3922" s="1"/>
      <c r="D3922" s="1"/>
      <c r="E3922" s="1"/>
      <c r="F3922" s="1"/>
      <c r="G3922" s="1"/>
      <c r="H3922" s="1"/>
      <c r="I3922" s="1"/>
    </row>
    <row r="3923" ht="15.75" customHeight="1">
      <c r="A3923" s="1" t="s">
        <v>4041</v>
      </c>
      <c r="B3923" s="1" t="s">
        <v>3918</v>
      </c>
      <c r="C3923" s="1"/>
      <c r="D3923" s="1"/>
      <c r="E3923" s="1"/>
      <c r="F3923" s="1"/>
      <c r="G3923" s="1"/>
      <c r="H3923" s="1"/>
      <c r="I3923" s="1"/>
    </row>
    <row r="3924" ht="15.75" customHeight="1">
      <c r="A3924" s="1" t="s">
        <v>4042</v>
      </c>
      <c r="B3924" s="1" t="s">
        <v>3918</v>
      </c>
      <c r="C3924" s="1"/>
      <c r="D3924" s="1"/>
      <c r="E3924" s="1"/>
      <c r="F3924" s="1"/>
      <c r="G3924" s="1"/>
      <c r="H3924" s="1"/>
      <c r="I3924" s="1"/>
    </row>
    <row r="3925" ht="15.75" customHeight="1">
      <c r="A3925" s="1" t="s">
        <v>4043</v>
      </c>
      <c r="B3925" s="1" t="s">
        <v>3918</v>
      </c>
      <c r="C3925" s="1"/>
      <c r="D3925" s="1"/>
      <c r="E3925" s="1"/>
      <c r="F3925" s="1"/>
      <c r="G3925" s="1"/>
      <c r="H3925" s="1"/>
      <c r="I3925" s="1"/>
    </row>
    <row r="3926" ht="15.75" customHeight="1">
      <c r="A3926" s="1" t="s">
        <v>4044</v>
      </c>
      <c r="B3926" s="1" t="s">
        <v>3918</v>
      </c>
      <c r="C3926" s="1"/>
      <c r="D3926" s="1"/>
      <c r="E3926" s="1"/>
      <c r="F3926" s="1"/>
      <c r="G3926" s="1"/>
      <c r="H3926" s="1"/>
      <c r="I3926" s="1"/>
    </row>
    <row r="3927" ht="15.75" customHeight="1">
      <c r="A3927" s="1" t="s">
        <v>4045</v>
      </c>
      <c r="B3927" s="1" t="s">
        <v>3918</v>
      </c>
      <c r="C3927" s="1"/>
      <c r="D3927" s="1"/>
      <c r="E3927" s="1"/>
      <c r="F3927" s="1"/>
      <c r="G3927" s="1"/>
      <c r="H3927" s="1"/>
      <c r="I3927" s="1"/>
    </row>
    <row r="3928" ht="15.75" customHeight="1">
      <c r="A3928" s="1" t="s">
        <v>4046</v>
      </c>
      <c r="B3928" s="1" t="s">
        <v>3918</v>
      </c>
      <c r="C3928" s="1"/>
      <c r="D3928" s="1"/>
      <c r="E3928" s="1"/>
      <c r="F3928" s="1"/>
      <c r="G3928" s="1"/>
      <c r="H3928" s="1"/>
      <c r="I3928" s="1"/>
    </row>
    <row r="3929" ht="15.75" customHeight="1">
      <c r="A3929" s="1" t="s">
        <v>4047</v>
      </c>
      <c r="B3929" s="1" t="s">
        <v>3918</v>
      </c>
      <c r="C3929" s="1"/>
      <c r="D3929" s="1"/>
      <c r="E3929" s="1"/>
      <c r="F3929" s="1"/>
      <c r="G3929" s="1"/>
      <c r="H3929" s="1"/>
      <c r="I3929" s="1"/>
    </row>
    <row r="3930" ht="15.75" customHeight="1">
      <c r="A3930" s="1" t="s">
        <v>4048</v>
      </c>
      <c r="B3930" s="1" t="s">
        <v>3918</v>
      </c>
      <c r="C3930" s="1"/>
      <c r="D3930" s="1"/>
      <c r="E3930" s="1"/>
      <c r="F3930" s="1"/>
      <c r="G3930" s="1"/>
      <c r="H3930" s="1"/>
      <c r="I3930" s="1"/>
    </row>
    <row r="3931" ht="15.75" customHeight="1">
      <c r="A3931" s="1" t="s">
        <v>4049</v>
      </c>
      <c r="B3931" s="1" t="s">
        <v>3918</v>
      </c>
      <c r="C3931" s="1"/>
      <c r="D3931" s="1"/>
      <c r="E3931" s="1"/>
      <c r="F3931" s="1"/>
      <c r="G3931" s="1"/>
      <c r="H3931" s="1"/>
      <c r="I3931" s="1"/>
    </row>
    <row r="3932" ht="15.75" customHeight="1">
      <c r="A3932" s="1" t="s">
        <v>4050</v>
      </c>
      <c r="B3932" s="1" t="s">
        <v>3918</v>
      </c>
      <c r="C3932" s="1"/>
      <c r="D3932" s="1"/>
      <c r="E3932" s="1"/>
      <c r="F3932" s="1"/>
      <c r="G3932" s="1"/>
      <c r="H3932" s="1"/>
      <c r="I3932" s="1"/>
    </row>
    <row r="3933" ht="15.75" customHeight="1">
      <c r="A3933" s="1" t="s">
        <v>4051</v>
      </c>
      <c r="B3933" s="1" t="s">
        <v>3918</v>
      </c>
      <c r="C3933" s="1"/>
      <c r="D3933" s="1"/>
      <c r="E3933" s="1"/>
      <c r="F3933" s="1"/>
      <c r="G3933" s="1"/>
      <c r="H3933" s="1"/>
      <c r="I3933" s="1"/>
    </row>
    <row r="3934" ht="15.75" customHeight="1">
      <c r="A3934" s="1" t="s">
        <v>4052</v>
      </c>
      <c r="B3934" s="1" t="s">
        <v>3918</v>
      </c>
      <c r="C3934" s="1"/>
      <c r="D3934" s="1"/>
      <c r="E3934" s="1"/>
      <c r="F3934" s="1"/>
      <c r="G3934" s="1"/>
      <c r="H3934" s="1"/>
      <c r="I3934" s="1"/>
    </row>
    <row r="3935" ht="15.75" customHeight="1">
      <c r="A3935" s="1" t="s">
        <v>4053</v>
      </c>
      <c r="B3935" s="1" t="s">
        <v>3918</v>
      </c>
      <c r="C3935" s="1"/>
      <c r="D3935" s="1"/>
      <c r="E3935" s="1"/>
      <c r="F3935" s="1"/>
      <c r="G3935" s="1"/>
      <c r="H3935" s="1"/>
      <c r="I3935" s="1"/>
    </row>
    <row r="3936" ht="15.75" customHeight="1">
      <c r="A3936" s="1" t="s">
        <v>4054</v>
      </c>
      <c r="B3936" s="1" t="s">
        <v>3918</v>
      </c>
      <c r="C3936" s="1"/>
      <c r="D3936" s="1"/>
      <c r="E3936" s="1"/>
      <c r="F3936" s="1"/>
      <c r="G3936" s="1"/>
      <c r="H3936" s="1"/>
      <c r="I3936" s="1"/>
    </row>
    <row r="3937" ht="15.75" customHeight="1">
      <c r="A3937" s="1" t="s">
        <v>4055</v>
      </c>
      <c r="B3937" s="1" t="s">
        <v>3918</v>
      </c>
      <c r="C3937" s="1"/>
      <c r="D3937" s="1"/>
      <c r="E3937" s="1"/>
      <c r="F3937" s="1"/>
      <c r="G3937" s="1"/>
      <c r="H3937" s="1"/>
      <c r="I3937" s="1"/>
    </row>
    <row r="3938" ht="15.75" customHeight="1">
      <c r="A3938" s="1" t="s">
        <v>4056</v>
      </c>
      <c r="B3938" s="1" t="s">
        <v>3918</v>
      </c>
      <c r="C3938" s="1"/>
      <c r="D3938" s="1"/>
      <c r="E3938" s="1"/>
      <c r="F3938" s="1"/>
      <c r="G3938" s="1"/>
      <c r="H3938" s="1"/>
      <c r="I3938" s="1"/>
    </row>
    <row r="3939" ht="15.75" customHeight="1">
      <c r="A3939" s="1" t="s">
        <v>4057</v>
      </c>
      <c r="B3939" s="1" t="s">
        <v>3918</v>
      </c>
      <c r="C3939" s="1"/>
      <c r="D3939" s="1"/>
      <c r="E3939" s="1"/>
      <c r="F3939" s="1"/>
      <c r="G3939" s="1"/>
      <c r="H3939" s="1"/>
      <c r="I3939" s="1"/>
    </row>
  </sheetData>
  <autoFilter ref="$A$1:$I$393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4.57"/>
    <col customWidth="1" min="2" max="3" width="33.86"/>
  </cols>
  <sheetData>
    <row r="1">
      <c r="A1" s="3" t="s">
        <v>4058</v>
      </c>
      <c r="B1" s="3" t="s">
        <v>1</v>
      </c>
      <c r="H1" s="4" t="str">
        <f>IFERROR(__xludf.DUMMYFUNCTION("IMPORTRANGE(""https://docs.google.com/spreadsheets/d/13fmL9rbANJuexGHEpy4hkZt2UNEZTVzm-819RIp1fCQ"",""Cities!a4:a"")"),"3 CUBE HEALTHCARE")</f>
        <v>3 CUBE HEALTHCARE</v>
      </c>
    </row>
    <row r="2">
      <c r="A2" s="3">
        <v>259.0</v>
      </c>
      <c r="B2" s="3" t="s">
        <v>4059</v>
      </c>
      <c r="C2" s="5" t="s">
        <v>2064</v>
      </c>
      <c r="H2" s="3" t="str">
        <f>IFERROR(__xludf.DUMMYFUNCTION("""COMPUTED_VALUE"""),"3M INDIA LTD")</f>
        <v>3M INDIA LTD</v>
      </c>
    </row>
    <row r="3">
      <c r="A3" s="3">
        <v>162.0</v>
      </c>
      <c r="B3" s="3" t="s">
        <v>3157</v>
      </c>
      <c r="C3" s="5" t="s">
        <v>3157</v>
      </c>
      <c r="H3" s="3" t="str">
        <f>IFERROR(__xludf.DUMMYFUNCTION("""COMPUTED_VALUE"""),"6IPAIN HEALTHCARE")</f>
        <v>6IPAIN HEALTHCARE</v>
      </c>
    </row>
    <row r="4">
      <c r="A4" s="3">
        <v>161.0</v>
      </c>
      <c r="B4" s="3" t="s">
        <v>4060</v>
      </c>
      <c r="C4" s="5" t="s">
        <v>1154</v>
      </c>
      <c r="H4" s="3" t="str">
        <f>IFERROR(__xludf.DUMMYFUNCTION("""COMPUTED_VALUE"""),"A3A PHARMACEUTICAL")</f>
        <v>A3A PHARMACEUTICAL</v>
      </c>
    </row>
    <row r="5">
      <c r="A5" s="3">
        <v>157.0</v>
      </c>
      <c r="B5" s="3" t="s">
        <v>4061</v>
      </c>
      <c r="C5" s="5" t="s">
        <v>1792</v>
      </c>
      <c r="H5" s="3" t="str">
        <f>IFERROR(__xludf.DUMMYFUNCTION("""COMPUTED_VALUE"""),"AAA PHARMATRADE PVT LTD")</f>
        <v>AAA PHARMATRADE PVT LTD</v>
      </c>
    </row>
    <row r="6">
      <c r="A6" s="3">
        <v>151.0</v>
      </c>
      <c r="B6" s="3" t="s">
        <v>4062</v>
      </c>
      <c r="C6" s="6" t="s">
        <v>2495</v>
      </c>
      <c r="H6" s="3" t="str">
        <f>IFERROR(__xludf.DUMMYFUNCTION("""COMPUTED_VALUE"""),"AACER HEALTHCARE")</f>
        <v>AACER HEALTHCARE</v>
      </c>
    </row>
    <row r="7">
      <c r="A7" s="3">
        <v>150.0</v>
      </c>
      <c r="B7" s="3" t="s">
        <v>4063</v>
      </c>
      <c r="C7" s="5" t="s">
        <v>453</v>
      </c>
      <c r="H7" s="3" t="str">
        <f>IFERROR(__xludf.DUMMYFUNCTION("""COMPUTED_VALUE"""),"AAGATHA BIONLAB")</f>
        <v>AAGATHA BIONLAB</v>
      </c>
    </row>
    <row r="8">
      <c r="A8" s="3">
        <v>141.0</v>
      </c>
      <c r="B8" s="3" t="s">
        <v>4064</v>
      </c>
      <c r="C8" s="5" t="s">
        <v>3918</v>
      </c>
      <c r="H8" s="3" t="str">
        <f>IFERROR(__xludf.DUMMYFUNCTION("""COMPUTED_VALUE"""),"AALTRAMED HEALTH CARE LIMITED")</f>
        <v>AALTRAMED HEALTH CARE LIMITED</v>
      </c>
    </row>
    <row r="9">
      <c r="A9" s="3">
        <v>131.0</v>
      </c>
      <c r="B9" s="3" t="s">
        <v>4065</v>
      </c>
      <c r="C9" s="5" t="s">
        <v>945</v>
      </c>
      <c r="H9" s="3" t="str">
        <f>IFERROR(__xludf.DUMMYFUNCTION("""COMPUTED_VALUE"""),"AARAV PHARMACEUTICALS")</f>
        <v>AARAV PHARMACEUTICALS</v>
      </c>
    </row>
    <row r="10">
      <c r="A10" s="3">
        <v>126.0</v>
      </c>
      <c r="B10" s="3" t="s">
        <v>4066</v>
      </c>
      <c r="C10" s="5" t="s">
        <v>1549</v>
      </c>
      <c r="H10" s="3" t="str">
        <f>IFERROR(__xludf.DUMMYFUNCTION("""COMPUTED_VALUE"""),"AARIN LIFE SCIENCE")</f>
        <v>AARIN LIFE SCIENCE</v>
      </c>
    </row>
    <row r="11">
      <c r="A11" s="3">
        <v>126.0</v>
      </c>
      <c r="B11" s="3" t="s">
        <v>4067</v>
      </c>
      <c r="C11" s="5" t="s">
        <v>3648</v>
      </c>
      <c r="H11" s="3" t="str">
        <f>IFERROR(__xludf.DUMMYFUNCTION("""COMPUTED_VALUE"""),"AARTI LIFESCIENCES")</f>
        <v>AARTI LIFESCIENCES</v>
      </c>
    </row>
    <row r="12">
      <c r="A12" s="3">
        <v>100.0</v>
      </c>
      <c r="B12" s="3" t="s">
        <v>4068</v>
      </c>
      <c r="C12" s="5" t="s">
        <v>2813</v>
      </c>
      <c r="H12" s="3" t="str">
        <f>IFERROR(__xludf.DUMMYFUNCTION("""COMPUTED_VALUE"""),"AASHI REMEDIES")</f>
        <v>AASHI REMEDIES</v>
      </c>
    </row>
    <row r="13">
      <c r="A13" s="3">
        <v>92.0</v>
      </c>
      <c r="B13" s="3" t="s">
        <v>4069</v>
      </c>
      <c r="C13" s="5" t="s">
        <v>3525</v>
      </c>
      <c r="H13" s="3" t="str">
        <f>IFERROR(__xludf.DUMMYFUNCTION("""COMPUTED_VALUE"""),"ABARIS HEALTHCARE")</f>
        <v>ABARIS HEALTHCARE</v>
      </c>
    </row>
    <row r="14" ht="15.0" customHeight="1">
      <c r="A14" s="3">
        <v>91.0</v>
      </c>
      <c r="B14" s="3" t="s">
        <v>4070</v>
      </c>
      <c r="C14" s="5" t="s">
        <v>1428</v>
      </c>
      <c r="H14" s="3" t="str">
        <f>IFERROR(__xludf.DUMMYFUNCTION("""COMPUTED_VALUE"""),"ABARIS HEALTHCARE
")</f>
        <v>ABARIS HEALTHCARE
</v>
      </c>
    </row>
    <row r="15">
      <c r="A15" s="3">
        <v>90.0</v>
      </c>
      <c r="B15" s="3" t="s">
        <v>4071</v>
      </c>
      <c r="C15" s="5" t="s">
        <v>630</v>
      </c>
      <c r="H15" s="3" t="str">
        <f>IFERROR(__xludf.DUMMYFUNCTION("""COMPUTED_VALUE"""),"ABBEY DRUGS P LTD")</f>
        <v>ABBEY DRUGS P LTD</v>
      </c>
    </row>
    <row r="16">
      <c r="A16" s="3">
        <v>89.0</v>
      </c>
      <c r="B16" s="3" t="s">
        <v>4072</v>
      </c>
      <c r="C16" s="5" t="s">
        <v>10</v>
      </c>
      <c r="H16" s="3" t="str">
        <f>IFERROR(__xludf.DUMMYFUNCTION("""COMPUTED_VALUE"""),"ABBOTT (CONSUMER)")</f>
        <v>ABBOTT (CONSUMER)</v>
      </c>
    </row>
    <row r="17">
      <c r="A17" s="3">
        <v>87.0</v>
      </c>
      <c r="B17" s="3" t="s">
        <v>4073</v>
      </c>
      <c r="C17" s="5" t="s">
        <v>188</v>
      </c>
      <c r="H17" s="3" t="str">
        <f>IFERROR(__xludf.DUMMYFUNCTION("""COMPUTED_VALUE"""),"ABBOTT (COVID)")</f>
        <v>ABBOTT (COVID)</v>
      </c>
    </row>
    <row r="18">
      <c r="A18" s="3">
        <v>86.0</v>
      </c>
      <c r="B18" s="3" t="s">
        <v>4074</v>
      </c>
      <c r="C18" s="5" t="s">
        <v>276</v>
      </c>
      <c r="H18" s="3" t="str">
        <f>IFERROR(__xludf.DUMMYFUNCTION("""COMPUTED_VALUE"""),"ABBOTT (FREE STYLE)")</f>
        <v>ABBOTT (FREE STYLE)</v>
      </c>
    </row>
    <row r="19">
      <c r="A19" s="3">
        <v>68.0</v>
      </c>
      <c r="B19" s="3" t="s">
        <v>4075</v>
      </c>
      <c r="C19" s="5" t="s">
        <v>819</v>
      </c>
      <c r="H19" s="3" t="str">
        <f>IFERROR(__xludf.DUMMYFUNCTION("""COMPUTED_VALUE"""),"ABBOTT (GASTRO)")</f>
        <v>ABBOTT (GASTRO)</v>
      </c>
    </row>
    <row r="20">
      <c r="A20" s="3">
        <v>67.0</v>
      </c>
      <c r="B20" s="3" t="s">
        <v>4076</v>
      </c>
      <c r="C20" s="5" t="s">
        <v>3346</v>
      </c>
      <c r="H20" s="3" t="str">
        <f>IFERROR(__xludf.DUMMYFUNCTION("""COMPUTED_VALUE"""),"ABBOTT (GENERIC)")</f>
        <v>ABBOTT (GENERIC)</v>
      </c>
    </row>
    <row r="21">
      <c r="A21" s="3">
        <v>65.0</v>
      </c>
      <c r="B21" s="3" t="s">
        <v>4077</v>
      </c>
      <c r="C21" s="5" t="s">
        <v>3424</v>
      </c>
      <c r="H21" s="3" t="str">
        <f>IFERROR(__xludf.DUMMYFUNCTION("""COMPUTED_VALUE"""),"ABBOTT (GI ADVANCE)")</f>
        <v>ABBOTT (GI ADVANCE)</v>
      </c>
    </row>
    <row r="22">
      <c r="A22" s="3">
        <v>57.0</v>
      </c>
      <c r="B22" s="3" t="s">
        <v>4078</v>
      </c>
      <c r="C22" s="5" t="s">
        <v>1353</v>
      </c>
      <c r="H22" s="3" t="str">
        <f>IFERROR(__xludf.DUMMYFUNCTION("""COMPUTED_VALUE"""),"ABBOTT (MEDICAL OPTICS)")</f>
        <v>ABBOTT (MEDICAL OPTICS)</v>
      </c>
    </row>
    <row r="23">
      <c r="A23" s="3">
        <v>54.0</v>
      </c>
      <c r="B23" s="3" t="s">
        <v>4079</v>
      </c>
      <c r="C23" s="5" t="s">
        <v>100</v>
      </c>
      <c r="H23" s="3" t="str">
        <f>IFERROR(__xludf.DUMMYFUNCTION("""COMPUTED_VALUE"""),"ABBOTT (METABOLIC)")</f>
        <v>ABBOTT (METABOLIC)</v>
      </c>
    </row>
    <row r="24">
      <c r="A24" s="3">
        <v>42.0</v>
      </c>
      <c r="B24" s="3" t="s">
        <v>4080</v>
      </c>
      <c r="C24" s="5" t="s">
        <v>1076</v>
      </c>
      <c r="H24" s="3" t="str">
        <f>IFERROR(__xludf.DUMMYFUNCTION("""COMPUTED_VALUE"""),"ABBOTT (NEUROLIFE)")</f>
        <v>ABBOTT (NEUROLIFE)</v>
      </c>
    </row>
    <row r="25">
      <c r="A25" s="3">
        <v>41.0</v>
      </c>
      <c r="B25" s="3" t="s">
        <v>4081</v>
      </c>
      <c r="C25" s="5" t="s">
        <v>2913</v>
      </c>
      <c r="H25" s="3" t="str">
        <f>IFERROR(__xludf.DUMMYFUNCTION("""COMPUTED_VALUE"""),"ABBOTT (ONCOLOGY)")</f>
        <v>ABBOTT (ONCOLOGY)</v>
      </c>
    </row>
    <row r="26">
      <c r="A26" s="3">
        <v>40.0</v>
      </c>
      <c r="B26" s="3" t="s">
        <v>4082</v>
      </c>
      <c r="C26" s="5" t="s">
        <v>1696</v>
      </c>
      <c r="H26" s="3" t="str">
        <f>IFERROR(__xludf.DUMMYFUNCTION("""COMPUTED_VALUE"""),"ABBOTT (PRIMARY CARE)")</f>
        <v>ABBOTT (PRIMARY CARE)</v>
      </c>
    </row>
    <row r="27">
      <c r="A27" s="3">
        <v>38.0</v>
      </c>
      <c r="B27" s="3" t="s">
        <v>4083</v>
      </c>
      <c r="C27" s="5" t="s">
        <v>3113</v>
      </c>
      <c r="H27" s="3" t="str">
        <f>IFERROR(__xludf.DUMMYFUNCTION("""COMPUTED_VALUE"""),"ABBOTT (WOMEN HEALTH)")</f>
        <v>ABBOTT (WOMEN HEALTH)</v>
      </c>
    </row>
    <row r="28">
      <c r="A28" s="3">
        <v>37.0</v>
      </c>
      <c r="B28" s="3" t="s">
        <v>4084</v>
      </c>
      <c r="C28" s="5" t="s">
        <v>1316</v>
      </c>
      <c r="H28" s="3" t="str">
        <f>IFERROR(__xludf.DUMMYFUNCTION("""COMPUTED_VALUE"""),"ABBOTT (WOMEN HEALTHCARE FOSTERA)")</f>
        <v>ABBOTT (WOMEN HEALTHCARE FOSTERA)</v>
      </c>
    </row>
    <row r="29">
      <c r="A29" s="3">
        <v>36.0</v>
      </c>
      <c r="B29" s="3" t="s">
        <v>4085</v>
      </c>
      <c r="C29" s="5" t="s">
        <v>2721</v>
      </c>
      <c r="H29" s="3" t="str">
        <f>IFERROR(__xludf.DUMMYFUNCTION("""COMPUTED_VALUE"""),"Abbott India Ltd")</f>
        <v>Abbott India Ltd</v>
      </c>
    </row>
    <row r="30">
      <c r="A30" s="3">
        <v>33.0</v>
      </c>
      <c r="B30" s="3" t="s">
        <v>4086</v>
      </c>
      <c r="C30" s="5" t="s">
        <v>1154</v>
      </c>
      <c r="H30" s="3" t="str">
        <f>IFERROR(__xludf.DUMMYFUNCTION("""COMPUTED_VALUE"""),"ABBOTT INDIA LTD (OTC)")</f>
        <v>ABBOTT INDIA LTD (OTC)</v>
      </c>
    </row>
    <row r="31">
      <c r="A31" s="3">
        <v>32.0</v>
      </c>
      <c r="B31" s="3" t="s">
        <v>4087</v>
      </c>
      <c r="C31" s="5" t="s">
        <v>2010</v>
      </c>
      <c r="H31" s="3" t="str">
        <f>IFERROR(__xludf.DUMMYFUNCTION("""COMPUTED_VALUE"""),"ABBOTT INDIA LTD (SOLVAY)")</f>
        <v>ABBOTT INDIA LTD (SOLVAY)</v>
      </c>
    </row>
    <row r="32">
      <c r="A32" s="3">
        <v>32.0</v>
      </c>
      <c r="B32" s="3" t="s">
        <v>2323</v>
      </c>
      <c r="C32" s="5" t="s">
        <v>2323</v>
      </c>
      <c r="H32" s="3" t="str">
        <f>IFERROR(__xludf.DUMMYFUNCTION("""COMPUTED_VALUE"""),"Abbott India Ltd (SPECIALITY)")</f>
        <v>Abbott India Ltd (SPECIALITY)</v>
      </c>
    </row>
    <row r="33">
      <c r="A33" s="3">
        <v>32.0</v>
      </c>
      <c r="B33" s="3" t="s">
        <v>4088</v>
      </c>
      <c r="C33" s="5" t="s">
        <v>2651</v>
      </c>
      <c r="H33" s="3" t="str">
        <f>IFERROR(__xludf.DUMMYFUNCTION("""COMPUTED_VALUE"""),"ABBOTT TRUECARE PHARMA")</f>
        <v>ABBOTT TRUECARE PHARMA</v>
      </c>
    </row>
    <row r="34">
      <c r="A34" s="3">
        <v>31.0</v>
      </c>
      <c r="B34" s="3" t="s">
        <v>4089</v>
      </c>
      <c r="C34" s="5" t="s">
        <v>2778</v>
      </c>
      <c r="H34" s="3" t="str">
        <f>IFERROR(__xludf.DUMMYFUNCTION("""COMPUTED_VALUE"""),"ABHIJEET INDUSTRIES")</f>
        <v>ABHIJEET INDUSTRIES</v>
      </c>
    </row>
    <row r="35">
      <c r="A35" s="3">
        <v>28.0</v>
      </c>
      <c r="B35" s="3" t="s">
        <v>4090</v>
      </c>
      <c r="C35" s="5" t="s">
        <v>1520</v>
      </c>
      <c r="H35" s="3" t="str">
        <f>IFERROR(__xludf.DUMMYFUNCTION("""COMPUTED_VALUE"""),"ABHILASHA AYURVEDIC PHARMACY")</f>
        <v>ABHILASHA AYURVEDIC PHARMACY</v>
      </c>
    </row>
    <row r="36">
      <c r="A36" s="3">
        <v>28.0</v>
      </c>
      <c r="B36" s="3" t="s">
        <v>2378</v>
      </c>
      <c r="C36" s="3" t="s">
        <v>2378</v>
      </c>
      <c r="H36" s="3" t="str">
        <f>IFERROR(__xludf.DUMMYFUNCTION("""COMPUTED_VALUE"""),"ABIL HEALTH CARE PVT LTD")</f>
        <v>ABIL HEALTH CARE PVT LTD</v>
      </c>
    </row>
    <row r="37">
      <c r="A37" s="3">
        <v>27.0</v>
      </c>
      <c r="B37" s="3" t="s">
        <v>4091</v>
      </c>
      <c r="C37" s="5" t="s">
        <v>897</v>
      </c>
      <c r="H37" s="3" t="str">
        <f>IFERROR(__xludf.DUMMYFUNCTION("""COMPUTED_VALUE"""),"ABRIK REMEDIES")</f>
        <v>ABRIK REMEDIES</v>
      </c>
    </row>
    <row r="38">
      <c r="A38" s="3">
        <v>26.0</v>
      </c>
      <c r="B38" s="3" t="s">
        <v>4092</v>
      </c>
      <c r="C38" s="5" t="s">
        <v>603</v>
      </c>
      <c r="H38" s="3" t="str">
        <f>IFERROR(__xludf.DUMMYFUNCTION("""COMPUTED_VALUE"""),"ABROGATE HEALTHCARE P LTD")</f>
        <v>ABROGATE HEALTHCARE P LTD</v>
      </c>
    </row>
    <row r="39">
      <c r="A39" s="3">
        <v>25.0</v>
      </c>
      <c r="B39" s="3" t="s">
        <v>4093</v>
      </c>
      <c r="C39" s="5" t="s">
        <v>3320</v>
      </c>
      <c r="H39" s="3" t="str">
        <f>IFERROR(__xludf.DUMMYFUNCTION("""COMPUTED_VALUE"""),"ACCORD PHARMACEUTICALS")</f>
        <v>ACCORD PHARMACEUTICALS</v>
      </c>
    </row>
    <row r="40">
      <c r="A40" s="3">
        <v>25.0</v>
      </c>
      <c r="B40" s="3" t="s">
        <v>4094</v>
      </c>
      <c r="C40" s="5" t="s">
        <v>3850</v>
      </c>
      <c r="H40" s="3" t="str">
        <f>IFERROR(__xludf.DUMMYFUNCTION("""COMPUTED_VALUE"""),"ACCURIS HEALTHCARE")</f>
        <v>ACCURIS HEALTHCARE</v>
      </c>
    </row>
    <row r="41">
      <c r="A41" s="3">
        <v>23.0</v>
      </c>
      <c r="B41" s="3" t="s">
        <v>4095</v>
      </c>
      <c r="C41" s="5" t="s">
        <v>746</v>
      </c>
      <c r="H41" s="3" t="str">
        <f>IFERROR(__xludf.DUMMYFUNCTION("""COMPUTED_VALUE"""),"ACE BIOTECH")</f>
        <v>ACE BIOTECH</v>
      </c>
    </row>
    <row r="42">
      <c r="A42" s="3">
        <v>23.0</v>
      </c>
      <c r="B42" s="3" t="s">
        <v>4096</v>
      </c>
      <c r="C42" s="5" t="s">
        <v>1768</v>
      </c>
      <c r="H42" s="3" t="str">
        <f>IFERROR(__xludf.DUMMYFUNCTION("""COMPUTED_VALUE"""),"ACELA HEALTHCARE PVT LTD")</f>
        <v>ACELA HEALTHCARE PVT LTD</v>
      </c>
    </row>
    <row r="43">
      <c r="A43" s="3">
        <v>23.0</v>
      </c>
      <c r="B43" s="3" t="s">
        <v>4097</v>
      </c>
      <c r="C43" s="5" t="s">
        <v>2425</v>
      </c>
      <c r="H43" s="3" t="str">
        <f>IFERROR(__xludf.DUMMYFUNCTION("""COMPUTED_VALUE"""),"ACICHEM LABORATORIES")</f>
        <v>ACICHEM LABORATORIES</v>
      </c>
    </row>
    <row r="44">
      <c r="A44" s="3">
        <v>22.0</v>
      </c>
      <c r="B44" s="3" t="s">
        <v>2690</v>
      </c>
      <c r="C44" s="5" t="s">
        <v>2690</v>
      </c>
      <c r="H44" s="3" t="str">
        <f>IFERROR(__xludf.DUMMYFUNCTION("""COMPUTED_VALUE"""),"ACINOM HEALTHCARE")</f>
        <v>ACINOM HEALTHCARE</v>
      </c>
    </row>
    <row r="45">
      <c r="A45" s="3">
        <v>22.0</v>
      </c>
      <c r="B45" s="3" t="s">
        <v>4098</v>
      </c>
      <c r="C45" s="5" t="s">
        <v>3052</v>
      </c>
      <c r="H45" s="3" t="str">
        <f>IFERROR(__xludf.DUMMYFUNCTION("""COMPUTED_VALUE"""),"ACME PHARMACEUTICALS")</f>
        <v>ACME PHARMACEUTICALS</v>
      </c>
    </row>
    <row r="46">
      <c r="A46" s="3">
        <v>22.0</v>
      </c>
      <c r="B46" s="3" t="s">
        <v>4099</v>
      </c>
      <c r="C46" s="5" t="s">
        <v>3876</v>
      </c>
      <c r="H46" s="3" t="str">
        <f>IFERROR(__xludf.DUMMYFUNCTION("""COMPUTED_VALUE"""),"ACROMAT PHARMA LAB")</f>
        <v>ACROMAT PHARMA LAB</v>
      </c>
    </row>
    <row r="47">
      <c r="A47" s="3">
        <v>21.0</v>
      </c>
      <c r="B47" s="3" t="s">
        <v>4100</v>
      </c>
      <c r="C47" s="5" t="s">
        <v>382</v>
      </c>
      <c r="H47" s="3" t="str">
        <f>IFERROR(__xludf.DUMMYFUNCTION("""COMPUTED_VALUE"""),"ACUELIFE HEALTHCARE")</f>
        <v>ACUELIFE HEALTHCARE</v>
      </c>
    </row>
    <row r="48">
      <c r="A48" s="3">
        <v>21.0</v>
      </c>
      <c r="B48" s="3" t="s">
        <v>4101</v>
      </c>
      <c r="C48" s="5" t="s">
        <v>1118</v>
      </c>
      <c r="H48" s="3" t="str">
        <f>IFERROR(__xludf.DUMMYFUNCTION("""COMPUTED_VALUE"""),"ACULIFE HEALTHCARE PVT LTD")</f>
        <v>ACULIFE HEALTHCARE PVT LTD</v>
      </c>
    </row>
    <row r="49">
      <c r="A49" s="3">
        <v>21.0</v>
      </c>
      <c r="B49" s="3" t="s">
        <v>4102</v>
      </c>
      <c r="C49" s="5" t="s">
        <v>1737</v>
      </c>
      <c r="H49" s="3" t="str">
        <f>IFERROR(__xludf.DUMMYFUNCTION("""COMPUTED_VALUE"""),"ACURAGLOBE LLP")</f>
        <v>ACURAGLOBE LLP</v>
      </c>
    </row>
    <row r="50">
      <c r="A50" s="3">
        <v>21.0</v>
      </c>
      <c r="B50" s="3" t="s">
        <v>4103</v>
      </c>
      <c r="C50" s="5" t="s">
        <v>2356</v>
      </c>
      <c r="H50" s="3" t="str">
        <f>IFERROR(__xludf.DUMMYFUNCTION("""COMPUTED_VALUE"""),"AD-VIK LABORATORIES")</f>
        <v>AD-VIK LABORATORIES</v>
      </c>
    </row>
    <row r="51">
      <c r="A51" s="3">
        <v>21.0</v>
      </c>
      <c r="B51" s="3" t="s">
        <v>4104</v>
      </c>
      <c r="C51" s="5" t="s">
        <v>2756</v>
      </c>
      <c r="H51" s="3" t="str">
        <f>IFERROR(__xludf.DUMMYFUNCTION("""COMPUTED_VALUE"""),"ADALBERT HEALTHCARE")</f>
        <v>ADALBERT HEALTHCARE</v>
      </c>
    </row>
    <row r="52">
      <c r="A52" s="3">
        <v>21.0</v>
      </c>
      <c r="B52" s="3" t="s">
        <v>4105</v>
      </c>
      <c r="C52" s="5" t="s">
        <v>3075</v>
      </c>
      <c r="H52" s="3" t="str">
        <f>IFERROR(__xludf.DUMMYFUNCTION("""COMPUTED_VALUE"""),"ADARSH PHARMACEUTICAL WORKS")</f>
        <v>ADARSH PHARMACEUTICAL WORKS</v>
      </c>
    </row>
    <row r="53">
      <c r="A53" s="3">
        <v>21.0</v>
      </c>
      <c r="B53" s="3" t="s">
        <v>4106</v>
      </c>
      <c r="C53" s="5" t="s">
        <v>3786</v>
      </c>
      <c r="H53" s="3" t="str">
        <f>IFERROR(__xludf.DUMMYFUNCTION("""COMPUTED_VALUE"""),"Adcock Ingram (CFL)")</f>
        <v>Adcock Ingram (CFL)</v>
      </c>
    </row>
    <row r="54">
      <c r="A54" s="3">
        <v>20.0</v>
      </c>
      <c r="B54" s="3" t="s">
        <v>4107</v>
      </c>
      <c r="C54" s="5" t="s">
        <v>404</v>
      </c>
      <c r="H54" s="3" t="str">
        <f>IFERROR(__xludf.DUMMYFUNCTION("""COMPUTED_VALUE"""),"Adcock Ingram (COSMO)")</f>
        <v>Adcock Ingram (COSMO)</v>
      </c>
    </row>
    <row r="55">
      <c r="A55" s="3">
        <v>20.0</v>
      </c>
      <c r="B55" s="3" t="s">
        <v>4108</v>
      </c>
      <c r="C55" s="5" t="s">
        <v>1984</v>
      </c>
      <c r="H55" s="3" t="str">
        <f>IFERROR(__xludf.DUMMYFUNCTION("""COMPUTED_VALUE"""),"Adcock Ingram (DERMA SKINCARE)")</f>
        <v>Adcock Ingram (DERMA SKINCARE)</v>
      </c>
    </row>
    <row r="56">
      <c r="A56" s="3">
        <v>20.0</v>
      </c>
      <c r="B56" s="3" t="s">
        <v>4109</v>
      </c>
      <c r="C56" s="5" t="s">
        <v>2043</v>
      </c>
      <c r="H56" s="3" t="str">
        <f>IFERROR(__xludf.DUMMYFUNCTION("""COMPUTED_VALUE"""),"Adcock Ingram Healthcare Pvt Ltd")</f>
        <v>Adcock Ingram Healthcare Pvt Ltd</v>
      </c>
    </row>
    <row r="57">
      <c r="A57" s="3">
        <v>20.0</v>
      </c>
      <c r="B57" s="3" t="s">
        <v>4110</v>
      </c>
      <c r="C57" s="5" t="s">
        <v>2474</v>
      </c>
      <c r="H57" s="3" t="str">
        <f>IFERROR(__xludf.DUMMYFUNCTION("""COMPUTED_VALUE"""),"ADCON LABS")</f>
        <v>ADCON LABS</v>
      </c>
    </row>
    <row r="58">
      <c r="A58" s="3">
        <v>20.0</v>
      </c>
      <c r="B58" s="3" t="s">
        <v>4111</v>
      </c>
      <c r="C58" s="5" t="s">
        <v>3012</v>
      </c>
      <c r="H58" s="3" t="str">
        <f>IFERROR(__xludf.DUMMYFUNCTION("""COMPUTED_VALUE"""),"ADDII BIOTECH (ADRIVE)")</f>
        <v>ADDII BIOTECH (ADRIVE)</v>
      </c>
    </row>
    <row r="59">
      <c r="A59" s="3">
        <v>19.0</v>
      </c>
      <c r="B59" s="3" t="s">
        <v>4112</v>
      </c>
      <c r="C59" s="6" t="s">
        <v>1950</v>
      </c>
      <c r="H59" s="3" t="str">
        <f>IFERROR(__xludf.DUMMYFUNCTION("""COMPUTED_VALUE"""),"ADDIS PHARMA")</f>
        <v>ADDIS PHARMA</v>
      </c>
    </row>
    <row r="60">
      <c r="A60" s="3">
        <v>19.0</v>
      </c>
      <c r="B60" s="3" t="s">
        <v>4113</v>
      </c>
      <c r="C60" s="5" t="s">
        <v>3876</v>
      </c>
      <c r="H60" s="3" t="str">
        <f>IFERROR(__xludf.DUMMYFUNCTION("""COMPUTED_VALUE"""),"ADEL - MADDUS")</f>
        <v>ADEL - MADDUS</v>
      </c>
    </row>
    <row r="61">
      <c r="A61" s="3">
        <v>18.0</v>
      </c>
      <c r="B61" s="3" t="s">
        <v>4114</v>
      </c>
      <c r="C61" s="5" t="s">
        <v>363</v>
      </c>
      <c r="H61" s="3" t="str">
        <f>IFERROR(__xludf.DUMMYFUNCTION("""COMPUTED_VALUE"""),"ADELEY")</f>
        <v>ADELEY</v>
      </c>
    </row>
    <row r="62" ht="14.25" customHeight="1">
      <c r="A62" s="3">
        <v>18.0</v>
      </c>
      <c r="B62" s="3" t="s">
        <v>4115</v>
      </c>
      <c r="C62" s="5" t="s">
        <v>3033</v>
      </c>
      <c r="H62" s="3" t="str">
        <f>IFERROR(__xludf.DUMMYFUNCTION("""COMPUTED_VALUE"""),"ADIPS LABORATORIES LTD
")</f>
        <v>ADIPS LABORATORIES LTD
</v>
      </c>
    </row>
    <row r="63">
      <c r="A63" s="3">
        <v>17.0</v>
      </c>
      <c r="B63" s="3" t="s">
        <v>4116</v>
      </c>
      <c r="C63" s="6" t="s">
        <v>429</v>
      </c>
      <c r="H63" s="3" t="str">
        <f>IFERROR(__xludf.DUMMYFUNCTION("""COMPUTED_VALUE"""),"ADISTA HEALTHCARE INDIA P LTD")</f>
        <v>ADISTA HEALTHCARE INDIA P LTD</v>
      </c>
    </row>
    <row r="64">
      <c r="A64" s="3">
        <v>17.0</v>
      </c>
      <c r="B64" s="3" t="s">
        <v>4117</v>
      </c>
      <c r="C64" s="5" t="s">
        <v>2407</v>
      </c>
      <c r="H64" s="3" t="str">
        <f>IFERROR(__xludf.DUMMYFUNCTION("""COMPUTED_VALUE"""),"ADITSA HEALTH CARE")</f>
        <v>ADITSA HEALTH CARE</v>
      </c>
    </row>
    <row r="65">
      <c r="A65" s="3">
        <v>17.0</v>
      </c>
      <c r="B65" s="3" t="s">
        <v>4118</v>
      </c>
      <c r="C65" s="5" t="s">
        <v>3808</v>
      </c>
      <c r="H65" s="3" t="str">
        <f>IFERROR(__xludf.DUMMYFUNCTION("""COMPUTED_VALUE"""),"ADIVA PHARMA")</f>
        <v>ADIVA PHARMA</v>
      </c>
    </row>
    <row r="66">
      <c r="A66" s="3">
        <v>16.0</v>
      </c>
      <c r="B66" s="3" t="s">
        <v>4119</v>
      </c>
      <c r="C66" s="5" t="s">
        <v>802</v>
      </c>
      <c r="H66" s="3" t="str">
        <f>IFERROR(__xludf.DUMMYFUNCTION("""COMPUTED_VALUE"""),"ADLEY LAB")</f>
        <v>ADLEY LAB</v>
      </c>
    </row>
    <row r="67">
      <c r="A67" s="3">
        <v>16.0</v>
      </c>
      <c r="B67" s="3" t="s">
        <v>4120</v>
      </c>
      <c r="C67" s="6" t="s">
        <v>923</v>
      </c>
      <c r="H67" s="3" t="str">
        <f>IFERROR(__xludf.DUMMYFUNCTION("""COMPUTED_VALUE"""),"ADLEY LAB (SUPPORTIVE CARE)")</f>
        <v>ADLEY LAB (SUPPORTIVE CARE)</v>
      </c>
    </row>
    <row r="68">
      <c r="A68" s="3">
        <v>15.0</v>
      </c>
      <c r="B68" s="3" t="s">
        <v>1680</v>
      </c>
      <c r="C68" s="5" t="s">
        <v>1680</v>
      </c>
      <c r="H68" s="3" t="str">
        <f>IFERROR(__xludf.DUMMYFUNCTION("""COMPUTED_VALUE"""),"ADMAC FORMULATIONS")</f>
        <v>ADMAC FORMULATIONS</v>
      </c>
    </row>
    <row r="69">
      <c r="A69" s="3">
        <v>15.0</v>
      </c>
      <c r="B69" s="3" t="s">
        <v>4121</v>
      </c>
      <c r="C69" s="5" t="s">
        <v>3509</v>
      </c>
      <c r="H69" s="3" t="str">
        <f>IFERROR(__xludf.DUMMYFUNCTION("""COMPUTED_VALUE"""),"Admac Pharma Ltd")</f>
        <v>Admac Pharma Ltd</v>
      </c>
    </row>
    <row r="70">
      <c r="A70" s="3">
        <v>14.0</v>
      </c>
      <c r="B70" s="3" t="s">
        <v>4122</v>
      </c>
      <c r="C70" s="5" t="s">
        <v>3633</v>
      </c>
      <c r="H70" s="3" t="str">
        <f>IFERROR(__xludf.DUMMYFUNCTION("""COMPUTED_VALUE"""),"ADMAN FORMULATION PVT LTD")</f>
        <v>ADMAN FORMULATION PVT LTD</v>
      </c>
    </row>
    <row r="71">
      <c r="A71" s="3">
        <v>13.0</v>
      </c>
      <c r="B71" s="3" t="s">
        <v>4123</v>
      </c>
      <c r="C71" s="5" t="s">
        <v>721</v>
      </c>
      <c r="H71" s="3" t="str">
        <f>IFERROR(__xludf.DUMMYFUNCTION("""COMPUTED_VALUE"""),"Adonis Laboratories Pvt Ltd")</f>
        <v>Adonis Laboratories Pvt Ltd</v>
      </c>
    </row>
    <row r="72">
      <c r="A72" s="3">
        <v>13.0</v>
      </c>
      <c r="B72" s="3" t="s">
        <v>4124</v>
      </c>
      <c r="C72" s="5" t="s">
        <v>781</v>
      </c>
      <c r="H72" s="3" t="str">
        <f>IFERROR(__xludf.DUMMYFUNCTION("""COMPUTED_VALUE"""),"Adroit Biomed Ltd")</f>
        <v>Adroit Biomed Ltd</v>
      </c>
    </row>
    <row r="73">
      <c r="A73" s="3">
        <v>13.0</v>
      </c>
      <c r="B73" s="3" t="s">
        <v>1140</v>
      </c>
      <c r="C73" s="5" t="s">
        <v>1140</v>
      </c>
      <c r="H73" s="3" t="str">
        <f>IFERROR(__xludf.DUMMYFUNCTION("""COMPUTED_VALUE"""),"ADVEN")</f>
        <v>ADVEN</v>
      </c>
    </row>
    <row r="74">
      <c r="A74" s="3">
        <v>13.0</v>
      </c>
      <c r="B74" s="3" t="s">
        <v>4125</v>
      </c>
      <c r="C74" s="5" t="s">
        <v>3836</v>
      </c>
      <c r="H74" s="3" t="str">
        <f>IFERROR(__xludf.DUMMYFUNCTION("""COMPUTED_VALUE"""),"AEGIS HEALTH SOLUTION")</f>
        <v>AEGIS HEALTH SOLUTION</v>
      </c>
    </row>
    <row r="75">
      <c r="A75" s="3">
        <v>12.0</v>
      </c>
      <c r="B75" s="3" t="s">
        <v>4126</v>
      </c>
      <c r="C75" s="5" t="s">
        <v>2449</v>
      </c>
      <c r="H75" s="3" t="str">
        <f>IFERROR(__xludf.DUMMYFUNCTION("""COMPUTED_VALUE"""),"AEGIS LIFESCIENCES PVT LTD")</f>
        <v>AEGIS LIFESCIENCES PVT LTD</v>
      </c>
    </row>
    <row r="76">
      <c r="A76" s="3">
        <v>12.0</v>
      </c>
      <c r="B76" s="3" t="s">
        <v>4127</v>
      </c>
      <c r="C76" s="5" t="s">
        <v>2955</v>
      </c>
      <c r="H76" s="3" t="str">
        <f>IFERROR(__xludf.DUMMYFUNCTION("""COMPUTED_VALUE"""),"AEQUITAS HEALTHCARE PVT LTD")</f>
        <v>AEQUITAS HEALTHCARE PVT LTD</v>
      </c>
    </row>
    <row r="77">
      <c r="A77" s="3">
        <v>12.0</v>
      </c>
      <c r="B77" s="3" t="s">
        <v>4128</v>
      </c>
      <c r="C77" s="5" t="s">
        <v>2955</v>
      </c>
      <c r="H77" s="3" t="str">
        <f>IFERROR(__xludf.DUMMYFUNCTION("""COMPUTED_VALUE"""),"AERAN LAB INDIA PVT LTD")</f>
        <v>AERAN LAB INDIA PVT LTD</v>
      </c>
    </row>
    <row r="78">
      <c r="A78" s="3">
        <v>12.0</v>
      </c>
      <c r="B78" s="3" t="s">
        <v>4129</v>
      </c>
      <c r="C78" s="5" t="s">
        <v>3826</v>
      </c>
      <c r="H78" s="3" t="str">
        <f>IFERROR(__xludf.DUMMYFUNCTION("""COMPUTED_VALUE"""),"AEROLIFE INDIA HEALTHCARE")</f>
        <v>AEROLIFE INDIA HEALTHCARE</v>
      </c>
    </row>
    <row r="79">
      <c r="A79" s="3">
        <v>11.0</v>
      </c>
      <c r="B79" s="3" t="s">
        <v>4130</v>
      </c>
      <c r="C79" s="5" t="s">
        <v>1756</v>
      </c>
      <c r="H79" s="3" t="str">
        <f>IFERROR(__xludf.DUMMYFUNCTION("""COMPUTED_VALUE"""),"AESMIRA")</f>
        <v>AESMIRA</v>
      </c>
    </row>
    <row r="80">
      <c r="A80" s="3">
        <v>11.0</v>
      </c>
      <c r="B80" s="3" t="s">
        <v>4131</v>
      </c>
      <c r="C80" s="5" t="s">
        <v>2711</v>
      </c>
      <c r="H80" s="3" t="str">
        <f>IFERROR(__xludf.DUMMYFUNCTION("""COMPUTED_VALUE"""),"AESPIRE FORMULATIONS PVT LTD")</f>
        <v>AESPIRE FORMULATIONS PVT LTD</v>
      </c>
    </row>
    <row r="81">
      <c r="A81" s="3">
        <v>11.0</v>
      </c>
      <c r="B81" s="3" t="s">
        <v>4132</v>
      </c>
      <c r="C81" s="5" t="s">
        <v>3490</v>
      </c>
      <c r="H81" s="3" t="str">
        <f>IFERROR(__xludf.DUMMYFUNCTION("""COMPUTED_VALUE"""),"AFEX PHARMACEUTICALS")</f>
        <v>AFEX PHARMACEUTICALS</v>
      </c>
    </row>
    <row r="82">
      <c r="A82" s="3">
        <v>10.0</v>
      </c>
      <c r="B82" s="3" t="s">
        <v>4133</v>
      </c>
      <c r="C82" s="5" t="s">
        <v>735</v>
      </c>
      <c r="H82" s="3" t="str">
        <f>IFERROR(__xludf.DUMMYFUNCTION("""COMPUTED_VALUE"""),"AFFINE FORMULATION P LTD SOLAN")</f>
        <v>AFFINE FORMULATION P LTD SOLAN</v>
      </c>
    </row>
    <row r="83">
      <c r="A83" s="3">
        <v>10.0</v>
      </c>
      <c r="B83" s="3" t="s">
        <v>4134</v>
      </c>
      <c r="C83" s="5" t="s">
        <v>770</v>
      </c>
      <c r="H83" s="3" t="str">
        <f>IFERROR(__xludf.DUMMYFUNCTION("""COMPUTED_VALUE"""),"AFFY PARENTERALS BADDI")</f>
        <v>AFFY PARENTERALS BADDI</v>
      </c>
    </row>
    <row r="84">
      <c r="A84" s="3">
        <v>10.0</v>
      </c>
      <c r="B84" s="3" t="s">
        <v>4135</v>
      </c>
      <c r="C84" s="5" t="s">
        <v>3775</v>
      </c>
      <c r="H84" s="3" t="str">
        <f>IFERROR(__xludf.DUMMYFUNCTION("""COMPUTED_VALUE"""),"AFFY PHARMA PVT LTD")</f>
        <v>AFFY PHARMA PVT LTD</v>
      </c>
    </row>
    <row r="85">
      <c r="A85" s="3">
        <v>9.0</v>
      </c>
      <c r="B85" s="3" t="s">
        <v>887</v>
      </c>
      <c r="C85" s="5" t="s">
        <v>887</v>
      </c>
      <c r="H85" s="3" t="str">
        <f>IFERROR(__xludf.DUMMYFUNCTION("""COMPUTED_VALUE"""),"AFIVE PHARMACEUTICALS")</f>
        <v>AFIVE PHARMACEUTICALS</v>
      </c>
    </row>
    <row r="86">
      <c r="A86" s="3">
        <v>8.0</v>
      </c>
      <c r="B86" s="3" t="s">
        <v>4136</v>
      </c>
      <c r="C86" s="5" t="s">
        <v>1410</v>
      </c>
      <c r="H86" s="3" t="str">
        <f>IFERROR(__xludf.DUMMYFUNCTION("""COMPUTED_VALUE"""),"AG BIOTECH")</f>
        <v>AG BIOTECH</v>
      </c>
    </row>
    <row r="87">
      <c r="A87" s="3">
        <v>8.0</v>
      </c>
      <c r="B87" s="3" t="s">
        <v>4137</v>
      </c>
      <c r="C87" s="5" t="s">
        <v>1419</v>
      </c>
      <c r="H87" s="3" t="str">
        <f>IFERROR(__xludf.DUMMYFUNCTION("""COMPUTED_VALUE"""),"AGIO Pharmaceuticals Ltd")</f>
        <v>AGIO Pharmaceuticals Ltd</v>
      </c>
    </row>
    <row r="88">
      <c r="A88" s="3">
        <v>8.0</v>
      </c>
      <c r="B88" s="3" t="s">
        <v>4138</v>
      </c>
      <c r="C88" s="5" t="s">
        <v>3104</v>
      </c>
      <c r="H88" s="3" t="str">
        <f>IFERROR(__xludf.DUMMYFUNCTION("""COMPUTED_VALUE"""),"Aglowmed Drugs Pvt   Ltd")</f>
        <v>Aglowmed Drugs Pvt   Ltd</v>
      </c>
    </row>
    <row r="89">
      <c r="A89" s="3">
        <v>7.0</v>
      </c>
      <c r="B89" s="3" t="s">
        <v>4139</v>
      </c>
      <c r="C89" s="5" t="s">
        <v>173</v>
      </c>
      <c r="H89" s="3" t="str">
        <f>IFERROR(__xludf.DUMMYFUNCTION("""COMPUTED_VALUE"""),"Aglowmed Drugs Pvt. Ltd.")</f>
        <v>Aglowmed Drugs Pvt. Ltd.</v>
      </c>
    </row>
    <row r="90">
      <c r="A90" s="3">
        <v>7.0</v>
      </c>
      <c r="B90" s="3" t="s">
        <v>4140</v>
      </c>
      <c r="C90" s="5" t="s">
        <v>1970</v>
      </c>
      <c r="H90" s="3" t="str">
        <f>IFERROR(__xludf.DUMMYFUNCTION("""COMPUTED_VALUE"""),"AGM BIOTECH")</f>
        <v>AGM BIOTECH</v>
      </c>
    </row>
    <row r="91">
      <c r="A91" s="3">
        <v>7.0</v>
      </c>
      <c r="B91" s="3" t="s">
        <v>4141</v>
      </c>
      <c r="C91" s="5" t="s">
        <v>2683</v>
      </c>
      <c r="H91" s="3" t="str">
        <f>IFERROR(__xludf.DUMMYFUNCTION("""COMPUTED_VALUE"""),"Agron India Ltd")</f>
        <v>Agron India Ltd</v>
      </c>
    </row>
    <row r="92">
      <c r="A92" s="3">
        <v>6.0</v>
      </c>
      <c r="B92" s="3" t="s">
        <v>4142</v>
      </c>
      <c r="C92" s="5" t="s">
        <v>155</v>
      </c>
      <c r="H92" s="3" t="str">
        <f>IFERROR(__xludf.DUMMYFUNCTION("""COMPUTED_VALUE"""),"Agron Remedies Pvt. Ltd")</f>
        <v>Agron Remedies Pvt. Ltd</v>
      </c>
    </row>
    <row r="93">
      <c r="A93" s="3">
        <v>6.0</v>
      </c>
      <c r="B93" s="3" t="s">
        <v>4143</v>
      </c>
      <c r="C93" s="5" t="s">
        <v>181</v>
      </c>
      <c r="H93" s="3" t="str">
        <f>IFERROR(__xludf.DUMMYFUNCTION("""COMPUTED_VALUE"""),"AGROSAFE PHARMACEUTICALS")</f>
        <v>AGROSAFE PHARMACEUTICALS</v>
      </c>
    </row>
    <row r="94">
      <c r="A94" s="3">
        <v>6.0</v>
      </c>
      <c r="B94" s="3" t="s">
        <v>4144</v>
      </c>
      <c r="C94" s="5" t="s">
        <v>795</v>
      </c>
      <c r="H94" s="3" t="str">
        <f>IFERROR(__xludf.DUMMYFUNCTION("""COMPUTED_VALUE"""),"AGROW PHARMA")</f>
        <v>AGROW PHARMA</v>
      </c>
    </row>
    <row r="95">
      <c r="A95" s="3">
        <v>6.0</v>
      </c>
      <c r="B95" s="3" t="s">
        <v>4145</v>
      </c>
      <c r="C95" s="5" t="s">
        <v>1978</v>
      </c>
      <c r="H95" s="3" t="str">
        <f>IFERROR(__xludf.DUMMYFUNCTION("""COMPUTED_VALUE"""),"AGUS WORLD")</f>
        <v>AGUS WORLD</v>
      </c>
    </row>
    <row r="96">
      <c r="A96" s="3">
        <v>6.0</v>
      </c>
      <c r="B96" s="3" t="s">
        <v>4146</v>
      </c>
      <c r="C96" s="5" t="s">
        <v>2462</v>
      </c>
      <c r="H96" s="3" t="str">
        <f>IFERROR(__xludf.DUMMYFUNCTION("""COMPUTED_VALUE"""),"AIMIL PHARMACEUTICALS")</f>
        <v>AIMIL PHARMACEUTICALS</v>
      </c>
    </row>
    <row r="97">
      <c r="A97" s="3">
        <v>6.0</v>
      </c>
      <c r="B97" s="3" t="s">
        <v>4147</v>
      </c>
      <c r="C97" s="5" t="s">
        <v>3097</v>
      </c>
      <c r="H97" s="3" t="str">
        <f>IFERROR(__xludf.DUMMYFUNCTION("""COMPUTED_VALUE"""),"AISHWARYA HEALTHCARE")</f>
        <v>AISHWARYA HEALTHCARE</v>
      </c>
    </row>
    <row r="98">
      <c r="A98" s="3">
        <v>6.0</v>
      </c>
      <c r="B98" s="3" t="s">
        <v>4148</v>
      </c>
      <c r="C98" s="5" t="s">
        <v>3502</v>
      </c>
      <c r="H98" s="3" t="str">
        <f>IFERROR(__xludf.DUMMYFUNCTION("""COMPUTED_VALUE"""),"AISLIN FORMULATION PVT LTD")</f>
        <v>AISLIN FORMULATION PVT LTD</v>
      </c>
    </row>
    <row r="99">
      <c r="A99" s="3">
        <v>6.0</v>
      </c>
      <c r="B99" s="3" t="s">
        <v>4149</v>
      </c>
      <c r="C99" s="6" t="s">
        <v>3626</v>
      </c>
      <c r="H99" s="3" t="str">
        <f>IFERROR(__xludf.DUMMYFUNCTION("""COMPUTED_VALUE"""),"AJANTA PHARMA (ALMIRON)")</f>
        <v>AJANTA PHARMA (ALMIRON)</v>
      </c>
    </row>
    <row r="100">
      <c r="A100" s="3">
        <v>5.0</v>
      </c>
      <c r="B100" s="3" t="s">
        <v>4150</v>
      </c>
      <c r="C100" s="5" t="s">
        <v>447</v>
      </c>
      <c r="H100" s="3" t="str">
        <f>IFERROR(__xludf.DUMMYFUNCTION("""COMPUTED_VALUE"""),"AJANTA PHARMA (ANVAXX)")</f>
        <v>AJANTA PHARMA (ANVAXX)</v>
      </c>
    </row>
    <row r="101">
      <c r="A101" s="3">
        <v>5.0</v>
      </c>
      <c r="B101" s="3" t="s">
        <v>4151</v>
      </c>
      <c r="C101" s="5" t="s">
        <v>3418</v>
      </c>
      <c r="H101" s="3" t="str">
        <f>IFERROR(__xludf.DUMMYFUNCTION("""COMPUTED_VALUE"""),"AJANTA PHARMA (AUREUS)")</f>
        <v>AJANTA PHARMA (AUREUS)</v>
      </c>
    </row>
    <row r="102">
      <c r="A102" s="3">
        <v>4.0</v>
      </c>
      <c r="B102" s="3" t="s">
        <v>4152</v>
      </c>
      <c r="C102" s="5" t="s">
        <v>155</v>
      </c>
      <c r="H102" s="3" t="str">
        <f>IFERROR(__xludf.DUMMYFUNCTION("""COMPUTED_VALUE"""),"AJANTA PHARMA (AVECIA)")</f>
        <v>AJANTA PHARMA (AVECIA)</v>
      </c>
    </row>
    <row r="103">
      <c r="A103" s="3">
        <v>4.0</v>
      </c>
      <c r="B103" s="3" t="s">
        <v>4153</v>
      </c>
      <c r="C103" s="5" t="s">
        <v>160</v>
      </c>
      <c r="H103" s="3" t="str">
        <f>IFERROR(__xludf.DUMMYFUNCTION("""COMPUTED_VALUE"""),"AJANTA PHARMA (AXYS)")</f>
        <v>AJANTA PHARMA (AXYS)</v>
      </c>
    </row>
    <row r="104">
      <c r="A104" s="3">
        <v>4.0</v>
      </c>
      <c r="B104" s="3" t="s">
        <v>4154</v>
      </c>
      <c r="C104" s="5" t="s">
        <v>940</v>
      </c>
      <c r="H104" s="3" t="str">
        <f>IFERROR(__xludf.DUMMYFUNCTION("""COMPUTED_VALUE"""),"AJANTA PHARMA (CDC)")</f>
        <v>AJANTA PHARMA (CDC)</v>
      </c>
    </row>
    <row r="105">
      <c r="A105" s="3">
        <v>4.0</v>
      </c>
      <c r="B105" s="3" t="s">
        <v>4155</v>
      </c>
      <c r="C105" s="5" t="s">
        <v>2005</v>
      </c>
      <c r="H105" s="3" t="str">
        <f>IFERROR(__xludf.DUMMYFUNCTION("""COMPUTED_VALUE"""),"AJANTA PHARMA (ILLUMA)")</f>
        <v>AJANTA PHARMA (ILLUMA)</v>
      </c>
    </row>
    <row r="106">
      <c r="A106" s="3">
        <v>4.0</v>
      </c>
      <c r="B106" s="3" t="s">
        <v>4156</v>
      </c>
      <c r="C106" s="5" t="s">
        <v>2469</v>
      </c>
      <c r="H106" s="3" t="str">
        <f>IFERROR(__xludf.DUMMYFUNCTION("""COMPUTED_VALUE"""),"AJANTA PHARMA (INYX)")</f>
        <v>AJANTA PHARMA (INYX)</v>
      </c>
    </row>
    <row r="107">
      <c r="A107" s="3">
        <v>4.0</v>
      </c>
      <c r="B107" s="3" t="s">
        <v>4157</v>
      </c>
      <c r="C107" s="5" t="s">
        <v>3152</v>
      </c>
      <c r="H107" s="3" t="str">
        <f>IFERROR(__xludf.DUMMYFUNCTION("""COMPUTED_VALUE"""),"AJANTA PHARMA (MEXLON)")</f>
        <v>AJANTA PHARMA (MEXLON)</v>
      </c>
    </row>
    <row r="108">
      <c r="A108" s="3">
        <v>4.0</v>
      </c>
      <c r="B108" s="3" t="s">
        <v>4158</v>
      </c>
      <c r="C108" s="5" t="s">
        <v>3621</v>
      </c>
      <c r="H108" s="3" t="str">
        <f>IFERROR(__xludf.DUMMYFUNCTION("""COMPUTED_VALUE"""),"AJANTA PHARMA (NUVENTA)")</f>
        <v>AJANTA PHARMA (NUVENTA)</v>
      </c>
    </row>
    <row r="109">
      <c r="A109" s="3">
        <v>3.0</v>
      </c>
      <c r="B109" s="3" t="s">
        <v>4159</v>
      </c>
      <c r="C109" s="5" t="s">
        <v>425</v>
      </c>
      <c r="H109" s="3" t="str">
        <f>IFERROR(__xludf.DUMMYFUNCTION("""COMPUTED_VALUE"""),"AJANTA PHARMA (PRISMA)")</f>
        <v>AJANTA PHARMA (PRISMA)</v>
      </c>
    </row>
    <row r="110">
      <c r="A110" s="3">
        <v>3.0</v>
      </c>
      <c r="B110" s="3" t="s">
        <v>1676</v>
      </c>
      <c r="C110" s="5" t="s">
        <v>1676</v>
      </c>
      <c r="H110" s="3" t="str">
        <f>IFERROR(__xludf.DUMMYFUNCTION("""COMPUTED_VALUE"""),"AJANTA PHARMA (SOLESTA)")</f>
        <v>AJANTA PHARMA (SOLESTA)</v>
      </c>
    </row>
    <row r="111">
      <c r="A111" s="3">
        <v>3.0</v>
      </c>
      <c r="B111" s="3" t="s">
        <v>4160</v>
      </c>
      <c r="C111" s="5" t="s">
        <v>2647</v>
      </c>
      <c r="H111" s="3" t="str">
        <f>IFERROR(__xludf.DUMMYFUNCTION("""COMPUTED_VALUE"""),"AJANTA PHARMA (ZILLION SPE)")</f>
        <v>AJANTA PHARMA (ZILLION SPE)</v>
      </c>
    </row>
    <row r="112">
      <c r="A112" s="3">
        <v>3.0</v>
      </c>
      <c r="B112" s="3" t="s">
        <v>4161</v>
      </c>
      <c r="C112" s="5" t="s">
        <v>3414</v>
      </c>
      <c r="H112" s="3" t="str">
        <f>IFERROR(__xludf.DUMMYFUNCTION("""COMPUTED_VALUE"""),"AJANTA PHARMA (ZILLION)")</f>
        <v>AJANTA PHARMA (ZILLION)</v>
      </c>
    </row>
    <row r="113">
      <c r="A113" s="3">
        <v>2.0</v>
      </c>
      <c r="B113" s="3" t="s">
        <v>4162</v>
      </c>
      <c r="C113" s="5" t="s">
        <v>2810</v>
      </c>
      <c r="H113" s="3" t="str">
        <f>IFERROR(__xludf.DUMMYFUNCTION("""COMPUTED_VALUE"""),"Ajanta Pharma Ltd")</f>
        <v>Ajanta Pharma Ltd</v>
      </c>
    </row>
    <row r="114">
      <c r="A114" s="3">
        <v>2.0</v>
      </c>
      <c r="B114" s="3" t="s">
        <v>4163</v>
      </c>
      <c r="C114" s="5" t="s">
        <v>3618</v>
      </c>
      <c r="H114" s="3" t="str">
        <f>IFERROR(__xludf.DUMMYFUNCTION("""COMPUTED_VALUE"""),"AJES PHARMA")</f>
        <v>AJES PHARMA</v>
      </c>
    </row>
    <row r="115">
      <c r="A115" s="3">
        <v>1.0</v>
      </c>
      <c r="B115" s="3" t="s">
        <v>4164</v>
      </c>
      <c r="C115" s="5" t="s">
        <v>165</v>
      </c>
      <c r="H115" s="3" t="str">
        <f>IFERROR(__xludf.DUMMYFUNCTION("""COMPUTED_VALUE"""),"AJIT AYURVEDA")</f>
        <v>AJIT AYURVEDA</v>
      </c>
    </row>
    <row r="116">
      <c r="A116" s="3">
        <v>1.0</v>
      </c>
      <c r="B116" s="3" t="s">
        <v>4165</v>
      </c>
      <c r="C116" s="5" t="s">
        <v>1074</v>
      </c>
      <c r="H116" s="3" t="str">
        <f>IFERROR(__xludf.DUMMYFUNCTION("""COMPUTED_VALUE"""),"AKOGNOS LIFE SCIENCES")</f>
        <v>AKOGNOS LIFE SCIENCES</v>
      </c>
    </row>
    <row r="117">
      <c r="H117" s="3" t="str">
        <f>IFERROR(__xludf.DUMMYFUNCTION("""COMPUTED_VALUE"""),"AKPASH PHARMA INDORE")</f>
        <v>AKPASH PHARMA INDORE</v>
      </c>
    </row>
    <row r="118">
      <c r="H118" s="3" t="str">
        <f>IFERROR(__xludf.DUMMYFUNCTION("""COMPUTED_VALUE"""),"AKSH PHARMA")</f>
        <v>AKSH PHARMA</v>
      </c>
    </row>
    <row r="119">
      <c r="H119" s="3" t="str">
        <f>IFERROR(__xludf.DUMMYFUNCTION("""COMPUTED_VALUE"""),"AKSHAY PHARMA")</f>
        <v>AKSHAY PHARMA</v>
      </c>
    </row>
    <row r="120">
      <c r="H120" s="3" t="str">
        <f>IFERROR(__xludf.DUMMYFUNCTION("""COMPUTED_VALUE"""),"Aksigen Hospital Care")</f>
        <v>Aksigen Hospital Care</v>
      </c>
    </row>
    <row r="121">
      <c r="H121" s="3" t="str">
        <f>IFERROR(__xludf.DUMMYFUNCTION("""COMPUTED_VALUE"""),"Akumentis Healthcare Ltd")</f>
        <v>Akumentis Healthcare Ltd</v>
      </c>
    </row>
    <row r="122">
      <c r="H122" s="3" t="str">
        <f>IFERROR(__xludf.DUMMYFUNCTION("""COMPUTED_VALUE"""),"AKUMENTIS HEALTHCARE LTD (CRETIS)")</f>
        <v>AKUMENTIS HEALTHCARE LTD (CRETIS)</v>
      </c>
    </row>
    <row r="123">
      <c r="H123" s="3" t="str">
        <f>IFERROR(__xludf.DUMMYFUNCTION("""COMPUTED_VALUE"""),"AKUMENTIS HEALTHCARE LTD (HARMONICA)")</f>
        <v>AKUMENTIS HEALTHCARE LTD (HARMONICA)</v>
      </c>
    </row>
    <row r="124">
      <c r="H124" s="3" t="str">
        <f>IFERROR(__xludf.DUMMYFUNCTION("""COMPUTED_VALUE"""),"AKUMENTIS HEALTHCARE LTD (OSTEON)")</f>
        <v>AKUMENTIS HEALTHCARE LTD (OSTEON)</v>
      </c>
    </row>
    <row r="125">
      <c r="H125" s="3" t="str">
        <f>IFERROR(__xludf.DUMMYFUNCTION("""COMPUTED_VALUE"""),"Akums Drugs &amp; Pharmaceuticals Ltd")</f>
        <v>Akums Drugs &amp; Pharmaceuticals Ltd</v>
      </c>
    </row>
    <row r="126">
      <c r="H126" s="3" t="str">
        <f>IFERROR(__xludf.DUMMYFUNCTION("""COMPUTED_VALUE"""),"ALAKNANDA HERBAL")</f>
        <v>ALAKNANDA HERBAL</v>
      </c>
    </row>
    <row r="127">
      <c r="H127" s="3" t="str">
        <f>IFERROR(__xludf.DUMMYFUNCTION("""COMPUTED_VALUE"""),"Alarsin Pharmaceuticals")</f>
        <v>Alarsin Pharmaceuticals</v>
      </c>
    </row>
    <row r="128">
      <c r="H128" s="3" t="str">
        <f>IFERROR(__xludf.DUMMYFUNCTION("""COMPUTED_VALUE"""),"ALASTER HEALTH CARE")</f>
        <v>ALASTER HEALTH CARE</v>
      </c>
    </row>
    <row r="129">
      <c r="H129" s="3" t="str">
        <f>IFERROR(__xludf.DUMMYFUNCTION("""COMPUTED_VALUE"""),"ALBATROSS HEALTHCARE")</f>
        <v>ALBATROSS HEALTHCARE</v>
      </c>
    </row>
    <row r="130">
      <c r="H130" s="3" t="str">
        <f>IFERROR(__xludf.DUMMYFUNCTION("""COMPUTED_VALUE"""),"Albert David Ltd")</f>
        <v>Albert David Ltd</v>
      </c>
    </row>
    <row r="131">
      <c r="H131" s="3" t="str">
        <f>IFERROR(__xludf.DUMMYFUNCTION("""COMPUTED_VALUE"""),"ALBERTA MEDICARE P LTD")</f>
        <v>ALBERTA MEDICARE P LTD</v>
      </c>
    </row>
    <row r="132">
      <c r="H132" s="3" t="str">
        <f>IFERROR(__xludf.DUMMYFUNCTION("""COMPUTED_VALUE"""),"ALBINO PHARMACEUTICALS PVT LTD")</f>
        <v>ALBINO PHARMACEUTICALS PVT LTD</v>
      </c>
    </row>
    <row r="133">
      <c r="H133" s="3" t="str">
        <f>IFERROR(__xludf.DUMMYFUNCTION("""COMPUTED_VALUE"""),"ALBRIS HEALTHCARE &amp; BIOTECH PVT. LTD.")</f>
        <v>ALBRIS HEALTHCARE &amp; BIOTECH PVT. LTD.</v>
      </c>
    </row>
    <row r="134">
      <c r="H134" s="3" t="str">
        <f>IFERROR(__xludf.DUMMYFUNCTION("""COMPUTED_VALUE"""),"ALBRUS")</f>
        <v>ALBRUS</v>
      </c>
    </row>
    <row r="135">
      <c r="H135" s="3" t="str">
        <f>IFERROR(__xludf.DUMMYFUNCTION("""COMPUTED_VALUE"""),"ALCHEM PHYTOCEUTICAL")</f>
        <v>ALCHEM PHYTOCEUTICAL</v>
      </c>
    </row>
    <row r="136">
      <c r="H136" s="3" t="str">
        <f>IFERROR(__xludf.DUMMYFUNCTION("""COMPUTED_VALUE"""),"Alchemist Life Science")</f>
        <v>Alchemist Life Science</v>
      </c>
    </row>
    <row r="137">
      <c r="H137" s="3" t="str">
        <f>IFERROR(__xludf.DUMMYFUNCTION("""COMPUTED_VALUE"""),"ALCO LABS")</f>
        <v>ALCO LABS</v>
      </c>
    </row>
    <row r="138">
      <c r="H138" s="3" t="str">
        <f>IFERROR(__xludf.DUMMYFUNCTION("""COMPUTED_VALUE"""),"Alcon Laboratories")</f>
        <v>Alcon Laboratories</v>
      </c>
    </row>
    <row r="139">
      <c r="H139" s="3" t="str">
        <f>IFERROR(__xludf.DUMMYFUNCTION("""COMPUTED_VALUE"""),"ALDE VISION")</f>
        <v>ALDE VISION</v>
      </c>
    </row>
    <row r="140">
      <c r="H140" s="3" t="str">
        <f>IFERROR(__xludf.DUMMYFUNCTION("""COMPUTED_VALUE"""),"ALDER PHARMACEUTICAL")</f>
        <v>ALDER PHARMACEUTICAL</v>
      </c>
    </row>
    <row r="141">
      <c r="H141" s="3" t="str">
        <f>IFERROR(__xludf.DUMMYFUNCTION("""COMPUTED_VALUE"""),"ALEMBIC (CORAZON)")</f>
        <v>ALEMBIC (CORAZON)</v>
      </c>
    </row>
    <row r="142">
      <c r="H142" s="3" t="str">
        <f>IFERROR(__xludf.DUMMYFUNCTION("""COMPUTED_VALUE"""),"ALEMBIC (DERMA)")</f>
        <v>ALEMBIC (DERMA)</v>
      </c>
    </row>
    <row r="143">
      <c r="H143" s="3" t="str">
        <f>IFERROR(__xludf.DUMMYFUNCTION("""COMPUTED_VALUE"""),"ALEMBIC (ENTERON)")</f>
        <v>ALEMBIC (ENTERON)</v>
      </c>
    </row>
    <row r="144">
      <c r="H144" s="3" t="str">
        <f>IFERROR(__xludf.DUMMYFUNCTION("""COMPUTED_VALUE"""),"ALEMBIC (GENERIC)")</f>
        <v>ALEMBIC (GENERIC)</v>
      </c>
    </row>
    <row r="145">
      <c r="H145" s="3" t="str">
        <f>IFERROR(__xludf.DUMMYFUNCTION("""COMPUTED_VALUE"""),"ALEMBIC (MAIN)")</f>
        <v>ALEMBIC (MAIN)</v>
      </c>
    </row>
    <row r="146">
      <c r="H146" s="3" t="str">
        <f>IFERROR(__xludf.DUMMYFUNCTION("""COMPUTED_VALUE"""),"ALEMBIC (MAXIS)")</f>
        <v>ALEMBIC (MAXIS)</v>
      </c>
    </row>
    <row r="147">
      <c r="H147" s="3" t="str">
        <f>IFERROR(__xludf.DUMMYFUNCTION("""COMPUTED_VALUE"""),"ALEMBIC (MEGACARE)")</f>
        <v>ALEMBIC (MEGACARE)</v>
      </c>
    </row>
    <row r="148">
      <c r="H148" s="3" t="str">
        <f>IFERROR(__xludf.DUMMYFUNCTION("""COMPUTED_VALUE"""),"ALEMBIC (MITON)")</f>
        <v>ALEMBIC (MITON)</v>
      </c>
    </row>
    <row r="149">
      <c r="H149" s="3" t="str">
        <f>IFERROR(__xludf.DUMMYFUNCTION("""COMPUTED_VALUE"""),"ALEMBIC (OSTOFIT)")</f>
        <v>ALEMBIC (OSTOFIT)</v>
      </c>
    </row>
    <row r="150">
      <c r="H150" s="3" t="str">
        <f>IFERROR(__xludf.DUMMYFUNCTION("""COMPUTED_VALUE"""),"ALEMBIC (OURON)")</f>
        <v>ALEMBIC (OURON)</v>
      </c>
    </row>
    <row r="151">
      <c r="H151" s="3" t="str">
        <f>IFERROR(__xludf.DUMMYFUNCTION("""COMPUTED_VALUE"""),"ALEMBIC (SPECIA)")</f>
        <v>ALEMBIC (SPECIA)</v>
      </c>
    </row>
    <row r="152">
      <c r="H152" s="3" t="str">
        <f>IFERROR(__xludf.DUMMYFUNCTION("""COMPUTED_VALUE"""),"ALEMBIC (SUMMIT)")</f>
        <v>ALEMBIC (SUMMIT)</v>
      </c>
    </row>
    <row r="153">
      <c r="H153" s="3" t="str">
        <f>IFERROR(__xludf.DUMMYFUNCTION("""COMPUTED_VALUE"""),"ALEMBIC (SUPRACARE)")</f>
        <v>ALEMBIC (SUPRACARE)</v>
      </c>
    </row>
    <row r="154">
      <c r="H154" s="3" t="str">
        <f>IFERROR(__xludf.DUMMYFUNCTION("""COMPUTED_VALUE"""),"ALEMBIC (ZENOVI)")</f>
        <v>ALEMBIC (ZENOVI)</v>
      </c>
    </row>
    <row r="155">
      <c r="H155" s="3" t="str">
        <f>IFERROR(__xludf.DUMMYFUNCTION("""COMPUTED_VALUE"""),"Alembic Pharmaceuticals Ltd")</f>
        <v>Alembic Pharmaceuticals Ltd</v>
      </c>
    </row>
    <row r="156">
      <c r="H156" s="3" t="str">
        <f>IFERROR(__xludf.DUMMYFUNCTION("""COMPUTED_VALUE"""),"Alencure Biotech P Ltd")</f>
        <v>Alencure Biotech P Ltd</v>
      </c>
    </row>
    <row r="157">
      <c r="H157" s="3" t="str">
        <f>IFERROR(__xludf.DUMMYFUNCTION("""COMPUTED_VALUE"""),"ALEXIA HEALTHCARE")</f>
        <v>ALEXIA HEALTHCARE</v>
      </c>
    </row>
    <row r="158">
      <c r="H158" s="3" t="str">
        <f>IFERROR(__xludf.DUMMYFUNCTION("""COMPUTED_VALUE"""),"ALIGENT COSMETOLOGY")</f>
        <v>ALIGENT COSMETOLOGY</v>
      </c>
    </row>
    <row r="159">
      <c r="H159" s="3" t="str">
        <f>IFERROR(__xludf.DUMMYFUNCTION("""COMPUTED_VALUE"""),"ALIO LIFESCIENCES")</f>
        <v>ALIO LIFESCIENCES</v>
      </c>
    </row>
    <row r="160">
      <c r="H160" s="3" t="str">
        <f>IFERROR(__xludf.DUMMYFUNCTION("""COMPUTED_VALUE"""),"ALISIER DRUGS")</f>
        <v>ALISIER DRUGS</v>
      </c>
    </row>
    <row r="161">
      <c r="H161" s="3" t="str">
        <f>IFERROR(__xludf.DUMMYFUNCTION("""COMPUTED_VALUE"""),"ALISTE HEALTHCARE PVT. LTD.")</f>
        <v>ALISTE HEALTHCARE PVT. LTD.</v>
      </c>
    </row>
    <row r="162">
      <c r="H162" s="3" t="str">
        <f>IFERROR(__xludf.DUMMYFUNCTION("""COMPUTED_VALUE"""),"ALIV HELTH CARE SOLAN")</f>
        <v>ALIV HELTH CARE SOLAN</v>
      </c>
    </row>
    <row r="163">
      <c r="H163" s="3" t="str">
        <f>IFERROR(__xludf.DUMMYFUNCTION("""COMPUTED_VALUE"""),"ALIXAR HEALTHCARE")</f>
        <v>ALIXAR HEALTHCARE</v>
      </c>
    </row>
    <row r="164">
      <c r="H164" s="3" t="str">
        <f>IFERROR(__xludf.DUMMYFUNCTION("""COMPUTED_VALUE"""),"ALKA CHEMICAL INDUSTRIES")</f>
        <v>ALKA CHEMICAL INDUSTRIES</v>
      </c>
    </row>
    <row r="165">
      <c r="H165" s="3" t="str">
        <f>IFERROR(__xludf.DUMMYFUNCTION("""COMPUTED_VALUE"""),"ALKA PHARMACEUTICALS")</f>
        <v>ALKA PHARMACEUTICALS</v>
      </c>
    </row>
    <row r="166">
      <c r="H166" s="3" t="str">
        <f>IFERROR(__xludf.DUMMYFUNCTION("""COMPUTED_VALUE"""),"ALKEM (ACE)")</f>
        <v>ALKEM (ACE)</v>
      </c>
    </row>
    <row r="167">
      <c r="H167" s="3" t="str">
        <f>IFERROR(__xludf.DUMMYFUNCTION("""COMPUTED_VALUE"""),"ALKEM (ALPHA)")</f>
        <v>ALKEM (ALPHA)</v>
      </c>
    </row>
    <row r="168">
      <c r="H168" s="3" t="str">
        <f>IFERROR(__xludf.DUMMYFUNCTION("""COMPUTED_VALUE"""),"ALKEM (ALPHAMAX)")</f>
        <v>ALKEM (ALPHAMAX)</v>
      </c>
    </row>
    <row r="169">
      <c r="H169" s="3" t="str">
        <f>IFERROR(__xludf.DUMMYFUNCTION("""COMPUTED_VALUE"""),"ALKEM (ALTIS)")</f>
        <v>ALKEM (ALTIS)</v>
      </c>
    </row>
    <row r="170">
      <c r="H170" s="3" t="str">
        <f>IFERROR(__xludf.DUMMYFUNCTION("""COMPUTED_VALUE"""),"ALKEM (BERGEN)")</f>
        <v>ALKEM (BERGEN)</v>
      </c>
    </row>
    <row r="171">
      <c r="H171" s="3" t="str">
        <f>IFERROR(__xludf.DUMMYFUNCTION("""COMPUTED_VALUE"""),"ALKEM (CARDIOLOGY)")</f>
        <v>ALKEM (CARDIOLOGY)</v>
      </c>
    </row>
    <row r="172">
      <c r="H172" s="3" t="str">
        <f>IFERROR(__xludf.DUMMYFUNCTION("""COMPUTED_VALUE"""),"ALKEM (DERMACARE)")</f>
        <v>ALKEM (DERMACARE)</v>
      </c>
    </row>
    <row r="173">
      <c r="H173" s="3" t="str">
        <f>IFERROR(__xludf.DUMMYFUNCTION("""COMPUTED_VALUE"""),"ALKEM (DERMAKEM)")</f>
        <v>ALKEM (DERMAKEM)</v>
      </c>
    </row>
    <row r="174">
      <c r="H174" s="3" t="str">
        <f>IFERROR(__xludf.DUMMYFUNCTION("""COMPUTED_VALUE"""),"ALKEM (DIABETOLOGY)")</f>
        <v>ALKEM (DIABETOLOGY)</v>
      </c>
    </row>
    <row r="175">
      <c r="H175" s="3" t="str">
        <f>IFERROR(__xludf.DUMMYFUNCTION("""COMPUTED_VALUE"""),"ALKEM (FERTICA)")</f>
        <v>ALKEM (FERTICA)</v>
      </c>
    </row>
    <row r="176">
      <c r="H176" s="3" t="str">
        <f>IFERROR(__xludf.DUMMYFUNCTION("""COMPUTED_VALUE"""),"ALKEM (GENERIC-FUTURA)")</f>
        <v>ALKEM (GENERIC-FUTURA)</v>
      </c>
    </row>
    <row r="177">
      <c r="H177" s="3" t="str">
        <f>IFERROR(__xludf.DUMMYFUNCTION("""COMPUTED_VALUE"""),"ALKEM (GENERIC-MAXXIO)")</f>
        <v>ALKEM (GENERIC-MAXXIO)</v>
      </c>
    </row>
    <row r="178">
      <c r="H178" s="3" t="str">
        <f>IFERROR(__xludf.DUMMYFUNCTION("""COMPUTED_VALUE"""),"ALKEM (GENERIC)")</f>
        <v>ALKEM (GENERIC)</v>
      </c>
    </row>
    <row r="179">
      <c r="H179" s="3" t="str">
        <f>IFERROR(__xludf.DUMMYFUNCTION("""COMPUTED_VALUE"""),"ALKEM (HEALTH CARE)")</f>
        <v>ALKEM (HEALTH CARE)</v>
      </c>
    </row>
    <row r="180">
      <c r="H180" s="3" t="str">
        <f>IFERROR(__xludf.DUMMYFUNCTION("""COMPUTED_VALUE"""),"ALKEM (IMPERIA)")</f>
        <v>ALKEM (IMPERIA)</v>
      </c>
    </row>
    <row r="181">
      <c r="H181" s="3" t="str">
        <f>IFERROR(__xludf.DUMMYFUNCTION("""COMPUTED_VALUE"""),"ALKEM (MAIN)")</f>
        <v>ALKEM (MAIN)</v>
      </c>
    </row>
    <row r="182">
      <c r="H182" s="3" t="str">
        <f>IFERROR(__xludf.DUMMYFUNCTION("""COMPUTED_VALUE"""),"ALKEM (METABOLICS)")</f>
        <v>ALKEM (METABOLICS)</v>
      </c>
    </row>
    <row r="183">
      <c r="H183" s="3" t="str">
        <f>IFERROR(__xludf.DUMMYFUNCTION("""COMPUTED_VALUE"""),"ALKEM (ONCOLOGY)")</f>
        <v>ALKEM (ONCOLOGY)</v>
      </c>
    </row>
    <row r="184">
      <c r="H184" s="3" t="str">
        <f>IFERROR(__xludf.DUMMYFUNCTION("""COMPUTED_VALUE"""),"ALKEM (OTC)")</f>
        <v>ALKEM (OTC)</v>
      </c>
    </row>
    <row r="185">
      <c r="H185" s="3" t="str">
        <f>IFERROR(__xludf.DUMMYFUNCTION("""COMPUTED_VALUE"""),"ALKEM (ULTICARE)")</f>
        <v>ALKEM (ULTICARE)</v>
      </c>
    </row>
    <row r="186">
      <c r="H186" s="3" t="str">
        <f>IFERROR(__xludf.DUMMYFUNCTION("""COMPUTED_VALUE"""),"ALKEM (UROLOGY)")</f>
        <v>ALKEM (UROLOGY)</v>
      </c>
    </row>
    <row r="187">
      <c r="H187" s="3" t="str">
        <f>IFERROR(__xludf.DUMMYFUNCTION("""COMPUTED_VALUE"""),"ALKEM (ZURIEVE)")</f>
        <v>ALKEM (ZURIEVE)</v>
      </c>
    </row>
    <row r="188">
      <c r="H188" s="3" t="str">
        <f>IFERROR(__xludf.DUMMYFUNCTION("""COMPUTED_VALUE"""),"Alkem Laboratories Ltd")</f>
        <v>Alkem Laboratories Ltd</v>
      </c>
    </row>
    <row r="189">
      <c r="H189" s="3" t="str">
        <f>IFERROR(__xludf.DUMMYFUNCTION("""COMPUTED_VALUE"""),"Alkem Laboratories Ltd (SPECIALITY)")</f>
        <v>Alkem Laboratories Ltd (SPECIALITY)</v>
      </c>
    </row>
    <row r="190">
      <c r="H190" s="3" t="str">
        <f>IFERROR(__xludf.DUMMYFUNCTION("""COMPUTED_VALUE"""),"ALLEN - INDORE")</f>
        <v>ALLEN - INDORE</v>
      </c>
    </row>
    <row r="191">
      <c r="H191" s="3" t="str">
        <f>IFERROR(__xludf.DUMMYFUNCTION("""COMPUTED_VALUE"""),"ALLEN - KOLKATA")</f>
        <v>ALLEN - KOLKATA</v>
      </c>
    </row>
    <row r="192">
      <c r="H192" s="3" t="str">
        <f>IFERROR(__xludf.DUMMYFUNCTION("""COMPUTED_VALUE"""),"Allen Dale Biosciences")</f>
        <v>Allen Dale Biosciences</v>
      </c>
    </row>
    <row r="193">
      <c r="H193" s="3" t="str">
        <f>IFERROR(__xludf.DUMMYFUNCTION("""COMPUTED_VALUE"""),"ALLEN LABORATORIES LTD")</f>
        <v>ALLEN LABORATORIES LTD</v>
      </c>
    </row>
    <row r="194">
      <c r="H194" s="3" t="str">
        <f>IFERROR(__xludf.DUMMYFUNCTION("""COMPUTED_VALUE"""),"ALLENTIS PHARMACEUTICALS PVT LTD")</f>
        <v>ALLENTIS PHARMACEUTICALS PVT LTD</v>
      </c>
    </row>
    <row r="195">
      <c r="H195" s="3" t="str">
        <f>IFERROR(__xludf.DUMMYFUNCTION("""COMPUTED_VALUE"""),"ALLERGAN INDIA (ALPHA)")</f>
        <v>ALLERGAN INDIA (ALPHA)</v>
      </c>
    </row>
    <row r="196">
      <c r="H196" s="3" t="str">
        <f>IFERROR(__xludf.DUMMYFUNCTION("""COMPUTED_VALUE"""),"ALLERGAN INDIA (BRAVO)")</f>
        <v>ALLERGAN INDIA (BRAVO)</v>
      </c>
    </row>
    <row r="197">
      <c r="H197" s="3" t="str">
        <f>IFERROR(__xludf.DUMMYFUNCTION("""COMPUTED_VALUE"""),"ALLERGAN INDIA (CHARLIF)")</f>
        <v>ALLERGAN INDIA (CHARLIF)</v>
      </c>
    </row>
    <row r="198">
      <c r="H198" s="3" t="str">
        <f>IFERROR(__xludf.DUMMYFUNCTION("""COMPUTED_VALUE"""),"ALLERGAN INDIA (DELTA)")</f>
        <v>ALLERGAN INDIA (DELTA)</v>
      </c>
    </row>
    <row r="199">
      <c r="H199" s="3" t="str">
        <f>IFERROR(__xludf.DUMMYFUNCTION("""COMPUTED_VALUE"""),"Allergan India Pvt Ltd")</f>
        <v>Allergan India Pvt Ltd</v>
      </c>
    </row>
    <row r="200">
      <c r="H200" s="3" t="str">
        <f>IFERROR(__xludf.DUMMYFUNCTION("""COMPUTED_VALUE"""),"ALLEX MEDICAL SYSTEM")</f>
        <v>ALLEX MEDICAL SYSTEM</v>
      </c>
    </row>
    <row r="201">
      <c r="H201" s="3" t="str">
        <f>IFERROR(__xludf.DUMMYFUNCTION("""COMPUTED_VALUE"""),"ALLIAANCE BIOTECH SOLAN")</f>
        <v>ALLIAANCE BIOTECH SOLAN</v>
      </c>
    </row>
    <row r="202">
      <c r="H202" s="3" t="str">
        <f>IFERROR(__xludf.DUMMYFUNCTION("""COMPUTED_VALUE"""),"ALLOTROPE LIFE SCIENCES P LTD")</f>
        <v>ALLOTROPE LIFE SCIENCES P LTD</v>
      </c>
    </row>
    <row r="203">
      <c r="H203" s="3" t="str">
        <f>IFERROR(__xludf.DUMMYFUNCTION("""COMPUTED_VALUE"""),"ALLURE REMEDIES PVT LTD")</f>
        <v>ALLURE REMEDIES PVT LTD</v>
      </c>
    </row>
    <row r="204">
      <c r="H204" s="3" t="str">
        <f>IFERROR(__xludf.DUMMYFUNCTION("""COMPUTED_VALUE"""),"ALLYSIA LIFESCIENCES P LTD")</f>
        <v>ALLYSIA LIFESCIENCES P LTD</v>
      </c>
    </row>
    <row r="205">
      <c r="H205" s="3" t="str">
        <f>IFERROR(__xludf.DUMMYFUNCTION("""COMPUTED_VALUE"""),"Almet Corporation Ltd")</f>
        <v>Almet Corporation Ltd</v>
      </c>
    </row>
    <row r="206">
      <c r="H206" s="3" t="str">
        <f>IFERROR(__xludf.DUMMYFUNCTION("""COMPUTED_VALUE"""),"ALNICHE LIFE SCIENCES PVT LTD")</f>
        <v>ALNICHE LIFE SCIENCES PVT LTD</v>
      </c>
    </row>
    <row r="207">
      <c r="H207" s="3" t="str">
        <f>IFERROR(__xludf.DUMMYFUNCTION("""COMPUTED_VALUE"""),"ALNICHE LIFESCIENCES (CRITICAL CARE)")</f>
        <v>ALNICHE LIFESCIENCES (CRITICAL CARE)</v>
      </c>
    </row>
    <row r="208">
      <c r="H208" s="3" t="str">
        <f>IFERROR(__xludf.DUMMYFUNCTION("""COMPUTED_VALUE"""),"ALNICHE LIFESCIENCES (GASTRO)")</f>
        <v>ALNICHE LIFESCIENCES (GASTRO)</v>
      </c>
    </row>
    <row r="209">
      <c r="H209" s="3" t="str">
        <f>IFERROR(__xludf.DUMMYFUNCTION("""COMPUTED_VALUE"""),"ALNICHE LIFESCIENCES (NEPHRO)")</f>
        <v>ALNICHE LIFESCIENCES (NEPHRO)</v>
      </c>
    </row>
    <row r="210">
      <c r="H210" s="3" t="str">
        <f>IFERROR(__xludf.DUMMYFUNCTION("""COMPUTED_VALUE"""),"ALNICHE LIFESCIENCES (ORAL SOLIDS)")</f>
        <v>ALNICHE LIFESCIENCES (ORAL SOLIDS)</v>
      </c>
    </row>
    <row r="211">
      <c r="H211" s="3" t="str">
        <f>IFERROR(__xludf.DUMMYFUNCTION("""COMPUTED_VALUE"""),"ALNICHE LIFESCIENCES (ORICO)")</f>
        <v>ALNICHE LIFESCIENCES (ORICO)</v>
      </c>
    </row>
    <row r="212">
      <c r="H212" s="3" t="str">
        <f>IFERROR(__xludf.DUMMYFUNCTION("""COMPUTED_VALUE"""),"ALPA LABORATORIES")</f>
        <v>ALPA LABORATORIES</v>
      </c>
    </row>
    <row r="213">
      <c r="H213" s="3" t="str">
        <f>IFERROR(__xludf.DUMMYFUNCTION("""COMPUTED_VALUE"""),"ALSUN PHARMA")</f>
        <v>ALSUN PHARMA</v>
      </c>
    </row>
    <row r="214">
      <c r="H214" s="3" t="str">
        <f>IFERROR(__xludf.DUMMYFUNCTION("""COMPUTED_VALUE"""),"ALTEUS BIOGENICS")</f>
        <v>ALTEUS BIOGENICS</v>
      </c>
    </row>
    <row r="215">
      <c r="H215" s="3" t="str">
        <f>IFERROR(__xludf.DUMMYFUNCTION("""COMPUTED_VALUE"""),"ALTEZA EXIM")</f>
        <v>ALTEZA EXIM</v>
      </c>
    </row>
    <row r="216">
      <c r="H216" s="3" t="str">
        <f>IFERROR(__xludf.DUMMYFUNCTION("""COMPUTED_VALUE"""),"ALTIS PHARMA")</f>
        <v>ALTIS PHARMA</v>
      </c>
    </row>
    <row r="217">
      <c r="H217" s="3" t="str">
        <f>IFERROR(__xludf.DUMMYFUNCTION("""COMPUTED_VALUE"""),"ALTON BIOSCIENCES PVT LTD")</f>
        <v>ALTON BIOSCIENCES PVT LTD</v>
      </c>
    </row>
    <row r="218">
      <c r="H218" s="3" t="str">
        <f>IFERROR(__xludf.DUMMYFUNCTION("""COMPUTED_VALUE"""),"ALVIN WILLCURE")</f>
        <v>ALVIN WILLCURE</v>
      </c>
    </row>
    <row r="219">
      <c r="H219" s="3" t="str">
        <f>IFERROR(__xludf.DUMMYFUNCTION("""COMPUTED_VALUE"""),"ALVIO PHARMACEUTICALS")</f>
        <v>ALVIO PHARMACEUTICALS</v>
      </c>
    </row>
    <row r="220">
      <c r="H220" s="3" t="str">
        <f>IFERROR(__xludf.DUMMYFUNCTION("""COMPUTED_VALUE"""),"ALVIS MEDI  SYNTHESIS PVT LTD")</f>
        <v>ALVIS MEDI  SYNTHESIS PVT LTD</v>
      </c>
    </row>
    <row r="221">
      <c r="H221" s="3" t="str">
        <f>IFERROR(__xludf.DUMMYFUNCTION("""COMPUTED_VALUE"""),"ALVISTA BIOSCIENCES PVT LTD")</f>
        <v>ALVISTA BIOSCIENCES PVT LTD</v>
      </c>
    </row>
    <row r="222">
      <c r="H222" s="3" t="str">
        <f>IFERROR(__xludf.DUMMYFUNCTION("""COMPUTED_VALUE"""),"AMARANTHA AYURVEDA")</f>
        <v>AMARANTHA AYURVEDA</v>
      </c>
    </row>
    <row r="223">
      <c r="H223" s="3" t="str">
        <f>IFERROR(__xludf.DUMMYFUNCTION("""COMPUTED_VALUE"""),"AMAZEN PHARMACEUTICALS")</f>
        <v>AMAZEN PHARMACEUTICALS</v>
      </c>
    </row>
    <row r="224">
      <c r="H224" s="3" t="str">
        <f>IFERROR(__xludf.DUMMYFUNCTION("""COMPUTED_VALUE"""),"AMAZING RESEARCH LABORATORIES LTD")</f>
        <v>AMAZING RESEARCH LABORATORIES LTD</v>
      </c>
    </row>
    <row r="225">
      <c r="H225" s="3" t="str">
        <f>IFERROR(__xludf.DUMMYFUNCTION("""COMPUTED_VALUE"""),"AMBIC AAYURCHEM, ROORKE")</f>
        <v>AMBIC AAYURCHEM, ROORKE</v>
      </c>
    </row>
    <row r="226">
      <c r="H226" s="3" t="str">
        <f>IFERROR(__xludf.DUMMYFUNCTION("""COMPUTED_VALUE"""),"AMBIC AYURVED INDIA P LTD")</f>
        <v>AMBIC AYURVED INDIA P LTD</v>
      </c>
    </row>
    <row r="227">
      <c r="H227" s="3" t="str">
        <f>IFERROR(__xludf.DUMMYFUNCTION("""COMPUTED_VALUE"""),"AMBIT BIOMEDIX")</f>
        <v>AMBIT BIOMEDIX</v>
      </c>
    </row>
    <row r="228">
      <c r="H228" s="3" t="str">
        <f>IFERROR(__xludf.DUMMYFUNCTION("""COMPUTED_VALUE"""),"AMBROSIA DRUGS")</f>
        <v>AMBROSIA DRUGS</v>
      </c>
    </row>
    <row r="229">
      <c r="H229" s="3" t="str">
        <f>IFERROR(__xludf.DUMMYFUNCTION("""COMPUTED_VALUE"""),"AMCO HERBALS P LTD")</f>
        <v>AMCO HERBALS P LTD</v>
      </c>
    </row>
    <row r="230">
      <c r="H230" s="3" t="str">
        <f>IFERROR(__xludf.DUMMYFUNCTION("""COMPUTED_VALUE"""),"AMEND")</f>
        <v>AMEND</v>
      </c>
    </row>
    <row r="231">
      <c r="H231" s="3" t="str">
        <f>IFERROR(__xludf.DUMMYFUNCTION("""COMPUTED_VALUE"""),"AMENTUS HEALTHCARE")</f>
        <v>AMENTUS HEALTHCARE</v>
      </c>
    </row>
    <row r="232">
      <c r="H232" s="3" t="str">
        <f>IFERROR(__xludf.DUMMYFUNCTION("""COMPUTED_VALUE"""),"AMERICAN REMEDIES")</f>
        <v>AMERICAN REMEDIES</v>
      </c>
    </row>
    <row r="233">
      <c r="H233" s="3" t="str">
        <f>IFERROR(__xludf.DUMMYFUNCTION("""COMPUTED_VALUE"""),"AMI CARE PHARMACEUTICALS")</f>
        <v>AMI CARE PHARMACEUTICALS</v>
      </c>
    </row>
    <row r="234">
      <c r="H234" s="3" t="str">
        <f>IFERROR(__xludf.DUMMYFUNCTION("""COMPUTED_VALUE"""),"AMICURES RESEARCH PVT LTD")</f>
        <v>AMICURES RESEARCH PVT LTD</v>
      </c>
    </row>
    <row r="235">
      <c r="H235" s="3" t="str">
        <f>IFERROR(__xludf.DUMMYFUNCTION("""COMPUTED_VALUE"""),"AMORGOS HEALTHCARE PVT LTD")</f>
        <v>AMORGOS HEALTHCARE PVT LTD</v>
      </c>
    </row>
    <row r="236">
      <c r="H236" s="3" t="str">
        <f>IFERROR(__xludf.DUMMYFUNCTION("""COMPUTED_VALUE"""),"AMP ALLKEM MEDICAL PHARMACEUTICALS PVT LTD")</f>
        <v>AMP ALLKEM MEDICAL PHARMACEUTICALS PVT LTD</v>
      </c>
    </row>
    <row r="237">
      <c r="H237" s="3" t="str">
        <f>IFERROR(__xludf.DUMMYFUNCTION("""COMPUTED_VALUE"""),"AMPS BIOTECH")</f>
        <v>AMPS BIOTECH</v>
      </c>
    </row>
    <row r="238">
      <c r="H238" s="3" t="str">
        <f>IFERROR(__xludf.DUMMYFUNCTION("""COMPUTED_VALUE"""),"AMRA REMEDIES")</f>
        <v>AMRA REMEDIES</v>
      </c>
    </row>
    <row r="239">
      <c r="H239" s="3" t="str">
        <f>IFERROR(__xludf.DUMMYFUNCTION("""COMPUTED_VALUE"""),"AMRICON BIOTECH")</f>
        <v>AMRICON BIOTECH</v>
      </c>
    </row>
    <row r="240">
      <c r="H240" s="3" t="str">
        <f>IFERROR(__xludf.DUMMYFUNCTION("""COMPUTED_VALUE"""),"AMRITDHARA PHARMACY")</f>
        <v>AMRITDHARA PHARMACY</v>
      </c>
    </row>
    <row r="241">
      <c r="H241" s="3" t="str">
        <f>IFERROR(__xludf.DUMMYFUNCTION("""COMPUTED_VALUE"""),"AMRUT DRUG RESEARCH LAB")</f>
        <v>AMRUT DRUG RESEARCH LAB</v>
      </c>
    </row>
    <row r="242">
      <c r="H242" s="3" t="str">
        <f>IFERROR(__xludf.DUMMYFUNCTION("""COMPUTED_VALUE"""),"AMRUTANJAN HEALTH CARE LIMITED")</f>
        <v>AMRUTANJAN HEALTH CARE LIMITED</v>
      </c>
    </row>
    <row r="243">
      <c r="H243" s="3" t="str">
        <f>IFERROR(__xludf.DUMMYFUNCTION("""COMPUTED_VALUE"""),"ANANJAY PHARMACEUTICALS PVT LTD")</f>
        <v>ANANJAY PHARMACEUTICALS PVT LTD</v>
      </c>
    </row>
    <row r="244">
      <c r="H244" s="3" t="str">
        <f>IFERROR(__xludf.DUMMYFUNCTION("""COMPUTED_VALUE"""),"ANCHOR PHARMA PVT LTD")</f>
        <v>ANCHOR PHARMA PVT LTD</v>
      </c>
    </row>
    <row r="245">
      <c r="H245" s="3" t="str">
        <f>IFERROR(__xludf.DUMMYFUNCTION("""COMPUTED_VALUE"""),"ANDRE LABORATORIES")</f>
        <v>ANDRE LABORATORIES</v>
      </c>
    </row>
    <row r="246">
      <c r="H246" s="3" t="str">
        <f>IFERROR(__xludf.DUMMYFUNCTION("""COMPUTED_VALUE"""),"ANDROMEDA PHARMACEUTICALS")</f>
        <v>ANDROMEDA PHARMACEUTICALS</v>
      </c>
    </row>
    <row r="247">
      <c r="H247" s="3" t="str">
        <f>IFERROR(__xludf.DUMMYFUNCTION("""COMPUTED_VALUE"""),"ANDROMEDA PHARMACEUTICALS PVT LTD")</f>
        <v>ANDROMEDA PHARMACEUTICALS PVT LTD</v>
      </c>
    </row>
    <row r="248">
      <c r="H248" s="3" t="str">
        <f>IFERROR(__xludf.DUMMYFUNCTION("""COMPUTED_VALUE"""),"ANDY PHARMA")</f>
        <v>ANDY PHARMA</v>
      </c>
    </row>
    <row r="249">
      <c r="H249" s="3" t="str">
        <f>IFERROR(__xludf.DUMMYFUNCTION("""COMPUTED_VALUE"""),"ANG LIFESCIENCES INDIA LTD")</f>
        <v>ANG LIFESCIENCES INDIA LTD</v>
      </c>
    </row>
    <row r="250">
      <c r="H250" s="3" t="str">
        <f>IFERROR(__xludf.DUMMYFUNCTION("""COMPUTED_VALUE"""),"ANGIOLIFE HEALTHCARE PVT LTD")</f>
        <v>ANGIOLIFE HEALTHCARE PVT LTD</v>
      </c>
    </row>
    <row r="251">
      <c r="H251" s="3" t="str">
        <f>IFERROR(__xludf.DUMMYFUNCTION("""COMPUTED_VALUE"""),"Anglo French Drugs (BONA FIDA)")</f>
        <v>Anglo French Drugs (BONA FIDA)</v>
      </c>
    </row>
    <row r="252">
      <c r="H252" s="3" t="str">
        <f>IFERROR(__xludf.DUMMYFUNCTION("""COMPUTED_VALUE"""),"ANGLO FRENCH DRUGS (NUTRALOGICX)")</f>
        <v>ANGLO FRENCH DRUGS (NUTRALOGICX)</v>
      </c>
    </row>
    <row r="253">
      <c r="H253" s="3" t="str">
        <f>IFERROR(__xludf.DUMMYFUNCTION("""COMPUTED_VALUE"""),"ANGLO SWIFT")</f>
        <v>ANGLO SWIFT</v>
      </c>
    </row>
    <row r="254">
      <c r="H254" s="3" t="str">
        <f>IFERROR(__xludf.DUMMYFUNCTION("""COMPUTED_VALUE"""),"Anglo-French Drugs &amp; Industries Ltd")</f>
        <v>Anglo-French Drugs &amp; Industries Ltd</v>
      </c>
    </row>
    <row r="255">
      <c r="H255" s="3" t="str">
        <f>IFERROR(__xludf.DUMMYFUNCTION("""COMPUTED_VALUE"""),"ANGLO-INDIAN PHARMACEUTICALS")</f>
        <v>ANGLO-INDIAN PHARMACEUTICALS</v>
      </c>
    </row>
    <row r="256">
      <c r="H256" s="3" t="str">
        <f>IFERROR(__xludf.DUMMYFUNCTION("""COMPUTED_VALUE"""),"ANIL AYURVED BHAWAN")</f>
        <v>ANIL AYURVED BHAWAN</v>
      </c>
    </row>
    <row r="257">
      <c r="H257" s="3" t="str">
        <f>IFERROR(__xludf.DUMMYFUNCTION("""COMPUTED_VALUE"""),"ANJANI PHARMACEUTICALS")</f>
        <v>ANJANI PHARMACEUTICALS</v>
      </c>
    </row>
    <row r="258">
      <c r="H258" s="3" t="str">
        <f>IFERROR(__xludf.DUMMYFUNCTION("""COMPUTED_VALUE"""),"ANJU PHARMA")</f>
        <v>ANJU PHARMA</v>
      </c>
    </row>
    <row r="259">
      <c r="H259" s="3" t="str">
        <f>IFERROR(__xludf.DUMMYFUNCTION("""COMPUTED_VALUE"""),"ANKUR")</f>
        <v>ANKUR</v>
      </c>
    </row>
    <row r="260">
      <c r="H260" s="3" t="str">
        <f>IFERROR(__xludf.DUMMYFUNCTION("""COMPUTED_VALUE"""),"ANSELL LTD")</f>
        <v>ANSELL LTD</v>
      </c>
    </row>
    <row r="261">
      <c r="H261" s="3" t="str">
        <f>IFERROR(__xludf.DUMMYFUNCTION("""COMPUTED_VALUE"""),"ANSH HEALTHCARE")</f>
        <v>ANSH HEALTHCARE</v>
      </c>
    </row>
    <row r="262">
      <c r="H262" s="3" t="str">
        <f>IFERROR(__xludf.DUMMYFUNCTION("""COMPUTED_VALUE"""),"ANSIL PHARMA")</f>
        <v>ANSIL PHARMA</v>
      </c>
    </row>
    <row r="263">
      <c r="H263" s="3" t="str">
        <f>IFERROR(__xludf.DUMMYFUNCTION("""COMPUTED_VALUE"""),"ANTHEM BIOPHARMA")</f>
        <v>ANTHEM BIOPHARMA</v>
      </c>
    </row>
    <row r="264">
      <c r="H264" s="3" t="str">
        <f>IFERROR(__xludf.DUMMYFUNCTION("""COMPUTED_VALUE"""),"ANTILA")</f>
        <v>ANTILA</v>
      </c>
    </row>
    <row r="265">
      <c r="H265" s="3" t="str">
        <f>IFERROR(__xludf.DUMMYFUNCTION("""COMPUTED_VALUE"""),"ANVICURE DRUGS")</f>
        <v>ANVICURE DRUGS</v>
      </c>
    </row>
    <row r="266">
      <c r="H266" s="3" t="str">
        <f>IFERROR(__xludf.DUMMYFUNCTION("""COMPUTED_VALUE"""),"APEX FORMULATIONS PVT LTD")</f>
        <v>APEX FORMULATIONS PVT LTD</v>
      </c>
    </row>
    <row r="267">
      <c r="H267" s="3" t="str">
        <f>IFERROR(__xludf.DUMMYFUNCTION("""COMPUTED_VALUE"""),"APEX LABORATORIES (CIDIS)")</f>
        <v>APEX LABORATORIES (CIDIS)</v>
      </c>
    </row>
    <row r="268">
      <c r="H268" s="3" t="str">
        <f>IFERROR(__xludf.DUMMYFUNCTION("""COMPUTED_VALUE"""),"APEX LABORATORIES (MAIN)")</f>
        <v>APEX LABORATORIES (MAIN)</v>
      </c>
    </row>
    <row r="269">
      <c r="H269" s="3" t="str">
        <f>IFERROR(__xludf.DUMMYFUNCTION("""COMPUTED_VALUE"""),"APEX LABORATORIES (SKINNOVA)")</f>
        <v>APEX LABORATORIES (SKINNOVA)</v>
      </c>
    </row>
    <row r="270">
      <c r="H270" s="3" t="str">
        <f>IFERROR(__xludf.DUMMYFUNCTION("""COMPUTED_VALUE"""),"Apex Laboratories Pvt Ltd")</f>
        <v>Apex Laboratories Pvt Ltd</v>
      </c>
    </row>
    <row r="271">
      <c r="H271" s="3" t="str">
        <f>IFERROR(__xludf.DUMMYFUNCTION("""COMPUTED_VALUE"""),"APHALI PHARMACEUTICALS LTD")</f>
        <v>APHALI PHARMACEUTICALS LTD</v>
      </c>
    </row>
    <row r="272">
      <c r="H272" s="3" t="str">
        <f>IFERROR(__xludf.DUMMYFUNCTION("""COMPUTED_VALUE"""),"APICAL HELTH CARE PVT LTD")</f>
        <v>APICAL HELTH CARE PVT LTD</v>
      </c>
    </row>
    <row r="273">
      <c r="H273" s="3" t="str">
        <f>IFERROR(__xludf.DUMMYFUNCTION("""COMPUTED_VALUE"""),"Apostle Remedies")</f>
        <v>Apostle Remedies</v>
      </c>
    </row>
    <row r="274">
      <c r="H274" s="3" t="str">
        <f>IFERROR(__xludf.DUMMYFUNCTION("""COMPUTED_VALUE"""),"APPASAMY OCULAR DEVICE PVT LTD")</f>
        <v>APPASAMY OCULAR DEVICE PVT LTD</v>
      </c>
    </row>
    <row r="275">
      <c r="H275" s="3" t="str">
        <f>IFERROR(__xludf.DUMMYFUNCTION("""COMPUTED_VALUE"""),"APPENA P LTD")</f>
        <v>APPENA P LTD</v>
      </c>
    </row>
    <row r="276">
      <c r="H276" s="3" t="str">
        <f>IFERROR(__xludf.DUMMYFUNCTION("""COMPUTED_VALUE"""),"APPLE BIOTECH")</f>
        <v>APPLE BIOTECH</v>
      </c>
    </row>
    <row r="277">
      <c r="H277" s="3" t="str">
        <f>IFERROR(__xludf.DUMMYFUNCTION("""COMPUTED_VALUE"""),"APPLE MEDICORP")</f>
        <v>APPLE MEDICORP</v>
      </c>
    </row>
    <row r="278">
      <c r="H278" s="3" t="str">
        <f>IFERROR(__xludf.DUMMYFUNCTION("""COMPUTED_VALUE"""),"APPLE THERAPEUTICS")</f>
        <v>APPLE THERAPEUTICS</v>
      </c>
    </row>
    <row r="279">
      <c r="H279" s="3" t="str">
        <f>IFERROR(__xludf.DUMMYFUNCTION("""COMPUTED_VALUE"""),"APPLIED PHARMA RESEARCH")</f>
        <v>APPLIED PHARMA RESEARCH</v>
      </c>
    </row>
    <row r="280">
      <c r="H280" s="3" t="str">
        <f>IFERROR(__xludf.DUMMYFUNCTION("""COMPUTED_VALUE"""),"APRICA (PULSE)")</f>
        <v>APRICA (PULSE)</v>
      </c>
    </row>
    <row r="281">
      <c r="H281" s="3" t="str">
        <f>IFERROR(__xludf.DUMMYFUNCTION("""COMPUTED_VALUE"""),"Aprica Pharmaceuticals Pvt Ltd")</f>
        <v>Aprica Pharmaceuticals Pvt Ltd</v>
      </c>
    </row>
    <row r="282">
      <c r="H282" s="3" t="str">
        <f>IFERROR(__xludf.DUMMYFUNCTION("""COMPUTED_VALUE"""),"AQUILA LABS")</f>
        <v>AQUILA LABS</v>
      </c>
    </row>
    <row r="283">
      <c r="H283" s="3" t="str">
        <f>IFERROR(__xludf.DUMMYFUNCTION("""COMPUTED_VALUE"""),"AQUINNOVA PHARMACEUTICAL PVT LTD")</f>
        <v>AQUINNOVA PHARMACEUTICAL PVT LTD</v>
      </c>
    </row>
    <row r="284">
      <c r="H284" s="3" t="str">
        <f>IFERROR(__xludf.DUMMYFUNCTION("""COMPUTED_VALUE"""),"Ar-Ex Laboratories Pvt Ltd")</f>
        <v>Ar-Ex Laboratories Pvt Ltd</v>
      </c>
    </row>
    <row r="285">
      <c r="H285" s="3" t="str">
        <f>IFERROR(__xludf.DUMMYFUNCTION("""COMPUTED_VALUE"""),"ARBRO PHARMA")</f>
        <v>ARBRO PHARMA</v>
      </c>
    </row>
    <row r="286">
      <c r="H286" s="3" t="str">
        <f>IFERROR(__xludf.DUMMYFUNCTION("""COMPUTED_VALUE"""),"ARC PHARMACEUTICALS")</f>
        <v>ARC PHARMACEUTICALS</v>
      </c>
    </row>
    <row r="287">
      <c r="H287" s="3" t="str">
        <f>IFERROR(__xludf.DUMMYFUNCTION("""COMPUTED_VALUE"""),"ARCH LABORATORIES")</f>
        <v>ARCH LABORATORIES</v>
      </c>
    </row>
    <row r="288">
      <c r="H288" s="3" t="str">
        <f>IFERROR(__xludf.DUMMYFUNCTION("""COMPUTED_VALUE"""),"ARCHI CARE")</f>
        <v>ARCHI CARE</v>
      </c>
    </row>
    <row r="289">
      <c r="H289" s="3" t="str">
        <f>IFERROR(__xludf.DUMMYFUNCTION("""COMPUTED_VALUE"""),"ARCO PHARMA")</f>
        <v>ARCO PHARMA</v>
      </c>
    </row>
    <row r="290">
      <c r="H290" s="3" t="str">
        <f>IFERROR(__xludf.DUMMYFUNCTION("""COMPUTED_VALUE"""),"ARDENT LIFE SCIENCES")</f>
        <v>ARDENT LIFE SCIENCES</v>
      </c>
    </row>
    <row r="291">
      <c r="H291" s="3" t="str">
        <f>IFERROR(__xludf.DUMMYFUNCTION("""COMPUTED_VALUE"""),"ARINNA (ALANZA)")</f>
        <v>ARINNA (ALANZA)</v>
      </c>
    </row>
    <row r="292">
      <c r="H292" s="3" t="str">
        <f>IFERROR(__xludf.DUMMYFUNCTION("""COMPUTED_VALUE"""),"ARINNA (ALEXA)")</f>
        <v>ARINNA (ALEXA)</v>
      </c>
    </row>
    <row r="293">
      <c r="H293" s="3" t="str">
        <f>IFERROR(__xludf.DUMMYFUNCTION("""COMPUTED_VALUE"""),"ARINNA (ARISSA)")</f>
        <v>ARINNA (ARISSA)</v>
      </c>
    </row>
    <row r="294">
      <c r="H294" s="3" t="str">
        <f>IFERROR(__xludf.DUMMYFUNCTION("""COMPUTED_VALUE"""),"Arinna Lifescience Pvt Ltd")</f>
        <v>Arinna Lifescience Pvt Ltd</v>
      </c>
    </row>
    <row r="295">
      <c r="H295" s="3" t="str">
        <f>IFERROR(__xludf.DUMMYFUNCTION("""COMPUTED_VALUE"""),"ARION HEALTHCARE")</f>
        <v>ARION HEALTHCARE</v>
      </c>
    </row>
    <row r="296">
      <c r="H296" s="3" t="str">
        <f>IFERROR(__xludf.DUMMYFUNCTION("""COMPUTED_VALUE"""),"ARISTO (MF1)")</f>
        <v>ARISTO (MF1)</v>
      </c>
    </row>
    <row r="297">
      <c r="H297" s="3" t="str">
        <f>IFERROR(__xludf.DUMMYFUNCTION("""COMPUTED_VALUE"""),"ARISTO (MF2)")</f>
        <v>ARISTO (MF2)</v>
      </c>
    </row>
    <row r="298">
      <c r="H298" s="3" t="str">
        <f>IFERROR(__xludf.DUMMYFUNCTION("""COMPUTED_VALUE"""),"ARISTO (MF3)")</f>
        <v>ARISTO (MF3)</v>
      </c>
    </row>
    <row r="299">
      <c r="H299" s="3" t="str">
        <f>IFERROR(__xludf.DUMMYFUNCTION("""COMPUTED_VALUE"""),"ARISTO (OTSIRA)")</f>
        <v>ARISTO (OTSIRA)</v>
      </c>
    </row>
    <row r="300">
      <c r="H300" s="3" t="str">
        <f>IFERROR(__xludf.DUMMYFUNCTION("""COMPUTED_VALUE"""),"ARISTO (TF)")</f>
        <v>ARISTO (TF)</v>
      </c>
    </row>
    <row r="301">
      <c r="H301" s="3" t="str">
        <f>IFERROR(__xludf.DUMMYFUNCTION("""COMPUTED_VALUE"""),"Aristo Pharmaceuticals Pvt Ltd")</f>
        <v>Aristo Pharmaceuticals Pvt Ltd</v>
      </c>
    </row>
    <row r="302">
      <c r="H302" s="3" t="str">
        <f>IFERROR(__xludf.DUMMYFUNCTION("""COMPUTED_VALUE"""),"ARIUS HEALTHCARE")</f>
        <v>ARIUS HEALTHCARE</v>
      </c>
    </row>
    <row r="303">
      <c r="H303" s="3" t="str">
        <f>IFERROR(__xludf.DUMMYFUNCTION("""COMPUTED_VALUE"""),"ARMOUR FORMULATION")</f>
        <v>ARMOUR FORMULATION</v>
      </c>
    </row>
    <row r="304">
      <c r="H304" s="3" t="str">
        <f>IFERROR(__xludf.DUMMYFUNCTION("""COMPUTED_VALUE"""),"ARONEX  LIFESCIENCES")</f>
        <v>ARONEX  LIFESCIENCES</v>
      </c>
    </row>
    <row r="305">
      <c r="H305" s="3" t="str">
        <f>IFERROR(__xludf.DUMMYFUNCTION("""COMPUTED_VALUE"""),"Aronex Life Sciences Pvt. Ltd.")</f>
        <v>Aronex Life Sciences Pvt. Ltd.</v>
      </c>
    </row>
    <row r="306">
      <c r="H306" s="3" t="str">
        <f>IFERROR(__xludf.DUMMYFUNCTION("""COMPUTED_VALUE"""),"ARRIENT (ORENDA)")</f>
        <v>ARRIENT (ORENDA)</v>
      </c>
    </row>
    <row r="307">
      <c r="H307" s="3" t="str">
        <f>IFERROR(__xludf.DUMMYFUNCTION("""COMPUTED_VALUE"""),"ARRIENT HEALTHCARE")</f>
        <v>ARRIENT HEALTHCARE</v>
      </c>
    </row>
    <row r="308">
      <c r="H308" s="3" t="str">
        <f>IFERROR(__xludf.DUMMYFUNCTION("""COMPUTED_VALUE"""),"ARROPHAR HEALTHCARE")</f>
        <v>ARROPHAR HEALTHCARE</v>
      </c>
    </row>
    <row r="309">
      <c r="H309" s="3" t="str">
        <f>IFERROR(__xludf.DUMMYFUNCTION("""COMPUTED_VALUE"""),"ARROW PHARMA")</f>
        <v>ARROW PHARMA</v>
      </c>
    </row>
    <row r="310">
      <c r="H310" s="3" t="str">
        <f>IFERROR(__xludf.DUMMYFUNCTION("""COMPUTED_VALUE"""),"ARROWIN PHARMACEUTICALS")</f>
        <v>ARROWIN PHARMACEUTICALS</v>
      </c>
    </row>
    <row r="311">
      <c r="H311" s="3" t="str">
        <f>IFERROR(__xludf.DUMMYFUNCTION("""COMPUTED_VALUE"""),"ARTHUS WELLNESS INDIA P LTD")</f>
        <v>ARTHUS WELLNESS INDIA P LTD</v>
      </c>
    </row>
    <row r="312">
      <c r="H312" s="3" t="str">
        <f>IFERROR(__xludf.DUMMYFUNCTION("""COMPUTED_VALUE"""),"ARTI PHARMACEUTICALS &amp; CHEMICALS")</f>
        <v>ARTI PHARMACEUTICALS &amp; CHEMICALS</v>
      </c>
    </row>
    <row r="313">
      <c r="H313" s="3" t="str">
        <f>IFERROR(__xludf.DUMMYFUNCTION("""COMPUTED_VALUE"""),"ARUL PHARMETA")</f>
        <v>ARUL PHARMETA</v>
      </c>
    </row>
    <row r="314">
      <c r="H314" s="3" t="str">
        <f>IFERROR(__xludf.DUMMYFUNCTION("""COMPUTED_VALUE"""),"ARVIND PHARMACEUTICALS")</f>
        <v>ARVIND PHARMACEUTICALS</v>
      </c>
    </row>
    <row r="315">
      <c r="H315" s="3" t="str">
        <f>IFERROR(__xludf.DUMMYFUNCTION("""COMPUTED_VALUE"""),"ARVIND REMEDIES")</f>
        <v>ARVIND REMEDIES</v>
      </c>
    </row>
    <row r="316">
      <c r="H316" s="3" t="str">
        <f>IFERROR(__xludf.DUMMYFUNCTION("""COMPUTED_VALUE"""),"ARYA AUSHADHI")</f>
        <v>ARYA AUSHADHI</v>
      </c>
    </row>
    <row r="317">
      <c r="H317" s="3" t="str">
        <f>IFERROR(__xludf.DUMMYFUNCTION("""COMPUTED_VALUE"""),"ARYAN LABORATORIES")</f>
        <v>ARYAN LABORATORIES</v>
      </c>
    </row>
    <row r="318">
      <c r="H318" s="3" t="str">
        <f>IFERROR(__xludf.DUMMYFUNCTION("""COMPUTED_VALUE"""),"Asclepius Pharmaceuticals Pvt Ltd")</f>
        <v>Asclepius Pharmaceuticals Pvt Ltd</v>
      </c>
    </row>
    <row r="319">
      <c r="H319" s="3" t="str">
        <f>IFERROR(__xludf.DUMMYFUNCTION("""COMPUTED_VALUE"""),"ASCORPUS HEALTHCARE")</f>
        <v>ASCORPUS HEALTHCARE</v>
      </c>
    </row>
    <row r="320">
      <c r="H320" s="3" t="str">
        <f>IFERROR(__xludf.DUMMYFUNCTION("""COMPUTED_VALUE"""),"ASGARD LABS")</f>
        <v>ASGARD LABS</v>
      </c>
    </row>
    <row r="321">
      <c r="H321" s="3" t="str">
        <f>IFERROR(__xludf.DUMMYFUNCTION("""COMPUTED_VALUE"""),"ASHWA HEALTHCARE")</f>
        <v>ASHWA HEALTHCARE</v>
      </c>
    </row>
    <row r="322">
      <c r="H322" s="3" t="str">
        <f>IFERROR(__xludf.DUMMYFUNCTION("""COMPUTED_VALUE"""),"ASIAN PHARMACEUTICALS P LTD")</f>
        <v>ASIAN PHARMACEUTICALS P LTD</v>
      </c>
    </row>
    <row r="323">
      <c r="H323" s="3" t="str">
        <f>IFERROR(__xludf.DUMMYFUNCTION("""COMPUTED_VALUE"""),"ASKON HEALTHCARE PVT LTD")</f>
        <v>ASKON HEALTHCARE PVT LTD</v>
      </c>
    </row>
    <row r="324">
      <c r="H324" s="3" t="str">
        <f>IFERROR(__xludf.DUMMYFUNCTION("""COMPUTED_VALUE"""),"ASOJ SOFT CAPS P LTD")</f>
        <v>ASOJ SOFT CAPS P LTD</v>
      </c>
    </row>
    <row r="325">
      <c r="H325" s="3" t="str">
        <f>IFERROR(__xludf.DUMMYFUNCTION("""COMPUTED_VALUE"""),"ASSOCIATED BIOTECH, NALAGAR")</f>
        <v>ASSOCIATED BIOTECH, NALAGAR</v>
      </c>
    </row>
    <row r="326">
      <c r="H326" s="3" t="str">
        <f>IFERROR(__xludf.DUMMYFUNCTION("""COMPUTED_VALUE"""),"ASSURE SURGICALS PVT LTD")</f>
        <v>ASSURE SURGICALS PVT LTD</v>
      </c>
    </row>
    <row r="327">
      <c r="H327" s="3" t="str">
        <f>IFERROR(__xludf.DUMMYFUNCTION("""COMPUTED_VALUE"""),"ASTALON PHARMA")</f>
        <v>ASTALON PHARMA</v>
      </c>
    </row>
    <row r="328">
      <c r="H328" s="3" t="str">
        <f>IFERROR(__xludf.DUMMYFUNCTION("""COMPUTED_VALUE"""),"ASTELLAS PHARMA INDIA")</f>
        <v>ASTELLAS PHARMA INDIA</v>
      </c>
    </row>
    <row r="329">
      <c r="H329" s="3" t="str">
        <f>IFERROR(__xludf.DUMMYFUNCTION("""COMPUTED_VALUE"""),"ASTEMAX BIOTECH")</f>
        <v>ASTEMAX BIOTECH</v>
      </c>
    </row>
    <row r="330">
      <c r="H330" s="3" t="str">
        <f>IFERROR(__xludf.DUMMYFUNCTION("""COMPUTED_VALUE"""),"ASTER MEDIPHARM P LTD")</f>
        <v>ASTER MEDIPHARM P LTD</v>
      </c>
    </row>
    <row r="331">
      <c r="H331" s="3" t="str">
        <f>IFERROR(__xludf.DUMMYFUNCTION("""COMPUTED_VALUE"""),"ASTEROIDS PHARMA")</f>
        <v>ASTEROIDS PHARMA</v>
      </c>
    </row>
    <row r="332">
      <c r="H332" s="3" t="str">
        <f>IFERROR(__xludf.DUMMYFUNCTION("""COMPUTED_VALUE"""),"ASTON ORGANICS")</f>
        <v>ASTON ORGANICS</v>
      </c>
    </row>
    <row r="333">
      <c r="H333" s="3" t="str">
        <f>IFERROR(__xludf.DUMMYFUNCTION("""COMPUTED_VALUE"""),"Astra Zeneca")</f>
        <v>Astra Zeneca</v>
      </c>
    </row>
    <row r="334">
      <c r="H334" s="3" t="str">
        <f>IFERROR(__xludf.DUMMYFUNCTION("""COMPUTED_VALUE"""),"Astra Zeneca (ACS LIFE)")</f>
        <v>Astra Zeneca (ACS LIFE)</v>
      </c>
    </row>
    <row r="335">
      <c r="H335" s="3" t="str">
        <f>IFERROR(__xludf.DUMMYFUNCTION("""COMPUTED_VALUE"""),"Astra Zeneca (AZCENT)")</f>
        <v>Astra Zeneca (AZCENT)</v>
      </c>
    </row>
    <row r="336">
      <c r="H336" s="3" t="str">
        <f>IFERROR(__xludf.DUMMYFUNCTION("""COMPUTED_VALUE"""),"Astra Zeneca (AZPIRE)")</f>
        <v>Astra Zeneca (AZPIRE)</v>
      </c>
    </row>
    <row r="337">
      <c r="H337" s="3" t="str">
        <f>IFERROR(__xludf.DUMMYFUNCTION("""COMPUTED_VALUE"""),"Astra Zeneca (CRESCENT)")</f>
        <v>Astra Zeneca (CRESCENT)</v>
      </c>
    </row>
    <row r="338">
      <c r="H338" s="3" t="str">
        <f>IFERROR(__xludf.DUMMYFUNCTION("""COMPUTED_VALUE"""),"Astra Zeneca (DIABITIES)")</f>
        <v>Astra Zeneca (DIABITIES)</v>
      </c>
    </row>
    <row r="339">
      <c r="H339" s="3" t="str">
        <f>IFERROR(__xludf.DUMMYFUNCTION("""COMPUTED_VALUE"""),"Astra Zeneca (INFECTION)")</f>
        <v>Astra Zeneca (INFECTION)</v>
      </c>
    </row>
    <row r="340">
      <c r="H340" s="3" t="str">
        <f>IFERROR(__xludf.DUMMYFUNCTION("""COMPUTED_VALUE"""),"Astra Zeneca (MHC)")</f>
        <v>Astra Zeneca (MHC)</v>
      </c>
    </row>
    <row r="341">
      <c r="H341" s="3" t="str">
        <f>IFERROR(__xludf.DUMMYFUNCTION("""COMPUTED_VALUE"""),"ASTRA-IDL LIMITED")</f>
        <v>ASTRA-IDL LIMITED</v>
      </c>
    </row>
    <row r="342">
      <c r="H342" s="3" t="str">
        <f>IFERROR(__xludf.DUMMYFUNCTION("""COMPUTED_VALUE"""),"ASTRUM HEALTHCARE PVT LTD")</f>
        <v>ASTRUM HEALTHCARE PVT LTD</v>
      </c>
    </row>
    <row r="343">
      <c r="H343" s="3" t="str">
        <f>IFERROR(__xludf.DUMMYFUNCTION("""COMPUTED_VALUE"""),"ASWINI HOMEO PHARMACY")</f>
        <v>ASWINI HOMEO PHARMACY</v>
      </c>
    </row>
    <row r="344">
      <c r="H344" s="3" t="str">
        <f>IFERROR(__xludf.DUMMYFUNCTION("""COMPUTED_VALUE"""),"ATHARVMEILLEUR HEALTH")</f>
        <v>ATHARVMEILLEUR HEALTH</v>
      </c>
    </row>
    <row r="345">
      <c r="H345" s="3" t="str">
        <f>IFERROR(__xludf.DUMMYFUNCTION("""COMPUTED_VALUE"""),"ATHENE LABORATORIES LTD")</f>
        <v>ATHENE LABORATORIES LTD</v>
      </c>
    </row>
    <row r="346">
      <c r="H346" s="3" t="str">
        <f>IFERROR(__xludf.DUMMYFUNCTION("""COMPUTED_VALUE"""),"ATHLON MEDIVENTURES")</f>
        <v>ATHLON MEDIVENTURES</v>
      </c>
    </row>
    <row r="347">
      <c r="H347" s="3" t="str">
        <f>IFERROR(__xludf.DUMMYFUNCTION("""COMPUTED_VALUE"""),"ATIT PHARMA")</f>
        <v>ATIT PHARMA</v>
      </c>
    </row>
    <row r="348">
      <c r="H348" s="3" t="str">
        <f>IFERROR(__xludf.DUMMYFUNCTION("""COMPUTED_VALUE"""),"ATLANTIC PHARMACEUTICALS")</f>
        <v>ATLANTIC PHARMACEUTICALS</v>
      </c>
    </row>
    <row r="349">
      <c r="H349" s="3" t="str">
        <f>IFERROR(__xludf.DUMMYFUNCTION("""COMPUTED_VALUE"""),"ATTAR PHARMACEUTICALS")</f>
        <v>ATTAR PHARMACEUTICALS</v>
      </c>
    </row>
    <row r="350">
      <c r="H350" s="3" t="str">
        <f>IFERROR(__xludf.DUMMYFUNCTION("""COMPUTED_VALUE"""),"ATTEMP HEALTHCARE")</f>
        <v>ATTEMP HEALTHCARE</v>
      </c>
    </row>
    <row r="351">
      <c r="H351" s="3" t="str">
        <f>IFERROR(__xludf.DUMMYFUNCTION("""COMPUTED_VALUE"""),"ATTEMPT LIFE")</f>
        <v>ATTEMPT LIFE</v>
      </c>
    </row>
    <row r="352">
      <c r="H352" s="3" t="str">
        <f>IFERROR(__xludf.DUMMYFUNCTION("""COMPUTED_VALUE"""),"AURA NUTRACEUTICALS LTD")</f>
        <v>AURA NUTRACEUTICALS LTD</v>
      </c>
    </row>
    <row r="353">
      <c r="H353" s="3" t="str">
        <f>IFERROR(__xludf.DUMMYFUNCTION("""COMPUTED_VALUE"""),"AURAM LIFESCIENCES P LTD")</f>
        <v>AURAM LIFESCIENCES P LTD</v>
      </c>
    </row>
    <row r="354">
      <c r="H354" s="3" t="str">
        <f>IFERROR(__xludf.DUMMYFUNCTION("""COMPUTED_VALUE"""),"AURAYA HEALTHCARE")</f>
        <v>AURAYA HEALTHCARE</v>
      </c>
    </row>
    <row r="355">
      <c r="H355" s="3" t="str">
        <f>IFERROR(__xludf.DUMMYFUNCTION("""COMPUTED_VALUE"""),"AUREATE HEALTHCARE")</f>
        <v>AUREATE HEALTHCARE</v>
      </c>
    </row>
    <row r="356">
      <c r="H356" s="3" t="str">
        <f>IFERROR(__xludf.DUMMYFUNCTION("""COMPUTED_VALUE"""),"AUREL DERMA")</f>
        <v>AUREL DERMA</v>
      </c>
    </row>
    <row r="357">
      <c r="H357" s="3" t="str">
        <f>IFERROR(__xludf.DUMMYFUNCTION("""COMPUTED_VALUE"""),"AURICARE LIFESCIENCES")</f>
        <v>AURICARE LIFESCIENCES</v>
      </c>
    </row>
    <row r="358">
      <c r="H358" s="3" t="str">
        <f>IFERROR(__xludf.DUMMYFUNCTION("""COMPUTED_VALUE"""),"AURO SYSTEMS &amp; COMMUNICATIONS")</f>
        <v>AURO SYSTEMS &amp; COMMUNICATIONS</v>
      </c>
    </row>
    <row r="359">
      <c r="H359" s="3" t="str">
        <f>IFERROR(__xludf.DUMMYFUNCTION("""COMPUTED_VALUE"""),"AUSMED LIFE SCIENCES")</f>
        <v>AUSMED LIFE SCIENCES</v>
      </c>
    </row>
    <row r="360">
      <c r="H360" s="3" t="str">
        <f>IFERROR(__xludf.DUMMYFUNCTION("""COMPUTED_VALUE"""),"AUSTIRA PHARMACEUTICAL")</f>
        <v>AUSTIRA PHARMACEUTICAL</v>
      </c>
    </row>
    <row r="361">
      <c r="H361" s="3" t="str">
        <f>IFERROR(__xludf.DUMMYFUNCTION("""COMPUTED_VALUE"""),"AUSTRO LAB")</f>
        <v>AUSTRO LAB</v>
      </c>
    </row>
    <row r="362">
      <c r="H362" s="3" t="str">
        <f>IFERROR(__xludf.DUMMYFUNCTION("""COMPUTED_VALUE"""),"AUXTER BIOMEDIC")</f>
        <v>AUXTER BIOMEDIC</v>
      </c>
    </row>
    <row r="363">
      <c r="H363" s="3" t="str">
        <f>IFERROR(__xludf.DUMMYFUNCTION("""COMPUTED_VALUE"""),"AUZALUS LIFE SCIENCES")</f>
        <v>AUZALUS LIFE SCIENCES</v>
      </c>
    </row>
    <row r="364">
      <c r="H364" s="3" t="str">
        <f>IFERROR(__xludf.DUMMYFUNCTION("""COMPUTED_VALUE"""),"AVALLAC PHARMACEUTICAL")</f>
        <v>AVALLAC PHARMACEUTICAL</v>
      </c>
    </row>
    <row r="365">
      <c r="H365" s="3" t="str">
        <f>IFERROR(__xludf.DUMMYFUNCTION("""COMPUTED_VALUE"""),"AVANEESH HEALTHCARE")</f>
        <v>AVANEESH HEALTHCARE</v>
      </c>
    </row>
    <row r="366">
      <c r="H366" s="3" t="str">
        <f>IFERROR(__xludf.DUMMYFUNCTION("""COMPUTED_VALUE"""),"AVENCIA BIOTECH")</f>
        <v>AVENCIA BIOTECH</v>
      </c>
    </row>
    <row r="367">
      <c r="H367" s="3" t="str">
        <f>IFERROR(__xludf.DUMMYFUNCTION("""COMPUTED_VALUE"""),"AVENEW MEDIFACE INDIA")</f>
        <v>AVENEW MEDIFACE INDIA</v>
      </c>
    </row>
    <row r="368">
      <c r="H368" s="3" t="str">
        <f>IFERROR(__xludf.DUMMYFUNCTION("""COMPUTED_VALUE"""),"Aventis Pasteur India Ltd.")</f>
        <v>Aventis Pasteur India Ltd.</v>
      </c>
    </row>
    <row r="369">
      <c r="H369" s="3" t="str">
        <f>IFERROR(__xludf.DUMMYFUNCTION("""COMPUTED_VALUE"""),"AVILIUS NEUTRACARE")</f>
        <v>AVILIUS NEUTRACARE</v>
      </c>
    </row>
    <row r="370">
      <c r="H370" s="3" t="str">
        <f>IFERROR(__xludf.DUMMYFUNCTION("""COMPUTED_VALUE"""),"Avin Pharma")</f>
        <v>Avin Pharma</v>
      </c>
    </row>
    <row r="371">
      <c r="H371" s="3" t="str">
        <f>IFERROR(__xludf.DUMMYFUNCTION("""COMPUTED_VALUE"""),"Avinash Health Products Pvt Ltd")</f>
        <v>Avinash Health Products Pvt Ltd</v>
      </c>
    </row>
    <row r="372">
      <c r="H372" s="3" t="str">
        <f>IFERROR(__xludf.DUMMYFUNCTION("""COMPUTED_VALUE"""),"AVIOR THERAPPEUTIS")</f>
        <v>AVIOR THERAPPEUTIS</v>
      </c>
    </row>
    <row r="373">
      <c r="H373" s="3" t="str">
        <f>IFERROR(__xludf.DUMMYFUNCTION("""COMPUTED_VALUE"""),"Avis Lifecare Pvt Ltd")</f>
        <v>Avis Lifecare Pvt Ltd</v>
      </c>
    </row>
    <row r="374">
      <c r="H374" s="3" t="str">
        <f>IFERROR(__xludf.DUMMYFUNCTION("""COMPUTED_VALUE"""),"AVITA BIOPHARMACEUTICALS")</f>
        <v>AVITA BIOPHARMACEUTICALS</v>
      </c>
    </row>
    <row r="375">
      <c r="H375" s="3" t="str">
        <f>IFERROR(__xludf.DUMMYFUNCTION("""COMPUTED_VALUE"""),"AVITA BIOPHARNACEUTICALS")</f>
        <v>AVITA BIOPHARNACEUTICALS</v>
      </c>
    </row>
    <row r="376">
      <c r="H376" s="3" t="str">
        <f>IFERROR(__xludf.DUMMYFUNCTION("""COMPUTED_VALUE"""),"AVN PHARMACEUTICALS")</f>
        <v>AVN PHARMACEUTICALS</v>
      </c>
    </row>
    <row r="377">
      <c r="H377" s="3" t="str">
        <f>IFERROR(__xludf.DUMMYFUNCTION("""COMPUTED_VALUE"""),"AVNI")</f>
        <v>AVNI</v>
      </c>
    </row>
    <row r="378">
      <c r="H378" s="3" t="str">
        <f>IFERROR(__xludf.DUMMYFUNCTION("""COMPUTED_VALUE"""),"AVNI PHARMA SOLAN")</f>
        <v>AVNI PHARMA SOLAN</v>
      </c>
    </row>
    <row r="379">
      <c r="H379" s="3" t="str">
        <f>IFERROR(__xludf.DUMMYFUNCTION("""COMPUTED_VALUE"""),"AVONIC LIFE SCIENCES")</f>
        <v>AVONIC LIFE SCIENCES</v>
      </c>
    </row>
    <row r="380">
      <c r="H380" s="3" t="str">
        <f>IFERROR(__xludf.DUMMYFUNCTION("""COMPUTED_VALUE"""),"AWSTEN REMEDIES")</f>
        <v>AWSTEN REMEDIES</v>
      </c>
    </row>
    <row r="381">
      <c r="H381" s="3" t="str">
        <f>IFERROR(__xludf.DUMMYFUNCTION("""COMPUTED_VALUE"""),"AXELTIS HEALTHCARE")</f>
        <v>AXELTIS HEALTHCARE</v>
      </c>
    </row>
    <row r="382">
      <c r="H382" s="3" t="str">
        <f>IFERROR(__xludf.DUMMYFUNCTION("""COMPUTED_VALUE"""),"AXINIB 1")</f>
        <v>AXINIB 1</v>
      </c>
    </row>
    <row r="383">
      <c r="H383" s="3" t="str">
        <f>IFERROR(__xludf.DUMMYFUNCTION("""COMPUTED_VALUE"""),"AXINIB 5")</f>
        <v>AXINIB 5</v>
      </c>
    </row>
    <row r="384">
      <c r="H384" s="3" t="str">
        <f>IFERROR(__xludf.DUMMYFUNCTION("""COMPUTED_VALUE"""),"AXIS PHARMA")</f>
        <v>AXIS PHARMA</v>
      </c>
    </row>
    <row r="385">
      <c r="H385" s="3" t="str">
        <f>IFERROR(__xludf.DUMMYFUNCTION("""COMPUTED_VALUE"""),"AXO RESEARCH LABORATORIES")</f>
        <v>AXO RESEARCH LABORATORIES</v>
      </c>
    </row>
    <row r="386">
      <c r="H386" s="3" t="str">
        <f>IFERROR(__xludf.DUMMYFUNCTION("""COMPUTED_VALUE"""),"AYNS PHARMA")</f>
        <v>AYNS PHARMA</v>
      </c>
    </row>
    <row r="387">
      <c r="H387" s="3" t="str">
        <f>IFERROR(__xludf.DUMMYFUNCTION("""COMPUTED_VALUE"""),"AYURVED SEVA SADAN")</f>
        <v>AYURVED SEVA SADAN</v>
      </c>
    </row>
    <row r="388">
      <c r="H388" s="3" t="str">
        <f>IFERROR(__xludf.DUMMYFUNCTION("""COMPUTED_VALUE"""),"AYURVED SUMSHODHANALAYA")</f>
        <v>AYURVED SUMSHODHANALAYA</v>
      </c>
    </row>
    <row r="389">
      <c r="H389" s="3" t="str">
        <f>IFERROR(__xludf.DUMMYFUNCTION("""COMPUTED_VALUE"""),"AYURVEDA SEARCH")</f>
        <v>AYURVEDA SEARCH</v>
      </c>
    </row>
    <row r="390">
      <c r="H390" s="3" t="str">
        <f>IFERROR(__xludf.DUMMYFUNCTION("""COMPUTED_VALUE"""),"AYURVEDANT P LTD")</f>
        <v>AYURVEDANT P LTD</v>
      </c>
    </row>
    <row r="391">
      <c r="H391" s="3" t="str">
        <f>IFERROR(__xludf.DUMMYFUNCTION("""COMPUTED_VALUE"""),"AYURVEDIC VIKAS SANSTHAN")</f>
        <v>AYURVEDIC VIKAS SANSTHAN</v>
      </c>
    </row>
    <row r="392">
      <c r="H392" s="3" t="str">
        <f>IFERROR(__xludf.DUMMYFUNCTION("""COMPUTED_VALUE"""),"AYURWIN")</f>
        <v>AYURWIN</v>
      </c>
    </row>
    <row r="393">
      <c r="H393" s="3" t="str">
        <f>IFERROR(__xludf.DUMMYFUNCTION("""COMPUTED_VALUE"""),"AYUSH MEDICAL AGENCY (OTHER PRODUCTS)")</f>
        <v>AYUSH MEDICAL AGENCY (OTHER PRODUCTS)</v>
      </c>
    </row>
    <row r="394">
      <c r="H394" s="3" t="str">
        <f>IFERROR(__xludf.DUMMYFUNCTION("""COMPUTED_VALUE"""),"AYUSHAKTI HEALTH CARE")</f>
        <v>AYUSHAKTI HEALTH CARE</v>
      </c>
    </row>
    <row r="395">
      <c r="H395" s="3" t="str">
        <f>IFERROR(__xludf.DUMMYFUNCTION("""COMPUTED_VALUE"""),"AZILLIAN HEALTHCARE PVT LTD")</f>
        <v>AZILLIAN HEALTHCARE PVT LTD</v>
      </c>
    </row>
    <row r="396">
      <c r="H396" s="3" t="str">
        <f>IFERROR(__xludf.DUMMYFUNCTION("""COMPUTED_VALUE"""),"AZINE HEALTHCARE P LTD")</f>
        <v>AZINE HEALTHCARE P LTD</v>
      </c>
    </row>
    <row r="397">
      <c r="H397" s="3" t="str">
        <f>IFERROR(__xludf.DUMMYFUNCTION("""COMPUTED_VALUE"""),"AZKKA PHARMACEUTICALS PVT LTD")</f>
        <v>AZKKA PHARMACEUTICALS PVT LTD</v>
      </c>
    </row>
    <row r="398">
      <c r="H398" s="3" t="str">
        <f>IFERROR(__xludf.DUMMYFUNCTION("""COMPUTED_VALUE"""),"AZKKOR PHARMA")</f>
        <v>AZKKOR PHARMA</v>
      </c>
    </row>
    <row r="399">
      <c r="H399" s="3" t="str">
        <f>IFERROR(__xludf.DUMMYFUNCTION("""COMPUTED_VALUE"""),"AZZURRA PHARMA")</f>
        <v>AZZURRA PHARMA</v>
      </c>
    </row>
    <row r="400">
      <c r="H400" s="3" t="str">
        <f>IFERROR(__xludf.DUMMYFUNCTION("""COMPUTED_VALUE"""),"B BRAUN")</f>
        <v>B BRAUN</v>
      </c>
    </row>
    <row r="401">
      <c r="H401" s="3" t="str">
        <f>IFERROR(__xludf.DUMMYFUNCTION("""COMPUTED_VALUE"""),"B-TEX OINTMENT")</f>
        <v>B-TEX OINTMENT</v>
      </c>
    </row>
    <row r="402">
      <c r="H402" s="3" t="str">
        <f>IFERROR(__xludf.DUMMYFUNCTION("""COMPUTED_VALUE"""),"B&amp;B GROUP")</f>
        <v>B&amp;B GROUP</v>
      </c>
    </row>
    <row r="403">
      <c r="H403" s="3" t="str">
        <f>IFERROR(__xludf.DUMMYFUNCTION("""COMPUTED_VALUE"""),"B&amp;J LIFE SCIENCES")</f>
        <v>B&amp;J LIFE SCIENCES</v>
      </c>
    </row>
    <row r="404">
      <c r="H404" s="3" t="str">
        <f>IFERROR(__xludf.DUMMYFUNCTION("""COMPUTED_VALUE"""),"BACFO Pharmaceuticals (India) Ltd.")</f>
        <v>BACFO Pharmaceuticals (India) Ltd.</v>
      </c>
    </row>
    <row r="405">
      <c r="H405" s="3" t="str">
        <f>IFERROR(__xludf.DUMMYFUNCTION("""COMPUTED_VALUE"""),"BAHOLA")</f>
        <v>BAHOLA</v>
      </c>
    </row>
    <row r="406">
      <c r="H406" s="3" t="str">
        <f>IFERROR(__xludf.DUMMYFUNCTION("""COMPUTED_VALUE"""),"BAIN MEDICAL EQIPMENT")</f>
        <v>BAIN MEDICAL EQIPMENT</v>
      </c>
    </row>
    <row r="407">
      <c r="H407" s="3" t="str">
        <f>IFERROR(__xludf.DUMMYFUNCTION("""COMPUTED_VALUE"""),"BAJAJ CORP LTD")</f>
        <v>BAJAJ CORP LTD</v>
      </c>
    </row>
    <row r="408">
      <c r="H408" s="3" t="str">
        <f>IFERROR(__xludf.DUMMYFUNCTION("""COMPUTED_VALUE"""),"BAJAJ MEDICARE")</f>
        <v>BAJAJ MEDICARE</v>
      </c>
    </row>
    <row r="409">
      <c r="H409" s="3" t="str">
        <f>IFERROR(__xludf.DUMMYFUNCTION("""COMPUTED_VALUE"""),"BAKSON")</f>
        <v>BAKSON</v>
      </c>
    </row>
    <row r="410">
      <c r="H410" s="3" t="str">
        <f>IFERROR(__xludf.DUMMYFUNCTION("""COMPUTED_VALUE"""),"Bal Pharma Ltd")</f>
        <v>Bal Pharma Ltd</v>
      </c>
    </row>
    <row r="411">
      <c r="H411" s="3" t="str">
        <f>IFERROR(__xludf.DUMMYFUNCTION("""COMPUTED_VALUE"""),"BALAJI AYURVED SANSTHAN")</f>
        <v>BALAJI AYURVED SANSTHAN</v>
      </c>
    </row>
    <row r="412">
      <c r="H412" s="3" t="str">
        <f>IFERROR(__xludf.DUMMYFUNCTION("""COMPUTED_VALUE"""),"BALAJI HEALTHCARE")</f>
        <v>BALAJI HEALTHCARE</v>
      </c>
    </row>
    <row r="413">
      <c r="H413" s="3" t="str">
        <f>IFERROR(__xludf.DUMMYFUNCTION("""COMPUTED_VALUE"""),"BALSON PHARMACEUTICALS (BESTCURE PHARMA)")</f>
        <v>BALSON PHARMACEUTICALS (BESTCURE PHARMA)</v>
      </c>
    </row>
    <row r="414">
      <c r="H414" s="3" t="str">
        <f>IFERROR(__xludf.DUMMYFUNCTION("""COMPUTED_VALUE"""),"Ban Labs")</f>
        <v>Ban Labs</v>
      </c>
    </row>
    <row r="415">
      <c r="H415" s="3" t="str">
        <f>IFERROR(__xludf.DUMMYFUNCTION("""COMPUTED_VALUE"""),"BANFORD")</f>
        <v>BANFORD</v>
      </c>
    </row>
    <row r="416">
      <c r="H416" s="3" t="str">
        <f>IFERROR(__xludf.DUMMYFUNCTION("""COMPUTED_VALUE"""),"BARD ACCESS SYSTEMS")</f>
        <v>BARD ACCESS SYSTEMS</v>
      </c>
    </row>
    <row r="417">
      <c r="H417" s="3" t="str">
        <f>IFERROR(__xludf.DUMMYFUNCTION("""COMPUTED_VALUE"""),"BARDIA")</f>
        <v>BARDIA</v>
      </c>
    </row>
    <row r="418">
      <c r="H418" s="3" t="str">
        <f>IFERROR(__xludf.DUMMYFUNCTION("""COMPUTED_VALUE"""),"BAROQUE PHARMACEUTICALS")</f>
        <v>BAROQUE PHARMACEUTICALS</v>
      </c>
    </row>
    <row r="419">
      <c r="H419" s="3" t="str">
        <f>IFERROR(__xludf.DUMMYFUNCTION("""COMPUTED_VALUE"""),"BAUSCH &amp; LOMB")</f>
        <v>BAUSCH &amp; LOMB</v>
      </c>
    </row>
    <row r="420">
      <c r="H420" s="3" t="str">
        <f>IFERROR(__xludf.DUMMYFUNCTION("""COMPUTED_VALUE"""),"BAUSCH &amp; LOMB (SL-59)")</f>
        <v>BAUSCH &amp; LOMB (SL-59)</v>
      </c>
    </row>
    <row r="421">
      <c r="H421" s="3" t="str">
        <f>IFERROR(__xludf.DUMMYFUNCTION("""COMPUTED_VALUE"""),"Bausch &amp; Lomb Inc")</f>
        <v>Bausch &amp; Lomb Inc</v>
      </c>
    </row>
    <row r="422">
      <c r="H422" s="3" t="str">
        <f>IFERROR(__xludf.DUMMYFUNCTION("""COMPUTED_VALUE"""),"Baxter India Pvt Ltd")</f>
        <v>Baxter India Pvt Ltd</v>
      </c>
    </row>
    <row r="423">
      <c r="H423" s="3" t="str">
        <f>IFERROR(__xludf.DUMMYFUNCTION("""COMPUTED_VALUE"""),"BAYER (ZYDUS BLUE)")</f>
        <v>BAYER (ZYDUS BLUE)</v>
      </c>
    </row>
    <row r="424">
      <c r="H424" s="3" t="str">
        <f>IFERROR(__xludf.DUMMYFUNCTION("""COMPUTED_VALUE"""),"Bayer Pharmaceuticals Pvt Ltd")</f>
        <v>Bayer Pharmaceuticals Pvt Ltd</v>
      </c>
    </row>
    <row r="425">
      <c r="H425" s="3" t="str">
        <f>IFERROR(__xludf.DUMMYFUNCTION("""COMPUTED_VALUE"""),"BAYZE BIOCARE PVT LTD")</f>
        <v>BAYZE BIOCARE PVT LTD</v>
      </c>
    </row>
    <row r="426">
      <c r="H426" s="3" t="str">
        <f>IFERROR(__xludf.DUMMYFUNCTION("""COMPUTED_VALUE"""),"BD SURGICAL")</f>
        <v>BD SURGICAL</v>
      </c>
    </row>
    <row r="427">
      <c r="H427" s="3" t="str">
        <f>IFERROR(__xludf.DUMMYFUNCTION("""COMPUTED_VALUE"""),"BDR PHARMACEUTICALS")</f>
        <v>BDR PHARMACEUTICALS</v>
      </c>
    </row>
    <row r="428">
      <c r="H428" s="3" t="str">
        <f>IFERROR(__xludf.DUMMYFUNCTION("""COMPUTED_VALUE"""),"BEAMS REMEDIES")</f>
        <v>BEAMS REMEDIES</v>
      </c>
    </row>
    <row r="429">
      <c r="H429" s="3" t="str">
        <f>IFERROR(__xludf.DUMMYFUNCTION("""COMPUTED_VALUE"""),"BEAUDERM PAHARMA")</f>
        <v>BEAUDERM PAHARMA</v>
      </c>
    </row>
    <row r="430">
      <c r="H430" s="3" t="str">
        <f>IFERROR(__xludf.DUMMYFUNCTION("""COMPUTED_VALUE"""),"BECK &amp; KOLL")</f>
        <v>BECK &amp; KOLL</v>
      </c>
    </row>
    <row r="431">
      <c r="H431" s="3" t="str">
        <f>IFERROR(__xludf.DUMMYFUNCTION("""COMPUTED_VALUE"""),"BEEKAY PHARMACEUTICALS")</f>
        <v>BEEKAY PHARMACEUTICALS</v>
      </c>
    </row>
    <row r="432">
      <c r="H432" s="3" t="str">
        <f>IFERROR(__xludf.DUMMYFUNCTION("""COMPUTED_VALUE"""),"BEETA SURGICALS")</f>
        <v>BEETA SURGICALS</v>
      </c>
    </row>
    <row r="433">
      <c r="H433" s="3" t="str">
        <f>IFERROR(__xludf.DUMMYFUNCTION("""COMPUTED_VALUE"""),"BEIERSDORF")</f>
        <v>BEIERSDORF</v>
      </c>
    </row>
    <row r="434">
      <c r="H434" s="3" t="str">
        <f>IFERROR(__xludf.DUMMYFUNCTION("""COMPUTED_VALUE"""),"Bengal Chemicals &amp; Pharmaceuticals Ltd")</f>
        <v>Bengal Chemicals &amp; Pharmaceuticals Ltd</v>
      </c>
    </row>
    <row r="435">
      <c r="H435" s="3" t="str">
        <f>IFERROR(__xludf.DUMMYFUNCTION("""COMPUTED_VALUE"""),"BENNET PHARMA (CRITICAL CARE)")</f>
        <v>BENNET PHARMA (CRITICAL CARE)</v>
      </c>
    </row>
    <row r="436">
      <c r="H436" s="3" t="str">
        <f>IFERROR(__xludf.DUMMYFUNCTION("""COMPUTED_VALUE"""),"BENNET PHARMA (EXTRA CARE)")</f>
        <v>BENNET PHARMA (EXTRA CARE)</v>
      </c>
    </row>
    <row r="437">
      <c r="H437" s="3" t="str">
        <f>IFERROR(__xludf.DUMMYFUNCTION("""COMPUTED_VALUE"""),"BENNET PHARMA (MAIN)")</f>
        <v>BENNET PHARMA (MAIN)</v>
      </c>
    </row>
    <row r="438">
      <c r="H438" s="3" t="str">
        <f>IFERROR(__xludf.DUMMYFUNCTION("""COMPUTED_VALUE"""),"BENNET PHARMA (MYPHER)")</f>
        <v>BENNET PHARMA (MYPHER)</v>
      </c>
    </row>
    <row r="439">
      <c r="H439" s="3" t="str">
        <f>IFERROR(__xludf.DUMMYFUNCTION("""COMPUTED_VALUE"""),"Bennet Pharmaceuticals Limited")</f>
        <v>Bennet Pharmaceuticals Limited</v>
      </c>
    </row>
    <row r="440">
      <c r="H440" s="3" t="str">
        <f>IFERROR(__xludf.DUMMYFUNCTION("""COMPUTED_VALUE"""),"BERBRICK HEALTHCARE")</f>
        <v>BERBRICK HEALTHCARE</v>
      </c>
    </row>
    <row r="441">
      <c r="H441" s="3" t="str">
        <f>IFERROR(__xludf.DUMMYFUNCTION("""COMPUTED_VALUE"""),"BERNICE PHARMA")</f>
        <v>BERNICE PHARMA</v>
      </c>
    </row>
    <row r="442">
      <c r="H442" s="3" t="str">
        <f>IFERROR(__xludf.DUMMYFUNCTION("""COMPUTED_VALUE"""),"BERRY &amp; HERBS PHARMA PVT LTD")</f>
        <v>BERRY &amp; HERBS PHARMA PVT LTD</v>
      </c>
    </row>
    <row r="443">
      <c r="H443" s="3" t="str">
        <f>IFERROR(__xludf.DUMMYFUNCTION("""COMPUTED_VALUE"""),"BERYL DRUGS LTD")</f>
        <v>BERYL DRUGS LTD</v>
      </c>
    </row>
    <row r="444">
      <c r="H444" s="3" t="str">
        <f>IFERROR(__xludf.DUMMYFUNCTION("""COMPUTED_VALUE"""),"Besins Healthcare India Pvt Ltd")</f>
        <v>Besins Healthcare India Pvt Ltd</v>
      </c>
    </row>
    <row r="445">
      <c r="H445" s="3" t="str">
        <f>IFERROR(__xludf.DUMMYFUNCTION("""COMPUTED_VALUE"""),"BEST BIOTECH")</f>
        <v>BEST BIOTECH</v>
      </c>
    </row>
    <row r="446">
      <c r="H446" s="3" t="str">
        <f>IFERROR(__xludf.DUMMYFUNCTION("""COMPUTED_VALUE"""),"BESTEL LABORATORIES")</f>
        <v>BESTEL LABORATORIES</v>
      </c>
    </row>
    <row r="447">
      <c r="H447" s="3" t="str">
        <f>IFERROR(__xludf.DUMMYFUNCTION("""COMPUTED_VALUE"""),"BestoChem Formulations India Ltd")</f>
        <v>BestoChem Formulations India Ltd</v>
      </c>
    </row>
    <row r="448">
      <c r="H448" s="3" t="str">
        <f>IFERROR(__xludf.DUMMYFUNCTION("""COMPUTED_VALUE"""),"BestoChem Formulations India Ltd (GENERIC)")</f>
        <v>BestoChem Formulations India Ltd (GENERIC)</v>
      </c>
    </row>
    <row r="449">
      <c r="H449" s="3" t="str">
        <f>IFERROR(__xludf.DUMMYFUNCTION("""COMPUTED_VALUE"""),"BHAGWAT PHARMACEUTICAL")</f>
        <v>BHAGWAT PHARMACEUTICAL</v>
      </c>
    </row>
    <row r="450">
      <c r="H450" s="3" t="str">
        <f>IFERROR(__xludf.DUMMYFUNCTION("""COMPUTED_VALUE"""),"BHANDARI")</f>
        <v>BHANDARI</v>
      </c>
    </row>
    <row r="451">
      <c r="H451" s="3" t="str">
        <f>IFERROR(__xludf.DUMMYFUNCTION("""COMPUTED_VALUE"""),"Bhandari Labs")</f>
        <v>Bhandari Labs</v>
      </c>
    </row>
    <row r="452">
      <c r="H452" s="3" t="str">
        <f>IFERROR(__xludf.DUMMYFUNCTION("""COMPUTED_VALUE"""),"Bharat Biotech")</f>
        <v>Bharat Biotech</v>
      </c>
    </row>
    <row r="453">
      <c r="H453" s="3" t="str">
        <f>IFERROR(__xludf.DUMMYFUNCTION("""COMPUTED_VALUE"""),"BHARAT HOMOEO")</f>
        <v>BHARAT HOMOEO</v>
      </c>
    </row>
    <row r="454">
      <c r="H454" s="3" t="str">
        <f>IFERROR(__xludf.DUMMYFUNCTION("""COMPUTED_VALUE"""),"Bharat Serums &amp; Vaccines Ltd")</f>
        <v>Bharat Serums &amp; Vaccines Ltd</v>
      </c>
    </row>
    <row r="455">
      <c r="H455" s="3" t="str">
        <f>IFERROR(__xludf.DUMMYFUNCTION("""COMPUTED_VALUE"""),"BHARATIYAPHARMACEUTICALS INDIA")</f>
        <v>BHARATIYAPHARMACEUTICALS INDIA</v>
      </c>
    </row>
    <row r="456">
      <c r="H456" s="3" t="str">
        <f>IFERROR(__xludf.DUMMYFUNCTION("""COMPUTED_VALUE"""),"Bharti Life Sciences")</f>
        <v>Bharti Life Sciences</v>
      </c>
    </row>
    <row r="457">
      <c r="H457" s="3" t="str">
        <f>IFERROR(__xludf.DUMMYFUNCTION("""COMPUTED_VALUE"""),"BHARTIYAPHARMA")</f>
        <v>BHARTIYAPHARMA</v>
      </c>
    </row>
    <row r="458">
      <c r="H458" s="3" t="str">
        <f>IFERROR(__xludf.DUMMYFUNCTION("""COMPUTED_VALUE"""),"BHAWANI PHARMACEUTICAL")</f>
        <v>BHAWANI PHARMACEUTICAL</v>
      </c>
    </row>
    <row r="459">
      <c r="H459" s="3" t="str">
        <f>IFERROR(__xludf.DUMMYFUNCTION("""COMPUTED_VALUE"""),"BHAWASAR CHEMICALS")</f>
        <v>BHAWASAR CHEMICALS</v>
      </c>
    </row>
    <row r="460">
      <c r="H460" s="3" t="str">
        <f>IFERROR(__xludf.DUMMYFUNCTION("""COMPUTED_VALUE"""),"BHAWSAR PHARMACEUTICAL WORKS")</f>
        <v>BHAWSAR PHARMACEUTICAL WORKS</v>
      </c>
    </row>
    <row r="461">
      <c r="H461" s="3" t="str">
        <f>IFERROR(__xludf.DUMMYFUNCTION("""COMPUTED_VALUE"""),"BHOGILAL PREMCHAND")</f>
        <v>BHOGILAL PREMCHAND</v>
      </c>
    </row>
    <row r="462">
      <c r="H462" s="3" t="str">
        <f>IFERROR(__xludf.DUMMYFUNCTION("""COMPUTED_VALUE"""),"BIGWIG REMEDIES")</f>
        <v>BIGWIG REMEDIES</v>
      </c>
    </row>
    <row r="463">
      <c r="H463" s="3" t="str">
        <f>IFERROR(__xludf.DUMMYFUNCTION("""COMPUTED_VALUE"""),"BILBERRY PHARMACEUTICAL PVT LTD")</f>
        <v>BILBERRY PHARMACEUTICAL PVT LTD</v>
      </c>
    </row>
    <row r="464">
      <c r="H464" s="3" t="str">
        <f>IFERROR(__xludf.DUMMYFUNCTION("""COMPUTED_VALUE"""),"BILBERRY PHARMACEUTICALS PVT LTD")</f>
        <v>BILBERRY PHARMACEUTICALS PVT LTD</v>
      </c>
    </row>
    <row r="465">
      <c r="H465" s="3" t="str">
        <f>IFERROR(__xludf.DUMMYFUNCTION("""COMPUTED_VALUE"""),"BILLS CHEMICAL LIMITED")</f>
        <v>BILLS CHEMICAL LIMITED</v>
      </c>
    </row>
    <row r="466">
      <c r="H466" s="3" t="str">
        <f>IFERROR(__xludf.DUMMYFUNCTION("""COMPUTED_VALUE"""),"BIO EXCELLENCE")</f>
        <v>BIO EXCELLENCE</v>
      </c>
    </row>
    <row r="467">
      <c r="H467" s="3" t="str">
        <f>IFERROR(__xludf.DUMMYFUNCTION("""COMPUTED_VALUE"""),"BIO MEDICA LABORATORIES PVT LTD")</f>
        <v>BIO MEDICA LABORATORIES PVT LTD</v>
      </c>
    </row>
    <row r="468">
      <c r="H468" s="3" t="str">
        <f>IFERROR(__xludf.DUMMYFUNCTION("""COMPUTED_VALUE"""),"BIO TRUE LENS")</f>
        <v>BIO TRUE LENS</v>
      </c>
    </row>
    <row r="469">
      <c r="H469" s="3" t="str">
        <f>IFERROR(__xludf.DUMMYFUNCTION("""COMPUTED_VALUE"""),"BIO-MEDICA LAB INDORE")</f>
        <v>BIO-MEDICA LAB INDORE</v>
      </c>
    </row>
    <row r="470">
      <c r="H470" s="3" t="str">
        <f>IFERROR(__xludf.DUMMYFUNCTION("""COMPUTED_VALUE"""),"BIOAS MEDICO P LTD")</f>
        <v>BIOAS MEDICO P LTD</v>
      </c>
    </row>
    <row r="471">
      <c r="H471" s="3" t="str">
        <f>IFERROR(__xludf.DUMMYFUNCTION("""COMPUTED_VALUE"""),"BIOCEUTICS PHARMACEUTICALS")</f>
        <v>BIOCEUTICS PHARMACEUTICALS</v>
      </c>
    </row>
    <row r="472">
      <c r="H472" s="3" t="str">
        <f>IFERROR(__xludf.DUMMYFUNCTION("""COMPUTED_VALUE"""),"Biochem Pharmaceutical Industries")</f>
        <v>Biochem Pharmaceutical Industries</v>
      </c>
    </row>
    <row r="473">
      <c r="H473" s="3" t="str">
        <f>IFERROR(__xludf.DUMMYFUNCTION("""COMPUTED_VALUE"""),"Biochem Pharmaceutical Industries (GENERIC)")</f>
        <v>Biochem Pharmaceutical Industries (GENERIC)</v>
      </c>
    </row>
    <row r="474">
      <c r="H474" s="3" t="str">
        <f>IFERROR(__xludf.DUMMYFUNCTION("""COMPUTED_VALUE"""),"BIOCHEMIX HEALTHCARE")</f>
        <v>BIOCHEMIX HEALTHCARE</v>
      </c>
    </row>
    <row r="475">
      <c r="H475" s="3" t="str">
        <f>IFERROR(__xludf.DUMMYFUNCTION("""COMPUTED_VALUE"""),"BIOCHEMIX HEALTHCARE (NOVAMED  PHARMA)")</f>
        <v>BIOCHEMIX HEALTHCARE (NOVAMED  PHARMA)</v>
      </c>
    </row>
    <row r="476">
      <c r="H476" s="3" t="str">
        <f>IFERROR(__xludf.DUMMYFUNCTION("""COMPUTED_VALUE"""),"BIOCHEMIX HEALTHCARE (OLMED)")</f>
        <v>BIOCHEMIX HEALTHCARE (OLMED)</v>
      </c>
    </row>
    <row r="477">
      <c r="H477" s="3" t="str">
        <f>IFERROR(__xludf.DUMMYFUNCTION("""COMPUTED_VALUE"""),"BIOCHEMIX HEALTHCARE (VIVIA DERMACARE)")</f>
        <v>BIOCHEMIX HEALTHCARE (VIVIA DERMACARE)</v>
      </c>
    </row>
    <row r="478">
      <c r="H478" s="3" t="str">
        <f>IFERROR(__xludf.DUMMYFUNCTION("""COMPUTED_VALUE"""),"Biocon")</f>
        <v>Biocon</v>
      </c>
    </row>
    <row r="479">
      <c r="H479" s="3" t="str">
        <f>IFERROR(__xludf.DUMMYFUNCTION("""COMPUTED_VALUE"""),"BIOCON (ALTIUS)")</f>
        <v>BIOCON (ALTIUS)</v>
      </c>
    </row>
    <row r="480">
      <c r="H480" s="3" t="str">
        <f>IFERROR(__xludf.DUMMYFUNCTION("""COMPUTED_VALUE"""),"BIOCON (CITIUS)")</f>
        <v>BIOCON (CITIUS)</v>
      </c>
    </row>
    <row r="481">
      <c r="H481" s="3" t="str">
        <f>IFERROR(__xludf.DUMMYFUNCTION("""COMPUTED_VALUE"""),"BIOCON (CRITICAL CARE)")</f>
        <v>BIOCON (CRITICAL CARE)</v>
      </c>
    </row>
    <row r="482">
      <c r="H482" s="3" t="str">
        <f>IFERROR(__xludf.DUMMYFUNCTION("""COMPUTED_VALUE"""),"BIOCON (DERMA)")</f>
        <v>BIOCON (DERMA)</v>
      </c>
    </row>
    <row r="483">
      <c r="H483" s="3" t="str">
        <f>IFERROR(__xludf.DUMMYFUNCTION("""COMPUTED_VALUE"""),"BIOCORE PHARMACEUTICALS")</f>
        <v>BIOCORE PHARMACEUTICALS</v>
      </c>
    </row>
    <row r="484">
      <c r="H484" s="3" t="str">
        <f>IFERROR(__xludf.DUMMYFUNCTION("""COMPUTED_VALUE"""),"BIODERMA SOLUTIONS")</f>
        <v>BIODERMA SOLUTIONS</v>
      </c>
    </row>
    <row r="485">
      <c r="H485" s="3" t="str">
        <f>IFERROR(__xludf.DUMMYFUNCTION("""COMPUTED_VALUE"""),"BIODERMA SOLUTIONS (AESTETIX)")</f>
        <v>BIODERMA SOLUTIONS (AESTETIX)</v>
      </c>
    </row>
    <row r="486">
      <c r="H486" s="3" t="str">
        <f>IFERROR(__xludf.DUMMYFUNCTION("""COMPUTED_VALUE"""),"BIODERMA SOLUTIONS (CYTOZ)")</f>
        <v>BIODERMA SOLUTIONS (CYTOZ)</v>
      </c>
    </row>
    <row r="487">
      <c r="H487" s="3" t="str">
        <f>IFERROR(__xludf.DUMMYFUNCTION("""COMPUTED_VALUE"""),"BIODERMA SOLUTIONS (DENTAL)")</f>
        <v>BIODERMA SOLUTIONS (DENTAL)</v>
      </c>
    </row>
    <row r="488">
      <c r="H488" s="3" t="str">
        <f>IFERROR(__xludf.DUMMYFUNCTION("""COMPUTED_VALUE"""),"BIODERMA SOLUTIONS (MAIN)")</f>
        <v>BIODERMA SOLUTIONS (MAIN)</v>
      </c>
    </row>
    <row r="489">
      <c r="H489" s="3" t="str">
        <f>IFERROR(__xludf.DUMMYFUNCTION("""COMPUTED_VALUE"""),"BIOFORCE")</f>
        <v>BIOFORCE</v>
      </c>
    </row>
    <row r="490">
      <c r="H490" s="3" t="str">
        <f>IFERROR(__xludf.DUMMYFUNCTION("""COMPUTED_VALUE"""),"BIOFORD REMEDIES PVT LTD")</f>
        <v>BIOFORD REMEDIES PVT LTD</v>
      </c>
    </row>
    <row r="491">
      <c r="H491" s="3" t="str">
        <f>IFERROR(__xludf.DUMMYFUNCTION("""COMPUTED_VALUE"""),"BIOGEN HEALTH CARE")</f>
        <v>BIOGEN HEALTH CARE</v>
      </c>
    </row>
    <row r="492">
      <c r="H492" s="3" t="str">
        <f>IFERROR(__xludf.DUMMYFUNCTION("""COMPUTED_VALUE"""),"Biogen Idec India")</f>
        <v>Biogen Idec India</v>
      </c>
    </row>
    <row r="493">
      <c r="H493" s="3" t="str">
        <f>IFERROR(__xludf.DUMMYFUNCTION("""COMPUTED_VALUE"""),"BIOGENOMICS LIMITED")</f>
        <v>BIOGENOMICS LIMITED</v>
      </c>
    </row>
    <row r="494">
      <c r="H494" s="3" t="str">
        <f>IFERROR(__xludf.DUMMYFUNCTION("""COMPUTED_VALUE"""),"BIOGRACE PHARMA")</f>
        <v>BIOGRACE PHARMA</v>
      </c>
    </row>
    <row r="495">
      <c r="H495" s="3" t="str">
        <f>IFERROR(__xludf.DUMMYFUNCTION("""COMPUTED_VALUE"""),"BIOKINDLE LIFESCIENCES")</f>
        <v>BIOKINDLE LIFESCIENCES</v>
      </c>
    </row>
    <row r="496">
      <c r="H496" s="3" t="str">
        <f>IFERROR(__xludf.DUMMYFUNCTION("""COMPUTED_VALUE"""),"BIOLIFE")</f>
        <v>BIOLIFE</v>
      </c>
    </row>
    <row r="497">
      <c r="H497" s="3" t="str">
        <f>IFERROR(__xludf.DUMMYFUNCTION("""COMPUTED_VALUE"""),"Biological E Ltd")</f>
        <v>Biological E Ltd</v>
      </c>
    </row>
    <row r="498">
      <c r="H498" s="3" t="str">
        <f>IFERROR(__xludf.DUMMYFUNCTION("""COMPUTED_VALUE"""),"BIOMAX BIOTECHNICS")</f>
        <v>BIOMAX BIOTECHNICS</v>
      </c>
    </row>
    <row r="499">
      <c r="H499" s="3" t="str">
        <f>IFERROR(__xludf.DUMMYFUNCTION("""COMPUTED_VALUE"""),"BIOMEDICA INTERNATIONAL")</f>
        <v>BIOMEDICA INTERNATIONAL</v>
      </c>
    </row>
    <row r="500">
      <c r="H500" s="3" t="str">
        <f>IFERROR(__xludf.DUMMYFUNCTION("""COMPUTED_VALUE"""),"BIOMI LIFE SCIENCES")</f>
        <v>BIOMI LIFE SCIENCES</v>
      </c>
    </row>
    <row r="501">
      <c r="H501" s="3" t="str">
        <f>IFERROR(__xludf.DUMMYFUNCTION("""COMPUTED_VALUE"""),"BION HEALTHCARE PVT LTD")</f>
        <v>BION HEALTHCARE PVT LTD</v>
      </c>
    </row>
    <row r="502">
      <c r="H502" s="3" t="str">
        <f>IFERROR(__xludf.DUMMYFUNCTION("""COMPUTED_VALUE"""),"BION HEALTHCARE PVT LTD (OCTALIFE)")</f>
        <v>BION HEALTHCARE PVT LTD (OCTALIFE)</v>
      </c>
    </row>
    <row r="503">
      <c r="H503" s="3" t="str">
        <f>IFERROR(__xludf.DUMMYFUNCTION("""COMPUTED_VALUE"""),"BION HEALTHCARE PVT LTD (TRULAM)")</f>
        <v>BION HEALTHCARE PVT LTD (TRULAM)</v>
      </c>
    </row>
    <row r="504">
      <c r="H504" s="3" t="str">
        <f>IFERROR(__xludf.DUMMYFUNCTION("""COMPUTED_VALUE"""),"BIONOMICS")</f>
        <v>BIONOMICS</v>
      </c>
    </row>
    <row r="505">
      <c r="H505" s="3" t="str">
        <f>IFERROR(__xludf.DUMMYFUNCTION("""COMPUTED_VALUE"""),"BIONOVA (MAXNOVA)")</f>
        <v>BIONOVA (MAXNOVA)</v>
      </c>
    </row>
    <row r="506">
      <c r="H506" s="3" t="str">
        <f>IFERROR(__xludf.DUMMYFUNCTION("""COMPUTED_VALUE"""),"BIONOVA PHARMACEUTICALS")</f>
        <v>BIONOVA PHARMACEUTICALS</v>
      </c>
    </row>
    <row r="507">
      <c r="H507" s="3" t="str">
        <f>IFERROR(__xludf.DUMMYFUNCTION("""COMPUTED_VALUE"""),"BIONOVICS PHARMACEUTICALS PVT LTD")</f>
        <v>BIONOVICS PHARMACEUTICALS PVT LTD</v>
      </c>
    </row>
    <row r="508">
      <c r="H508" s="3" t="str">
        <f>IFERROR(__xludf.DUMMYFUNCTION("""COMPUTED_VALUE"""),"BIONOVO REMEDIES")</f>
        <v>BIONOVO REMEDIES</v>
      </c>
    </row>
    <row r="509">
      <c r="H509" s="3" t="str">
        <f>IFERROR(__xludf.DUMMYFUNCTION("""COMPUTED_VALUE"""),"BIOPHAR LIFESCIENCES")</f>
        <v>BIOPHAR LIFESCIENCES</v>
      </c>
    </row>
    <row r="510">
      <c r="H510" s="3" t="str">
        <f>IFERROR(__xludf.DUMMYFUNCTION("""COMPUTED_VALUE"""),"BIOPHARM GROUP")</f>
        <v>BIOPHARM GROUP</v>
      </c>
    </row>
    <row r="511">
      <c r="H511" s="3" t="str">
        <f>IFERROR(__xludf.DUMMYFUNCTION("""COMPUTED_VALUE"""),"BIOS (HOMEO)")</f>
        <v>BIOS (HOMEO)</v>
      </c>
    </row>
    <row r="512">
      <c r="H512" s="3" t="str">
        <f>IFERROR(__xludf.DUMMYFUNCTION("""COMPUTED_VALUE"""),"BIOSAFE LIFECARE P LTD")</f>
        <v>BIOSAFE LIFECARE P LTD</v>
      </c>
    </row>
    <row r="513">
      <c r="H513" s="3" t="str">
        <f>IFERROR(__xludf.DUMMYFUNCTION("""COMPUTED_VALUE"""),"BIOSAP")</f>
        <v>BIOSAP</v>
      </c>
    </row>
    <row r="514">
      <c r="H514" s="3" t="str">
        <f>IFERROR(__xludf.DUMMYFUNCTION("""COMPUTED_VALUE"""),"BIOSCIENCE HEALTHCARE")</f>
        <v>BIOSCIENCE HEALTHCARE</v>
      </c>
    </row>
    <row r="515">
      <c r="H515" s="3" t="str">
        <f>IFERROR(__xludf.DUMMYFUNCTION("""COMPUTED_VALUE"""),"BIOSHIELDS")</f>
        <v>BIOSHIELDS</v>
      </c>
    </row>
    <row r="516">
      <c r="H516" s="3" t="str">
        <f>IFERROR(__xludf.DUMMYFUNCTION("""COMPUTED_VALUE"""),"BIOSLAB")</f>
        <v>BIOSLAB</v>
      </c>
    </row>
    <row r="517">
      <c r="H517" s="3" t="str">
        <f>IFERROR(__xludf.DUMMYFUNCTION("""COMPUTED_VALUE"""),"BIOSTADT INDIA LIMITED")</f>
        <v>BIOSTADT INDIA LIMITED</v>
      </c>
    </row>
    <row r="518">
      <c r="H518" s="3" t="str">
        <f>IFERROR(__xludf.DUMMYFUNCTION("""COMPUTED_VALUE"""),"BIOSTAR PHARMACEUTICALS")</f>
        <v>BIOSTAR PHARMACEUTICALS</v>
      </c>
    </row>
    <row r="519">
      <c r="H519" s="3" t="str">
        <f>IFERROR(__xludf.DUMMYFUNCTION("""COMPUTED_VALUE"""),"BIOSUR PHARMA")</f>
        <v>BIOSUR PHARMA</v>
      </c>
    </row>
    <row r="520">
      <c r="H520" s="3" t="str">
        <f>IFERROR(__xludf.DUMMYFUNCTION("""COMPUTED_VALUE"""),"BIOSURE PHARMA")</f>
        <v>BIOSURE PHARMA</v>
      </c>
    </row>
    <row r="521">
      <c r="H521" s="3" t="str">
        <f>IFERROR(__xludf.DUMMYFUNCTION("""COMPUTED_VALUE"""),"BIOSYNERGY LIFECARE PVT LTD")</f>
        <v>BIOSYNERGY LIFECARE PVT LTD</v>
      </c>
    </row>
    <row r="522">
      <c r="H522" s="3" t="str">
        <f>IFERROR(__xludf.DUMMYFUNCTION("""COMPUTED_VALUE"""),"BIOTA REMEDIES")</f>
        <v>BIOTA REMEDIES</v>
      </c>
    </row>
    <row r="523">
      <c r="H523" s="3" t="str">
        <f>IFERROR(__xludf.DUMMYFUNCTION("""COMPUTED_VALUE"""),"BIOTEST PHARMA")</f>
        <v>BIOTEST PHARMA</v>
      </c>
    </row>
    <row r="524">
      <c r="H524" s="3" t="str">
        <f>IFERROR(__xludf.DUMMYFUNCTION("""COMPUTED_VALUE"""),"BIOVALENCE")</f>
        <v>BIOVALENCE</v>
      </c>
    </row>
    <row r="525">
      <c r="H525" s="3" t="str">
        <f>IFERROR(__xludf.DUMMYFUNCTION("""COMPUTED_VALUE"""),"BIOVERVE PHARMACEUTICALS")</f>
        <v>BIOVERVE PHARMACEUTICALS</v>
      </c>
    </row>
    <row r="526">
      <c r="H526" s="3" t="str">
        <f>IFERROR(__xludf.DUMMYFUNCTION("""COMPUTED_VALUE"""),"BIOVIZ TECHNOLOGIES")</f>
        <v>BIOVIZ TECHNOLOGIES</v>
      </c>
    </row>
    <row r="527">
      <c r="H527" s="3" t="str">
        <f>IFERROR(__xludf.DUMMYFUNCTION("""COMPUTED_VALUE"""),"BIOWIN HEALTHCARE")</f>
        <v>BIOWIN HEALTHCARE</v>
      </c>
    </row>
    <row r="528">
      <c r="H528" s="3" t="str">
        <f>IFERROR(__xludf.DUMMYFUNCTION("""COMPUTED_VALUE"""),"BIOZEN HEALTHCARE")</f>
        <v>BIOZEN HEALTHCARE</v>
      </c>
    </row>
    <row r="529">
      <c r="H529" s="3" t="str">
        <f>IFERROR(__xludf.DUMMYFUNCTION("""COMPUTED_VALUE"""),"BIOZEN PHARMACEUTICALS")</f>
        <v>BIOZEN PHARMACEUTICALS</v>
      </c>
    </row>
    <row r="530">
      <c r="H530" s="3" t="str">
        <f>IFERROR(__xludf.DUMMYFUNCTION("""COMPUTED_VALUE"""),"BISANI PHARMACEUTICS")</f>
        <v>BISANI PHARMACEUTICS</v>
      </c>
    </row>
    <row r="531">
      <c r="H531" s="3" t="str">
        <f>IFERROR(__xludf.DUMMYFUNCTION("""COMPUTED_VALUE"""),"BITTU PHARMACEUTICALS")</f>
        <v>BITTU PHARMACEUTICALS</v>
      </c>
    </row>
    <row r="532">
      <c r="H532" s="3" t="str">
        <f>IFERROR(__xludf.DUMMYFUNCTION("""COMPUTED_VALUE"""),"BLISS CHEMICAL &amp; PHARMA")</f>
        <v>BLISS CHEMICAL &amp; PHARMA</v>
      </c>
    </row>
    <row r="533">
      <c r="H533" s="3" t="str">
        <f>IFERROR(__xludf.DUMMYFUNCTION("""COMPUTED_VALUE"""),"BLISSON (MEDICA)")</f>
        <v>BLISSON (MEDICA)</v>
      </c>
    </row>
    <row r="534">
      <c r="H534" s="3" t="str">
        <f>IFERROR(__xludf.DUMMYFUNCTION("""COMPUTED_VALUE"""),"BLISSON (MEDIPLUS)")</f>
        <v>BLISSON (MEDIPLUS)</v>
      </c>
    </row>
    <row r="535">
      <c r="H535" s="3" t="str">
        <f>IFERROR(__xludf.DUMMYFUNCTION("""COMPUTED_VALUE"""),"Blubell Pharma")</f>
        <v>Blubell Pharma</v>
      </c>
    </row>
    <row r="536">
      <c r="H536" s="3" t="str">
        <f>IFERROR(__xludf.DUMMYFUNCTION("""COMPUTED_VALUE"""),"BLUE CROSS (EXCEL)")</f>
        <v>BLUE CROSS (EXCEL)</v>
      </c>
    </row>
    <row r="537">
      <c r="H537" s="3" t="str">
        <f>IFERROR(__xludf.DUMMYFUNCTION("""COMPUTED_VALUE"""),"Blue Cross Laboratories Ltd")</f>
        <v>Blue Cross Laboratories Ltd</v>
      </c>
    </row>
    <row r="538">
      <c r="H538" s="3" t="str">
        <f>IFERROR(__xludf.DUMMYFUNCTION("""COMPUTED_VALUE"""),"BLUECELL HEALTHCARE SOLUTIONS")</f>
        <v>BLUECELL HEALTHCARE SOLUTIONS</v>
      </c>
    </row>
    <row r="539">
      <c r="H539" s="3" t="str">
        <f>IFERROR(__xludf.DUMMYFUNCTION("""COMPUTED_VALUE"""),"BLUEDROP LIFESCIENCE")</f>
        <v>BLUEDROP LIFESCIENCE</v>
      </c>
    </row>
    <row r="540">
      <c r="H540" s="3" t="str">
        <f>IFERROR(__xludf.DUMMYFUNCTION("""COMPUTED_VALUE"""),"BMA (OP)")</f>
        <v>BMA (OP)</v>
      </c>
    </row>
    <row r="541">
      <c r="H541" s="3" t="str">
        <f>IFERROR(__xludf.DUMMYFUNCTION("""COMPUTED_VALUE"""),"BMW PHARMACO")</f>
        <v>BMW PHARMACO</v>
      </c>
    </row>
    <row r="542">
      <c r="H542" s="3" t="str">
        <f>IFERROR(__xludf.DUMMYFUNCTION("""COMPUTED_VALUE"""),"Boehringer Ingelheim")</f>
        <v>Boehringer Ingelheim</v>
      </c>
    </row>
    <row r="543">
      <c r="H543" s="3" t="str">
        <f>IFERROR(__xludf.DUMMYFUNCTION("""COMPUTED_VALUE"""),"Boehringer Ingelheim (CARDIO)")</f>
        <v>Boehringer Ingelheim (CARDIO)</v>
      </c>
    </row>
    <row r="544">
      <c r="H544" s="3" t="str">
        <f>IFERROR(__xludf.DUMMYFUNCTION("""COMPUTED_VALUE"""),"Boehringer Ingelheim (DIABETES)")</f>
        <v>Boehringer Ingelheim (DIABETES)</v>
      </c>
    </row>
    <row r="545">
      <c r="H545" s="3" t="str">
        <f>IFERROR(__xludf.DUMMYFUNCTION("""COMPUTED_VALUE"""),"BONDANE PHARMA")</f>
        <v>BONDANE PHARMA</v>
      </c>
    </row>
    <row r="546">
      <c r="H546" s="3" t="str">
        <f>IFERROR(__xludf.DUMMYFUNCTION("""COMPUTED_VALUE"""),"BONNY BABY CARE PVT LTD")</f>
        <v>BONNY BABY CARE PVT LTD</v>
      </c>
    </row>
    <row r="547">
      <c r="H547" s="3" t="str">
        <f>IFERROR(__xludf.DUMMYFUNCTION("""COMPUTED_VALUE"""),"BONSAI PHARMA")</f>
        <v>BONSAI PHARMA</v>
      </c>
    </row>
    <row r="548">
      <c r="H548" s="3" t="str">
        <f>IFERROR(__xludf.DUMMYFUNCTION("""COMPUTED_VALUE"""),"BOOLEAN PHARMACEUTICAL")</f>
        <v>BOOLEAN PHARMACEUTICAL</v>
      </c>
    </row>
    <row r="549">
      <c r="H549" s="3" t="str">
        <f>IFERROR(__xludf.DUMMYFUNCTION("""COMPUTED_VALUE"""),"BOOTS LIFESCIENCES LTD")</f>
        <v>BOOTS LIFESCIENCES LTD</v>
      </c>
    </row>
    <row r="550">
      <c r="H550" s="3" t="str">
        <f>IFERROR(__xludf.DUMMYFUNCTION("""COMPUTED_VALUE"""),"Brawn Laboratories Ltd")</f>
        <v>Brawn Laboratories Ltd</v>
      </c>
    </row>
    <row r="551">
      <c r="H551" s="3" t="str">
        <f>IFERROR(__xludf.DUMMYFUNCTION("""COMPUTED_VALUE"""),"BRIGHT LIFECARE PVT LTD (TRUEBASICS)")</f>
        <v>BRIGHT LIFECARE PVT LTD (TRUEBASICS)</v>
      </c>
    </row>
    <row r="552">
      <c r="H552" s="3" t="str">
        <f>IFERROR(__xludf.DUMMYFUNCTION("""COMPUTED_VALUE"""),"BRIHANS NATURAL PRODUCTS")</f>
        <v>BRIHANS NATURAL PRODUCTS</v>
      </c>
    </row>
    <row r="553">
      <c r="H553" s="3" t="str">
        <f>IFERROR(__xludf.DUMMYFUNCTION("""COMPUTED_VALUE"""),"BRIJ HONEY LABORATORY")</f>
        <v>BRIJ HONEY LABORATORY</v>
      </c>
    </row>
    <row r="554">
      <c r="H554" s="3" t="str">
        <f>IFERROR(__xludf.DUMMYFUNCTION("""COMPUTED_VALUE"""),"BRINTON (FALCON)")</f>
        <v>BRINTON (FALCON)</v>
      </c>
    </row>
    <row r="555">
      <c r="H555" s="3" t="str">
        <f>IFERROR(__xludf.DUMMYFUNCTION("""COMPUTED_VALUE"""),"BRINTON (HAWKS)")</f>
        <v>BRINTON (HAWKS)</v>
      </c>
    </row>
    <row r="556">
      <c r="H556" s="3" t="str">
        <f>IFERROR(__xludf.DUMMYFUNCTION("""COMPUTED_VALUE"""),"BRINTON (HEALTHCARE)")</f>
        <v>BRINTON (HEALTHCARE)</v>
      </c>
    </row>
    <row r="557">
      <c r="H557" s="3" t="str">
        <f>IFERROR(__xludf.DUMMYFUNCTION("""COMPUTED_VALUE"""),"BRINTON (PED)")</f>
        <v>BRINTON (PED)</v>
      </c>
    </row>
    <row r="558">
      <c r="H558" s="3" t="str">
        <f>IFERROR(__xludf.DUMMYFUNCTION("""COMPUTED_VALUE"""),"Brinton Pharmaceuticals Pvt Ltd")</f>
        <v>Brinton Pharmaceuticals Pvt Ltd</v>
      </c>
    </row>
    <row r="559">
      <c r="H559" s="3" t="str">
        <f>IFERROR(__xludf.DUMMYFUNCTION("""COMPUTED_VALUE"""),"BRIO BLISS LIFE SCIENCE (ALPINO)")</f>
        <v>BRIO BLISS LIFE SCIENCE (ALPINO)</v>
      </c>
    </row>
    <row r="560">
      <c r="H560" s="3" t="str">
        <f>IFERROR(__xludf.DUMMYFUNCTION("""COMPUTED_VALUE"""),"BRIO BLISS LIFE SCIENCE (ANGELO)")</f>
        <v>BRIO BLISS LIFE SCIENCE (ANGELO)</v>
      </c>
    </row>
    <row r="561">
      <c r="H561" s="3" t="str">
        <f>IFERROR(__xludf.DUMMYFUNCTION("""COMPUTED_VALUE"""),"BRIO BLISS LIFE SCIENCE (BAMBINO)")</f>
        <v>BRIO BLISS LIFE SCIENCE (BAMBINO)</v>
      </c>
    </row>
    <row r="562">
      <c r="H562" s="3" t="str">
        <f>IFERROR(__xludf.DUMMYFUNCTION("""COMPUTED_VALUE"""),"BRISTOL MAYER SQUIBB")</f>
        <v>BRISTOL MAYER SQUIBB</v>
      </c>
    </row>
    <row r="563">
      <c r="H563" s="3" t="str">
        <f>IFERROR(__xludf.DUMMYFUNCTION("""COMPUTED_VALUE"""),"British Biologicals")</f>
        <v>British Biologicals</v>
      </c>
    </row>
    <row r="564">
      <c r="H564" s="3" t="str">
        <f>IFERROR(__xludf.DUMMYFUNCTION("""COMPUTED_VALUE"""),"British Life Science")</f>
        <v>British Life Science</v>
      </c>
    </row>
    <row r="565">
      <c r="H565" s="3" t="str">
        <f>IFERROR(__xludf.DUMMYFUNCTION("""COMPUTED_VALUE"""),"Brooks Pharmaceuticals")</f>
        <v>Brooks Pharmaceuticals</v>
      </c>
    </row>
    <row r="566">
      <c r="H566" s="3" t="str">
        <f>IFERROR(__xludf.DUMMYFUNCTION("""COMPUTED_VALUE"""),"BROSTIN SEIZZ BIOCARE")</f>
        <v>BROSTIN SEIZZ BIOCARE</v>
      </c>
    </row>
    <row r="567">
      <c r="H567" s="3" t="str">
        <f>IFERROR(__xludf.DUMMYFUNCTION("""COMPUTED_VALUE"""),"BRPL")</f>
        <v>BRPL</v>
      </c>
    </row>
    <row r="568">
      <c r="H568" s="3" t="str">
        <f>IFERROR(__xludf.DUMMYFUNCTION("""COMPUTED_VALUE"""),"BRYSON PHARMACEUTICAL")</f>
        <v>BRYSON PHARMACEUTICAL</v>
      </c>
    </row>
    <row r="569">
      <c r="H569" s="3" t="str">
        <f>IFERROR(__xludf.DUMMYFUNCTION("""COMPUTED_VALUE"""),"BTM LIFESCIENCES")</f>
        <v>BTM LIFESCIENCES</v>
      </c>
    </row>
    <row r="570">
      <c r="H570" s="3" t="str">
        <f>IFERROR(__xludf.DUMMYFUNCTION("""COMPUTED_VALUE"""),"BULLFORD PHARMACEUTICALS")</f>
        <v>BULLFORD PHARMACEUTICALS</v>
      </c>
    </row>
    <row r="571">
      <c r="H571" s="3" t="str">
        <f>IFERROR(__xludf.DUMMYFUNCTION("""COMPUTED_VALUE"""),"BURGEON PHARMACEUTICALS")</f>
        <v>BURGEON PHARMACEUTICALS</v>
      </c>
    </row>
    <row r="572">
      <c r="H572" s="3" t="str">
        <f>IFERROR(__xludf.DUMMYFUNCTION("""COMPUTED_VALUE"""),"BUSHWELL P LTD")</f>
        <v>BUSHWELL P LTD</v>
      </c>
    </row>
    <row r="573">
      <c r="H573" s="3" t="str">
        <f>IFERROR(__xludf.DUMMYFUNCTION("""COMPUTED_VALUE"""),"CA RETRANS 10MG")</f>
        <v>CA RETRANS 10MG</v>
      </c>
    </row>
    <row r="574">
      <c r="H574" s="3" t="str">
        <f>IFERROR(__xludf.DUMMYFUNCTION("""COMPUTED_VALUE"""),"Cachet Pharmaceuticals Ltd.")</f>
        <v>Cachet Pharmaceuticals Ltd.</v>
      </c>
    </row>
    <row r="575">
      <c r="H575" s="3" t="str">
        <f>IFERROR(__xludf.DUMMYFUNCTION("""COMPUTED_VALUE"""),"Cachet Pharmaceuticals Pvt Ltd")</f>
        <v>Cachet Pharmaceuticals Pvt Ltd</v>
      </c>
    </row>
    <row r="576">
      <c r="H576" s="3" t="str">
        <f>IFERROR(__xludf.DUMMYFUNCTION("""COMPUTED_VALUE"""),"CADEX LABORATORIES")</f>
        <v>CADEX LABORATORIES</v>
      </c>
    </row>
    <row r="577">
      <c r="H577" s="3" t="str">
        <f>IFERROR(__xludf.DUMMYFUNCTION("""COMPUTED_VALUE"""),"CADICO REMEDIES")</f>
        <v>CADICO REMEDIES</v>
      </c>
    </row>
    <row r="578">
      <c r="H578" s="3" t="str">
        <f>IFERROR(__xludf.DUMMYFUNCTION("""COMPUTED_VALUE"""),"CADILA (DERMA)")</f>
        <v>CADILA (DERMA)</v>
      </c>
    </row>
    <row r="579">
      <c r="H579" s="3" t="str">
        <f>IFERROR(__xludf.DUMMYFUNCTION("""COMPUTED_VALUE"""),"CADILA (GENERIC)")</f>
        <v>CADILA (GENERIC)</v>
      </c>
    </row>
    <row r="580">
      <c r="H580" s="3" t="str">
        <f>IFERROR(__xludf.DUMMYFUNCTION("""COMPUTED_VALUE"""),"CADILA (MAGFAM)")</f>
        <v>CADILA (MAGFAM)</v>
      </c>
    </row>
    <row r="581">
      <c r="H581" s="3" t="str">
        <f>IFERROR(__xludf.DUMMYFUNCTION("""COMPUTED_VALUE"""),"CADILA (MAGNN WAVE)")</f>
        <v>CADILA (MAGNN WAVE)</v>
      </c>
    </row>
    <row r="582">
      <c r="H582" s="3" t="str">
        <f>IFERROR(__xludf.DUMMYFUNCTION("""COMPUTED_VALUE"""),"CADILA (VOLTA)")</f>
        <v>CADILA (VOLTA)</v>
      </c>
    </row>
    <row r="583">
      <c r="H583" s="3" t="str">
        <f>IFERROR(__xludf.DUMMYFUNCTION("""COMPUTED_VALUE"""),"Cadila Healthcare Limited")</f>
        <v>Cadila Healthcare Limited</v>
      </c>
    </row>
    <row r="584">
      <c r="H584" s="3" t="str">
        <f>IFERROR(__xludf.DUMMYFUNCTION("""COMPUTED_VALUE"""),"CADILA PHARMA (IRM)")</f>
        <v>CADILA PHARMA (IRM)</v>
      </c>
    </row>
    <row r="585">
      <c r="H585" s="3" t="str">
        <f>IFERROR(__xludf.DUMMYFUNCTION("""COMPUTED_VALUE"""),"CADILA PHARMA(GERMAN-MAXX)")</f>
        <v>CADILA PHARMA(GERMAN-MAXX)</v>
      </c>
    </row>
    <row r="586">
      <c r="H586" s="3" t="str">
        <f>IFERROR(__xludf.DUMMYFUNCTION("""COMPUTED_VALUE"""),"Cadila Pharmaceuticals Ltd")</f>
        <v>Cadila Pharmaceuticals Ltd</v>
      </c>
    </row>
    <row r="587">
      <c r="H587" s="3" t="str">
        <f>IFERROR(__xludf.DUMMYFUNCTION("""COMPUTED_VALUE"""),"CADIZ LIFESCIENCE (LYKA NOVOGEN)")</f>
        <v>CADIZ LIFESCIENCE (LYKA NOVOGEN)</v>
      </c>
    </row>
    <row r="588">
      <c r="H588" s="3" t="str">
        <f>IFERROR(__xludf.DUMMYFUNCTION("""COMPUTED_VALUE"""),"CADMA BIOTECH")</f>
        <v>CADMA BIOTECH</v>
      </c>
    </row>
    <row r="589">
      <c r="H589" s="3" t="str">
        <f>IFERROR(__xludf.DUMMYFUNCTION("""COMPUTED_VALUE"""),"CADOMED PHARMACEUTICALS INDIA PVT LTD")</f>
        <v>CADOMED PHARMACEUTICALS INDIA PVT LTD</v>
      </c>
    </row>
    <row r="590">
      <c r="H590" s="3" t="str">
        <f>IFERROR(__xludf.DUMMYFUNCTION("""COMPUTED_VALUE"""),"Calix Health Care")</f>
        <v>Calix Health Care</v>
      </c>
    </row>
    <row r="591">
      <c r="H591" s="3" t="str">
        <f>IFERROR(__xludf.DUMMYFUNCTION("""COMPUTED_VALUE"""),"CAMRUT PHARMA")</f>
        <v>CAMRUT PHARMA</v>
      </c>
    </row>
    <row r="592">
      <c r="H592" s="3" t="str">
        <f>IFERROR(__xludf.DUMMYFUNCTION("""COMPUTED_VALUE"""),"CAN CARE BIOTECH")</f>
        <v>CAN CARE BIOTECH</v>
      </c>
    </row>
    <row r="593">
      <c r="H593" s="3" t="str">
        <f>IFERROR(__xludf.DUMMYFUNCTION("""COMPUTED_VALUE"""),"CANADIAN PHARMACEUTICALS")</f>
        <v>CANADIAN PHARMACEUTICALS</v>
      </c>
    </row>
    <row r="594">
      <c r="H594" s="3" t="str">
        <f>IFERROR(__xludf.DUMMYFUNCTION("""COMPUTED_VALUE"""),"Canixa Life Sciences Pvt")</f>
        <v>Canixa Life Sciences Pvt</v>
      </c>
    </row>
    <row r="595">
      <c r="H595" s="3" t="str">
        <f>IFERROR(__xludf.DUMMYFUNCTION("""COMPUTED_VALUE"""),"CAPLET INDIA PVT LTD")</f>
        <v>CAPLET INDIA PVT LTD</v>
      </c>
    </row>
    <row r="596">
      <c r="H596" s="3" t="str">
        <f>IFERROR(__xludf.DUMMYFUNCTION("""COMPUTED_VALUE"""),"CAPS PHARMA PVT LTD")</f>
        <v>CAPS PHARMA PVT LTD</v>
      </c>
    </row>
    <row r="597">
      <c r="H597" s="3" t="str">
        <f>IFERROR(__xludf.DUMMYFUNCTION("""COMPUTED_VALUE"""),"Captab Biotech")</f>
        <v>Captab Biotech</v>
      </c>
    </row>
    <row r="598">
      <c r="H598" s="3" t="str">
        <f>IFERROR(__xludf.DUMMYFUNCTION("""COMPUTED_VALUE"""),"CAPTO THERAPEUTICS")</f>
        <v>CAPTO THERAPEUTICS</v>
      </c>
    </row>
    <row r="599">
      <c r="H599" s="3" t="str">
        <f>IFERROR(__xludf.DUMMYFUNCTION("""COMPUTED_VALUE"""),"Care Biochemicals Pvt Ltd")</f>
        <v>Care Biochemicals Pvt Ltd</v>
      </c>
    </row>
    <row r="600">
      <c r="H600" s="3" t="str">
        <f>IFERROR(__xludf.DUMMYFUNCTION("""COMPUTED_VALUE"""),"CARE FORMULATION LABS PVT LTD")</f>
        <v>CARE FORMULATION LABS PVT LTD</v>
      </c>
    </row>
    <row r="601">
      <c r="H601" s="3" t="str">
        <f>IFERROR(__xludf.DUMMYFUNCTION("""COMPUTED_VALUE"""),"CARE GROUP")</f>
        <v>CARE GROUP</v>
      </c>
    </row>
    <row r="602">
      <c r="H602" s="3" t="str">
        <f>IFERROR(__xludf.DUMMYFUNCTION("""COMPUTED_VALUE"""),"CARE LIFESCIENCE")</f>
        <v>CARE LIFESCIENCE</v>
      </c>
    </row>
    <row r="603">
      <c r="H603" s="3" t="str">
        <f>IFERROR(__xludf.DUMMYFUNCTION("""COMPUTED_VALUE"""),"Care Pharma India Ltd")</f>
        <v>Care Pharma India Ltd</v>
      </c>
    </row>
    <row r="604">
      <c r="H604" s="3" t="str">
        <f>IFERROR(__xludf.DUMMYFUNCTION("""COMPUTED_VALUE"""),"CARE VISION")</f>
        <v>CARE VISION</v>
      </c>
    </row>
    <row r="605">
      <c r="H605" s="3" t="str">
        <f>IFERROR(__xludf.DUMMYFUNCTION("""COMPUTED_VALUE"""),"CAREMED PHARMA")</f>
        <v>CAREMED PHARMA</v>
      </c>
    </row>
    <row r="606">
      <c r="H606" s="3" t="str">
        <f>IFERROR(__xludf.DUMMYFUNCTION("""COMPUTED_VALUE"""),"CAREWELL PHARMACEUTICALS")</f>
        <v>CAREWELL PHARMACEUTICALS</v>
      </c>
    </row>
    <row r="607">
      <c r="H607" s="3" t="str">
        <f>IFERROR(__xludf.DUMMYFUNCTION("""COMPUTED_VALUE"""),"CARLTON")</f>
        <v>CARLTON</v>
      </c>
    </row>
    <row r="608">
      <c r="H608" s="3" t="str">
        <f>IFERROR(__xludf.DUMMYFUNCTION("""COMPUTED_VALUE"""),"CASCA REMEDIES PVT LTD")</f>
        <v>CASCA REMEDIES PVT LTD</v>
      </c>
    </row>
    <row r="609">
      <c r="H609" s="3" t="str">
        <f>IFERROR(__xludf.DUMMYFUNCTION("""COMPUTED_VALUE"""),"CAVIAR DERMA CARE")</f>
        <v>CAVIAR DERMA CARE</v>
      </c>
    </row>
    <row r="610">
      <c r="H610" s="3" t="str">
        <f>IFERROR(__xludf.DUMMYFUNCTION("""COMPUTED_VALUE"""),"CAVIN PHARMACEUTICALS")</f>
        <v>CAVIN PHARMACEUTICALS</v>
      </c>
    </row>
    <row r="611">
      <c r="H611" s="3" t="str">
        <f>IFERROR(__xludf.DUMMYFUNCTION("""COMPUTED_VALUE"""),"CCI PRODUCTS")</f>
        <v>CCI PRODUCTS</v>
      </c>
    </row>
    <row r="612">
      <c r="H612" s="3" t="str">
        <f>IFERROR(__xludf.DUMMYFUNCTION("""COMPUTED_VALUE"""),"CELAGENEX RESEARCH INDIA P LTD")</f>
        <v>CELAGENEX RESEARCH INDIA P LTD</v>
      </c>
    </row>
    <row r="613">
      <c r="H613" s="3" t="str">
        <f>IFERROR(__xludf.DUMMYFUNCTION("""COMPUTED_VALUE"""),"CELESTIAL PHARMA")</f>
        <v>CELESTIAL PHARMA</v>
      </c>
    </row>
    <row r="614">
      <c r="H614" s="3" t="str">
        <f>IFERROR(__xludf.DUMMYFUNCTION("""COMPUTED_VALUE"""),"CELON LABS")</f>
        <v>CELON LABS</v>
      </c>
    </row>
    <row r="615">
      <c r="H615" s="3" t="str">
        <f>IFERROR(__xludf.DUMMYFUNCTION("""COMPUTED_VALUE"""),"CELON LABS (EVALIFE)")</f>
        <v>CELON LABS (EVALIFE)</v>
      </c>
    </row>
    <row r="616">
      <c r="H616" s="3" t="str">
        <f>IFERROR(__xludf.DUMMYFUNCTION("""COMPUTED_VALUE"""),"CELON LABS (REVILON)")</f>
        <v>CELON LABS (REVILON)</v>
      </c>
    </row>
    <row r="617">
      <c r="H617" s="3" t="str">
        <f>IFERROR(__xludf.DUMMYFUNCTION("""COMPUTED_VALUE"""),"CELON LABS (UROLOGY &amp; NEPHRO)")</f>
        <v>CELON LABS (UROLOGY &amp; NEPHRO)</v>
      </c>
    </row>
    <row r="618">
      <c r="H618" s="3" t="str">
        <f>IFERROR(__xludf.DUMMYFUNCTION("""COMPUTED_VALUE"""),"CELON LABS (VIVILON)")</f>
        <v>CELON LABS (VIVILON)</v>
      </c>
    </row>
    <row r="619">
      <c r="H619" s="3" t="str">
        <f>IFERROR(__xludf.DUMMYFUNCTION("""COMPUTED_VALUE"""),"CELON LABS (VIVILON)")</f>
        <v>CELON LABS (VIVILON)</v>
      </c>
    </row>
    <row r="620">
      <c r="H620" s="3" t="str">
        <f>IFERROR(__xludf.DUMMYFUNCTION("""COMPUTED_VALUE"""),"CELSIUS HEALTHCARE")</f>
        <v>CELSIUS HEALTHCARE</v>
      </c>
    </row>
    <row r="621">
      <c r="H621" s="3" t="str">
        <f>IFERROR(__xludf.DUMMYFUNCTION("""COMPUTED_VALUE"""),"CENESYS CARE INDIA")</f>
        <v>CENESYS CARE INDIA</v>
      </c>
    </row>
    <row r="622">
      <c r="H622" s="3" t="str">
        <f>IFERROR(__xludf.DUMMYFUNCTION("""COMPUTED_VALUE"""),"CENOZOIC REMEDIES P LTD")</f>
        <v>CENOZOIC REMEDIES P LTD</v>
      </c>
    </row>
    <row r="623">
      <c r="H623" s="3" t="str">
        <f>IFERROR(__xludf.DUMMYFUNCTION("""COMPUTED_VALUE"""),"CENTAUR (ENT)")</f>
        <v>CENTAUR (ENT)</v>
      </c>
    </row>
    <row r="624">
      <c r="H624" s="3" t="str">
        <f>IFERROR(__xludf.DUMMYFUNCTION("""COMPUTED_VALUE"""),"CENTAUR (PRAGYA)")</f>
        <v>CENTAUR (PRAGYA)</v>
      </c>
    </row>
    <row r="625">
      <c r="H625" s="3" t="str">
        <f>IFERROR(__xludf.DUMMYFUNCTION("""COMPUTED_VALUE"""),"CENTAUR (SAKSHAM)")</f>
        <v>CENTAUR (SAKSHAM)</v>
      </c>
    </row>
    <row r="626">
      <c r="H626" s="3" t="str">
        <f>IFERROR(__xludf.DUMMYFUNCTION("""COMPUTED_VALUE"""),"CENTAUR (SAMRUDDHI)")</f>
        <v>CENTAUR (SAMRUDDHI)</v>
      </c>
    </row>
    <row r="627">
      <c r="H627" s="3" t="str">
        <f>IFERROR(__xludf.DUMMYFUNCTION("""COMPUTED_VALUE"""),"CENTAUR (SANKALP)")</f>
        <v>CENTAUR (SANKALP)</v>
      </c>
    </row>
    <row r="628">
      <c r="H628" s="3" t="str">
        <f>IFERROR(__xludf.DUMMYFUNCTION("""COMPUTED_VALUE"""),"CENTAUR (SARTHAK)")</f>
        <v>CENTAUR (SARTHAK)</v>
      </c>
    </row>
    <row r="629">
      <c r="H629" s="3" t="str">
        <f>IFERROR(__xludf.DUMMYFUNCTION("""COMPUTED_VALUE"""),"CENTAUR (SHASHVTA)")</f>
        <v>CENTAUR (SHASHVTA)</v>
      </c>
    </row>
    <row r="630">
      <c r="H630" s="3" t="str">
        <f>IFERROR(__xludf.DUMMYFUNCTION("""COMPUTED_VALUE"""),"Centaur Pharmaceuticals Pvt Ltd")</f>
        <v>Centaur Pharmaceuticals Pvt Ltd</v>
      </c>
    </row>
    <row r="631">
      <c r="H631" s="3" t="str">
        <f>IFERROR(__xludf.DUMMYFUNCTION("""COMPUTED_VALUE"""),"CENTURE (SAHAKALM)")</f>
        <v>CENTURE (SAHAKALM)</v>
      </c>
    </row>
    <row r="632">
      <c r="H632" s="3" t="str">
        <f>IFERROR(__xludf.DUMMYFUNCTION("""COMPUTED_VALUE"""),"CENTURY")</f>
        <v>CENTURY</v>
      </c>
    </row>
    <row r="633">
      <c r="H633" s="3" t="str">
        <f>IFERROR(__xludf.DUMMYFUNCTION("""COMPUTED_VALUE"""),"CENTURY DRUGS")</f>
        <v>CENTURY DRUGS</v>
      </c>
    </row>
    <row r="634">
      <c r="H634" s="3" t="str">
        <f>IFERROR(__xludf.DUMMYFUNCTION("""COMPUTED_VALUE"""),"CERAS PHARMACEUTICALS CHENNAI")</f>
        <v>CERAS PHARMACEUTICALS CHENNAI</v>
      </c>
    </row>
    <row r="635">
      <c r="H635" s="3" t="str">
        <f>IFERROR(__xludf.DUMMYFUNCTION("""COMPUTED_VALUE"""),"CERYS PHARMA")</f>
        <v>CERYS PHARMA</v>
      </c>
    </row>
    <row r="636">
      <c r="H636" s="3" t="str">
        <f>IFERROR(__xludf.DUMMYFUNCTION("""COMPUTED_VALUE"""),"CHAMBAL PHARMACY")</f>
        <v>CHAMBAL PHARMACY</v>
      </c>
    </row>
    <row r="637">
      <c r="H637" s="3" t="str">
        <f>IFERROR(__xludf.DUMMYFUNCTION("""COMPUTED_VALUE"""),"CHANDRA BHAGAT (DSIRE)")</f>
        <v>CHANDRA BHAGAT (DSIRE)</v>
      </c>
    </row>
    <row r="638">
      <c r="H638" s="3" t="str">
        <f>IFERROR(__xludf.DUMMYFUNCTION("""COMPUTED_VALUE"""),"CHANDRABHAGAT CORPN LTD")</f>
        <v>CHANDRABHAGAT CORPN LTD</v>
      </c>
    </row>
    <row r="639">
      <c r="H639" s="3" t="str">
        <f>IFERROR(__xludf.DUMMYFUNCTION("""COMPUTED_VALUE"""),"CHANDRASHRI LABORATORES")</f>
        <v>CHANDRASHRI LABORATORES</v>
      </c>
    </row>
    <row r="640">
      <c r="H640" s="3" t="str">
        <f>IFERROR(__xludf.DUMMYFUNCTION("""COMPUTED_VALUE"""),"Charak Pharma Pvt Ltd")</f>
        <v>Charak Pharma Pvt Ltd</v>
      </c>
    </row>
    <row r="641">
      <c r="H641" s="3" t="str">
        <f>IFERROR(__xludf.DUMMYFUNCTION("""COMPUTED_VALUE"""),"Charak Pharma Pvt. Ltd.")</f>
        <v>Charak Pharma Pvt. Ltd.</v>
      </c>
    </row>
    <row r="642">
      <c r="H642" s="3" t="str">
        <f>IFERROR(__xludf.DUMMYFUNCTION("""COMPUTED_VALUE"""),"Chaturbhuj Pharma")</f>
        <v>Chaturbhuj Pharma</v>
      </c>
    </row>
    <row r="643">
      <c r="H643" s="3" t="str">
        <f>IFERROR(__xludf.DUMMYFUNCTION("""COMPUTED_VALUE"""),"CHEK MED PHARMA")</f>
        <v>CHEK MED PHARMA</v>
      </c>
    </row>
    <row r="644">
      <c r="H644" s="3" t="str">
        <f>IFERROR(__xludf.DUMMYFUNCTION("""COMPUTED_VALUE"""),"CHEMACK LAB")</f>
        <v>CHEMACK LAB</v>
      </c>
    </row>
    <row r="645">
      <c r="H645" s="3" t="str">
        <f>IFERROR(__xludf.DUMMYFUNCTION("""COMPUTED_VALUE"""),"CHEMICARE REMEDIES")</f>
        <v>CHEMICARE REMEDIES</v>
      </c>
    </row>
    <row r="646">
      <c r="H646" s="3" t="str">
        <f>IFERROR(__xludf.DUMMYFUNCTION("""COMPUTED_VALUE"""),"CHEMICARE REMEDIES PVT LTD")</f>
        <v>CHEMICARE REMEDIES PVT LTD</v>
      </c>
    </row>
    <row r="647">
      <c r="H647" s="3" t="str">
        <f>IFERROR(__xludf.DUMMYFUNCTION("""COMPUTED_VALUE"""),"CHEMINNOVA LIFE SCIENCES")</f>
        <v>CHEMINNOVA LIFE SCIENCES</v>
      </c>
    </row>
    <row r="648">
      <c r="H648" s="3" t="str">
        <f>IFERROR(__xludf.DUMMYFUNCTION("""COMPUTED_VALUE"""),"Chemo Biological")</f>
        <v>Chemo Biological</v>
      </c>
    </row>
    <row r="649">
      <c r="H649" s="3" t="str">
        <f>IFERROR(__xludf.DUMMYFUNCTION("""COMPUTED_VALUE"""),"CHEMO HEALTH CARE")</f>
        <v>CHEMO HEALTH CARE</v>
      </c>
    </row>
    <row r="650">
      <c r="H650" s="3" t="str">
        <f>IFERROR(__xludf.DUMMYFUNCTION("""COMPUTED_VALUE"""),"CHINA HERBALS")</f>
        <v>CHINA HERBALS</v>
      </c>
    </row>
    <row r="651">
      <c r="H651" s="3" t="str">
        <f>IFERROR(__xludf.DUMMYFUNCTION("""COMPUTED_VALUE"""),"CHIRAYU PHARMACEUTICALS")</f>
        <v>CHIRAYU PHARMACEUTICALS</v>
      </c>
    </row>
    <row r="652">
      <c r="H652" s="3" t="str">
        <f>IFERROR(__xludf.DUMMYFUNCTION("""COMPUTED_VALUE"""),"CHIRON BEHRING VACCINES PVT LTD")</f>
        <v>CHIRON BEHRING VACCINES PVT LTD</v>
      </c>
    </row>
    <row r="653">
      <c r="H653" s="3" t="str">
        <f>IFERROR(__xludf.DUMMYFUNCTION("""COMPUTED_VALUE"""),"CHROMOSOM INDIA")</f>
        <v>CHROMOSOM INDIA</v>
      </c>
    </row>
    <row r="654">
      <c r="H654" s="3" t="str">
        <f>IFERROR(__xludf.DUMMYFUNCTION("""COMPUTED_VALUE"""),"CHRONICLES DRUGS &amp; CHEMICALS PVT LTD")</f>
        <v>CHRONICLES DRUGS &amp; CHEMICALS PVT LTD</v>
      </c>
    </row>
    <row r="655">
      <c r="H655" s="3" t="str">
        <f>IFERROR(__xludf.DUMMYFUNCTION("""COMPUTED_VALUE"""),"CIAGA PHARMA")</f>
        <v>CIAGA PHARMA</v>
      </c>
    </row>
    <row r="656">
      <c r="H656" s="3" t="str">
        <f>IFERROR(__xludf.DUMMYFUNCTION("""COMPUTED_VALUE"""),"CIAN HEALTHCARE P LTD")</f>
        <v>CIAN HEALTHCARE P LTD</v>
      </c>
    </row>
    <row r="657">
      <c r="H657" s="3" t="str">
        <f>IFERROR(__xludf.DUMMYFUNCTION("""COMPUTED_VALUE"""),"CIPCO PHARMA")</f>
        <v>CIPCO PHARMA</v>
      </c>
    </row>
    <row r="658">
      <c r="H658" s="3" t="str">
        <f>IFERROR(__xludf.DUMMYFUNCTION("""COMPUTED_VALUE"""),"CIPLA (CRESTA)")</f>
        <v>CIPLA (CRESTA)</v>
      </c>
    </row>
    <row r="659">
      <c r="H659" s="3" t="str">
        <f>IFERROR(__xludf.DUMMYFUNCTION("""COMPUTED_VALUE"""),"CIPLA (CRITICAL CARE)")</f>
        <v>CIPLA (CRITICAL CARE)</v>
      </c>
    </row>
    <row r="660">
      <c r="H660" s="3" t="str">
        <f>IFERROR(__xludf.DUMMYFUNCTION("""COMPUTED_VALUE"""),"CIPLA (FORESIGHT)")</f>
        <v>CIPLA (FORESIGHT)</v>
      </c>
    </row>
    <row r="661">
      <c r="H661" s="3" t="str">
        <f>IFERROR(__xludf.DUMMYFUNCTION("""COMPUTED_VALUE"""),"CIPLA (GENERIC)")</f>
        <v>CIPLA (GENERIC)</v>
      </c>
    </row>
    <row r="662">
      <c r="H662" s="3" t="str">
        <f>IFERROR(__xludf.DUMMYFUNCTION("""COMPUTED_VALUE"""),"CIPLA (HEPATOLOGY)")</f>
        <v>CIPLA (HEPATOLOGY)</v>
      </c>
    </row>
    <row r="663">
      <c r="H663" s="3" t="str">
        <f>IFERROR(__xludf.DUMMYFUNCTION("""COMPUTED_VALUE"""),"CIPLA (HIV)")</f>
        <v>CIPLA (HIV)</v>
      </c>
    </row>
    <row r="664">
      <c r="H664" s="3" t="str">
        <f>IFERROR(__xludf.DUMMYFUNCTION("""COMPUTED_VALUE"""),"CIPLA (IMPULSE)")</f>
        <v>CIPLA (IMPULSE)</v>
      </c>
    </row>
    <row r="665">
      <c r="H665" s="3" t="str">
        <f>IFERROR(__xludf.DUMMYFUNCTION("""COMPUTED_VALUE"""),"CIPLA (INSPIRA)")</f>
        <v>CIPLA (INSPIRA)</v>
      </c>
    </row>
    <row r="666">
      <c r="H666" s="3" t="str">
        <f>IFERROR(__xludf.DUMMYFUNCTION("""COMPUTED_VALUE"""),"CIPLA (LIFE CARE)")</f>
        <v>CIPLA (LIFE CARE)</v>
      </c>
    </row>
    <row r="667">
      <c r="H667" s="3" t="str">
        <f>IFERROR(__xludf.DUMMYFUNCTION("""COMPUTED_VALUE"""),"CIPLA (LUCENTA)")</f>
        <v>CIPLA (LUCENTA)</v>
      </c>
    </row>
    <row r="668">
      <c r="H668" s="3" t="str">
        <f>IFERROR(__xludf.DUMMYFUNCTION("""COMPUTED_VALUE"""),"CIPLA (NEPHMUN)")</f>
        <v>CIPLA (NEPHMUN)</v>
      </c>
    </row>
    <row r="669">
      <c r="H669" s="3" t="str">
        <f>IFERROR(__xludf.DUMMYFUNCTION("""COMPUTED_VALUE"""),"CIPLA (NON HIV)")</f>
        <v>CIPLA (NON HIV)</v>
      </c>
    </row>
    <row r="670">
      <c r="H670" s="3" t="str">
        <f>IFERROR(__xludf.DUMMYFUNCTION("""COMPUTED_VALUE"""),"CIPLA (NURTURE)")</f>
        <v>CIPLA (NURTURE)</v>
      </c>
    </row>
    <row r="671">
      <c r="H671" s="3" t="str">
        <f>IFERROR(__xludf.DUMMYFUNCTION("""COMPUTED_VALUE"""),"CIPLA (OMNICARE)")</f>
        <v>CIPLA (OMNICARE)</v>
      </c>
    </row>
    <row r="672">
      <c r="H672" s="3" t="str">
        <f>IFERROR(__xludf.DUMMYFUNCTION("""COMPUTED_VALUE"""),"CIPLA (OPTIMUS)")</f>
        <v>CIPLA (OPTIMUS)</v>
      </c>
    </row>
    <row r="673">
      <c r="H673" s="3" t="str">
        <f>IFERROR(__xludf.DUMMYFUNCTION("""COMPUTED_VALUE"""),"CIPLA (OTC)")</f>
        <v>CIPLA (OTC)</v>
      </c>
    </row>
    <row r="674">
      <c r="H674" s="3" t="str">
        <f>IFERROR(__xludf.DUMMYFUNCTION("""COMPUTED_VALUE"""),"CIPLA (PH CARE)")</f>
        <v>CIPLA (PH CARE)</v>
      </c>
    </row>
    <row r="675">
      <c r="H675" s="3" t="str">
        <f>IFERROR(__xludf.DUMMYFUNCTION("""COMPUTED_VALUE"""),"CIPLA (PROTEC)")</f>
        <v>CIPLA (PROTEC)</v>
      </c>
    </row>
    <row r="676">
      <c r="H676" s="3" t="str">
        <f>IFERROR(__xludf.DUMMYFUNCTION("""COMPUTED_VALUE"""),"CIPLA (QUADRA)")</f>
        <v>CIPLA (QUADRA)</v>
      </c>
    </row>
    <row r="677">
      <c r="H677" s="3" t="str">
        <f>IFERROR(__xludf.DUMMYFUNCTION("""COMPUTED_VALUE"""),"CIPLA (RESPIRATORY)")</f>
        <v>CIPLA (RESPIRATORY)</v>
      </c>
    </row>
    <row r="678">
      <c r="H678" s="3" t="str">
        <f>IFERROR(__xludf.DUMMYFUNCTION("""COMPUTED_VALUE"""),"CIPLA (RHEUMATOLOGY)")</f>
        <v>CIPLA (RHEUMATOLOGY)</v>
      </c>
    </row>
    <row r="679">
      <c r="H679" s="3" t="str">
        <f>IFERROR(__xludf.DUMMYFUNCTION("""COMPUTED_VALUE"""),"CIPLA (SPECIALITIES)")</f>
        <v>CIPLA (SPECIALITIES)</v>
      </c>
    </row>
    <row r="680">
      <c r="H680" s="3" t="str">
        <f>IFERROR(__xludf.DUMMYFUNCTION("""COMPUTED_VALUE"""),"CIPLA (SUPRACARE)")</f>
        <v>CIPLA (SUPRACARE)</v>
      </c>
    </row>
    <row r="681">
      <c r="H681" s="3" t="str">
        <f>IFERROR(__xludf.DUMMYFUNCTION("""COMPUTED_VALUE"""),"CIPLA (TERNA)")</f>
        <v>CIPLA (TERNA)</v>
      </c>
    </row>
    <row r="682">
      <c r="H682" s="3" t="str">
        <f>IFERROR(__xludf.DUMMYFUNCTION("""COMPUTED_VALUE"""),"CIPLA (UROLOGY)")</f>
        <v>CIPLA (UROLOGY)</v>
      </c>
    </row>
    <row r="683">
      <c r="H683" s="3" t="str">
        <f>IFERROR(__xludf.DUMMYFUNCTION("""COMPUTED_VALUE"""),"CIPLA (VITALCARE)")</f>
        <v>CIPLA (VITALCARE)</v>
      </c>
    </row>
    <row r="684">
      <c r="H684" s="3" t="str">
        <f>IFERROR(__xludf.DUMMYFUNCTION("""COMPUTED_VALUE"""),"CIPLA (VITALIS)")</f>
        <v>CIPLA (VITALIS)</v>
      </c>
    </row>
    <row r="685">
      <c r="H685" s="3" t="str">
        <f>IFERROR(__xludf.DUMMYFUNCTION("""COMPUTED_VALUE"""),"CIPLA (WOMENS HEALTH NUTRAC)")</f>
        <v>CIPLA (WOMENS HEALTH NUTRAC)</v>
      </c>
    </row>
    <row r="686">
      <c r="H686" s="3" t="str">
        <f>IFERROR(__xludf.DUMMYFUNCTION("""COMPUTED_VALUE"""),"CIPLA (XTERNA)")</f>
        <v>CIPLA (XTERNA)</v>
      </c>
    </row>
    <row r="687">
      <c r="H687" s="3" t="str">
        <f>IFERROR(__xludf.DUMMYFUNCTION("""COMPUTED_VALUE"""),"CIPLA (ZESTA)")</f>
        <v>CIPLA (ZESTA)</v>
      </c>
    </row>
    <row r="688">
      <c r="H688" s="3" t="str">
        <f>IFERROR(__xludf.DUMMYFUNCTION("""COMPUTED_VALUE"""),"Cipla Ltd")</f>
        <v>Cipla Ltd</v>
      </c>
    </row>
    <row r="689">
      <c r="H689" s="3" t="str">
        <f>IFERROR(__xludf.DUMMYFUNCTION("""COMPUTED_VALUE"""),"CIPLA SPECTRACARE")</f>
        <v>CIPLA SPECTRACARE</v>
      </c>
    </row>
    <row r="690">
      <c r="H690" s="3" t="str">
        <f>IFERROR(__xludf.DUMMYFUNCTION("""COMPUTED_VALUE"""),"CISTA MEDICORP")</f>
        <v>CISTA MEDICORP</v>
      </c>
    </row>
    <row r="691">
      <c r="H691" s="3" t="str">
        <f>IFERROR(__xludf.DUMMYFUNCTION("""COMPUTED_VALUE"""),"CISTUS HEALTHCARE")</f>
        <v>CISTUS HEALTHCARE</v>
      </c>
    </row>
    <row r="692">
      <c r="H692" s="3" t="str">
        <f>IFERROR(__xludf.DUMMYFUNCTION("""COMPUTED_VALUE"""),"CITADERM PHARMA P LTD")</f>
        <v>CITADERM PHARMA P LTD</v>
      </c>
    </row>
    <row r="693">
      <c r="H693" s="3" t="str">
        <f>IFERROR(__xludf.DUMMYFUNCTION("""COMPUTED_VALUE"""),"CLAAS PHARMA")</f>
        <v>CLAAS PHARMA</v>
      </c>
    </row>
    <row r="694">
      <c r="H694" s="3" t="str">
        <f>IFERROR(__xludf.DUMMYFUNCTION("""COMPUTED_VALUE"""),"CLANTHIS LIFE SCIENCES")</f>
        <v>CLANTHIS LIFE SCIENCES</v>
      </c>
    </row>
    <row r="695">
      <c r="H695" s="3" t="str">
        <f>IFERROR(__xludf.DUMMYFUNCTION("""COMPUTED_VALUE"""),"Clanthis Lifesciences Pvt Ltd")</f>
        <v>Clanthis Lifesciences Pvt Ltd</v>
      </c>
    </row>
    <row r="696">
      <c r="H696" s="3" t="str">
        <f>IFERROR(__xludf.DUMMYFUNCTION("""COMPUTED_VALUE"""),"Claris INJECTABLES LTD")</f>
        <v>Claris INJECTABLES LTD</v>
      </c>
    </row>
    <row r="697">
      <c r="H697" s="3" t="str">
        <f>IFERROR(__xludf.DUMMYFUNCTION("""COMPUTED_VALUE"""),"Claris Lifesciences Ltd")</f>
        <v>Claris Lifesciences Ltd</v>
      </c>
    </row>
    <row r="698">
      <c r="H698" s="3" t="str">
        <f>IFERROR(__xludf.DUMMYFUNCTION("""COMPUTED_VALUE"""),"Clariwell Pharmaceutics")</f>
        <v>Clariwell Pharmaceutics</v>
      </c>
    </row>
    <row r="699">
      <c r="H699" s="3" t="str">
        <f>IFERROR(__xludf.DUMMYFUNCTION("""COMPUTED_VALUE"""),"CLARK PHARMACEUTICALS LTD")</f>
        <v>CLARK PHARMACEUTICALS LTD</v>
      </c>
    </row>
    <row r="700">
      <c r="H700" s="3" t="str">
        <f>IFERROR(__xludf.DUMMYFUNCTION("""COMPUTED_VALUE"""),"CLIDE INTERNATIONAL PVT LTD")</f>
        <v>CLIDE INTERNATIONAL PVT LTD</v>
      </c>
    </row>
    <row r="701">
      <c r="H701" s="3" t="str">
        <f>IFERROR(__xludf.DUMMYFUNCTION("""COMPUTED_VALUE"""),"Clyde Biotech P Ltd")</f>
        <v>Clyde Biotech P Ltd</v>
      </c>
    </row>
    <row r="702">
      <c r="H702" s="3" t="str">
        <f>IFERROR(__xludf.DUMMYFUNCTION("""COMPUTED_VALUE"""),"Clyde Pharmaceuticals Pvt Ltd")</f>
        <v>Clyde Pharmaceuticals Pvt Ltd</v>
      </c>
    </row>
    <row r="703">
      <c r="H703" s="3" t="str">
        <f>IFERROR(__xludf.DUMMYFUNCTION("""COMPUTED_VALUE"""),"CMR Life Sciences")</f>
        <v>CMR Life Sciences</v>
      </c>
    </row>
    <row r="704">
      <c r="H704" s="3" t="str">
        <f>IFERROR(__xludf.DUMMYFUNCTION("""COMPUTED_VALUE"""),"COLARD LIFE SCIENCE")</f>
        <v>COLARD LIFE SCIENCE</v>
      </c>
    </row>
    <row r="705">
      <c r="H705" s="3" t="str">
        <f>IFERROR(__xludf.DUMMYFUNCTION("""COMPUTED_VALUE"""),"COLES PHARMACEUTICALS PVT LTD")</f>
        <v>COLES PHARMACEUTICALS PVT LTD</v>
      </c>
    </row>
    <row r="706">
      <c r="H706" s="3" t="str">
        <f>IFERROR(__xludf.DUMMYFUNCTION("""COMPUTED_VALUE"""),"Colgate-Palmolive Company")</f>
        <v>Colgate-Palmolive Company</v>
      </c>
    </row>
    <row r="707">
      <c r="H707" s="3" t="str">
        <f>IFERROR(__xludf.DUMMYFUNCTION("""COMPUTED_VALUE"""),"Comed Chemicals Ltd")</f>
        <v>Comed Chemicals Ltd</v>
      </c>
    </row>
    <row r="708">
      <c r="H708" s="3" t="str">
        <f>IFERROR(__xludf.DUMMYFUNCTION("""COMPUTED_VALUE"""),"COMED LABORATORIES LTD.")</f>
        <v>COMED LABORATORIES LTD.</v>
      </c>
    </row>
    <row r="709">
      <c r="H709" s="3" t="str">
        <f>IFERROR(__xludf.DUMMYFUNCTION("""COMPUTED_VALUE"""),"Company Name")</f>
        <v>Company Name</v>
      </c>
    </row>
    <row r="710">
      <c r="H710" s="3" t="str">
        <f>IFERROR(__xludf.DUMMYFUNCTION("""COMPUTED_VALUE"""),"COMWORLD REMEDIES")</f>
        <v>COMWORLD REMEDIES</v>
      </c>
    </row>
    <row r="711">
      <c r="H711" s="3" t="str">
        <f>IFERROR(__xludf.DUMMYFUNCTION("""COMPUTED_VALUE"""),"CONCEPT BIOSCIENCES LTD")</f>
        <v>CONCEPT BIOSCIENCES LTD</v>
      </c>
    </row>
    <row r="712">
      <c r="H712" s="3" t="str">
        <f>IFERROR(__xludf.DUMMYFUNCTION("""COMPUTED_VALUE"""),"Concept Pharmaceuticals Ltd")</f>
        <v>Concept Pharmaceuticals Ltd</v>
      </c>
    </row>
    <row r="713">
      <c r="H713" s="3" t="str">
        <f>IFERROR(__xludf.DUMMYFUNCTION("""COMPUTED_VALUE"""),"CONCORD BIOTECH")</f>
        <v>CONCORD BIOTECH</v>
      </c>
    </row>
    <row r="714">
      <c r="H714" s="3" t="str">
        <f>IFERROR(__xludf.DUMMYFUNCTION("""COMPUTED_VALUE"""),"CONCORD PHARMACEUTICALS PVT LTD")</f>
        <v>CONCORD PHARMACEUTICALS PVT LTD</v>
      </c>
    </row>
    <row r="715">
      <c r="H715" s="3" t="str">
        <f>IFERROR(__xludf.DUMMYFUNCTION("""COMPUTED_VALUE"""),"CONSERN pharma")</f>
        <v>CONSERN pharma</v>
      </c>
    </row>
    <row r="716">
      <c r="H716" s="3" t="str">
        <f>IFERROR(__xludf.DUMMYFUNCTION("""COMPUTED_VALUE"""),"CONSISTO HEALTHCARE")</f>
        <v>CONSISTO HEALTHCARE</v>
      </c>
    </row>
    <row r="717">
      <c r="H717" s="3" t="str">
        <f>IFERROR(__xludf.DUMMYFUNCTION("""COMPUTED_VALUE"""),"CONSUMER MARKETING P LTD")</f>
        <v>CONSUMER MARKETING P LTD</v>
      </c>
    </row>
    <row r="718">
      <c r="H718" s="3" t="str">
        <f>IFERROR(__xludf.DUMMYFUNCTION("""COMPUTED_VALUE"""),"CONVEX GLOBAL")</f>
        <v>CONVEX GLOBAL</v>
      </c>
    </row>
    <row r="719">
      <c r="H719" s="3" t="str">
        <f>IFERROR(__xludf.DUMMYFUNCTION("""COMPUTED_VALUE"""),"Convina Research Laboratory")</f>
        <v>Convina Research Laboratory</v>
      </c>
    </row>
    <row r="720">
      <c r="H720" s="3" t="str">
        <f>IFERROR(__xludf.DUMMYFUNCTION("""COMPUTED_VALUE"""),"CONWELL PHARMA")</f>
        <v>CONWELL PHARMA</v>
      </c>
    </row>
    <row r="721">
      <c r="H721" s="3" t="str">
        <f>IFERROR(__xludf.DUMMYFUNCTION("""COMPUTED_VALUE"""),"CORAL")</f>
        <v>CORAL</v>
      </c>
    </row>
    <row r="722">
      <c r="H722" s="3" t="str">
        <f>IFERROR(__xludf.DUMMYFUNCTION("""COMPUTED_VALUE"""),"CORAZON PHARMA PVT.LTD.")</f>
        <v>CORAZON PHARMA PVT.LTD.</v>
      </c>
    </row>
    <row r="723">
      <c r="H723" s="3" t="str">
        <f>IFERROR(__xludf.DUMMYFUNCTION("""COMPUTED_VALUE"""),"CORE GESTRA")</f>
        <v>CORE GESTRA</v>
      </c>
    </row>
    <row r="724">
      <c r="H724" s="3" t="str">
        <f>IFERROR(__xludf.DUMMYFUNCTION("""COMPUTED_VALUE"""),"CORE LABORITISE")</f>
        <v>CORE LABORITISE</v>
      </c>
    </row>
    <row r="725">
      <c r="H725" s="3" t="str">
        <f>IFERROR(__xludf.DUMMYFUNCTION("""COMPUTED_VALUE"""),"COREX PHARMA")</f>
        <v>COREX PHARMA</v>
      </c>
    </row>
    <row r="726">
      <c r="H726" s="3" t="str">
        <f>IFERROR(__xludf.DUMMYFUNCTION("""COMPUTED_VALUE"""),"CORONA REMEDIES (AURA)")</f>
        <v>CORONA REMEDIES (AURA)</v>
      </c>
    </row>
    <row r="727">
      <c r="H727" s="3" t="str">
        <f>IFERROR(__xludf.DUMMYFUNCTION("""COMPUTED_VALUE"""),"CORONA REMEDIES (PIONEER)")</f>
        <v>CORONA REMEDIES (PIONEER)</v>
      </c>
    </row>
    <row r="728">
      <c r="H728" s="3" t="str">
        <f>IFERROR(__xludf.DUMMYFUNCTION("""COMPUTED_VALUE"""),"CORONA REMEDIES (RADIANCE)")</f>
        <v>CORONA REMEDIES (RADIANCE)</v>
      </c>
    </row>
    <row r="729">
      <c r="H729" s="3" t="str">
        <f>IFERROR(__xludf.DUMMYFUNCTION("""COMPUTED_VALUE"""),"CORONA REMEDIES (SOLARIS)")</f>
        <v>CORONA REMEDIES (SOLARIS)</v>
      </c>
    </row>
    <row r="730">
      <c r="H730" s="3" t="str">
        <f>IFERROR(__xludf.DUMMYFUNCTION("""COMPUTED_VALUE"""),"CORONA REMEDIES (SOLIS)")</f>
        <v>CORONA REMEDIES (SOLIS)</v>
      </c>
    </row>
    <row r="731">
      <c r="H731" s="3" t="str">
        <f>IFERROR(__xludf.DUMMYFUNCTION("""COMPUTED_VALUE"""),"CORONA REMEDIES (WELLNESS)")</f>
        <v>CORONA REMEDIES (WELLNESS)</v>
      </c>
    </row>
    <row r="732">
      <c r="H732" s="3" t="str">
        <f>IFERROR(__xludf.DUMMYFUNCTION("""COMPUTED_VALUE"""),"CORONA REMEDIES (XEMX)")</f>
        <v>CORONA REMEDIES (XEMX)</v>
      </c>
    </row>
    <row r="733">
      <c r="H733" s="3" t="str">
        <f>IFERROR(__xludf.DUMMYFUNCTION("""COMPUTED_VALUE"""),"Corona Remedies Pvt Ltd")</f>
        <v>Corona Remedies Pvt Ltd</v>
      </c>
    </row>
    <row r="734">
      <c r="H734" s="3" t="str">
        <f>IFERROR(__xludf.DUMMYFUNCTION("""COMPUTED_VALUE"""),"CORVIN PHARMACEUTICALS")</f>
        <v>CORVIN PHARMACEUTICALS</v>
      </c>
    </row>
    <row r="735">
      <c r="H735" s="3" t="str">
        <f>IFERROR(__xludf.DUMMYFUNCTION("""COMPUTED_VALUE"""),"CORVUS REMEDIES")</f>
        <v>CORVUS REMEDIES</v>
      </c>
    </row>
    <row r="736">
      <c r="H736" s="3" t="str">
        <f>IFERROR(__xludf.DUMMYFUNCTION("""COMPUTED_VALUE"""),"CORWIS PHARMACEUTICALS LIMITED")</f>
        <v>CORWIS PHARMACEUTICALS LIMITED</v>
      </c>
    </row>
    <row r="737">
      <c r="H737" s="3" t="str">
        <f>IFERROR(__xludf.DUMMYFUNCTION("""COMPUTED_VALUE"""),"COSEC HEALTH CARE")</f>
        <v>COSEC HEALTH CARE</v>
      </c>
    </row>
    <row r="738">
      <c r="H738" s="3" t="str">
        <f>IFERROR(__xludf.DUMMYFUNCTION("""COMPUTED_VALUE"""),"COSME HEALTHCARE")</f>
        <v>COSME HEALTHCARE</v>
      </c>
    </row>
    <row r="739">
      <c r="H739" s="3" t="str">
        <f>IFERROR(__xludf.DUMMYFUNCTION("""COMPUTED_VALUE"""),"COSMIC NUTRACOS SOLUTIONS")</f>
        <v>COSMIC NUTRACOS SOLUTIONS</v>
      </c>
    </row>
    <row r="740">
      <c r="H740" s="3" t="str">
        <f>IFERROR(__xludf.DUMMYFUNCTION("""COMPUTED_VALUE"""),"COSMODERM INDIA")</f>
        <v>COSMODERM INDIA</v>
      </c>
    </row>
    <row r="741">
      <c r="H741" s="3" t="str">
        <f>IFERROR(__xludf.DUMMYFUNCTION("""COMPUTED_VALUE"""),"COSWAY PHARMACEUTICAL")</f>
        <v>COSWAY PHARMACEUTICAL</v>
      </c>
    </row>
    <row r="742">
      <c r="H742" s="3" t="str">
        <f>IFERROR(__xludf.DUMMYFUNCTION("""COMPUTED_VALUE"""),"CPAZ DRUGS")</f>
        <v>CPAZ DRUGS</v>
      </c>
    </row>
    <row r="743">
      <c r="H743" s="3" t="str">
        <f>IFERROR(__xludf.DUMMYFUNCTION("""COMPUTED_VALUE"""),"CRASSULA PHAMACEUTICALS P LTD")</f>
        <v>CRASSULA PHAMACEUTICALS P LTD</v>
      </c>
    </row>
    <row r="744">
      <c r="H744" s="3" t="str">
        <f>IFERROR(__xludf.DUMMYFUNCTION("""COMPUTED_VALUE"""),"CRATUS LIFE CARE")</f>
        <v>CRATUS LIFE CARE</v>
      </c>
    </row>
    <row r="745">
      <c r="H745" s="3" t="str">
        <f>IFERROR(__xludf.DUMMYFUNCTION("""COMPUTED_VALUE"""),"CRAVOS PHARMACEUTICALS")</f>
        <v>CRAVOS PHARMACEUTICALS</v>
      </c>
    </row>
    <row r="746">
      <c r="H746" s="3" t="str">
        <f>IFERROR(__xludf.DUMMYFUNCTION("""COMPUTED_VALUE"""),"CRAYON HEALTHCARE PVT LTD")</f>
        <v>CRAYON HEALTHCARE PVT LTD</v>
      </c>
    </row>
    <row r="747">
      <c r="H747" s="3" t="str">
        <f>IFERROR(__xludf.DUMMYFUNCTION("""COMPUTED_VALUE"""),"CREOGENIC PHARMA")</f>
        <v>CREOGENIC PHARMA</v>
      </c>
    </row>
    <row r="748">
      <c r="H748" s="3" t="str">
        <f>IFERROR(__xludf.DUMMYFUNCTION("""COMPUTED_VALUE"""),"CRESCENT THERAPEUTICS LTD.")</f>
        <v>CRESCENT THERAPEUTICS LTD.</v>
      </c>
    </row>
    <row r="749">
      <c r="H749" s="3" t="str">
        <f>IFERROR(__xludf.DUMMYFUNCTION("""COMPUTED_VALUE"""),"CRIS PHARMA LTD")</f>
        <v>CRIS PHARMA LTD</v>
      </c>
    </row>
    <row r="750">
      <c r="H750" s="3" t="str">
        <f>IFERROR(__xludf.DUMMYFUNCTION("""COMPUTED_VALUE"""),"CROFORD PHARMA")</f>
        <v>CROFORD PHARMA</v>
      </c>
    </row>
    <row r="751">
      <c r="H751" s="3" t="str">
        <f>IFERROR(__xludf.DUMMYFUNCTION("""COMPUTED_VALUE"""),"CROMPTON PHARMA")</f>
        <v>CROMPTON PHARMA</v>
      </c>
    </row>
    <row r="752">
      <c r="H752" s="3" t="str">
        <f>IFERROR(__xludf.DUMMYFUNCTION("""COMPUTED_VALUE"""),"Cross Berry Pharma")</f>
        <v>Cross Berry Pharma</v>
      </c>
    </row>
    <row r="753">
      <c r="H753" s="3" t="str">
        <f>IFERROR(__xludf.DUMMYFUNCTION("""COMPUTED_VALUE"""),"CROSSWIND BIOTECH")</f>
        <v>CROSSWIND BIOTECH</v>
      </c>
    </row>
    <row r="754">
      <c r="H754" s="3" t="str">
        <f>IFERROR(__xludf.DUMMYFUNCTION("""COMPUTED_VALUE"""),"CSC HEALTHCARE")</f>
        <v>CSC HEALTHCARE</v>
      </c>
    </row>
    <row r="755">
      <c r="H755" s="3" t="str">
        <f>IFERROR(__xludf.DUMMYFUNCTION("""COMPUTED_VALUE"""),"CUBIC LIFESCIENCES LTD")</f>
        <v>CUBIC LIFESCIENCES LTD</v>
      </c>
    </row>
    <row r="756">
      <c r="H756" s="3" t="str">
        <f>IFERROR(__xludf.DUMMYFUNCTION("""COMPUTED_VALUE"""),"CUBIT HEALTHCARE")</f>
        <v>CUBIT HEALTHCARE</v>
      </c>
    </row>
    <row r="757">
      <c r="H757" s="3" t="str">
        <f>IFERROR(__xludf.DUMMYFUNCTION("""COMPUTED_VALUE"""),"CUBIT HEALTHCARE (CU CARD GYNOCARE)")</f>
        <v>CUBIT HEALTHCARE (CU CARD GYNOCARE)</v>
      </c>
    </row>
    <row r="758">
      <c r="H758" s="3" t="str">
        <f>IFERROR(__xludf.DUMMYFUNCTION("""COMPUTED_VALUE"""),"CUBIT HEALTHCARE (CU CARD LIFECARE)")</f>
        <v>CUBIT HEALTHCARE (CU CARD LIFECARE)</v>
      </c>
    </row>
    <row r="759">
      <c r="H759" s="3" t="str">
        <f>IFERROR(__xludf.DUMMYFUNCTION("""COMPUTED_VALUE"""),"CUBIT HEALTHCARE (CU CARD SKINCARE)")</f>
        <v>CUBIT HEALTHCARE (CU CARD SKINCARE)</v>
      </c>
    </row>
    <row r="760">
      <c r="H760" s="3" t="str">
        <f>IFERROR(__xludf.DUMMYFUNCTION("""COMPUTED_VALUE"""),"CURA PHARMACEUTICALS")</f>
        <v>CURA PHARMACEUTICALS</v>
      </c>
    </row>
    <row r="761">
      <c r="H761" s="3" t="str">
        <f>IFERROR(__xludf.DUMMYFUNCTION("""COMPUTED_VALUE"""),"CURATAS PHARMACEUTICALS LLP")</f>
        <v>CURATAS PHARMACEUTICALS LLP</v>
      </c>
    </row>
    <row r="762">
      <c r="H762" s="3" t="str">
        <f>IFERROR(__xludf.DUMMYFUNCTION("""COMPUTED_VALUE"""),"Curatio Healthcare India Pvt Ltd")</f>
        <v>Curatio Healthcare India Pvt Ltd</v>
      </c>
    </row>
    <row r="763">
      <c r="H763" s="3" t="str">
        <f>IFERROR(__xludf.DUMMYFUNCTION("""COMPUTED_VALUE"""),"CURE N CURE PHARMACEUTICALS")</f>
        <v>CURE N CURE PHARMACEUTICALS</v>
      </c>
    </row>
    <row r="764">
      <c r="H764" s="3" t="str">
        <f>IFERROR(__xludf.DUMMYFUNCTION("""COMPUTED_VALUE"""),"CURE QUICK PHARMACEUTICALS")</f>
        <v>CURE QUICK PHARMACEUTICALS</v>
      </c>
    </row>
    <row r="765">
      <c r="H765" s="3" t="str">
        <f>IFERROR(__xludf.DUMMYFUNCTION("""COMPUTED_VALUE"""),"CUREALL LIFE SCIENCES")</f>
        <v>CUREALL LIFE SCIENCES</v>
      </c>
    </row>
    <row r="766">
      <c r="H766" s="3" t="str">
        <f>IFERROR(__xludf.DUMMYFUNCTION("""COMPUTED_VALUE"""),"CUREMAX")</f>
        <v>CUREMAX</v>
      </c>
    </row>
    <row r="767">
      <c r="H767" s="3" t="str">
        <f>IFERROR(__xludf.DUMMYFUNCTION("""COMPUTED_VALUE"""),"CURETECH SKINCARE")</f>
        <v>CURETECH SKINCARE</v>
      </c>
    </row>
    <row r="768">
      <c r="H768" s="3" t="str">
        <f>IFERROR(__xludf.DUMMYFUNCTION("""COMPUTED_VALUE"""),"CUREWELL AURVEDA")</f>
        <v>CUREWELL AURVEDA</v>
      </c>
    </row>
    <row r="769">
      <c r="H769" s="3" t="str">
        <f>IFERROR(__xludf.DUMMYFUNCTION("""COMPUTED_VALUE"""),"Curewell Drugs &amp; Pharmaceuticals Pvt. Ltd.")</f>
        <v>Curewell Drugs &amp; Pharmaceuticals Pvt. Ltd.</v>
      </c>
    </row>
    <row r="770">
      <c r="H770" s="3" t="str">
        <f>IFERROR(__xludf.DUMMYFUNCTION("""COMPUTED_VALUE"""),"CUREWIN HYLICO PVT LTD")</f>
        <v>CUREWIN HYLICO PVT LTD</v>
      </c>
    </row>
    <row r="771">
      <c r="H771" s="3" t="str">
        <f>IFERROR(__xludf.DUMMYFUNCTION("""COMPUTED_VALUE"""),"CURIOUS BIOTECH")</f>
        <v>CURIOUS BIOTECH</v>
      </c>
    </row>
    <row r="772">
      <c r="H772" s="3" t="str">
        <f>IFERROR(__xludf.DUMMYFUNCTION("""COMPUTED_VALUE"""),"CUROSIS PHARMACEUTICALS")</f>
        <v>CUROSIS PHARMACEUTICALS</v>
      </c>
    </row>
    <row r="773">
      <c r="H773" s="3" t="str">
        <f>IFERROR(__xludf.DUMMYFUNCTION("""COMPUTED_VALUE"""),"Cutis Derma Care - Intra Life")</f>
        <v>Cutis Derma Care - Intra Life</v>
      </c>
    </row>
    <row r="774">
      <c r="H774" s="3" t="str">
        <f>IFERROR(__xludf.DUMMYFUNCTION("""COMPUTED_VALUE"""),"CVS BIOTECH (FARLEX)")</f>
        <v>CVS BIOTECH (FARLEX)</v>
      </c>
    </row>
    <row r="775">
      <c r="H775" s="3" t="str">
        <f>IFERROR(__xludf.DUMMYFUNCTION("""COMPUTED_VALUE"""),"CYMER PHARMA")</f>
        <v>CYMER PHARMA</v>
      </c>
    </row>
    <row r="776">
      <c r="H776" s="3" t="str">
        <f>IFERROR(__xludf.DUMMYFUNCTION("""COMPUTED_VALUE"""),"D D Pharmaceuticals")</f>
        <v>D D Pharmaceuticals</v>
      </c>
    </row>
    <row r="777">
      <c r="H777" s="3" t="str">
        <f>IFERROR(__xludf.DUMMYFUNCTION("""COMPUTED_VALUE"""),"D R JOHN'S LAB PHARMA")</f>
        <v>D R JOHN'S LAB PHARMA</v>
      </c>
    </row>
    <row r="778">
      <c r="H778" s="3" t="str">
        <f>IFERROR(__xludf.DUMMYFUNCTION("""COMPUTED_VALUE"""),"Dabur India Ltd")</f>
        <v>Dabur India Ltd</v>
      </c>
    </row>
    <row r="779">
      <c r="H779" s="3" t="str">
        <f>IFERROR(__xludf.DUMMYFUNCTION("""COMPUTED_VALUE"""),"Dabur Pharmaceuticals Ltd.")</f>
        <v>Dabur Pharmaceuticals Ltd.</v>
      </c>
    </row>
    <row r="780">
      <c r="H780" s="3" t="str">
        <f>IFERROR(__xludf.DUMMYFUNCTION("""COMPUTED_VALUE"""),"DAFFOHILS LABORATORIES")</f>
        <v>DAFFOHILS LABORATORIES</v>
      </c>
    </row>
    <row r="781">
      <c r="H781" s="3" t="str">
        <f>IFERROR(__xludf.DUMMYFUNCTION("""COMPUTED_VALUE"""),"DAGNAL PHARMACUTICALS")</f>
        <v>DAGNAL PHARMACUTICALS</v>
      </c>
    </row>
    <row r="782">
      <c r="H782" s="3" t="str">
        <f>IFERROR(__xludf.DUMMYFUNCTION("""COMPUTED_VALUE"""),"Dakshinamurti Pharma Pvt Ltd")</f>
        <v>Dakshinamurti Pharma Pvt Ltd</v>
      </c>
    </row>
    <row r="783">
      <c r="H783" s="3" t="str">
        <f>IFERROR(__xludf.DUMMYFUNCTION("""COMPUTED_VALUE"""),"DALIY WEAR")</f>
        <v>DALIY WEAR</v>
      </c>
    </row>
    <row r="784">
      <c r="H784" s="3" t="str">
        <f>IFERROR(__xludf.DUMMYFUNCTION("""COMPUTED_VALUE"""),"DANIEL PASTEUR")</f>
        <v>DANIEL PASTEUR</v>
      </c>
    </row>
    <row r="785">
      <c r="H785" s="3" t="str">
        <f>IFERROR(__xludf.DUMMYFUNCTION("""COMPUTED_VALUE"""),"DANISH HEALTHCARE")</f>
        <v>DANISH HEALTHCARE</v>
      </c>
    </row>
    <row r="786">
      <c r="H786" s="3" t="str">
        <f>IFERROR(__xludf.DUMMYFUNCTION("""COMPUTED_VALUE"""),"DARA PHARMACEUTICALS")</f>
        <v>DARA PHARMACEUTICALS</v>
      </c>
    </row>
    <row r="787">
      <c r="H787" s="3" t="str">
        <f>IFERROR(__xludf.DUMMYFUNCTION("""COMPUTED_VALUE"""),"DASAMAPS 50MG")</f>
        <v>DASAMAPS 50MG</v>
      </c>
    </row>
    <row r="788">
      <c r="H788" s="3" t="str">
        <f>IFERROR(__xludf.DUMMYFUNCTION("""COMPUTED_VALUE"""),"DASAMPAS 70MG")</f>
        <v>DASAMPAS 70MG</v>
      </c>
    </row>
    <row r="789">
      <c r="H789" s="3" t="str">
        <f>IFERROR(__xludf.DUMMYFUNCTION("""COMPUTED_VALUE"""),"DASSO PHARMACEUTICALS")</f>
        <v>DASSO PHARMACEUTICALS</v>
      </c>
    </row>
    <row r="790">
      <c r="H790" s="3" t="str">
        <f>IFERROR(__xludf.DUMMYFUNCTION("""COMPUTED_VALUE"""),"DATA SAILANI AYURVEDIC SANSTHA")</f>
        <v>DATA SAILANI AYURVEDIC SANSTHA</v>
      </c>
    </row>
    <row r="791">
      <c r="H791" s="3" t="str">
        <f>IFERROR(__xludf.DUMMYFUNCTION("""COMPUTED_VALUE"""),"DATTATRAYA SEVASHRAM")</f>
        <v>DATTATRAYA SEVASHRAM</v>
      </c>
    </row>
    <row r="792">
      <c r="H792" s="3" t="str">
        <f>IFERROR(__xludf.DUMMYFUNCTION("""COMPUTED_VALUE"""),"DAWCHEM PHARMACEUTICALS P LTD")</f>
        <v>DAWCHEM PHARMACEUTICALS P LTD</v>
      </c>
    </row>
    <row r="793">
      <c r="H793" s="3" t="str">
        <f>IFERROR(__xludf.DUMMYFUNCTION("""COMPUTED_VALUE"""),"DAWN &amp; COMPANY")</f>
        <v>DAWN &amp; COMPANY</v>
      </c>
    </row>
    <row r="794">
      <c r="H794" s="3" t="str">
        <f>IFERROR(__xludf.DUMMYFUNCTION("""COMPUTED_VALUE"""),"DD Nutritions")</f>
        <v>DD Nutritions</v>
      </c>
    </row>
    <row r="795">
      <c r="H795" s="3" t="str">
        <f>IFERROR(__xludf.DUMMYFUNCTION("""COMPUTED_VALUE"""),"DEE INDIA HERBALS")</f>
        <v>DEE INDIA HERBALS</v>
      </c>
    </row>
    <row r="796">
      <c r="H796" s="3" t="str">
        <f>IFERROR(__xludf.DUMMYFUNCTION("""COMPUTED_VALUE"""),"DEFENCE HEALTHCARE")</f>
        <v>DEFENCE HEALTHCARE</v>
      </c>
    </row>
    <row r="797">
      <c r="H797" s="3" t="str">
        <f>IFERROR(__xludf.DUMMYFUNCTION("""COMPUTED_VALUE"""),"Delcure Life Sciences")</f>
        <v>Delcure Life Sciences</v>
      </c>
    </row>
    <row r="798">
      <c r="H798" s="3" t="str">
        <f>IFERROR(__xludf.DUMMYFUNCTION("""COMPUTED_VALUE"""),"DELTAS PHARMA")</f>
        <v>DELTAS PHARMA</v>
      </c>
    </row>
    <row r="799">
      <c r="H799" s="3" t="str">
        <f>IFERROR(__xludf.DUMMYFUNCTION("""COMPUTED_VALUE"""),"Delvin Formulations Pvt Ltd")</f>
        <v>Delvin Formulations Pvt Ltd</v>
      </c>
    </row>
    <row r="800">
      <c r="H800" s="3" t="str">
        <f>IFERROR(__xludf.DUMMYFUNCTION("""COMPUTED_VALUE"""),"DELWIS HEALTHCARE")</f>
        <v>DELWIS HEALTHCARE</v>
      </c>
    </row>
    <row r="801">
      <c r="H801" s="3" t="str">
        <f>IFERROR(__xludf.DUMMYFUNCTION("""COMPUTED_VALUE"""),"Depsons Pharma")</f>
        <v>Depsons Pharma</v>
      </c>
    </row>
    <row r="802">
      <c r="H802" s="3" t="str">
        <f>IFERROR(__xludf.DUMMYFUNCTION("""COMPUTED_VALUE"""),"DERMA TOPICS HEALTHCARE")</f>
        <v>DERMA TOPICS HEALTHCARE</v>
      </c>
    </row>
    <row r="803">
      <c r="H803" s="3" t="str">
        <f>IFERROR(__xludf.DUMMYFUNCTION("""COMPUTED_VALUE"""),"DERMAKARE PHARMACEUTICALS PVT LTD")</f>
        <v>DERMAKARE PHARMACEUTICALS PVT LTD</v>
      </c>
    </row>
    <row r="804">
      <c r="H804" s="3" t="str">
        <f>IFERROR(__xludf.DUMMYFUNCTION("""COMPUTED_VALUE"""),"DERMASIL LABS")</f>
        <v>DERMASIL LABS</v>
      </c>
    </row>
    <row r="805">
      <c r="H805" s="3" t="str">
        <f>IFERROR(__xludf.DUMMYFUNCTION("""COMPUTED_VALUE"""),"DERMAWIN PHARMA")</f>
        <v>DERMAWIN PHARMA</v>
      </c>
    </row>
    <row r="806">
      <c r="H806" s="3" t="str">
        <f>IFERROR(__xludf.DUMMYFUNCTION("""COMPUTED_VALUE"""),"Dermawiz Laboratories Pvt Ltd")</f>
        <v>Dermawiz Laboratories Pvt Ltd</v>
      </c>
    </row>
    <row r="807">
      <c r="H807" s="3" t="str">
        <f>IFERROR(__xludf.DUMMYFUNCTION("""COMPUTED_VALUE"""),"DERMIA CONTICARE")</f>
        <v>DERMIA CONTICARE</v>
      </c>
    </row>
    <row r="808">
      <c r="H808" s="3" t="str">
        <f>IFERROR(__xludf.DUMMYFUNCTION("""COMPUTED_VALUE"""),"Dermo Care Laboratories")</f>
        <v>Dermo Care Laboratories</v>
      </c>
    </row>
    <row r="809">
      <c r="H809" s="3" t="str">
        <f>IFERROR(__xludf.DUMMYFUNCTION("""COMPUTED_VALUE"""),"DERMO GLOW")</f>
        <v>DERMO GLOW</v>
      </c>
    </row>
    <row r="810">
      <c r="H810" s="3" t="str">
        <f>IFERROR(__xludf.DUMMYFUNCTION("""COMPUTED_VALUE"""),"DERMOGRACE")</f>
        <v>DERMOGRACE</v>
      </c>
    </row>
    <row r="811">
      <c r="H811" s="3" t="str">
        <f>IFERROR(__xludf.DUMMYFUNCTION("""COMPUTED_VALUE"""),"DERMOS")</f>
        <v>DERMOS</v>
      </c>
    </row>
    <row r="812">
      <c r="H812" s="3" t="str">
        <f>IFERROR(__xludf.DUMMYFUNCTION("""COMPUTED_VALUE"""),"DEV PHARMACY")</f>
        <v>DEV PHARMACY</v>
      </c>
    </row>
    <row r="813">
      <c r="H813" s="3" t="str">
        <f>IFERROR(__xludf.DUMMYFUNCTION("""COMPUTED_VALUE"""),"DEWCARE CONCEPT P LTD")</f>
        <v>DEWCARE CONCEPT P LTD</v>
      </c>
    </row>
    <row r="814">
      <c r="H814" s="3" t="str">
        <f>IFERROR(__xludf.DUMMYFUNCTION("""COMPUTED_VALUE"""),"Dexter Labratories")</f>
        <v>Dexter Labratories</v>
      </c>
    </row>
    <row r="815">
      <c r="H815" s="3" t="str">
        <f>IFERROR(__xludf.DUMMYFUNCTION("""COMPUTED_VALUE"""),"Dey's Medical Stores (Mfg) Ltd")</f>
        <v>Dey's Medical Stores (Mfg) Ltd</v>
      </c>
    </row>
    <row r="816">
      <c r="H816" s="3" t="str">
        <f>IFERROR(__xludf.DUMMYFUNCTION("""COMPUTED_VALUE"""),"Deys Medical")</f>
        <v>Deys Medical</v>
      </c>
    </row>
    <row r="817">
      <c r="H817" s="3" t="str">
        <f>IFERROR(__xludf.DUMMYFUNCTION("""COMPUTED_VALUE"""),"DHANSINGH AYURVED BHAWAN")</f>
        <v>DHANSINGH AYURVED BHAWAN</v>
      </c>
    </row>
    <row r="818">
      <c r="H818" s="3" t="str">
        <f>IFERROR(__xludf.DUMMYFUNCTION("""COMPUTED_VALUE"""),"DHANVANTARI AYURVEDIC RESEARCH")</f>
        <v>DHANVANTARI AYURVEDIC RESEARCH</v>
      </c>
    </row>
    <row r="819">
      <c r="H819" s="3" t="str">
        <f>IFERROR(__xludf.DUMMYFUNCTION("""COMPUTED_VALUE"""),"DHANVANTRI GUJ HERBS")</f>
        <v>DHANVANTRI GUJ HERBS</v>
      </c>
    </row>
    <row r="820">
      <c r="H820" s="3" t="str">
        <f>IFERROR(__xludf.DUMMYFUNCTION("""COMPUTED_VALUE"""),"DHOOTPAPESHWAR")</f>
        <v>DHOOTPAPESHWAR</v>
      </c>
    </row>
    <row r="821">
      <c r="H821" s="3" t="str">
        <f>IFERROR(__xludf.DUMMYFUNCTION("""COMPUTED_VALUE"""),"DHUTAPAPESHAVAR (SOLUMIKS)")</f>
        <v>DHUTAPAPESHAVAR (SOLUMIKS)</v>
      </c>
    </row>
    <row r="822">
      <c r="H822" s="3" t="str">
        <f>IFERROR(__xludf.DUMMYFUNCTION("""COMPUTED_VALUE"""),"DIAL PHARMA")</f>
        <v>DIAL PHARMA</v>
      </c>
    </row>
    <row r="823">
      <c r="H823" s="3" t="str">
        <f>IFERROR(__xludf.DUMMYFUNCTION("""COMPUTED_VALUE"""),"DIAMOND BIOTECH")</f>
        <v>DIAMOND BIOTECH</v>
      </c>
    </row>
    <row r="824">
      <c r="H824" s="3" t="str">
        <f>IFERROR(__xludf.DUMMYFUNCTION("""COMPUTED_VALUE"""),"DIGITAL VISION SIRMOUR")</f>
        <v>DIGITAL VISION SIRMOUR</v>
      </c>
    </row>
    <row r="825">
      <c r="H825" s="3" t="str">
        <f>IFERROR(__xludf.DUMMYFUNCTION("""COMPUTED_VALUE"""),"DILL PHARMACEUTICALS")</f>
        <v>DILL PHARMACEUTICALS</v>
      </c>
    </row>
    <row r="826">
      <c r="H826" s="3" t="str">
        <f>IFERROR(__xludf.DUMMYFUNCTION("""COMPUTED_VALUE"""),"DINDAYAL")</f>
        <v>DINDAYAL</v>
      </c>
    </row>
    <row r="827">
      <c r="H827" s="3" t="str">
        <f>IFERROR(__xludf.DUMMYFUNCTION("""COMPUTED_VALUE"""),"DIOSMA LIFE SCIENCES")</f>
        <v>DIOSMA LIFE SCIENCES</v>
      </c>
    </row>
    <row r="828">
      <c r="H828" s="3" t="str">
        <f>IFERROR(__xludf.DUMMYFUNCTION("""COMPUTED_VALUE"""),"DIVERGENT LIFESCIENCES")</f>
        <v>DIVERGENT LIFESCIENCES</v>
      </c>
    </row>
    <row r="829">
      <c r="H829" s="3" t="str">
        <f>IFERROR(__xludf.DUMMYFUNCTION("""COMPUTED_VALUE"""),"DIVISA")</f>
        <v>DIVISA</v>
      </c>
    </row>
    <row r="830">
      <c r="H830" s="3" t="str">
        <f>IFERROR(__xludf.DUMMYFUNCTION("""COMPUTED_VALUE"""),"DIVIT NUTRACEUTICAL P LTD")</f>
        <v>DIVIT NUTRACEUTICAL P LTD</v>
      </c>
    </row>
    <row r="831">
      <c r="H831" s="3" t="str">
        <f>IFERROR(__xludf.DUMMYFUNCTION("""COMPUTED_VALUE"""),"Divya Pharmacy")</f>
        <v>Divya Pharmacy</v>
      </c>
    </row>
    <row r="832">
      <c r="H832" s="3" t="str">
        <f>IFERROR(__xludf.DUMMYFUNCTION("""COMPUTED_VALUE"""),"DKT India Ltd")</f>
        <v>DKT India Ltd</v>
      </c>
    </row>
    <row r="833">
      <c r="H833" s="3" t="str">
        <f>IFERROR(__xludf.DUMMYFUNCTION("""COMPUTED_VALUE"""),"DLS PHARMA")</f>
        <v>DLS PHARMA</v>
      </c>
    </row>
    <row r="834">
      <c r="H834" s="3" t="str">
        <f>IFERROR(__xludf.DUMMYFUNCTION("""COMPUTED_VALUE"""),"DM PHARMA")</f>
        <v>DM PHARMA</v>
      </c>
    </row>
    <row r="835">
      <c r="H835" s="3" t="str">
        <f>IFERROR(__xludf.DUMMYFUNCTION("""COMPUTED_VALUE"""),"DO NOT ADD")</f>
        <v>DO NOT ADD</v>
      </c>
    </row>
    <row r="836">
      <c r="H836" s="3" t="str">
        <f>IFERROR(__xludf.DUMMYFUNCTION("""COMPUTED_VALUE"""),"DOCEMAPS 20")</f>
        <v>DOCEMAPS 20</v>
      </c>
    </row>
    <row r="837">
      <c r="H837" s="3" t="str">
        <f>IFERROR(__xludf.DUMMYFUNCTION("""COMPUTED_VALUE"""),"DOCEMAPS 80")</f>
        <v>DOCEMAPS 80</v>
      </c>
    </row>
    <row r="838">
      <c r="H838" s="3" t="str">
        <f>IFERROR(__xludf.DUMMYFUNCTION("""COMPUTED_VALUE"""),"DOCTOR")</f>
        <v>DOCTOR</v>
      </c>
    </row>
    <row r="839">
      <c r="H839" s="3" t="str">
        <f>IFERROR(__xludf.DUMMYFUNCTION("""COMPUTED_VALUE"""),"DOCTOR MOREPEN LIMITED")</f>
        <v>DOCTOR MOREPEN LIMITED</v>
      </c>
    </row>
    <row r="840">
      <c r="H840" s="3" t="str">
        <f>IFERROR(__xludf.DUMMYFUNCTION("""COMPUTED_VALUE"""),"DOKCARE LIFESCIENCES")</f>
        <v>DOKCARE LIFESCIENCES</v>
      </c>
    </row>
    <row r="841">
      <c r="H841" s="3" t="str">
        <f>IFERROR(__xludf.DUMMYFUNCTION("""COMPUTED_VALUE"""),"DOLLAR COMPANY")</f>
        <v>DOLLAR COMPANY</v>
      </c>
    </row>
    <row r="842">
      <c r="H842" s="3" t="str">
        <f>IFERROR(__xludf.DUMMYFUNCTION("""COMPUTED_VALUE"""),"DOLPHIN PHARMACEUTICALS")</f>
        <v>DOLPHIN PHARMACEUTICALS</v>
      </c>
    </row>
    <row r="843">
      <c r="H843" s="3" t="str">
        <f>IFERROR(__xludf.DUMMYFUNCTION("""COMPUTED_VALUE"""),"DR GROVER [EYE] HOSPITAL")</f>
        <v>DR GROVER [EYE] HOSPITAL</v>
      </c>
    </row>
    <row r="844">
      <c r="H844" s="3" t="str">
        <f>IFERROR(__xludf.DUMMYFUNCTION("""COMPUTED_VALUE"""),"Dr JRK Siddha Research and Pharmaceuticals Pvt Ltd")</f>
        <v>Dr JRK Siddha Research and Pharmaceuticals Pvt Ltd</v>
      </c>
    </row>
    <row r="845">
      <c r="H845" s="3" t="str">
        <f>IFERROR(__xludf.DUMMYFUNCTION("""COMPUTED_VALUE"""),"DR LOONAWAT RESEARCH LAB")</f>
        <v>DR LOONAWAT RESEARCH LAB</v>
      </c>
    </row>
    <row r="846">
      <c r="H846" s="3" t="str">
        <f>IFERROR(__xludf.DUMMYFUNCTION("""COMPUTED_VALUE"""),"DR LORMANS")</f>
        <v>DR LORMANS</v>
      </c>
    </row>
    <row r="847">
      <c r="H847" s="3" t="str">
        <f>IFERROR(__xludf.DUMMYFUNCTION("""COMPUTED_VALUE"""),"DR MOREPEN (GENERIC)")</f>
        <v>DR MOREPEN (GENERIC)</v>
      </c>
    </row>
    <row r="848">
      <c r="H848" s="3" t="str">
        <f>IFERROR(__xludf.DUMMYFUNCTION("""COMPUTED_VALUE"""),"DR MOREPEN DEVICES")</f>
        <v>DR MOREPEN DEVICES</v>
      </c>
    </row>
    <row r="849">
      <c r="H849" s="3" t="str">
        <f>IFERROR(__xludf.DUMMYFUNCTION("""COMPUTED_VALUE"""),"DR NAVEEN")</f>
        <v>DR NAVEEN</v>
      </c>
    </row>
    <row r="850">
      <c r="H850" s="3" t="str">
        <f>IFERROR(__xludf.DUMMYFUNCTION("""COMPUTED_VALUE"""),"DR PALEP'S")</f>
        <v>DR PALEP'S</v>
      </c>
    </row>
    <row r="851">
      <c r="H851" s="3" t="str">
        <f>IFERROR(__xludf.DUMMYFUNCTION("""COMPUTED_VALUE"""),"DR REDDY'S (DENTAL)")</f>
        <v>DR REDDY'S (DENTAL)</v>
      </c>
    </row>
    <row r="852">
      <c r="H852" s="3" t="str">
        <f>IFERROR(__xludf.DUMMYFUNCTION("""COMPUTED_VALUE"""),"Dr Reddy's Lab (AQURA-2)")</f>
        <v>Dr Reddy's Lab (AQURA-2)</v>
      </c>
    </row>
    <row r="853">
      <c r="H853" s="3" t="str">
        <f>IFERROR(__xludf.DUMMYFUNCTION("""COMPUTED_VALUE"""),"Dr Reddy's Lab (AQURA)")</f>
        <v>Dr Reddy's Lab (AQURA)</v>
      </c>
    </row>
    <row r="854">
      <c r="H854" s="3" t="str">
        <f>IFERROR(__xludf.DUMMYFUNCTION("""COMPUTED_VALUE"""),"Dr Reddy's Lab (ASPIRA)")</f>
        <v>Dr Reddy's Lab (ASPIRA)</v>
      </c>
    </row>
    <row r="855">
      <c r="H855" s="3" t="str">
        <f>IFERROR(__xludf.DUMMYFUNCTION("""COMPUTED_VALUE"""),"Dr Reddy's Lab (DERMA C)")</f>
        <v>Dr Reddy's Lab (DERMA C)</v>
      </c>
    </row>
    <row r="856">
      <c r="H856" s="3" t="str">
        <f>IFERROR(__xludf.DUMMYFUNCTION("""COMPUTED_VALUE"""),"Dr Reddy's Lab (DERMA-2)")</f>
        <v>Dr Reddy's Lab (DERMA-2)</v>
      </c>
    </row>
    <row r="857">
      <c r="H857" s="3" t="str">
        <f>IFERROR(__xludf.DUMMYFUNCTION("""COMPUTED_VALUE"""),"Dr Reddy's Lab (DERMA)")</f>
        <v>Dr Reddy's Lab (DERMA)</v>
      </c>
    </row>
    <row r="858">
      <c r="H858" s="3" t="str">
        <f>IFERROR(__xludf.DUMMYFUNCTION("""COMPUTED_VALUE"""),"Dr Reddy's Lab (FUTURA MAX)")</f>
        <v>Dr Reddy's Lab (FUTURA MAX)</v>
      </c>
    </row>
    <row r="859">
      <c r="H859" s="3" t="str">
        <f>IFERROR(__xludf.DUMMYFUNCTION("""COMPUTED_VALUE"""),"Dr Reddy's Lab (FUTURA)")</f>
        <v>Dr Reddy's Lab (FUTURA)</v>
      </c>
    </row>
    <row r="860">
      <c r="H860" s="3" t="str">
        <f>IFERROR(__xludf.DUMMYFUNCTION("""COMPUTED_VALUE"""),"Dr Reddy's Lab (GRAND ERA)")</f>
        <v>Dr Reddy's Lab (GRAND ERA)</v>
      </c>
    </row>
    <row r="861">
      <c r="H861" s="3" t="str">
        <f>IFERROR(__xludf.DUMMYFUNCTION("""COMPUTED_VALUE"""),"Dr Reddy's Lab (INDURA)")</f>
        <v>Dr Reddy's Lab (INDURA)</v>
      </c>
    </row>
    <row r="862">
      <c r="H862" s="3" t="str">
        <f>IFERROR(__xludf.DUMMYFUNCTION("""COMPUTED_VALUE"""),"Dr Reddy's Lab (MERIND)")</f>
        <v>Dr Reddy's Lab (MERIND)</v>
      </c>
    </row>
    <row r="863">
      <c r="H863" s="3" t="str">
        <f>IFERROR(__xludf.DUMMYFUNCTION("""COMPUTED_VALUE"""),"Dr Reddy's Lab (ORION)")</f>
        <v>Dr Reddy's Lab (ORION)</v>
      </c>
    </row>
    <row r="864">
      <c r="H864" s="3" t="str">
        <f>IFERROR(__xludf.DUMMYFUNCTION("""COMPUTED_VALUE"""),"Dr Reddy's Lab (PTF)")</f>
        <v>Dr Reddy's Lab (PTF)</v>
      </c>
    </row>
    <row r="865">
      <c r="H865" s="3" t="str">
        <f>IFERROR(__xludf.DUMMYFUNCTION("""COMPUTED_VALUE"""),"Dr Reddy's Lab (RECURA ACE)")</f>
        <v>Dr Reddy's Lab (RECURA ACE)</v>
      </c>
    </row>
    <row r="866">
      <c r="H866" s="3" t="str">
        <f>IFERROR(__xludf.DUMMYFUNCTION("""COMPUTED_VALUE"""),"Dr Reddy's Lab (RECURA)")</f>
        <v>Dr Reddy's Lab (RECURA)</v>
      </c>
    </row>
    <row r="867">
      <c r="H867" s="3" t="str">
        <f>IFERROR(__xludf.DUMMYFUNCTION("""COMPUTED_VALUE"""),"Dr Reddy's Lab (RHEUMATOLOGY)")</f>
        <v>Dr Reddy's Lab (RHEUMATOLOGY)</v>
      </c>
    </row>
    <row r="868">
      <c r="H868" s="3" t="str">
        <f>IFERROR(__xludf.DUMMYFUNCTION("""COMPUTED_VALUE"""),"Dr Reddy's Lab (SPECTRA)")</f>
        <v>Dr Reddy's Lab (SPECTRA)</v>
      </c>
    </row>
    <row r="869">
      <c r="H869" s="3" t="str">
        <f>IFERROR(__xludf.DUMMYFUNCTION("""COMPUTED_VALUE"""),"Dr Reddy's Lab (WINTURA)")</f>
        <v>Dr Reddy's Lab (WINTURA)</v>
      </c>
    </row>
    <row r="870">
      <c r="H870" s="3" t="str">
        <f>IFERROR(__xludf.DUMMYFUNCTION("""COMPUTED_VALUE"""),"Dr Reddy's Lab (XENURA-1)")</f>
        <v>Dr Reddy's Lab (XENURA-1)</v>
      </c>
    </row>
    <row r="871">
      <c r="H871" s="3" t="str">
        <f>IFERROR(__xludf.DUMMYFUNCTION("""COMPUTED_VALUE"""),"Dr Reddy's Lab (XENURA-3)")</f>
        <v>Dr Reddy's Lab (XENURA-3)</v>
      </c>
    </row>
    <row r="872">
      <c r="H872" s="3" t="str">
        <f>IFERROR(__xludf.DUMMYFUNCTION("""COMPUTED_VALUE"""),"Dr Reddy's Lab (XENURA)")</f>
        <v>Dr Reddy's Lab (XENURA)</v>
      </c>
    </row>
    <row r="873">
      <c r="H873" s="3" t="str">
        <f>IFERROR(__xludf.DUMMYFUNCTION("""COMPUTED_VALUE"""),"Dr Reddy's Laboratories Ltd")</f>
        <v>Dr Reddy's Laboratories Ltd</v>
      </c>
    </row>
    <row r="874">
      <c r="H874" s="3" t="str">
        <f>IFERROR(__xludf.DUMMYFUNCTION("""COMPUTED_VALUE"""),"Dr Reddy's Laboratories Ltd (SPECIALITY)")</f>
        <v>Dr Reddy's Laboratories Ltd (SPECIALITY)</v>
      </c>
    </row>
    <row r="875">
      <c r="H875" s="3" t="str">
        <f>IFERROR(__xludf.DUMMYFUNCTION("""COMPUTED_VALUE"""),"DR SENT REMEDIES PVT LTD")</f>
        <v>DR SENT REMEDIES PVT LTD</v>
      </c>
    </row>
    <row r="876">
      <c r="H876" s="3" t="str">
        <f>IFERROR(__xludf.DUMMYFUNCTION("""COMPUTED_VALUE"""),"DR SMITH'S HERBAL LABORATORIES")</f>
        <v>DR SMITH'S HERBAL LABORATORIES</v>
      </c>
    </row>
    <row r="877">
      <c r="H877" s="3" t="str">
        <f>IFERROR(__xludf.DUMMYFUNCTION("""COMPUTED_VALUE"""),"DR VEDA")</f>
        <v>DR VEDA</v>
      </c>
    </row>
    <row r="878">
      <c r="H878" s="3" t="str">
        <f>IFERROR(__xludf.DUMMYFUNCTION("""COMPUTED_VALUE"""),"DR WILLMAR SCHWABE INDIA PVT LTD")</f>
        <v>DR WILLMAR SCHWABE INDIA PVT LTD</v>
      </c>
    </row>
    <row r="879">
      <c r="H879" s="3" t="str">
        <f>IFERROR(__xludf.DUMMYFUNCTION("""COMPUTED_VALUE"""),"Dr. Johns Laboratories Pvt Ltd")</f>
        <v>Dr. Johns Laboratories Pvt Ltd</v>
      </c>
    </row>
    <row r="880">
      <c r="H880" s="3" t="str">
        <f>IFERROR(__xludf.DUMMYFUNCTION("""COMPUTED_VALUE"""),"DR. SURGICAL")</f>
        <v>DR. SURGICAL</v>
      </c>
    </row>
    <row r="881">
      <c r="H881" s="3" t="str">
        <f>IFERROR(__xludf.DUMMYFUNCTION("""COMPUTED_VALUE"""),"DRS CHOICE HEALTHCARE")</f>
        <v>DRS CHOICE HEALTHCARE</v>
      </c>
    </row>
    <row r="882">
      <c r="H882" s="3" t="str">
        <f>IFERROR(__xludf.DUMMYFUNCTION("""COMPUTED_VALUE"""),"DRUG INDIA")</f>
        <v>DRUG INDIA</v>
      </c>
    </row>
    <row r="883">
      <c r="H883" s="3" t="str">
        <f>IFERROR(__xludf.DUMMYFUNCTION("""COMPUTED_VALUE"""),"Dupen Laboratories Pvt Ltd")</f>
        <v>Dupen Laboratories Pvt Ltd</v>
      </c>
    </row>
    <row r="884">
      <c r="H884" s="3" t="str">
        <f>IFERROR(__xludf.DUMMYFUNCTION("""COMPUTED_VALUE"""),"DUPHA")</f>
        <v>DUPHA</v>
      </c>
    </row>
    <row r="885">
      <c r="H885" s="3" t="str">
        <f>IFERROR(__xludf.DUMMYFUNCTION("""COMPUTED_VALUE"""),"Duphar")</f>
        <v>Duphar</v>
      </c>
    </row>
    <row r="886">
      <c r="H886" s="3" t="str">
        <f>IFERROR(__xludf.DUMMYFUNCTION("""COMPUTED_VALUE"""),"DUPONT ORGANICS")</f>
        <v>DUPONT ORGANICS</v>
      </c>
    </row>
    <row r="887">
      <c r="H887" s="3" t="str">
        <f>IFERROR(__xludf.DUMMYFUNCTION("""COMPUTED_VALUE"""),"DUTT SURGICAL")</f>
        <v>DUTT SURGICAL</v>
      </c>
    </row>
    <row r="888">
      <c r="H888" s="3" t="str">
        <f>IFERROR(__xludf.DUMMYFUNCTION("""COMPUTED_VALUE"""),"DWD PHARMA (PRIME)")</f>
        <v>DWD PHARMA (PRIME)</v>
      </c>
    </row>
    <row r="889">
      <c r="H889" s="3" t="str">
        <f>IFERROR(__xludf.DUMMYFUNCTION("""COMPUTED_VALUE"""),"DWD PHARMA (SUPREME)")</f>
        <v>DWD PHARMA (SUPREME)</v>
      </c>
    </row>
    <row r="890">
      <c r="H890" s="3" t="str">
        <f>IFERROR(__xludf.DUMMYFUNCTION("""COMPUTED_VALUE"""),"DWD Pharmaceuticals Ltd")</f>
        <v>DWD Pharmaceuticals Ltd</v>
      </c>
    </row>
    <row r="891">
      <c r="H891" s="3" t="str">
        <f>IFERROR(__xludf.DUMMYFUNCTION("""COMPUTED_VALUE"""),"Dycine Pharmaceuticals Ltd")</f>
        <v>Dycine Pharmaceuticals Ltd</v>
      </c>
    </row>
    <row r="892">
      <c r="H892" s="3" t="str">
        <f>IFERROR(__xludf.DUMMYFUNCTION("""COMPUTED_VALUE"""),"DYMIX PHARMACEUTICALS PVT LTD")</f>
        <v>DYMIX PHARMACEUTICALS PVT LTD</v>
      </c>
    </row>
    <row r="893">
      <c r="H893" s="3" t="str">
        <f>IFERROR(__xludf.DUMMYFUNCTION("""COMPUTED_VALUE"""),"DYRICH CAPSULE")</f>
        <v>DYRICH CAPSULE</v>
      </c>
    </row>
    <row r="894">
      <c r="H894" s="3" t="str">
        <f>IFERROR(__xludf.DUMMYFUNCTION("""COMPUTED_VALUE"""),"DYRICH PLUS CAPSULE")</f>
        <v>DYRICH PLUS CAPSULE</v>
      </c>
    </row>
    <row r="895">
      <c r="H895" s="3" t="str">
        <f>IFERROR(__xludf.DUMMYFUNCTION("""COMPUTED_VALUE"""),"DYRICH SYP")</f>
        <v>DYRICH SYP</v>
      </c>
    </row>
    <row r="896">
      <c r="H896" s="3" t="str">
        <f>IFERROR(__xludf.DUMMYFUNCTION("""COMPUTED_VALUE"""),"E DERMA")</f>
        <v>E DERMA</v>
      </c>
    </row>
    <row r="897">
      <c r="H897" s="3" t="str">
        <f>IFERROR(__xludf.DUMMYFUNCTION("""COMPUTED_VALUE"""),"EAMON DRUGS PVT LTD")</f>
        <v>EAMON DRUGS PVT LTD</v>
      </c>
    </row>
    <row r="898">
      <c r="H898" s="3" t="str">
        <f>IFERROR(__xludf.DUMMYFUNCTION("""COMPUTED_VALUE"""),"East India Pharmaceutical Works Ltd")</f>
        <v>East India Pharmaceutical Works Ltd</v>
      </c>
    </row>
    <row r="899">
      <c r="H899" s="3" t="str">
        <f>IFERROR(__xludf.DUMMYFUNCTION("""COMPUTED_VALUE"""),"East West Pharma")</f>
        <v>East West Pharma</v>
      </c>
    </row>
    <row r="900">
      <c r="H900" s="3" t="str">
        <f>IFERROR(__xludf.DUMMYFUNCTION("""COMPUTED_VALUE"""),"EASTERN HEALTH CARE")</f>
        <v>EASTERN HEALTH CARE</v>
      </c>
    </row>
    <row r="901">
      <c r="H901" s="3" t="str">
        <f>IFERROR(__xludf.DUMMYFUNCTION("""COMPUTED_VALUE"""),"ECLIPSER PHARMACEUTICALS")</f>
        <v>ECLIPSER PHARMACEUTICALS</v>
      </c>
    </row>
    <row r="902">
      <c r="H902" s="3" t="str">
        <f>IFERROR(__xludf.DUMMYFUNCTION("""COMPUTED_VALUE"""),"ECLIPTA PHARMACEUTICAL PVT LTD")</f>
        <v>ECLIPTA PHARMACEUTICAL PVT LTD</v>
      </c>
    </row>
    <row r="903">
      <c r="H903" s="3" t="str">
        <f>IFERROR(__xludf.DUMMYFUNCTION("""COMPUTED_VALUE"""),"ECLIPTA PHARMACEUTICAL PVT LTD")</f>
        <v>ECLIPTA PHARMACEUTICAL PVT LTD</v>
      </c>
    </row>
    <row r="904">
      <c r="H904" s="3" t="str">
        <f>IFERROR(__xludf.DUMMYFUNCTION("""COMPUTED_VALUE"""),"ECOMED")</f>
        <v>ECOMED</v>
      </c>
    </row>
    <row r="905">
      <c r="H905" s="3" t="str">
        <f>IFERROR(__xludf.DUMMYFUNCTION("""COMPUTED_VALUE"""),"EDDONA LIFE SCIENCES")</f>
        <v>EDDONA LIFE SCIENCES</v>
      </c>
    </row>
    <row r="906">
      <c r="H906" s="3" t="str">
        <f>IFERROR(__xludf.DUMMYFUNCTION("""COMPUTED_VALUE"""),"EDEN HEALTHCARE")</f>
        <v>EDEN HEALTHCARE</v>
      </c>
    </row>
    <row r="907">
      <c r="H907" s="3" t="str">
        <f>IFERROR(__xludf.DUMMYFUNCTION("""COMPUTED_VALUE"""),"EDICO LAB")</f>
        <v>EDICO LAB</v>
      </c>
    </row>
    <row r="908">
      <c r="H908" s="3" t="str">
        <f>IFERROR(__xludf.DUMMYFUNCTION("""COMPUTED_VALUE"""),"EDISON ORGANICS PHARMACEUTICALS")</f>
        <v>EDISON ORGANICS PHARMACEUTICALS</v>
      </c>
    </row>
    <row r="909">
      <c r="H909" s="3" t="str">
        <f>IFERROR(__xludf.DUMMYFUNCTION("""COMPUTED_VALUE"""),"Edrant pharmaceuticals")</f>
        <v>Edrant pharmaceuticals</v>
      </c>
    </row>
    <row r="910">
      <c r="H910" s="3" t="str">
        <f>IFERROR(__xludf.DUMMYFUNCTION("""COMPUTED_VALUE"""),"Eisai Pharmaceuticals India Pvt Ltd")</f>
        <v>Eisai Pharmaceuticals India Pvt Ltd</v>
      </c>
    </row>
    <row r="911">
      <c r="H911" s="3" t="str">
        <f>IFERROR(__xludf.DUMMYFUNCTION("""COMPUTED_VALUE"""),"EISEN PHARMA")</f>
        <v>EISEN PHARMA</v>
      </c>
    </row>
    <row r="912">
      <c r="H912" s="3" t="str">
        <f>IFERROR(__xludf.DUMMYFUNCTION("""COMPUTED_VALUE"""),"EKMAY")</f>
        <v>EKMAY</v>
      </c>
    </row>
    <row r="913">
      <c r="H913" s="3" t="str">
        <f>IFERROR(__xludf.DUMMYFUNCTION("""COMPUTED_VALUE"""),"Elan Pharma India Pvt Ltd")</f>
        <v>Elan Pharma India Pvt Ltd</v>
      </c>
    </row>
    <row r="914">
      <c r="H914" s="3" t="str">
        <f>IFERROR(__xludf.DUMMYFUNCTION("""COMPUTED_VALUE"""),"ELANCER PHARMACEUTICALS")</f>
        <v>ELANCER PHARMACEUTICALS</v>
      </c>
    </row>
    <row r="915">
      <c r="H915" s="3" t="str">
        <f>IFERROR(__xludf.DUMMYFUNCTION("""COMPUTED_VALUE"""),"ELAXIM PHARMA")</f>
        <v>ELAXIM PHARMA</v>
      </c>
    </row>
    <row r="916">
      <c r="H916" s="3" t="str">
        <f>IFERROR(__xludf.DUMMYFUNCTION("""COMPUTED_VALUE"""),"ELCLIF FORMULATION")</f>
        <v>ELCLIF FORMULATION</v>
      </c>
    </row>
    <row r="917">
      <c r="H917" s="3" t="str">
        <f>IFERROR(__xludf.DUMMYFUNCTION("""COMPUTED_VALUE"""),"ELCURE BIOTEC")</f>
        <v>ELCURE BIOTEC</v>
      </c>
    </row>
    <row r="918">
      <c r="H918" s="3" t="str">
        <f>IFERROR(__xludf.DUMMYFUNCTION("""COMPUTED_VALUE"""),"ELDER (A)")</f>
        <v>ELDER (A)</v>
      </c>
    </row>
    <row r="919">
      <c r="H919" s="3" t="str">
        <f>IFERROR(__xludf.DUMMYFUNCTION("""COMPUTED_VALUE"""),"ELDER (ADVENTT)")</f>
        <v>ELDER (ADVENTT)</v>
      </c>
    </row>
    <row r="920">
      <c r="H920" s="3" t="str">
        <f>IFERROR(__xludf.DUMMYFUNCTION("""COMPUTED_VALUE"""),"ELDER (ADVENTUS)")</f>
        <v>ELDER (ADVENTUS)</v>
      </c>
    </row>
    <row r="921">
      <c r="H921" s="3" t="str">
        <f>IFERROR(__xludf.DUMMYFUNCTION("""COMPUTED_VALUE"""),"ELDER (B-SPECIALITIES)")</f>
        <v>ELDER (B-SPECIALITIES)</v>
      </c>
    </row>
    <row r="922">
      <c r="H922" s="3" t="str">
        <f>IFERROR(__xludf.DUMMYFUNCTION("""COMPUTED_VALUE"""),"ELDER (B)")</f>
        <v>ELDER (B)</v>
      </c>
    </row>
    <row r="923">
      <c r="H923" s="3" t="str">
        <f>IFERROR(__xludf.DUMMYFUNCTION("""COMPUTED_VALUE"""),"ELDER (ELNOVA)")</f>
        <v>ELDER (ELNOVA)</v>
      </c>
    </row>
    <row r="924">
      <c r="H924" s="3" t="str">
        <f>IFERROR(__xludf.DUMMYFUNCTION("""COMPUTED_VALUE"""),"ELDER (ELVISTA)")</f>
        <v>ELDER (ELVISTA)</v>
      </c>
    </row>
    <row r="925">
      <c r="H925" s="3" t="str">
        <f>IFERROR(__xludf.DUMMYFUNCTION("""COMPUTED_VALUE"""),"ELDER (GENERIC)")</f>
        <v>ELDER (GENERIC)</v>
      </c>
    </row>
    <row r="926">
      <c r="H926" s="3" t="str">
        <f>IFERROR(__xludf.DUMMYFUNCTION("""COMPUTED_VALUE"""),"ELDER (MIS)")</f>
        <v>ELDER (MIS)</v>
      </c>
    </row>
    <row r="927">
      <c r="H927" s="3" t="str">
        <f>IFERROR(__xludf.DUMMYFUNCTION("""COMPUTED_VALUE"""),"Elder Pharmaceuticals Ltd")</f>
        <v>Elder Pharmaceuticals Ltd</v>
      </c>
    </row>
    <row r="928">
      <c r="H928" s="3" t="str">
        <f>IFERROR(__xludf.DUMMYFUNCTION("""COMPUTED_VALUE"""),"ELDORA HEALTHCARE")</f>
        <v>ELDORA HEALTHCARE</v>
      </c>
    </row>
    <row r="929">
      <c r="H929" s="3" t="str">
        <f>IFERROR(__xludf.DUMMYFUNCTION("""COMPUTED_VALUE"""),"ELEMENSIS LIFESCIENCES PVT LTD")</f>
        <v>ELEMENSIS LIFESCIENCES PVT LTD</v>
      </c>
    </row>
    <row r="930">
      <c r="H930" s="3" t="str">
        <f>IFERROR(__xludf.DUMMYFUNCTION("""COMPUTED_VALUE"""),"ELEMENTS WELLNESS")</f>
        <v>ELEMENTS WELLNESS</v>
      </c>
    </row>
    <row r="931">
      <c r="H931" s="3" t="str">
        <f>IFERROR(__xludf.DUMMYFUNCTION("""COMPUTED_VALUE"""),"ELENOR HEALTHCARE")</f>
        <v>ELENOR HEALTHCARE</v>
      </c>
    </row>
    <row r="932">
      <c r="H932" s="3" t="str">
        <f>IFERROR(__xludf.DUMMYFUNCTION("""COMPUTED_VALUE"""),"ELFIN PHARMA P LTD")</f>
        <v>ELFIN PHARMA P LTD</v>
      </c>
    </row>
    <row r="933">
      <c r="H933" s="3" t="str">
        <f>IFERROR(__xludf.DUMMYFUNCTION("""COMPUTED_VALUE"""),"Eli Lilly and Company India Pvt Ltd")</f>
        <v>Eli Lilly and Company India Pvt Ltd</v>
      </c>
    </row>
    <row r="934">
      <c r="H934" s="3" t="str">
        <f>IFERROR(__xludf.DUMMYFUNCTION("""COMPUTED_VALUE"""),"ELI PHARMACEUTICALS")</f>
        <v>ELI PHARMACEUTICALS</v>
      </c>
    </row>
    <row r="935">
      <c r="H935" s="3" t="str">
        <f>IFERROR(__xludf.DUMMYFUNCTION("""COMPUTED_VALUE"""),"ELION HEALTHCARE PVT LTD")</f>
        <v>ELION HEALTHCARE PVT LTD</v>
      </c>
    </row>
    <row r="936">
      <c r="H936" s="3" t="str">
        <f>IFERROR(__xludf.DUMMYFUNCTION("""COMPUTED_VALUE"""),"ELIXIR LIFE CARE")</f>
        <v>ELIXIR LIFE CARE</v>
      </c>
    </row>
    <row r="937">
      <c r="H937" s="3" t="str">
        <f>IFERROR(__xludf.DUMMYFUNCTION("""COMPUTED_VALUE"""),"ELIXIR LIFE CARE (ACCELENT)")</f>
        <v>ELIXIR LIFE CARE (ACCELENT)</v>
      </c>
    </row>
    <row r="938">
      <c r="H938" s="3" t="str">
        <f>IFERROR(__xludf.DUMMYFUNCTION("""COMPUTED_VALUE"""),"ELIXIR MEDISERVE P LTD")</f>
        <v>ELIXIR MEDISERVE P LTD</v>
      </c>
    </row>
    <row r="939">
      <c r="H939" s="3" t="str">
        <f>IFERROR(__xludf.DUMMYFUNCTION("""COMPUTED_VALUE"""),"ELKOS HEALTHCARE P LTD")</f>
        <v>ELKOS HEALTHCARE P LTD</v>
      </c>
    </row>
    <row r="940">
      <c r="H940" s="3" t="str">
        <f>IFERROR(__xludf.DUMMYFUNCTION("""COMPUTED_VALUE"""),"ELLINOR LIFESCIENCES")</f>
        <v>ELLINOR LIFESCIENCES</v>
      </c>
    </row>
    <row r="941">
      <c r="H941" s="3" t="str">
        <f>IFERROR(__xludf.DUMMYFUNCTION("""COMPUTED_VALUE"""),"ELLIOT BIOTECH")</f>
        <v>ELLIOT BIOTECH</v>
      </c>
    </row>
    <row r="942">
      <c r="H942" s="3" t="str">
        <f>IFERROR(__xludf.DUMMYFUNCTION("""COMPUTED_VALUE"""),"ELNOVA PHARMA SIRMOUR")</f>
        <v>ELNOVA PHARMA SIRMOUR</v>
      </c>
    </row>
    <row r="943">
      <c r="H943" s="3" t="str">
        <f>IFERROR(__xludf.DUMMYFUNCTION("""COMPUTED_VALUE"""),"ELVIA")</f>
        <v>ELVIA</v>
      </c>
    </row>
    <row r="944">
      <c r="H944" s="3" t="str">
        <f>IFERROR(__xludf.DUMMYFUNCTION("""COMPUTED_VALUE"""),"Emami Ltd")</f>
        <v>Emami Ltd</v>
      </c>
    </row>
    <row r="945">
      <c r="H945" s="3" t="str">
        <f>IFERROR(__xludf.DUMMYFUNCTION("""COMPUTED_VALUE"""),"EMBARK LIFESCIENCE PVT LTD")</f>
        <v>EMBARK LIFESCIENCE PVT LTD</v>
      </c>
    </row>
    <row r="946">
      <c r="H946" s="3" t="str">
        <f>IFERROR(__xludf.DUMMYFUNCTION("""COMPUTED_VALUE"""),"EMCURE (EMCUTIX)")</f>
        <v>EMCURE (EMCUTIX)</v>
      </c>
    </row>
    <row r="947">
      <c r="H947" s="3" t="str">
        <f>IFERROR(__xludf.DUMMYFUNCTION("""COMPUTED_VALUE"""),"EMCURE (GENNOVA)")</f>
        <v>EMCURE (GENNOVA)</v>
      </c>
    </row>
    <row r="948">
      <c r="H948" s="3" t="str">
        <f>IFERROR(__xludf.DUMMYFUNCTION("""COMPUTED_VALUE"""),"EMCURE PHARMA (CD)")</f>
        <v>EMCURE PHARMA (CD)</v>
      </c>
    </row>
    <row r="949">
      <c r="H949" s="3" t="str">
        <f>IFERROR(__xludf.DUMMYFUNCTION("""COMPUTED_VALUE"""),"EMCURE PHARMA (CRIANTE)")</f>
        <v>EMCURE PHARMA (CRIANTE)</v>
      </c>
    </row>
    <row r="950">
      <c r="H950" s="3" t="str">
        <f>IFERROR(__xludf.DUMMYFUNCTION("""COMPUTED_VALUE"""),"EMCURE PHARMA (IMPETUS)")</f>
        <v>EMCURE PHARMA (IMPETUS)</v>
      </c>
    </row>
    <row r="951">
      <c r="H951" s="3" t="str">
        <f>IFERROR(__xludf.DUMMYFUNCTION("""COMPUTED_VALUE"""),"EMCURE PHARMA (INFIUS)")</f>
        <v>EMCURE PHARMA (INFIUS)</v>
      </c>
    </row>
    <row r="952">
      <c r="H952" s="3" t="str">
        <f>IFERROR(__xludf.DUMMYFUNCTION("""COMPUTED_VALUE"""),"EMCURE PHARMA (INVENTIA)")</f>
        <v>EMCURE PHARMA (INVENTIA)</v>
      </c>
    </row>
    <row r="953">
      <c r="H953" s="3" t="str">
        <f>IFERROR(__xludf.DUMMYFUNCTION("""COMPUTED_VALUE"""),"EMCURE PHARMA (KONKER)")</f>
        <v>EMCURE PHARMA (KONKER)</v>
      </c>
    </row>
    <row r="954">
      <c r="H954" s="3" t="str">
        <f>IFERROR(__xludf.DUMMYFUNCTION("""COMPUTED_VALUE"""),"EMCURE PHARMA (NEPHRO)")</f>
        <v>EMCURE PHARMA (NEPHRO)</v>
      </c>
    </row>
    <row r="955">
      <c r="H955" s="3" t="str">
        <f>IFERROR(__xludf.DUMMYFUNCTION("""COMPUTED_VALUE"""),"EMCURE PHARMA (NUCRON CV)")</f>
        <v>EMCURE PHARMA (NUCRON CV)</v>
      </c>
    </row>
    <row r="956">
      <c r="H956" s="3" t="str">
        <f>IFERROR(__xludf.DUMMYFUNCTION("""COMPUTED_VALUE"""),"EMCURE PHARMA (NUCRON)")</f>
        <v>EMCURE PHARMA (NUCRON)</v>
      </c>
    </row>
    <row r="957">
      <c r="H957" s="3" t="str">
        <f>IFERROR(__xludf.DUMMYFUNCTION("""COMPUTED_VALUE"""),"EMCURE PHARMA (PHARMA)")</f>
        <v>EMCURE PHARMA (PHARMA)</v>
      </c>
    </row>
    <row r="958">
      <c r="H958" s="3" t="str">
        <f>IFERROR(__xludf.DUMMYFUNCTION("""COMPUTED_VALUE"""),"EMCURE PHARMA (URO)")</f>
        <v>EMCURE PHARMA (URO)</v>
      </c>
    </row>
    <row r="959">
      <c r="H959" s="3" t="str">
        <f>IFERROR(__xludf.DUMMYFUNCTION("""COMPUTED_VALUE"""),"EMCURE PHARMA (VIROLOGY)")</f>
        <v>EMCURE PHARMA (VIROLOGY)</v>
      </c>
    </row>
    <row r="960">
      <c r="H960" s="3" t="str">
        <f>IFERROR(__xludf.DUMMYFUNCTION("""COMPUTED_VALUE"""),"EMCURE PHARMA (XENNEX)")</f>
        <v>EMCURE PHARMA (XENNEX)</v>
      </c>
    </row>
    <row r="961">
      <c r="H961" s="3" t="str">
        <f>IFERROR(__xludf.DUMMYFUNCTION("""COMPUTED_VALUE"""),"EMCURE PHARMA (ZEMCURE)")</f>
        <v>EMCURE PHARMA (ZEMCURE)</v>
      </c>
    </row>
    <row r="962">
      <c r="H962" s="3" t="str">
        <f>IFERROR(__xludf.DUMMYFUNCTION("""COMPUTED_VALUE"""),"Emcure Pharmaceuticals Ltd")</f>
        <v>Emcure Pharmaceuticals Ltd</v>
      </c>
    </row>
    <row r="963">
      <c r="H963" s="3" t="str">
        <f>IFERROR(__xludf.DUMMYFUNCTION("""COMPUTED_VALUE"""),"EMENOX HEALTHCARE")</f>
        <v>EMENOX HEALTHCARE</v>
      </c>
    </row>
    <row r="964">
      <c r="H964" s="3" t="str">
        <f>IFERROR(__xludf.DUMMYFUNCTION("""COMPUTED_VALUE"""),"EMIL PHARMACEUTICAL INDUSTRIES PVT LTD")</f>
        <v>EMIL PHARMACEUTICAL INDUSTRIES PVT LTD</v>
      </c>
    </row>
    <row r="965">
      <c r="H965" s="3" t="str">
        <f>IFERROR(__xludf.DUMMYFUNCTION("""COMPUTED_VALUE"""),"EMKEDY HEALTH CARE")</f>
        <v>EMKEDY HEALTH CARE</v>
      </c>
    </row>
    <row r="966">
      <c r="H966" s="3" t="str">
        <f>IFERROR(__xludf.DUMMYFUNCTION("""COMPUTED_VALUE"""),"EMMY PHARMACEUTICAL")</f>
        <v>EMMY PHARMACEUTICAL</v>
      </c>
    </row>
    <row r="967">
      <c r="H967" s="3" t="str">
        <f>IFERROR(__xludf.DUMMYFUNCTION("""COMPUTED_VALUE"""),"EMPHASIS PHARMA P LTD")</f>
        <v>EMPHASIS PHARMA P LTD</v>
      </c>
    </row>
    <row r="968">
      <c r="H968" s="3" t="str">
        <f>IFERROR(__xludf.DUMMYFUNCTION("""COMPUTED_VALUE"""),"Empiai Pharmaceuticals Pvt Ltd")</f>
        <v>Empiai Pharmaceuticals Pvt Ltd</v>
      </c>
    </row>
    <row r="969">
      <c r="H969" s="3" t="str">
        <f>IFERROR(__xludf.DUMMYFUNCTION("""COMPUTED_VALUE"""),"ENCORE HEALTHCARE PVT LTD")</f>
        <v>ENCORE HEALTHCARE PVT LTD</v>
      </c>
    </row>
    <row r="970">
      <c r="H970" s="3" t="str">
        <f>IFERROR(__xludf.DUMMYFUNCTION("""COMPUTED_VALUE"""),"Encore Pharmaceuticals Inc.")</f>
        <v>Encore Pharmaceuticals Inc.</v>
      </c>
    </row>
    <row r="971">
      <c r="H971" s="3" t="str">
        <f>IFERROR(__xludf.DUMMYFUNCTION("""COMPUTED_VALUE"""),"ENCYCLO HEATHCARE")</f>
        <v>ENCYCLO HEATHCARE</v>
      </c>
    </row>
    <row r="972">
      <c r="H972" s="3" t="str">
        <f>IFERROR(__xludf.DUMMYFUNCTION("""COMPUTED_VALUE"""),"ENDOLABS LTD")</f>
        <v>ENDOLABS LTD</v>
      </c>
    </row>
    <row r="973">
      <c r="H973" s="3" t="str">
        <f>IFERROR(__xludf.DUMMYFUNCTION("""COMPUTED_VALUE"""),"ENRICO PHARMA")</f>
        <v>ENRICO PHARMA</v>
      </c>
    </row>
    <row r="974">
      <c r="H974" s="3" t="str">
        <f>IFERROR(__xludf.DUMMYFUNCTION("""COMPUTED_VALUE"""),"Entod Pharmaceuticals Ltd")</f>
        <v>Entod Pharmaceuticals Ltd</v>
      </c>
    </row>
    <row r="975">
      <c r="H975" s="3" t="str">
        <f>IFERROR(__xludf.DUMMYFUNCTION("""COMPUTED_VALUE"""),"EOS DERMACEUTICALS")</f>
        <v>EOS DERMACEUTICALS</v>
      </c>
    </row>
    <row r="976">
      <c r="H976" s="3" t="str">
        <f>IFERROR(__xludf.DUMMYFUNCTION("""COMPUTED_VALUE"""),"EPIC LIFESCIENCE")</f>
        <v>EPIC LIFESCIENCE</v>
      </c>
    </row>
    <row r="977">
      <c r="H977" s="3" t="str">
        <f>IFERROR(__xludf.DUMMYFUNCTION("""COMPUTED_VALUE"""),"EPONA PHARMACEUTICALS")</f>
        <v>EPONA PHARMACEUTICALS</v>
      </c>
    </row>
    <row r="978">
      <c r="H978" s="3" t="str">
        <f>IFERROR(__xludf.DUMMYFUNCTION("""COMPUTED_VALUE"""),"Era Pharmaceuticals")</f>
        <v>Era Pharmaceuticals</v>
      </c>
    </row>
    <row r="979">
      <c r="H979" s="3" t="str">
        <f>IFERROR(__xludf.DUMMYFUNCTION("""COMPUTED_VALUE"""),"ERIDANUS HEALTHCARE")</f>
        <v>ERIDANUS HEALTHCARE</v>
      </c>
    </row>
    <row r="980">
      <c r="H980" s="3" t="str">
        <f>IFERROR(__xludf.DUMMYFUNCTION("""COMPUTED_VALUE"""),"ERIS (ADURA)")</f>
        <v>ERIS (ADURA)</v>
      </c>
    </row>
    <row r="981">
      <c r="H981" s="3" t="str">
        <f>IFERROR(__xludf.DUMMYFUNCTION("""COMPUTED_VALUE"""),"ERIS (ALTIZA)")</f>
        <v>ERIS (ALTIZA)</v>
      </c>
    </row>
    <row r="982">
      <c r="H982" s="3" t="str">
        <f>IFERROR(__xludf.DUMMYFUNCTION("""COMPUTED_VALUE"""),"ERIS (ASPIRE)")</f>
        <v>ERIS (ASPIRE)</v>
      </c>
    </row>
    <row r="983">
      <c r="H983" s="3" t="str">
        <f>IFERROR(__xludf.DUMMYFUNCTION("""COMPUTED_VALUE"""),"ERIS (ETERNA)")</f>
        <v>ERIS (ETERNA)</v>
      </c>
    </row>
    <row r="984">
      <c r="H984" s="3" t="str">
        <f>IFERROR(__xludf.DUMMYFUNCTION("""COMPUTED_VALUE"""),"ERIS (INSPIRA)")</f>
        <v>ERIS (INSPIRA)</v>
      </c>
    </row>
    <row r="985">
      <c r="H985" s="3" t="str">
        <f>IFERROR(__xludf.DUMMYFUNCTION("""COMPUTED_VALUE"""),"ERIS (LIFE-I)")</f>
        <v>ERIS (LIFE-I)</v>
      </c>
    </row>
    <row r="986">
      <c r="H986" s="3" t="str">
        <f>IFERROR(__xludf.DUMMYFUNCTION("""COMPUTED_VALUE"""),"ERIS (LIFE-II)")</f>
        <v>ERIS (LIFE-II)</v>
      </c>
    </row>
    <row r="987">
      <c r="H987" s="3" t="str">
        <f>IFERROR(__xludf.DUMMYFUNCTION("""COMPUTED_VALUE"""),"ERIS (MONTANA)")</f>
        <v>ERIS (MONTANA)</v>
      </c>
    </row>
    <row r="988">
      <c r="H988" s="3" t="str">
        <f>IFERROR(__xludf.DUMMYFUNCTION("""COMPUTED_VALUE"""),"ERIS (NIKKOS)")</f>
        <v>ERIS (NIKKOS)</v>
      </c>
    </row>
    <row r="989">
      <c r="H989" s="3" t="str">
        <f>IFERROR(__xludf.DUMMYFUNCTION("""COMPUTED_VALUE"""),"ERIS (ONE)")</f>
        <v>ERIS (ONE)</v>
      </c>
    </row>
    <row r="990">
      <c r="H990" s="3" t="str">
        <f>IFERROR(__xludf.DUMMYFUNCTION("""COMPUTED_VALUE"""),"ERIS (PHOENIX)")</f>
        <v>ERIS (PHOENIX)</v>
      </c>
    </row>
    <row r="991">
      <c r="H991" s="3" t="str">
        <f>IFERROR(__xludf.DUMMYFUNCTION("""COMPUTED_VALUE"""),"ERIS (TWO)")</f>
        <v>ERIS (TWO)</v>
      </c>
    </row>
    <row r="992">
      <c r="H992" s="3" t="str">
        <f>IFERROR(__xludf.DUMMYFUNCTION("""COMPUTED_VALUE"""),"ERIS (VICTUS)")</f>
        <v>ERIS (VICTUS)</v>
      </c>
    </row>
    <row r="993">
      <c r="H993" s="3" t="str">
        <f>IFERROR(__xludf.DUMMYFUNCTION("""COMPUTED_VALUE"""),"Eris Life Sciences Pvt Ltd")</f>
        <v>Eris Life Sciences Pvt Ltd</v>
      </c>
    </row>
    <row r="994">
      <c r="H994" s="3" t="str">
        <f>IFERROR(__xludf.DUMMYFUNCTION("""COMPUTED_VALUE"""),"ERIS LIFESCIENCES PVT LTD.")</f>
        <v>ERIS LIFESCIENCES PVT LTD.</v>
      </c>
    </row>
    <row r="995">
      <c r="H995" s="3" t="str">
        <f>IFERROR(__xludf.DUMMYFUNCTION("""COMPUTED_VALUE"""),"ERNST PHARMACIA")</f>
        <v>ERNST PHARMACIA</v>
      </c>
    </row>
    <row r="996">
      <c r="H996" s="3" t="str">
        <f>IFERROR(__xludf.DUMMYFUNCTION("""COMPUTED_VALUE"""),"EROSE PHARMACEUTICALS")</f>
        <v>EROSE PHARMACEUTICALS</v>
      </c>
    </row>
    <row r="997">
      <c r="H997" s="3" t="str">
        <f>IFERROR(__xludf.DUMMYFUNCTION("""COMPUTED_VALUE"""),"ERYX HEALTHCARE P LTD")</f>
        <v>ERYX HEALTHCARE P LTD</v>
      </c>
    </row>
    <row r="998">
      <c r="H998" s="3" t="str">
        <f>IFERROR(__xludf.DUMMYFUNCTION("""COMPUTED_VALUE"""),"ESKAG PHARMA")</f>
        <v>ESKAG PHARMA</v>
      </c>
    </row>
    <row r="999">
      <c r="H999" s="3" t="str">
        <f>IFERROR(__xludf.DUMMYFUNCTION("""COMPUTED_VALUE"""),"ESTRELLAS LIFESCIENCES")</f>
        <v>ESTRELLAS LIFESCIENCES</v>
      </c>
    </row>
    <row r="1000">
      <c r="H1000" s="3" t="str">
        <f>IFERROR(__xludf.DUMMYFUNCTION("""COMPUTED_VALUE"""),"Ethicare Pharma")</f>
        <v>Ethicare Pharma</v>
      </c>
    </row>
    <row r="1001">
      <c r="H1001" s="3" t="str">
        <f>IFERROR(__xludf.DUMMYFUNCTION("""COMPUTED_VALUE"""),"Ethicare Remedies")</f>
        <v>Ethicare Remedies</v>
      </c>
    </row>
    <row r="1002">
      <c r="H1002" s="3" t="str">
        <f>IFERROR(__xludf.DUMMYFUNCTION("""COMPUTED_VALUE"""),"Ethilexhealth Care Guj Ltd")</f>
        <v>Ethilexhealth Care Guj Ltd</v>
      </c>
    </row>
    <row r="1003">
      <c r="H1003" s="3" t="str">
        <f>IFERROR(__xludf.DUMMYFUNCTION("""COMPUTED_VALUE"""),"Ethinext Pharma")</f>
        <v>Ethinext Pharma</v>
      </c>
    </row>
    <row r="1004">
      <c r="H1004" s="3" t="str">
        <f>IFERROR(__xludf.DUMMYFUNCTION("""COMPUTED_VALUE"""),"EU GENIA BIOCARE INTERNATIONAL")</f>
        <v>EU GENIA BIOCARE INTERNATIONAL</v>
      </c>
    </row>
    <row r="1005">
      <c r="H1005" s="3" t="str">
        <f>IFERROR(__xludf.DUMMYFUNCTION("""COMPUTED_VALUE"""),"EUPHONY HEALTHCARE")</f>
        <v>EUPHONY HEALTHCARE</v>
      </c>
    </row>
    <row r="1006">
      <c r="H1006" s="3" t="str">
        <f>IFERROR(__xludf.DUMMYFUNCTION("""COMPUTED_VALUE"""),"EUPHORIA INDIA PHARMACEUTICALS")</f>
        <v>EUPHORIA INDIA PHARMACEUTICALS</v>
      </c>
    </row>
    <row r="1007">
      <c r="H1007" s="3" t="str">
        <f>IFERROR(__xludf.DUMMYFUNCTION("""COMPUTED_VALUE"""),"EURO BIOLOGICALS")</f>
        <v>EURO BIOLOGICALS</v>
      </c>
    </row>
    <row r="1008">
      <c r="H1008" s="3" t="str">
        <f>IFERROR(__xludf.DUMMYFUNCTION("""COMPUTED_VALUE"""),"EURO BIOTECH")</f>
        <v>EURO BIOTECH</v>
      </c>
    </row>
    <row r="1009">
      <c r="H1009" s="3" t="str">
        <f>IFERROR(__xludf.DUMMYFUNCTION("""COMPUTED_VALUE"""),"EURO HEALTH &amp; BIOSEARCH")</f>
        <v>EURO HEALTH &amp; BIOSEARCH</v>
      </c>
    </row>
    <row r="1010">
      <c r="H1010" s="3" t="str">
        <f>IFERROR(__xludf.DUMMYFUNCTION("""COMPUTED_VALUE"""),"EUROCARE")</f>
        <v>EUROCARE</v>
      </c>
    </row>
    <row r="1011">
      <c r="H1011" s="3" t="str">
        <f>IFERROR(__xludf.DUMMYFUNCTION("""COMPUTED_VALUE"""),"EUROPA HEALTH CARE")</f>
        <v>EUROPA HEALTH CARE</v>
      </c>
    </row>
    <row r="1012">
      <c r="H1012" s="3" t="str">
        <f>IFERROR(__xludf.DUMMYFUNCTION("""COMPUTED_VALUE"""),"EVANCE PHARMA")</f>
        <v>EVANCE PHARMA</v>
      </c>
    </row>
    <row r="1013">
      <c r="H1013" s="3" t="str">
        <f>IFERROR(__xludf.DUMMYFUNCTION("""COMPUTED_VALUE"""),"EVDOXIA LIFESCIENCES PVT LTD")</f>
        <v>EVDOXIA LIFESCIENCES PVT LTD</v>
      </c>
    </row>
    <row r="1014">
      <c r="H1014" s="3" t="str">
        <f>IFERROR(__xludf.DUMMYFUNCTION("""COMPUTED_VALUE"""),"EVERWELL PHARMA")</f>
        <v>EVERWELL PHARMA</v>
      </c>
    </row>
    <row r="1015">
      <c r="H1015" s="3" t="str">
        <f>IFERROR(__xludf.DUMMYFUNCTION("""COMPUTED_VALUE"""),"EVOK LIFESCIENCES PVT LTD")</f>
        <v>EVOK LIFESCIENCES PVT LTD</v>
      </c>
    </row>
    <row r="1016">
      <c r="H1016" s="3" t="str">
        <f>IFERROR(__xludf.DUMMYFUNCTION("""COMPUTED_VALUE"""),"EXAZAM MD")</f>
        <v>EXAZAM MD</v>
      </c>
    </row>
    <row r="1017">
      <c r="H1017" s="3" t="str">
        <f>IFERROR(__xludf.DUMMYFUNCTION("""COMPUTED_VALUE"""),"Eyekare Kilitch Limited")</f>
        <v>Eyekare Kilitch Limited</v>
      </c>
    </row>
    <row r="1018">
      <c r="H1018" s="3" t="str">
        <f>IFERROR(__xludf.DUMMYFUNCTION("""COMPUTED_VALUE"""),"EYEORA LIFESCIENCES")</f>
        <v>EYEORA LIFESCIENCES</v>
      </c>
    </row>
    <row r="1019">
      <c r="H1019" s="3" t="str">
        <f>IFERROR(__xludf.DUMMYFUNCTION("""COMPUTED_VALUE"""),"FAIR DERMA REMEDIES")</f>
        <v>FAIR DERMA REMEDIES</v>
      </c>
    </row>
    <row r="1020">
      <c r="H1020" s="3" t="str">
        <f>IFERROR(__xludf.DUMMYFUNCTION("""COMPUTED_VALUE"""),"FAMY CARE LTD")</f>
        <v>FAMY CARE LTD</v>
      </c>
    </row>
    <row r="1021">
      <c r="H1021" s="3" t="str">
        <f>IFERROR(__xludf.DUMMYFUNCTION("""COMPUTED_VALUE"""),"FARLEX PHARMACEUTICAL")</f>
        <v>FARLEX PHARMACEUTICAL</v>
      </c>
    </row>
    <row r="1022">
      <c r="H1022" s="3" t="str">
        <f>IFERROR(__xludf.DUMMYFUNCTION("""COMPUTED_VALUE"""),"FATEH PHARMACY")</f>
        <v>FATEH PHARMACY</v>
      </c>
    </row>
    <row r="1023">
      <c r="H1023" s="3" t="str">
        <f>IFERROR(__xludf.DUMMYFUNCTION("""COMPUTED_VALUE"""),"FATHER MULLER")</f>
        <v>FATHER MULLER</v>
      </c>
    </row>
    <row r="1024">
      <c r="H1024" s="3" t="str">
        <f>IFERROR(__xludf.DUMMYFUNCTION("""COMPUTED_VALUE"""),"FAWN PHARMA")</f>
        <v>FAWN PHARMA</v>
      </c>
    </row>
    <row r="1025">
      <c r="H1025" s="3" t="str">
        <f>IFERROR(__xludf.DUMMYFUNCTION("""COMPUTED_VALUE"""),"FDC Ltd")</f>
        <v>FDC Ltd</v>
      </c>
    </row>
    <row r="1026">
      <c r="H1026" s="3" t="str">
        <f>IFERROR(__xludf.DUMMYFUNCTION("""COMPUTED_VALUE"""),"FDC Ltd (DILSE)")</f>
        <v>FDC Ltd (DILSE)</v>
      </c>
    </row>
    <row r="1027">
      <c r="H1027" s="3" t="str">
        <f>IFERROR(__xludf.DUMMYFUNCTION("""COMPUTED_VALUE"""),"FDC Ltd (LUMINA)")</f>
        <v>FDC Ltd (LUMINA)</v>
      </c>
    </row>
    <row r="1028">
      <c r="H1028" s="3" t="str">
        <f>IFERROR(__xludf.DUMMYFUNCTION("""COMPUTED_VALUE"""),"FDC Ltd (PIXEL)")</f>
        <v>FDC Ltd (PIXEL)</v>
      </c>
    </row>
    <row r="1029">
      <c r="H1029" s="3" t="str">
        <f>IFERROR(__xludf.DUMMYFUNCTION("""COMPUTED_VALUE"""),"FDC Ltd (PROXIMA)")</f>
        <v>FDC Ltd (PROXIMA)</v>
      </c>
    </row>
    <row r="1030">
      <c r="H1030" s="3" t="str">
        <f>IFERROR(__xludf.DUMMYFUNCTION("""COMPUTED_VALUE"""),"FDC Ltd (SELECT)")</f>
        <v>FDC Ltd (SELECT)</v>
      </c>
    </row>
    <row r="1031">
      <c r="H1031" s="3" t="str">
        <f>IFERROR(__xludf.DUMMYFUNCTION("""COMPUTED_VALUE"""),"FDC Ltd (SPECTRA)")</f>
        <v>FDC Ltd (SPECTRA)</v>
      </c>
    </row>
    <row r="1032">
      <c r="H1032" s="3" t="str">
        <f>IFERROR(__xludf.DUMMYFUNCTION("""COMPUTED_VALUE"""),"FDC Ltd (VISTA)")</f>
        <v>FDC Ltd (VISTA)</v>
      </c>
    </row>
    <row r="1033">
      <c r="H1033" s="3" t="str">
        <f>IFERROR(__xludf.DUMMYFUNCTION("""COMPUTED_VALUE"""),"FDC LtdTED")</f>
        <v>FDC LtdTED</v>
      </c>
    </row>
    <row r="1034">
      <c r="H1034" s="3" t="str">
        <f>IFERROR(__xludf.DUMMYFUNCTION("""COMPUTED_VALUE"""),"FEDERAL BIOSCIENCES")</f>
        <v>FEDERAL BIOSCIENCES</v>
      </c>
    </row>
    <row r="1035">
      <c r="H1035" s="3" t="str">
        <f>IFERROR(__xludf.DUMMYFUNCTION("""COMPUTED_VALUE"""),"FEDERAL'S BIOS")</f>
        <v>FEDERAL'S BIOS</v>
      </c>
    </row>
    <row r="1036">
      <c r="H1036" s="3" t="str">
        <f>IFERROR(__xludf.DUMMYFUNCTION("""COMPUTED_VALUE"""),"Fem Care Pharma Ltd.")</f>
        <v>Fem Care Pharma Ltd.</v>
      </c>
    </row>
    <row r="1037">
      <c r="H1037" s="3" t="str">
        <f>IFERROR(__xludf.DUMMYFUNCTION("""COMPUTED_VALUE"""),"FEMINOR HEALTHCARE PVT LTD")</f>
        <v>FEMINOR HEALTHCARE PVT LTD</v>
      </c>
    </row>
    <row r="1038">
      <c r="H1038" s="3" t="str">
        <f>IFERROR(__xludf.DUMMYFUNCTION("""COMPUTED_VALUE"""),"Ferring Pharmaceuticals")</f>
        <v>Ferring Pharmaceuticals</v>
      </c>
    </row>
    <row r="1039">
      <c r="H1039" s="3" t="str">
        <f>IFERROR(__xludf.DUMMYFUNCTION("""COMPUTED_VALUE"""),"FERTILESURE PHARMA")</f>
        <v>FERTILESURE PHARMA</v>
      </c>
    </row>
    <row r="1040">
      <c r="H1040" s="3" t="str">
        <f>IFERROR(__xludf.DUMMYFUNCTION("""COMPUTED_VALUE"""),"Fiale Pharmaceuticals")</f>
        <v>Fiale Pharmaceuticals</v>
      </c>
    </row>
    <row r="1041">
      <c r="H1041" s="3" t="str">
        <f>IFERROR(__xludf.DUMMYFUNCTION("""COMPUTED_VALUE"""),"Fidalgo Laboratories Pvt Ltd")</f>
        <v>Fidalgo Laboratories Pvt Ltd</v>
      </c>
    </row>
    <row r="1042">
      <c r="H1042" s="3" t="str">
        <f>IFERROR(__xludf.DUMMYFUNCTION("""COMPUTED_VALUE"""),"FIDELITY LIFESCIENCES")</f>
        <v>FIDELITY LIFESCIENCES</v>
      </c>
    </row>
    <row r="1043">
      <c r="H1043" s="3" t="str">
        <f>IFERROR(__xludf.DUMMYFUNCTION("""COMPUTED_VALUE"""),"FIDULIS BIO INC")</f>
        <v>FIDULIS BIO INC</v>
      </c>
    </row>
    <row r="1044">
      <c r="H1044" s="3" t="str">
        <f>IFERROR(__xludf.DUMMYFUNCTION("""COMPUTED_VALUE"""),"Figaro")</f>
        <v>Figaro</v>
      </c>
    </row>
    <row r="1045">
      <c r="H1045" s="3" t="str">
        <f>IFERROR(__xludf.DUMMYFUNCTION("""COMPUTED_VALUE"""),"FINECURE PHARMACEUTICAL INDORE")</f>
        <v>FINECURE PHARMACEUTICAL INDORE</v>
      </c>
    </row>
    <row r="1046">
      <c r="H1046" s="3" t="str">
        <f>IFERROR(__xludf.DUMMYFUNCTION("""COMPUTED_VALUE"""),"FITWEL PHARMACEUTICALS")</f>
        <v>FITWEL PHARMACEUTICALS</v>
      </c>
    </row>
    <row r="1047">
      <c r="H1047" s="3" t="str">
        <f>IFERROR(__xludf.DUMMYFUNCTION("""COMPUTED_VALUE"""),"FIXDERMA INDIA")</f>
        <v>FIXDERMA INDIA</v>
      </c>
    </row>
    <row r="1048">
      <c r="H1048" s="3" t="str">
        <f>IFERROR(__xludf.DUMMYFUNCTION("""COMPUTED_VALUE"""),"FIZARK HEALTHCARE")</f>
        <v>FIZARK HEALTHCARE</v>
      </c>
    </row>
    <row r="1049">
      <c r="H1049" s="3" t="str">
        <f>IFERROR(__xludf.DUMMYFUNCTION("""COMPUTED_VALUE"""),"FIZEN BIOSCIENCES")</f>
        <v>FIZEN BIOSCIENCES</v>
      </c>
    </row>
    <row r="1050">
      <c r="H1050" s="3" t="str">
        <f>IFERROR(__xludf.DUMMYFUNCTION("""COMPUTED_VALUE"""),"FLAMINGO HEALTHCARE")</f>
        <v>FLAMINGO HEALTHCARE</v>
      </c>
    </row>
    <row r="1051">
      <c r="H1051" s="3" t="str">
        <f>IFERROR(__xludf.DUMMYFUNCTION("""COMPUTED_VALUE"""),"FLAMINGO PHARMACUTICALS LTD")</f>
        <v>FLAMINGO PHARMACUTICALS LTD</v>
      </c>
    </row>
    <row r="1052">
      <c r="H1052" s="3" t="str">
        <f>IFERROR(__xludf.DUMMYFUNCTION("""COMPUTED_VALUE"""),"FLANCA LIFE SCIENCES")</f>
        <v>FLANCA LIFE SCIENCES</v>
      </c>
    </row>
    <row r="1053">
      <c r="H1053" s="3" t="str">
        <f>IFERROR(__xludf.DUMMYFUNCTION("""COMPUTED_VALUE"""),"FONCER PHARMA P LTD")</f>
        <v>FONCER PHARMA P LTD</v>
      </c>
    </row>
    <row r="1054">
      <c r="H1054" s="3" t="str">
        <f>IFERROR(__xludf.DUMMYFUNCTION("""COMPUTED_VALUE"""),"FONCER PHARMA PVT LTD")</f>
        <v>FONCER PHARMA PVT LTD</v>
      </c>
    </row>
    <row r="1055">
      <c r="H1055" s="3" t="str">
        <f>IFERROR(__xludf.DUMMYFUNCTION("""COMPUTED_VALUE"""),"FOREVER LIVING PRODUCTS INTERNATIONAL")</f>
        <v>FOREVER LIVING PRODUCTS INTERNATIONAL</v>
      </c>
    </row>
    <row r="1056">
      <c r="H1056" s="3" t="str">
        <f>IFERROR(__xludf.DUMMYFUNCTION("""COMPUTED_VALUE"""),"FOSSIL REMEDIES")</f>
        <v>FOSSIL REMEDIES</v>
      </c>
    </row>
    <row r="1057">
      <c r="H1057" s="3" t="str">
        <f>IFERROR(__xludf.DUMMYFUNCTION("""COMPUTED_VALUE"""),"Fountil Life Sciences Pvt Ltd")</f>
        <v>Fountil Life Sciences Pvt Ltd</v>
      </c>
    </row>
    <row r="1058">
      <c r="H1058" s="3" t="str">
        <f>IFERROR(__xludf.DUMMYFUNCTION("""COMPUTED_VALUE"""),"Fourrts India Laboratories Pvt Ltd")</f>
        <v>Fourrts India Laboratories Pvt Ltd</v>
      </c>
    </row>
    <row r="1059">
      <c r="H1059" s="3" t="str">
        <f>IFERROR(__xludf.DUMMYFUNCTION("""COMPUTED_VALUE"""),"FRAGRANCE")</f>
        <v>FRAGRANCE</v>
      </c>
    </row>
    <row r="1060">
      <c r="H1060" s="3" t="str">
        <f>IFERROR(__xludf.DUMMYFUNCTION("""COMPUTED_VALUE"""),"FRANCESCA PHARMA")</f>
        <v>FRANCESCA PHARMA</v>
      </c>
    </row>
    <row r="1061">
      <c r="H1061" s="3" t="str">
        <f>IFERROR(__xludf.DUMMYFUNCTION("""COMPUTED_VALUE"""),"Franco-Indian Pharmaceuticals")</f>
        <v>Franco-Indian Pharmaceuticals</v>
      </c>
    </row>
    <row r="1062">
      <c r="H1062" s="3" t="str">
        <f>IFERROR(__xludf.DUMMYFUNCTION("""COMPUTED_VALUE"""),"Franco-Indian Pharmaceuticals (DIABETIC)")</f>
        <v>Franco-Indian Pharmaceuticals (DIABETIC)</v>
      </c>
    </row>
    <row r="1063">
      <c r="H1063" s="3" t="str">
        <f>IFERROR(__xludf.DUMMYFUNCTION("""COMPUTED_VALUE"""),"Franco-Indian Pharmaceuticals (MAIN)")</f>
        <v>Franco-Indian Pharmaceuticals (MAIN)</v>
      </c>
    </row>
    <row r="1064">
      <c r="H1064" s="3" t="str">
        <f>IFERROR(__xludf.DUMMYFUNCTION("""COMPUTED_VALUE"""),"Franco-Indian Pharmaceuticals (ZINDA)")</f>
        <v>Franco-Indian Pharmaceuticals (ZINDA)</v>
      </c>
    </row>
    <row r="1065">
      <c r="H1065" s="3" t="str">
        <f>IFERROR(__xludf.DUMMYFUNCTION("""COMPUTED_VALUE"""),"Franklin Laboratories India Pvt Ltd")</f>
        <v>Franklin Laboratories India Pvt Ltd</v>
      </c>
    </row>
    <row r="1066">
      <c r="H1066" s="3" t="str">
        <f>IFERROR(__xludf.DUMMYFUNCTION("""COMPUTED_VALUE"""),"FREIA")</f>
        <v>FREIA</v>
      </c>
    </row>
    <row r="1067">
      <c r="H1067" s="3" t="str">
        <f>IFERROR(__xludf.DUMMYFUNCTION("""COMPUTED_VALUE"""),"Fresenius Kabi India Pvt Ltd")</f>
        <v>Fresenius Kabi India Pvt Ltd</v>
      </c>
    </row>
    <row r="1068">
      <c r="H1068" s="3" t="str">
        <f>IFERROR(__xludf.DUMMYFUNCTION("""COMPUTED_VALUE"""),"FRESENIUS KABI INDIA PVT LTD (NEPHRO)")</f>
        <v>FRESENIUS KABI INDIA PVT LTD (NEPHRO)</v>
      </c>
    </row>
    <row r="1069">
      <c r="H1069" s="3" t="str">
        <f>IFERROR(__xludf.DUMMYFUNCTION("""COMPUTED_VALUE"""),"FRIMLINE P LTD")</f>
        <v>FRIMLINE P LTD</v>
      </c>
    </row>
    <row r="1070">
      <c r="H1070" s="3" t="str">
        <f>IFERROR(__xludf.DUMMYFUNCTION("""COMPUTED_VALUE"""),"Fulford India Ltd")</f>
        <v>Fulford India Ltd</v>
      </c>
    </row>
    <row r="1071">
      <c r="H1071" s="3" t="str">
        <f>IFERROR(__xludf.DUMMYFUNCTION("""COMPUTED_VALUE"""),"FUSION HEALTHCARE PVT LTD")</f>
        <v>FUSION HEALTHCARE PVT LTD</v>
      </c>
    </row>
    <row r="1072">
      <c r="H1072" s="3" t="str">
        <f>IFERROR(__xludf.DUMMYFUNCTION("""COMPUTED_VALUE"""),"FUTURELIFE PHARMACEUTICALS PVT LTD")</f>
        <v>FUTURELIFE PHARMACEUTICALS PVT LTD</v>
      </c>
    </row>
    <row r="1073">
      <c r="H1073" s="3" t="str">
        <f>IFERROR(__xludf.DUMMYFUNCTION("""COMPUTED_VALUE"""),"G.S.K")</f>
        <v>G.S.K</v>
      </c>
    </row>
    <row r="1074">
      <c r="H1074" s="3" t="str">
        <f>IFERROR(__xludf.DUMMYFUNCTION("""COMPUTED_VALUE"""),"G&amp;G PHARMACY")</f>
        <v>G&amp;G PHARMACY</v>
      </c>
    </row>
    <row r="1075">
      <c r="H1075" s="3" t="str">
        <f>IFERROR(__xludf.DUMMYFUNCTION("""COMPUTED_VALUE"""),"GAHARWAR PHARMA")</f>
        <v>GAHARWAR PHARMA</v>
      </c>
    </row>
    <row r="1076">
      <c r="H1076" s="3" t="str">
        <f>IFERROR(__xludf.DUMMYFUNCTION("""COMPUTED_VALUE"""),"GALACUS HEALTHCARE")</f>
        <v>GALACUS HEALTHCARE</v>
      </c>
    </row>
    <row r="1077">
      <c r="H1077" s="3" t="str">
        <f>IFERROR(__xludf.DUMMYFUNCTION("""COMPUTED_VALUE"""),"Galcare Pharmaceutical Pvt Ltd")</f>
        <v>Galcare Pharmaceutical Pvt Ltd</v>
      </c>
    </row>
    <row r="1078">
      <c r="H1078" s="3" t="str">
        <f>IFERROR(__xludf.DUMMYFUNCTION("""COMPUTED_VALUE"""),"Galderma India Pvt Ltd")</f>
        <v>Galderma India Pvt Ltd</v>
      </c>
    </row>
    <row r="1079">
      <c r="H1079" s="3" t="str">
        <f>IFERROR(__xludf.DUMMYFUNCTION("""COMPUTED_VALUE"""),"Galpha Laboratories Ltd")</f>
        <v>Galpha Laboratories Ltd</v>
      </c>
    </row>
    <row r="1080">
      <c r="H1080" s="3" t="str">
        <f>IFERROR(__xludf.DUMMYFUNCTION("""COMPUTED_VALUE"""),"GALTON MEDICA")</f>
        <v>GALTON MEDICA</v>
      </c>
    </row>
    <row r="1081">
      <c r="H1081" s="3" t="str">
        <f>IFERROR(__xludf.DUMMYFUNCTION("""COMPUTED_VALUE"""),"GAMANOL 400")</f>
        <v>GAMANOL 400</v>
      </c>
    </row>
    <row r="1082">
      <c r="H1082" s="3" t="str">
        <f>IFERROR(__xludf.DUMMYFUNCTION("""COMPUTED_VALUE"""),"GAMBIA BIOTECH")</f>
        <v>GAMBIA BIOTECH</v>
      </c>
    </row>
    <row r="1083">
      <c r="H1083" s="3" t="str">
        <f>IFERROR(__xludf.DUMMYFUNCTION("""COMPUTED_VALUE"""),"GANDHI HERBAL PVT LTD")</f>
        <v>GANDHI HERBAL PVT LTD</v>
      </c>
    </row>
    <row r="1084">
      <c r="H1084" s="3" t="str">
        <f>IFERROR(__xludf.DUMMYFUNCTION("""COMPUTED_VALUE"""),"GARIMA HEALTHCARE")</f>
        <v>GARIMA HEALTHCARE</v>
      </c>
    </row>
    <row r="1085">
      <c r="H1085" s="3" t="str">
        <f>IFERROR(__xludf.DUMMYFUNCTION("""COMPUTED_VALUE"""),"Gary Pharmaceuticals Pvt Ltd")</f>
        <v>Gary Pharmaceuticals Pvt Ltd</v>
      </c>
    </row>
    <row r="1086">
      <c r="H1086" s="3" t="str">
        <f>IFERROR(__xludf.DUMMYFUNCTION("""COMPUTED_VALUE"""),"GATLE HEALTHCARE")</f>
        <v>GATLE HEALTHCARE</v>
      </c>
    </row>
    <row r="1087">
      <c r="H1087" s="3" t="str">
        <f>IFERROR(__xludf.DUMMYFUNCTION("""COMPUTED_VALUE"""),"GAURANG REMEDIES INDIA PVT LTD")</f>
        <v>GAURANG REMEDIES INDIA PVT LTD</v>
      </c>
    </row>
    <row r="1088">
      <c r="H1088" s="3" t="str">
        <f>IFERROR(__xludf.DUMMYFUNCTION("""COMPUTED_VALUE"""),"GAVIT")</f>
        <v>GAVIT</v>
      </c>
    </row>
    <row r="1089">
      <c r="H1089" s="3" t="str">
        <f>IFERROR(__xludf.DUMMYFUNCTION("""COMPUTED_VALUE"""),"GD PHRMACEUTICALS LTD")</f>
        <v>GD PHRMACEUTICALS LTD</v>
      </c>
    </row>
    <row r="1090">
      <c r="H1090" s="3" t="str">
        <f>IFERROR(__xludf.DUMMYFUNCTION("""COMPUTED_VALUE"""),"GE WIPRO")</f>
        <v>GE WIPRO</v>
      </c>
    </row>
    <row r="1091">
      <c r="H1091" s="3" t="str">
        <f>IFERROR(__xludf.DUMMYFUNCTION("""COMPUTED_VALUE"""),"GELNOVA LABORATORIES (INDIA) PVT LTD")</f>
        <v>GELNOVA LABORATORIES (INDIA) PVT LTD</v>
      </c>
    </row>
    <row r="1092">
      <c r="H1092" s="3" t="str">
        <f>IFERROR(__xludf.DUMMYFUNCTION("""COMPUTED_VALUE"""),"GELUK PHARMA P LTD")</f>
        <v>GELUK PHARMA P LTD</v>
      </c>
    </row>
    <row r="1093">
      <c r="H1093" s="3" t="str">
        <f>IFERROR(__xludf.DUMMYFUNCTION("""COMPUTED_VALUE"""),"GENESIS BIOTEC INC")</f>
        <v>GENESIS BIOTEC INC</v>
      </c>
    </row>
    <row r="1094">
      <c r="H1094" s="3" t="str">
        <f>IFERROR(__xludf.DUMMYFUNCTION("""COMPUTED_VALUE"""),"GENETIC PHARMA")</f>
        <v>GENETIC PHARMA</v>
      </c>
    </row>
    <row r="1095">
      <c r="H1095" s="3" t="str">
        <f>IFERROR(__xludf.DUMMYFUNCTION("""COMPUTED_VALUE"""),"GENEX PHARMA LIMITED")</f>
        <v>GENEX PHARMA LIMITED</v>
      </c>
    </row>
    <row r="1096">
      <c r="H1096" s="3" t="str">
        <f>IFERROR(__xludf.DUMMYFUNCTION("""COMPUTED_VALUE"""),"GENIAL HEALTHCARE")</f>
        <v>GENIAL HEALTHCARE</v>
      </c>
    </row>
    <row r="1097">
      <c r="H1097" s="3" t="str">
        <f>IFERROR(__xludf.DUMMYFUNCTION("""COMPUTED_VALUE"""),"GENIX PHARMA LTD")</f>
        <v>GENIX PHARMA LTD</v>
      </c>
    </row>
    <row r="1098">
      <c r="H1098" s="3" t="str">
        <f>IFERROR(__xludf.DUMMYFUNCTION("""COMPUTED_VALUE"""),"GENMAC")</f>
        <v>GENMAC</v>
      </c>
    </row>
    <row r="1099">
      <c r="H1099" s="3" t="str">
        <f>IFERROR(__xludf.DUMMYFUNCTION("""COMPUTED_VALUE"""),"Geno Pharmaceuticals Ltd")</f>
        <v>Geno Pharmaceuticals Ltd</v>
      </c>
    </row>
    <row r="1100">
      <c r="H1100" s="3" t="str">
        <f>IFERROR(__xludf.DUMMYFUNCTION("""COMPUTED_VALUE"""),"GENOTEK PHARMACEUTICALS")</f>
        <v>GENOTEK PHARMACEUTICALS</v>
      </c>
    </row>
    <row r="1101">
      <c r="H1101" s="3" t="str">
        <f>IFERROR(__xludf.DUMMYFUNCTION("""COMPUTED_VALUE"""),"GENZYME BIOSURGARY")</f>
        <v>GENZYME BIOSURGARY</v>
      </c>
    </row>
    <row r="1102">
      <c r="H1102" s="3" t="str">
        <f>IFERROR(__xludf.DUMMYFUNCTION("""COMPUTED_VALUE"""),"GEO LIFESCIENCES")</f>
        <v>GEO LIFESCIENCES</v>
      </c>
    </row>
    <row r="1103">
      <c r="H1103" s="3" t="str">
        <f>IFERROR(__xludf.DUMMYFUNCTION("""COMPUTED_VALUE"""),"Geo Pharma Pvt Ltd")</f>
        <v>Geo Pharma Pvt Ltd</v>
      </c>
    </row>
    <row r="1104">
      <c r="H1104" s="3" t="str">
        <f>IFERROR(__xludf.DUMMYFUNCTION("""COMPUTED_VALUE"""),"GEOFFROI LABS P LTD")</f>
        <v>GEOFFROI LABS P LTD</v>
      </c>
    </row>
    <row r="1105">
      <c r="H1105" s="3" t="str">
        <f>IFERROR(__xludf.DUMMYFUNCTION("""COMPUTED_VALUE"""),"GEOLIFE SCIENCES")</f>
        <v>GEOLIFE SCIENCES</v>
      </c>
    </row>
    <row r="1106">
      <c r="H1106" s="3" t="str">
        <f>IFERROR(__xludf.DUMMYFUNCTION("""COMPUTED_VALUE"""),"GERMAN HEALTHCARE PVT LTD")</f>
        <v>GERMAN HEALTHCARE PVT LTD</v>
      </c>
    </row>
    <row r="1107">
      <c r="H1107" s="3" t="str">
        <f>IFERROR(__xludf.DUMMYFUNCTION("""COMPUTED_VALUE"""),"German Remedies")</f>
        <v>German Remedies</v>
      </c>
    </row>
    <row r="1108">
      <c r="H1108" s="3" t="str">
        <f>IFERROR(__xludf.DUMMYFUNCTION("""COMPUTED_VALUE"""),"GERMAN REMEDIES (AEROFORCE)")</f>
        <v>GERMAN REMEDIES (AEROFORCE)</v>
      </c>
    </row>
    <row r="1109">
      <c r="H1109" s="3" t="str">
        <f>IFERROR(__xludf.DUMMYFUNCTION("""COMPUTED_VALUE"""),"GERMAN REMEDIES (GYNEXT)")</f>
        <v>GERMAN REMEDIES (GYNEXT)</v>
      </c>
    </row>
    <row r="1110">
      <c r="H1110" s="3" t="str">
        <f>IFERROR(__xludf.DUMMYFUNCTION("""COMPUTED_VALUE"""),"GERMAN REMEDIES (GYNOVA)")</f>
        <v>GERMAN REMEDIES (GYNOVA)</v>
      </c>
    </row>
    <row r="1111">
      <c r="H1111" s="3" t="str">
        <f>IFERROR(__xludf.DUMMYFUNCTION("""COMPUTED_VALUE"""),"GERMAN REMEDIES (MAIN)")</f>
        <v>GERMAN REMEDIES (MAIN)</v>
      </c>
    </row>
    <row r="1112">
      <c r="H1112" s="3" t="str">
        <f>IFERROR(__xludf.DUMMYFUNCTION("""COMPUTED_VALUE"""),"GERMAN REMEDIES (RESPICARE)")</f>
        <v>GERMAN REMEDIES (RESPICARE)</v>
      </c>
    </row>
    <row r="1113">
      <c r="H1113" s="3" t="str">
        <f>IFERROR(__xludf.DUMMYFUNCTION("""COMPUTED_VALUE"""),"GERMAN REMEDIES (ZESPIRA)")</f>
        <v>GERMAN REMEDIES (ZESPIRA)</v>
      </c>
    </row>
    <row r="1114">
      <c r="H1114" s="3" t="str">
        <f>IFERROR(__xludf.DUMMYFUNCTION("""COMPUTED_VALUE"""),"Gerrysun Pharmaceuticals Pvt Ltd")</f>
        <v>Gerrysun Pharmaceuticals Pvt Ltd</v>
      </c>
    </row>
    <row r="1115">
      <c r="H1115" s="3" t="str">
        <f>IFERROR(__xludf.DUMMYFUNCTION("""COMPUTED_VALUE"""),"GETRON PHARMACEUTICAL")</f>
        <v>GETRON PHARMACEUTICAL</v>
      </c>
    </row>
    <row r="1116">
      <c r="H1116" s="3" t="str">
        <f>IFERROR(__xludf.DUMMYFUNCTION("""COMPUTED_VALUE"""),"GHANDHI JAIN KARYALAYA")</f>
        <v>GHANDHI JAIN KARYALAYA</v>
      </c>
    </row>
    <row r="1117">
      <c r="H1117" s="3" t="str">
        <f>IFERROR(__xludf.DUMMYFUNCTION("""COMPUTED_VALUE"""),"GHL")</f>
        <v>GHL</v>
      </c>
    </row>
    <row r="1118">
      <c r="H1118" s="3" t="str">
        <f>IFERROR(__xludf.DUMMYFUNCTION("""COMPUTED_VALUE"""),"GIOCON PHARMA LTD.")</f>
        <v>GIOCON PHARMA LTD.</v>
      </c>
    </row>
    <row r="1119">
      <c r="H1119" s="3" t="str">
        <f>IFERROR(__xludf.DUMMYFUNCTION("""COMPUTED_VALUE"""),"GK BURMAN HERBALS")</f>
        <v>GK BURMAN HERBALS</v>
      </c>
    </row>
    <row r="1120">
      <c r="H1120" s="3" t="str">
        <f>IFERROR(__xludf.DUMMYFUNCTION("""COMPUTED_VALUE"""),"GK ENTERPRISES")</f>
        <v>GK ENTERPRISES</v>
      </c>
    </row>
    <row r="1121">
      <c r="H1121" s="3" t="str">
        <f>IFERROR(__xludf.DUMMYFUNCTION("""COMPUTED_VALUE"""),"GLAMDERMA INDIA PHARMACEUTICAL PRIVATE LIMITED")</f>
        <v>GLAMDERMA INDIA PHARMACEUTICAL PRIVATE LIMITED</v>
      </c>
    </row>
    <row r="1122">
      <c r="H1122" s="3" t="str">
        <f>IFERROR(__xludf.DUMMYFUNCTION("""COMPUTED_VALUE"""),"GLANZ HEALTHCARE")</f>
        <v>GLANZ HEALTHCARE</v>
      </c>
    </row>
    <row r="1123">
      <c r="H1123" s="3" t="str">
        <f>IFERROR(__xludf.DUMMYFUNCTION("""COMPUTED_VALUE"""),"GLAXO (1)")</f>
        <v>GLAXO (1)</v>
      </c>
    </row>
    <row r="1124">
      <c r="H1124" s="3" t="str">
        <f>IFERROR(__xludf.DUMMYFUNCTION("""COMPUTED_VALUE"""),"GLAXO (2)")</f>
        <v>GLAXO (2)</v>
      </c>
    </row>
    <row r="1125">
      <c r="H1125" s="3" t="str">
        <f>IFERROR(__xludf.DUMMYFUNCTION("""COMPUTED_VALUE"""),"GLAXO (3)")</f>
        <v>GLAXO (3)</v>
      </c>
    </row>
    <row r="1126">
      <c r="H1126" s="3" t="str">
        <f>IFERROR(__xludf.DUMMYFUNCTION("""COMPUTED_VALUE"""),"GLAXO (4)")</f>
        <v>GLAXO (4)</v>
      </c>
    </row>
    <row r="1127">
      <c r="H1127" s="3" t="str">
        <f>IFERROR(__xludf.DUMMYFUNCTION("""COMPUTED_VALUE"""),"GLAXO (5)")</f>
        <v>GLAXO (5)</v>
      </c>
    </row>
    <row r="1128">
      <c r="H1128" s="3" t="str">
        <f>IFERROR(__xludf.DUMMYFUNCTION("""COMPUTED_VALUE"""),"GLAXO (6)")</f>
        <v>GLAXO (6)</v>
      </c>
    </row>
    <row r="1129">
      <c r="H1129" s="3" t="str">
        <f>IFERROR(__xludf.DUMMYFUNCTION("""COMPUTED_VALUE"""),"GLAXO (7)")</f>
        <v>GLAXO (7)</v>
      </c>
    </row>
    <row r="1130">
      <c r="H1130" s="3" t="str">
        <f>IFERROR(__xludf.DUMMYFUNCTION("""COMPUTED_VALUE"""),"GLAXO (8)")</f>
        <v>GLAXO (8)</v>
      </c>
    </row>
    <row r="1131">
      <c r="H1131" s="3" t="str">
        <f>IFERROR(__xludf.DUMMYFUNCTION("""COMPUTED_VALUE"""),"GLAXO (BEECHEM)")</f>
        <v>GLAXO (BEECHEM)</v>
      </c>
    </row>
    <row r="1132">
      <c r="H1132" s="3" t="str">
        <f>IFERROR(__xludf.DUMMYFUNCTION("""COMPUTED_VALUE"""),"GLAXO (CONSUMER)")</f>
        <v>GLAXO (CONSUMER)</v>
      </c>
    </row>
    <row r="1133">
      <c r="H1133" s="3" t="str">
        <f>IFERROR(__xludf.DUMMYFUNCTION("""COMPUTED_VALUE"""),"GLAXO (CTC)")</f>
        <v>GLAXO (CTC)</v>
      </c>
    </row>
    <row r="1134">
      <c r="H1134" s="3" t="str">
        <f>IFERROR(__xludf.DUMMYFUNCTION("""COMPUTED_VALUE"""),"GLAXO (FORTIOR)")</f>
        <v>GLAXO (FORTIOR)</v>
      </c>
    </row>
    <row r="1135">
      <c r="H1135" s="3" t="str">
        <f>IFERROR(__xludf.DUMMYFUNCTION("""COMPUTED_VALUE"""),"GLAXO (NEUROSCIENCES)")</f>
        <v>GLAXO (NEUROSCIENCES)</v>
      </c>
    </row>
    <row r="1136">
      <c r="H1136" s="3" t="str">
        <f>IFERROR(__xludf.DUMMYFUNCTION("""COMPUTED_VALUE"""),"GLAXO (VACCINE)")</f>
        <v>GLAXO (VACCINE)</v>
      </c>
    </row>
    <row r="1137">
      <c r="H1137" s="3" t="str">
        <f>IFERROR(__xludf.DUMMYFUNCTION("""COMPUTED_VALUE"""),"Glaxo SmithKline Pharmaceuticals Ltd")</f>
        <v>Glaxo SmithKline Pharmaceuticals Ltd</v>
      </c>
    </row>
    <row r="1138">
      <c r="H1138" s="3" t="str">
        <f>IFERROR(__xludf.DUMMYFUNCTION("""COMPUTED_VALUE"""),"GLENMARK (CCD)")</f>
        <v>GLENMARK (CCD)</v>
      </c>
    </row>
    <row r="1139">
      <c r="H1139" s="3" t="str">
        <f>IFERROR(__xludf.DUMMYFUNCTION("""COMPUTED_VALUE"""),"GLENMARK (COSMOCARE)")</f>
        <v>GLENMARK (COSMOCARE)</v>
      </c>
    </row>
    <row r="1140">
      <c r="H1140" s="3" t="str">
        <f>IFERROR(__xludf.DUMMYFUNCTION("""COMPUTED_VALUE"""),"GLENMARK (CRITICAL CARE)")</f>
        <v>GLENMARK (CRITICAL CARE)</v>
      </c>
    </row>
    <row r="1141">
      <c r="H1141" s="3" t="str">
        <f>IFERROR(__xludf.DUMMYFUNCTION("""COMPUTED_VALUE"""),"GLENMARK (CV)")</f>
        <v>GLENMARK (CV)</v>
      </c>
    </row>
    <row r="1142">
      <c r="H1142" s="3" t="str">
        <f>IFERROR(__xludf.DUMMYFUNCTION("""COMPUTED_VALUE"""),"GLENMARK (DERMAX)")</f>
        <v>GLENMARK (DERMAX)</v>
      </c>
    </row>
    <row r="1143">
      <c r="H1143" s="3" t="str">
        <f>IFERROR(__xludf.DUMMYFUNCTION("""COMPUTED_VALUE"""),"GLENMARK (G&amp;G)")</f>
        <v>GLENMARK (G&amp;G)</v>
      </c>
    </row>
    <row r="1144">
      <c r="H1144" s="3" t="str">
        <f>IFERROR(__xludf.DUMMYFUNCTION("""COMPUTED_VALUE"""),"GLENMARK (GRACEWELL-SPECIALITIY)")</f>
        <v>GLENMARK (GRACEWELL-SPECIALITIY)</v>
      </c>
    </row>
    <row r="1145">
      <c r="H1145" s="3" t="str">
        <f>IFERROR(__xludf.DUMMYFUNCTION("""COMPUTED_VALUE"""),"GLENMARK (GRACEWELL)")</f>
        <v>GLENMARK (GRACEWELL)</v>
      </c>
    </row>
    <row r="1146">
      <c r="H1146" s="3" t="str">
        <f>IFERROR(__xludf.DUMMYFUNCTION("""COMPUTED_VALUE"""),"GLENMARK (HEALTHEON)")</f>
        <v>GLENMARK (HEALTHEON)</v>
      </c>
    </row>
    <row r="1147">
      <c r="H1147" s="3" t="str">
        <f>IFERROR(__xludf.DUMMYFUNCTION("""COMPUTED_VALUE"""),"GLENMARK (INTIGRACE)")</f>
        <v>GLENMARK (INTIGRACE)</v>
      </c>
    </row>
    <row r="1148">
      <c r="H1148" s="3" t="str">
        <f>IFERROR(__xludf.DUMMYFUNCTION("""COMPUTED_VALUE"""),"GLENMARK (MAGESTA)")</f>
        <v>GLENMARK (MAGESTA)</v>
      </c>
    </row>
    <row r="1149">
      <c r="H1149" s="3" t="str">
        <f>IFERROR(__xludf.DUMMYFUNCTION("""COMPUTED_VALUE"""),"GLENMARK (MILLIOUS)")</f>
        <v>GLENMARK (MILLIOUS)</v>
      </c>
    </row>
    <row r="1150">
      <c r="H1150" s="3" t="str">
        <f>IFERROR(__xludf.DUMMYFUNCTION("""COMPUTED_VALUE"""),"GLENMARK (PHARMA)")</f>
        <v>GLENMARK (PHARMA)</v>
      </c>
    </row>
    <row r="1151">
      <c r="H1151" s="3" t="str">
        <f>IFERROR(__xludf.DUMMYFUNCTION("""COMPUTED_VALUE"""),"GLENMARK (RESPICARE)")</f>
        <v>GLENMARK (RESPICARE)</v>
      </c>
    </row>
    <row r="1152">
      <c r="H1152" s="3" t="str">
        <f>IFERROR(__xludf.DUMMYFUNCTION("""COMPUTED_VALUE"""),"GLENMARK (RESPIRATORY)")</f>
        <v>GLENMARK (RESPIRATORY)</v>
      </c>
    </row>
    <row r="1153">
      <c r="H1153" s="3" t="str">
        <f>IFERROR(__xludf.DUMMYFUNCTION("""COMPUTED_VALUE"""),"GLENMARK (SKINNORA)")</f>
        <v>GLENMARK (SKINNORA)</v>
      </c>
    </row>
    <row r="1154">
      <c r="H1154" s="3" t="str">
        <f>IFERROR(__xludf.DUMMYFUNCTION("""COMPUTED_VALUE"""),"GLENMARK (ZOLTAN CARE)")</f>
        <v>GLENMARK (ZOLTAN CARE)</v>
      </c>
    </row>
    <row r="1155">
      <c r="H1155" s="3" t="str">
        <f>IFERROR(__xludf.DUMMYFUNCTION("""COMPUTED_VALUE"""),"GLENMARK (ZOLTAN)")</f>
        <v>GLENMARK (ZOLTAN)</v>
      </c>
    </row>
    <row r="1156">
      <c r="H1156" s="3" t="str">
        <f>IFERROR(__xludf.DUMMYFUNCTION("""COMPUTED_VALUE"""),"Glenmark Pharmaceuticals Ltd")</f>
        <v>Glenmark Pharmaceuticals Ltd</v>
      </c>
    </row>
    <row r="1157">
      <c r="H1157" s="3" t="str">
        <f>IFERROR(__xludf.DUMMYFUNCTION("""COMPUTED_VALUE"""),"Glenmark Pharmaceuticals Ltd (GENERIC)")</f>
        <v>Glenmark Pharmaceuticals Ltd (GENERIC)</v>
      </c>
    </row>
    <row r="1158">
      <c r="H1158" s="3" t="str">
        <f>IFERROR(__xludf.DUMMYFUNCTION("""COMPUTED_VALUE"""),"Glenmark Pharmaceuticals Ltd (SPECIALITY)")</f>
        <v>Glenmark Pharmaceuticals Ltd (SPECIALITY)</v>
      </c>
    </row>
    <row r="1159">
      <c r="H1159" s="3" t="str">
        <f>IFERROR(__xludf.DUMMYFUNCTION("""COMPUTED_VALUE"""),"GLISTER PHARMACEUTICALS")</f>
        <v>GLISTER PHARMACEUTICALS</v>
      </c>
    </row>
    <row r="1160">
      <c r="H1160" s="3" t="str">
        <f>IFERROR(__xludf.DUMMYFUNCTION("""COMPUTED_VALUE"""),"GLOBAL PHARMAHERB CARE")</f>
        <v>GLOBAL PHARMAHERB CARE</v>
      </c>
    </row>
    <row r="1161">
      <c r="H1161" s="3" t="str">
        <f>IFERROR(__xludf.DUMMYFUNCTION("""COMPUTED_VALUE"""),"GLOBIN PHARMACEUTICALS P LTD")</f>
        <v>GLOBIN PHARMACEUTICALS P LTD</v>
      </c>
    </row>
    <row r="1162">
      <c r="H1162" s="3" t="str">
        <f>IFERROR(__xludf.DUMMYFUNCTION("""COMPUTED_VALUE"""),"GLORIOUS HEATHCAR")</f>
        <v>GLORIOUS HEATHCAR</v>
      </c>
    </row>
    <row r="1163">
      <c r="H1163" s="3" t="str">
        <f>IFERROR(__xludf.DUMMYFUNCTION("""COMPUTED_VALUE"""),"Glow")</f>
        <v>Glow</v>
      </c>
    </row>
    <row r="1164">
      <c r="H1164" s="3" t="str">
        <f>IFERROR(__xludf.DUMMYFUNCTION("""COMPUTED_VALUE"""),"Glowderma Labs Pvt Ltd")</f>
        <v>Glowderma Labs Pvt Ltd</v>
      </c>
    </row>
    <row r="1165">
      <c r="H1165" s="3" t="str">
        <f>IFERROR(__xludf.DUMMYFUNCTION("""COMPUTED_VALUE"""),"GLS PHARMA")</f>
        <v>GLS PHARMA</v>
      </c>
    </row>
    <row r="1166">
      <c r="H1166" s="3" t="str">
        <f>IFERROR(__xludf.DUMMYFUNCTION("""COMPUTED_VALUE"""),"Gluconate Health Ltd")</f>
        <v>Gluconate Health Ltd</v>
      </c>
    </row>
    <row r="1167">
      <c r="H1167" s="3" t="str">
        <f>IFERROR(__xludf.DUMMYFUNCTION("""COMPUTED_VALUE"""),"GLUE BIOTECH")</f>
        <v>GLUE BIOTECH</v>
      </c>
    </row>
    <row r="1168">
      <c r="H1168" s="3" t="str">
        <f>IFERROR(__xludf.DUMMYFUNCTION("""COMPUTED_VALUE"""),"Glyco Remedies")</f>
        <v>Glyco Remedies</v>
      </c>
    </row>
    <row r="1169">
      <c r="H1169" s="3" t="str">
        <f>IFERROR(__xludf.DUMMYFUNCTION("""COMPUTED_VALUE"""),"GMH LABORATORIES")</f>
        <v>GMH LABORATORIES</v>
      </c>
    </row>
    <row r="1170">
      <c r="H1170" s="3" t="str">
        <f>IFERROR(__xludf.DUMMYFUNCTION("""COMPUTED_VALUE"""),"GNESIS ORGANICS")</f>
        <v>GNESIS ORGANICS</v>
      </c>
    </row>
    <row r="1171">
      <c r="H1171" s="3" t="str">
        <f>IFERROR(__xludf.DUMMYFUNCTION("""COMPUTED_VALUE"""),"Gnext Lab Pvt Ltd")</f>
        <v>Gnext Lab Pvt Ltd</v>
      </c>
    </row>
    <row r="1172">
      <c r="H1172" s="3" t="str">
        <f>IFERROR(__xludf.DUMMYFUNCTION("""COMPUTED_VALUE"""),"GNOVA BIOTECH")</f>
        <v>GNOVA BIOTECH</v>
      </c>
    </row>
    <row r="1173">
      <c r="H1173" s="3" t="str">
        <f>IFERROR(__xludf.DUMMYFUNCTION("""COMPUTED_VALUE"""),"GO-ISH REMEDIES LTD SOLAN")</f>
        <v>GO-ISH REMEDIES LTD SOLAN</v>
      </c>
    </row>
    <row r="1174">
      <c r="H1174" s="3" t="str">
        <f>IFERROR(__xludf.DUMMYFUNCTION("""COMPUTED_VALUE"""),"Goddres Pharmaceuticals")</f>
        <v>Goddres Pharmaceuticals</v>
      </c>
    </row>
    <row r="1175">
      <c r="H1175" s="3" t="str">
        <f>IFERROR(__xludf.DUMMYFUNCTION("""COMPUTED_VALUE"""),"Gold Line")</f>
        <v>Gold Line</v>
      </c>
    </row>
    <row r="1176">
      <c r="H1176" s="3" t="str">
        <f>IFERROR(__xludf.DUMMYFUNCTION("""COMPUTED_VALUE"""),"GOMTESH LABORATORIES")</f>
        <v>GOMTESH LABORATORIES</v>
      </c>
    </row>
    <row r="1177">
      <c r="H1177" s="3" t="str">
        <f>IFERROR(__xludf.DUMMYFUNCTION("""COMPUTED_VALUE"""),"GOOD HEALTH PVT LTD")</f>
        <v>GOOD HEALTH PVT LTD</v>
      </c>
    </row>
    <row r="1178">
      <c r="H1178" s="3" t="str">
        <f>IFERROR(__xludf.DUMMYFUNCTION("""COMPUTED_VALUE"""),"GOOD HEALTH PVT LTD")</f>
        <v>GOOD HEALTH PVT LTD</v>
      </c>
    </row>
    <row r="1179">
      <c r="H1179" s="3" t="str">
        <f>IFERROR(__xludf.DUMMYFUNCTION("""COMPUTED_VALUE"""),"GOPISH PHARMA LTD")</f>
        <v>GOPISH PHARMA LTD</v>
      </c>
    </row>
    <row r="1180">
      <c r="H1180" s="3" t="str">
        <f>IFERROR(__xludf.DUMMYFUNCTION("""COMPUTED_VALUE"""),"GPP PVT LTD")</f>
        <v>GPP PVT LTD</v>
      </c>
    </row>
    <row r="1181">
      <c r="H1181" s="3" t="str">
        <f>IFERROR(__xludf.DUMMYFUNCTION("""COMPUTED_VALUE"""),"GRACEDERMA HELATHCARE")</f>
        <v>GRACEDERMA HELATHCARE</v>
      </c>
    </row>
    <row r="1182">
      <c r="H1182" s="3" t="str">
        <f>IFERROR(__xludf.DUMMYFUNCTION("""COMPUTED_VALUE"""),"GRACEWELL HEALTHCARE")</f>
        <v>GRACEWELL HEALTHCARE</v>
      </c>
    </row>
    <row r="1183">
      <c r="H1183" s="3" t="str">
        <f>IFERROR(__xludf.DUMMYFUNCTION("""COMPUTED_VALUE"""),"GRAF Laboratories Pvt Ltd")</f>
        <v>GRAF Laboratories Pvt Ltd</v>
      </c>
    </row>
    <row r="1184">
      <c r="H1184" s="3" t="str">
        <f>IFERROR(__xludf.DUMMYFUNCTION("""COMPUTED_VALUE"""),"GRANDIX PHARMACEUTICAL")</f>
        <v>GRANDIX PHARMACEUTICAL</v>
      </c>
    </row>
    <row r="1185">
      <c r="H1185" s="3" t="str">
        <f>IFERROR(__xludf.DUMMYFUNCTION("""COMPUTED_VALUE"""),"GRAPSUM HEALTHCARE P LTD")</f>
        <v>GRAPSUM HEALTHCARE P LTD</v>
      </c>
    </row>
    <row r="1186">
      <c r="H1186" s="3" t="str">
        <f>IFERROR(__xludf.DUMMYFUNCTION("""COMPUTED_VALUE"""),"GRIFCON LIFE SCIENCES")</f>
        <v>GRIFCON LIFE SCIENCES</v>
      </c>
    </row>
    <row r="1187">
      <c r="H1187" s="3" t="str">
        <f>IFERROR(__xludf.DUMMYFUNCTION("""COMPUTED_VALUE"""),"GRINOLIFE CARE P LTD")</f>
        <v>GRINOLIFE CARE P LTD</v>
      </c>
    </row>
    <row r="1188">
      <c r="H1188" s="3" t="str">
        <f>IFERROR(__xludf.DUMMYFUNCTION("""COMPUTED_VALUE"""),"GRL GYNEXT")</f>
        <v>GRL GYNEXT</v>
      </c>
    </row>
    <row r="1189">
      <c r="H1189" s="3" t="str">
        <f>IFERROR(__xludf.DUMMYFUNCTION("""COMPUTED_VALUE"""),"GROUP PHARMA (DENTAL CARE)")</f>
        <v>GROUP PHARMA (DENTAL CARE)</v>
      </c>
    </row>
    <row r="1190">
      <c r="H1190" s="3" t="str">
        <f>IFERROR(__xludf.DUMMYFUNCTION("""COMPUTED_VALUE"""),"GROUP PHARMA (HEALTHCARE)")</f>
        <v>GROUP PHARMA (HEALTHCARE)</v>
      </c>
    </row>
    <row r="1191">
      <c r="H1191" s="3" t="str">
        <f>IFERROR(__xludf.DUMMYFUNCTION("""COMPUTED_VALUE"""),"Group Pharmaceuticals Ltd")</f>
        <v>Group Pharmaceuticals Ltd</v>
      </c>
    </row>
    <row r="1192">
      <c r="H1192" s="3" t="str">
        <f>IFERROR(__xludf.DUMMYFUNCTION("""COMPUTED_VALUE"""),"GROWELL VISION")</f>
        <v>GROWELL VISION</v>
      </c>
    </row>
    <row r="1193">
      <c r="H1193" s="3" t="str">
        <f>IFERROR(__xludf.DUMMYFUNCTION("""COMPUTED_VALUE"""),"GUFIC (CRITICARE)")</f>
        <v>GUFIC (CRITICARE)</v>
      </c>
    </row>
    <row r="1194">
      <c r="H1194" s="3" t="str">
        <f>IFERROR(__xludf.DUMMYFUNCTION("""COMPUTED_VALUE"""),"Gufic Bioscience Ltd")</f>
        <v>Gufic Bioscience Ltd</v>
      </c>
    </row>
    <row r="1195">
      <c r="H1195" s="3" t="str">
        <f>IFERROR(__xludf.DUMMYFUNCTION("""COMPUTED_VALUE"""),"GUJARAT LIQUI PHARMACAPS")</f>
        <v>GUJARAT LIQUI PHARMACAPS</v>
      </c>
    </row>
    <row r="1196">
      <c r="H1196" s="3" t="str">
        <f>IFERROR(__xludf.DUMMYFUNCTION("""COMPUTED_VALUE"""),"GUJARAT PHARMALAB PVT LTD")</f>
        <v>GUJARAT PHARMALAB PVT LTD</v>
      </c>
    </row>
    <row r="1197">
      <c r="H1197" s="3" t="str">
        <f>IFERROR(__xludf.DUMMYFUNCTION("""COMPUTED_VALUE"""),"Gujarat Terce Laboratories Ltd")</f>
        <v>Gujarat Terce Laboratories Ltd</v>
      </c>
    </row>
    <row r="1198">
      <c r="H1198" s="3" t="str">
        <f>IFERROR(__xludf.DUMMYFUNCTION("""COMPUTED_VALUE"""),"GURUKRIPA CONSUMER CARE")</f>
        <v>GURUKRIPA CONSUMER CARE</v>
      </c>
    </row>
    <row r="1199">
      <c r="H1199" s="3" t="str">
        <f>IFERROR(__xludf.DUMMYFUNCTION("""COMPUTED_VALUE"""),"GURUKUL KANGDI PHARMACY")</f>
        <v>GURUKUL KANGDI PHARMACY</v>
      </c>
    </row>
    <row r="1200">
      <c r="H1200" s="3" t="str">
        <f>IFERROR(__xludf.DUMMYFUNCTION("""COMPUTED_VALUE"""),"GYMEX PHARMACEUTICALS")</f>
        <v>GYMEX PHARMACEUTICALS</v>
      </c>
    </row>
    <row r="1201">
      <c r="H1201" s="3" t="str">
        <f>IFERROR(__xludf.DUMMYFUNCTION("""COMPUTED_VALUE"""),"GYNOFEM HEALTHCARE (CAREON)")</f>
        <v>GYNOFEM HEALTHCARE (CAREON)</v>
      </c>
    </row>
    <row r="1202">
      <c r="H1202" s="3" t="str">
        <f>IFERROR(__xludf.DUMMYFUNCTION("""COMPUTED_VALUE"""),"GYNOFEM HEALTHCARE PVT LTD")</f>
        <v>GYNOFEM HEALTHCARE PVT LTD</v>
      </c>
    </row>
    <row r="1203">
      <c r="H1203" s="3" t="str">
        <f>IFERROR(__xludf.DUMMYFUNCTION("""COMPUTED_VALUE"""),"GYNORAMA HEALTHCARE PVT LTD")</f>
        <v>GYNORAMA HEALTHCARE PVT LTD</v>
      </c>
    </row>
    <row r="1204">
      <c r="H1204" s="3" t="str">
        <f>IFERROR(__xludf.DUMMYFUNCTION("""COMPUTED_VALUE"""),"H AND CARE INCORP INDIA")</f>
        <v>H AND CARE INCORP INDIA</v>
      </c>
    </row>
    <row r="1205">
      <c r="H1205" s="3" t="str">
        <f>IFERROR(__xludf.DUMMYFUNCTION("""COMPUTED_VALUE"""),"H&amp;B")</f>
        <v>H&amp;B</v>
      </c>
    </row>
    <row r="1206">
      <c r="H1206" s="3" t="str">
        <f>IFERROR(__xludf.DUMMYFUNCTION("""COMPUTED_VALUE"""),"H&amp;H (Hegde and Hegde) (COSMECEUTICAL)")</f>
        <v>H&amp;H (Hegde and Hegde) (COSMECEUTICAL)</v>
      </c>
    </row>
    <row r="1207">
      <c r="H1207" s="3" t="str">
        <f>IFERROR(__xludf.DUMMYFUNCTION("""COMPUTED_VALUE"""),"H&amp;H (Hegde and Hegde) (DERMATOLOGY)")</f>
        <v>H&amp;H (Hegde and Hegde) (DERMATOLOGY)</v>
      </c>
    </row>
    <row r="1208">
      <c r="H1208" s="3" t="str">
        <f>IFERROR(__xludf.DUMMYFUNCTION("""COMPUTED_VALUE"""),"H&amp;H (Hegde and Hegde) (Pharmaceutical)")</f>
        <v>H&amp;H (Hegde and Hegde) (Pharmaceutical)</v>
      </c>
    </row>
    <row r="1209">
      <c r="H1209" s="3" t="str">
        <f>IFERROR(__xludf.DUMMYFUNCTION("""COMPUTED_VALUE"""),"H&amp;H (Hegde and Hegde) (WELLNESS)")</f>
        <v>H&amp;H (Hegde and Hegde) (WELLNESS)</v>
      </c>
    </row>
    <row r="1210">
      <c r="H1210" s="3" t="str">
        <f>IFERROR(__xludf.DUMMYFUNCTION("""COMPUTED_VALUE"""),"Hacks &amp; Slacks Healthcare")</f>
        <v>Hacks &amp; Slacks Healthcare</v>
      </c>
    </row>
    <row r="1211">
      <c r="H1211" s="3" t="str">
        <f>IFERROR(__xludf.DUMMYFUNCTION("""COMPUTED_VALUE"""),"HAITH PHARMACEUTICALS")</f>
        <v>HAITH PHARMACEUTICALS</v>
      </c>
    </row>
    <row r="1212">
      <c r="H1212" s="3" t="str">
        <f>IFERROR(__xludf.DUMMYFUNCTION("""COMPUTED_VALUE"""),"HALEDEW REMEDIES")</f>
        <v>HALEDEW REMEDIES</v>
      </c>
    </row>
    <row r="1213">
      <c r="H1213" s="3" t="str">
        <f>IFERROR(__xludf.DUMMYFUNCTION("""COMPUTED_VALUE"""),"HALEWOOD LABORATORIES PVT LTD")</f>
        <v>HALEWOOD LABORATORIES PVT LTD</v>
      </c>
    </row>
    <row r="1214">
      <c r="H1214" s="3" t="str">
        <f>IFERROR(__xludf.DUMMYFUNCTION("""COMPUTED_VALUE"""),"Hamdard Laboratories India")</f>
        <v>Hamdard Laboratories India</v>
      </c>
    </row>
    <row r="1215">
      <c r="H1215" s="3" t="str">
        <f>IFERROR(__xludf.DUMMYFUNCTION("""COMPUTED_VALUE"""),"HANNOR PHARMA PVT LTD")</f>
        <v>HANNOR PHARMA PVT LTD</v>
      </c>
    </row>
    <row r="1216">
      <c r="H1216" s="3" t="str">
        <f>IFERROR(__xludf.DUMMYFUNCTION("""COMPUTED_VALUE"""),"HANS CHEMICALS")</f>
        <v>HANS CHEMICALS</v>
      </c>
    </row>
    <row r="1217">
      <c r="H1217" s="3" t="str">
        <f>IFERROR(__xludf.DUMMYFUNCTION("""COMPUTED_VALUE"""),"HAPDCO")</f>
        <v>HAPDCO</v>
      </c>
    </row>
    <row r="1218">
      <c r="H1218" s="3" t="str">
        <f>IFERROR(__xludf.DUMMYFUNCTION("""COMPUTED_VALUE"""),"HAPPY PHARMA")</f>
        <v>HAPPY PHARMA</v>
      </c>
    </row>
    <row r="1219">
      <c r="H1219" s="3" t="str">
        <f>IFERROR(__xludf.DUMMYFUNCTION("""COMPUTED_VALUE"""),"HARBANSHRAM BHAGWANDAS")</f>
        <v>HARBANSHRAM BHAGWANDAS</v>
      </c>
    </row>
    <row r="1220">
      <c r="H1220" s="3" t="str">
        <f>IFERROR(__xludf.DUMMYFUNCTION("""COMPUTED_VALUE"""),"HARMATTAN LIFE SCIENCE")</f>
        <v>HARMATTAN LIFE SCIENCE</v>
      </c>
    </row>
    <row r="1221">
      <c r="H1221" s="3" t="str">
        <f>IFERROR(__xludf.DUMMYFUNCTION("""COMPUTED_VALUE"""),"HARMONY PHARMA")</f>
        <v>HARMONY PHARMA</v>
      </c>
    </row>
    <row r="1222">
      <c r="H1222" s="3" t="str">
        <f>IFERROR(__xludf.DUMMYFUNCTION("""COMPUTED_VALUE"""),"HARMONY PHARMA (GYN)")</f>
        <v>HARMONY PHARMA (GYN)</v>
      </c>
    </row>
    <row r="1223">
      <c r="H1223" s="3" t="str">
        <f>IFERROR(__xludf.DUMMYFUNCTION("""COMPUTED_VALUE"""),"HARSH AYURVED BHAVAN")</f>
        <v>HARSH AYURVED BHAVAN</v>
      </c>
    </row>
    <row r="1224">
      <c r="H1224" s="3" t="str">
        <f>IFERROR(__xludf.DUMMYFUNCTION("""COMPUTED_VALUE"""),"HARSON LABORATORIES P LTD")</f>
        <v>HARSON LABORATORIES P LTD</v>
      </c>
    </row>
    <row r="1225">
      <c r="H1225" s="3" t="str">
        <f>IFERROR(__xludf.DUMMYFUNCTION("""COMPUTED_VALUE"""),"HAUZ PHARMA P LTD")</f>
        <v>HAUZ PHARMA P LTD</v>
      </c>
    </row>
    <row r="1226">
      <c r="H1226" s="3" t="str">
        <f>IFERROR(__xludf.DUMMYFUNCTION("""COMPUTED_VALUE"""),"HAWABAN HARDE DEPOT")</f>
        <v>HAWABAN HARDE DEPOT</v>
      </c>
    </row>
    <row r="1227">
      <c r="H1227" s="3" t="str">
        <f>IFERROR(__xludf.DUMMYFUNCTION("""COMPUTED_VALUE"""),"HBC (ATRIA)")</f>
        <v>HBC (ATRIA)</v>
      </c>
    </row>
    <row r="1228">
      <c r="H1228" s="3" t="str">
        <f>IFERROR(__xludf.DUMMYFUNCTION("""COMPUTED_VALUE"""),"HBC (CARDIO)")</f>
        <v>HBC (CARDIO)</v>
      </c>
    </row>
    <row r="1229">
      <c r="H1229" s="3" t="str">
        <f>IFERROR(__xludf.DUMMYFUNCTION("""COMPUTED_VALUE"""),"HBC (DERMA)")</f>
        <v>HBC (DERMA)</v>
      </c>
    </row>
    <row r="1230">
      <c r="H1230" s="3" t="str">
        <f>IFERROR(__xludf.DUMMYFUNCTION("""COMPUTED_VALUE"""),"HBC (QURA)")</f>
        <v>HBC (QURA)</v>
      </c>
    </row>
    <row r="1231">
      <c r="H1231" s="3" t="str">
        <f>IFERROR(__xludf.DUMMYFUNCTION("""COMPUTED_VALUE"""),"HBC HEALTHCARE PVT LTD (NURA)")</f>
        <v>HBC HEALTHCARE PVT LTD (NURA)</v>
      </c>
    </row>
    <row r="1232">
      <c r="H1232" s="3" t="str">
        <f>IFERROR(__xludf.DUMMYFUNCTION("""COMPUTED_VALUE"""),"HBC Lifesciences Pvt Ltd")</f>
        <v>HBC Lifesciences Pvt Ltd</v>
      </c>
    </row>
    <row r="1233">
      <c r="H1233" s="3" t="str">
        <f>IFERROR(__xludf.DUMMYFUNCTION("""COMPUTED_VALUE"""),"HEAL ALL PHARMACETICALS")</f>
        <v>HEAL ALL PHARMACETICALS</v>
      </c>
    </row>
    <row r="1234">
      <c r="H1234" s="3" t="str">
        <f>IFERROR(__xludf.DUMMYFUNCTION("""COMPUTED_VALUE"""),"Heal India Laboratories")</f>
        <v>Heal India Laboratories</v>
      </c>
    </row>
    <row r="1235">
      <c r="H1235" s="3" t="str">
        <f>IFERROR(__xludf.DUMMYFUNCTION("""COMPUTED_VALUE"""),"HEALING PHARMA INDIA PVT LTD")</f>
        <v>HEALING PHARMA INDIA PVT LTD</v>
      </c>
    </row>
    <row r="1236">
      <c r="H1236" s="3" t="str">
        <f>IFERROR(__xludf.DUMMYFUNCTION("""COMPUTED_VALUE"""),"HEALTH BIOLOGICS")</f>
        <v>HEALTH BIOLOGICS</v>
      </c>
    </row>
    <row r="1237">
      <c r="H1237" s="3" t="str">
        <f>IFERROR(__xludf.DUMMYFUNCTION("""COMPUTED_VALUE"""),"Health Biomed Pharma")</f>
        <v>Health Biomed Pharma</v>
      </c>
    </row>
    <row r="1238">
      <c r="H1238" s="3" t="str">
        <f>IFERROR(__xludf.DUMMYFUNCTION("""COMPUTED_VALUE"""),"HEALTH BIOTECH")</f>
        <v>HEALTH BIOTECH</v>
      </c>
    </row>
    <row r="1239">
      <c r="H1239" s="3" t="str">
        <f>IFERROR(__xludf.DUMMYFUNCTION("""COMPUTED_VALUE"""),"Health Biotech Pvt Ltd")</f>
        <v>Health Biotech Pvt Ltd</v>
      </c>
    </row>
    <row r="1240">
      <c r="H1240" s="3" t="str">
        <f>IFERROR(__xludf.DUMMYFUNCTION("""COMPUTED_VALUE"""),"Health Care Formulations Pvt Ltd")</f>
        <v>Health Care Formulations Pvt Ltd</v>
      </c>
    </row>
    <row r="1241">
      <c r="H1241" s="3" t="str">
        <f>IFERROR(__xludf.DUMMYFUNCTION("""COMPUTED_VALUE"""),"Health Care Formulations Pvt. Ltd.")</f>
        <v>Health Care Formulations Pvt. Ltd.</v>
      </c>
    </row>
    <row r="1242">
      <c r="H1242" s="3" t="str">
        <f>IFERROR(__xludf.DUMMYFUNCTION("""COMPUTED_VALUE"""),"Health Guard (I) Pvt. Ltd.")</f>
        <v>Health Guard (I) Pvt. Ltd.</v>
      </c>
    </row>
    <row r="1243">
      <c r="H1243" s="3" t="str">
        <f>IFERROR(__xludf.DUMMYFUNCTION("""COMPUTED_VALUE"""),"HEALTH N U THERAPEUTICS PVT LTD")</f>
        <v>HEALTH N U THERAPEUTICS PVT LTD</v>
      </c>
    </row>
    <row r="1244">
      <c r="H1244" s="3" t="str">
        <f>IFERROR(__xludf.DUMMYFUNCTION("""COMPUTED_VALUE"""),"Health Plan")</f>
        <v>Health Plan</v>
      </c>
    </row>
    <row r="1245">
      <c r="H1245" s="3" t="str">
        <f>IFERROR(__xludf.DUMMYFUNCTION("""COMPUTED_VALUE"""),"HEALTHCARE HERBAL")</f>
        <v>HEALTHCARE HERBAL</v>
      </c>
    </row>
    <row r="1246">
      <c r="H1246" s="3" t="str">
        <f>IFERROR(__xludf.DUMMYFUNCTION("""COMPUTED_VALUE"""),"Healthkind Labs Pvt. Ltd.")</f>
        <v>Healthkind Labs Pvt. Ltd.</v>
      </c>
    </row>
    <row r="1247">
      <c r="H1247" s="3" t="str">
        <f>IFERROR(__xludf.DUMMYFUNCTION("""COMPUTED_VALUE"""),"HEILMITTEL PHARMA")</f>
        <v>HEILMITTEL PHARMA</v>
      </c>
    </row>
    <row r="1248">
      <c r="H1248" s="3" t="str">
        <f>IFERROR(__xludf.DUMMYFUNCTION("""COMPUTED_VALUE"""),"Heinz India Pvt Ltd")</f>
        <v>Heinz India Pvt Ltd</v>
      </c>
    </row>
    <row r="1249">
      <c r="H1249" s="3" t="str">
        <f>IFERROR(__xludf.DUMMYFUNCTION("""COMPUTED_VALUE"""),"HELAX HEALTHCARE P LTD")</f>
        <v>HELAX HEALTHCARE P LTD</v>
      </c>
    </row>
    <row r="1250">
      <c r="H1250" s="3" t="str">
        <f>IFERROR(__xludf.DUMMYFUNCTION("""COMPUTED_VALUE"""),"HELBREDE HEALTHCARE LTD")</f>
        <v>HELBREDE HEALTHCARE LTD</v>
      </c>
    </row>
    <row r="1251">
      <c r="H1251" s="3" t="str">
        <f>IFERROR(__xludf.DUMMYFUNCTION("""COMPUTED_VALUE"""),"HELIK PHARMACEUTICAL")</f>
        <v>HELIK PHARMACEUTICAL</v>
      </c>
    </row>
    <row r="1252">
      <c r="H1252" s="3" t="str">
        <f>IFERROR(__xludf.DUMMYFUNCTION("""COMPUTED_VALUE"""),"Helios Pharmaceuticals (GENERIC)")</f>
        <v>Helios Pharmaceuticals (GENERIC)</v>
      </c>
    </row>
    <row r="1253">
      <c r="H1253" s="3" t="str">
        <f>IFERROR(__xludf.DUMMYFUNCTION("""COMPUTED_VALUE"""),"HELLOBABY PVT LTD")</f>
        <v>HELLOBABY PVT LTD</v>
      </c>
    </row>
    <row r="1254">
      <c r="H1254" s="3" t="str">
        <f>IFERROR(__xludf.DUMMYFUNCTION("""COMPUTED_VALUE"""),"HEMRUS THEREPATICS PVT LTD")</f>
        <v>HEMRUS THEREPATICS PVT LTD</v>
      </c>
    </row>
    <row r="1255">
      <c r="H1255" s="3" t="str">
        <f>IFERROR(__xludf.DUMMYFUNCTION("""COMPUTED_VALUE"""),"HEPTAGON LIFESCIENCES PVT LTD")</f>
        <v>HEPTAGON LIFESCIENCES PVT LTD</v>
      </c>
    </row>
    <row r="1256">
      <c r="H1256" s="3" t="str">
        <f>IFERROR(__xludf.DUMMYFUNCTION("""COMPUTED_VALUE"""),"HERB EDGE HEALTH CARE PVT LTD")</f>
        <v>HERB EDGE HEALTH CARE PVT LTD</v>
      </c>
    </row>
    <row r="1257">
      <c r="H1257" s="3" t="str">
        <f>IFERROR(__xludf.DUMMYFUNCTION("""COMPUTED_VALUE"""),"HERBAL AYURVEDA &amp; RESEARCH CENTRE")</f>
        <v>HERBAL AYURVEDA &amp; RESEARCH CENTRE</v>
      </c>
    </row>
    <row r="1258">
      <c r="H1258" s="3" t="str">
        <f>IFERROR(__xludf.DUMMYFUNCTION("""COMPUTED_VALUE"""),"HERBAL GANGA")</f>
        <v>HERBAL GANGA</v>
      </c>
    </row>
    <row r="1259">
      <c r="H1259" s="3" t="str">
        <f>IFERROR(__xludf.DUMMYFUNCTION("""COMPUTED_VALUE"""),"HERBO CHEM")</f>
        <v>HERBO CHEM</v>
      </c>
    </row>
    <row r="1260">
      <c r="H1260" s="3" t="str">
        <f>IFERROR(__xludf.DUMMYFUNCTION("""COMPUTED_VALUE"""),"HERTZ BIOTECH")</f>
        <v>HERTZ BIOTECH</v>
      </c>
    </row>
    <row r="1261">
      <c r="H1261" s="3" t="str">
        <f>IFERROR(__xludf.DUMMYFUNCTION("""COMPUTED_VALUE"""),"Hetero Drugs Ltd")</f>
        <v>Hetero Drugs Ltd</v>
      </c>
    </row>
    <row r="1262">
      <c r="H1262" s="3" t="str">
        <f>IFERROR(__xludf.DUMMYFUNCTION("""COMPUTED_VALUE"""),"Hetero Drugs Ltd (DIASPA)")</f>
        <v>Hetero Drugs Ltd (DIASPA)</v>
      </c>
    </row>
    <row r="1263">
      <c r="H1263" s="3" t="str">
        <f>IFERROR(__xludf.DUMMYFUNCTION("""COMPUTED_VALUE"""),"Hetero Drugs Ltd (GENIX -HIV)")</f>
        <v>Hetero Drugs Ltd (GENIX -HIV)</v>
      </c>
    </row>
    <row r="1264">
      <c r="H1264" s="3" t="str">
        <f>IFERROR(__xludf.DUMMYFUNCTION("""COMPUTED_VALUE"""),"Hetero Drugs Ltd (GENIX)")</f>
        <v>Hetero Drugs Ltd (GENIX)</v>
      </c>
    </row>
    <row r="1265">
      <c r="H1265" s="3" t="str">
        <f>IFERROR(__xludf.DUMMYFUNCTION("""COMPUTED_VALUE"""),"Hetero Drugs Ltd (KRIS)")</f>
        <v>Hetero Drugs Ltd (KRIS)</v>
      </c>
    </row>
    <row r="1266">
      <c r="H1266" s="3" t="str">
        <f>IFERROR(__xludf.DUMMYFUNCTION("""COMPUTED_VALUE"""),"Hetero Drugs Ltd (MAIN)")</f>
        <v>Hetero Drugs Ltd (MAIN)</v>
      </c>
    </row>
    <row r="1267">
      <c r="H1267" s="3" t="str">
        <f>IFERROR(__xludf.DUMMYFUNCTION("""COMPUTED_VALUE"""),"Hetero Drugs Ltd (NEURO)")</f>
        <v>Hetero Drugs Ltd (NEURO)</v>
      </c>
    </row>
    <row r="1268">
      <c r="H1268" s="3" t="str">
        <f>IFERROR(__xludf.DUMMYFUNCTION("""COMPUTED_VALUE"""),"Hetero Drugs Ltd (SPECIALITY)")</f>
        <v>Hetero Drugs Ltd (SPECIALITY)</v>
      </c>
    </row>
    <row r="1269">
      <c r="H1269" s="3" t="str">
        <f>IFERROR(__xludf.DUMMYFUNCTION("""COMPUTED_VALUE"""),"Hetero Drugs Ltd (VIROLOGY)")</f>
        <v>Hetero Drugs Ltd (VIROLOGY)</v>
      </c>
    </row>
    <row r="1270">
      <c r="H1270" s="3" t="str">
        <f>IFERROR(__xludf.DUMMYFUNCTION("""COMPUTED_VALUE"""),"HETRO (FRENZA)")</f>
        <v>HETRO (FRENZA)</v>
      </c>
    </row>
    <row r="1271">
      <c r="H1271" s="3" t="str">
        <f>IFERROR(__xludf.DUMMYFUNCTION("""COMPUTED_VALUE"""),"HEXAGON NUTRITION")</f>
        <v>HEXAGON NUTRITION</v>
      </c>
    </row>
    <row r="1272">
      <c r="H1272" s="3" t="str">
        <f>IFERROR(__xludf.DUMMYFUNCTION("""COMPUTED_VALUE"""),"Hexagon Nutrition Pvt Ltd")</f>
        <v>Hexagon Nutrition Pvt Ltd</v>
      </c>
    </row>
    <row r="1273">
      <c r="H1273" s="3" t="str">
        <f>IFERROR(__xludf.DUMMYFUNCTION("""COMPUTED_VALUE"""),"Hi Tech Pharmaceuticals Pvt Ltd")</f>
        <v>Hi Tech Pharmaceuticals Pvt Ltd</v>
      </c>
    </row>
    <row r="1274">
      <c r="H1274" s="3" t="str">
        <f>IFERROR(__xludf.DUMMYFUNCTION("""COMPUTED_VALUE"""),"Hicare Pharma")</f>
        <v>Hicare Pharma</v>
      </c>
    </row>
    <row r="1275">
      <c r="H1275" s="3" t="str">
        <f>IFERROR(__xludf.DUMMYFUNCTION("""COMPUTED_VALUE"""),"HICKS")</f>
        <v>HICKS</v>
      </c>
    </row>
    <row r="1276">
      <c r="H1276" s="3" t="str">
        <f>IFERROR(__xludf.DUMMYFUNCTION("""COMPUTED_VALUE"""),"HIDUSTAN REMEDIES")</f>
        <v>HIDUSTAN REMEDIES</v>
      </c>
    </row>
    <row r="1277">
      <c r="H1277" s="3" t="str">
        <f>IFERROR(__xludf.DUMMYFUNCTION("""COMPUTED_VALUE"""),"HIGLANCE LABORATORIES")</f>
        <v>HIGLANCE LABORATORIES</v>
      </c>
    </row>
    <row r="1278">
      <c r="H1278" s="3" t="str">
        <f>IFERROR(__xludf.DUMMYFUNCTION("""COMPUTED_VALUE"""),"HIMALAYA (BABY CARE)")</f>
        <v>HIMALAYA (BABY CARE)</v>
      </c>
    </row>
    <row r="1279">
      <c r="H1279" s="3" t="str">
        <f>IFERROR(__xludf.DUMMYFUNCTION("""COMPUTED_VALUE"""),"HIMALAYA (PET CARE)")</f>
        <v>HIMALAYA (PET CARE)</v>
      </c>
    </row>
    <row r="1280">
      <c r="H1280" s="3" t="str">
        <f>IFERROR(__xludf.DUMMYFUNCTION("""COMPUTED_VALUE"""),"HIMALAYA (ZANDRA)")</f>
        <v>HIMALAYA (ZANDRA)</v>
      </c>
    </row>
    <row r="1281">
      <c r="H1281" s="3" t="str">
        <f>IFERROR(__xludf.DUMMYFUNCTION("""COMPUTED_VALUE"""),"HIMALAYA (ZEAL)")</f>
        <v>HIMALAYA (ZEAL)</v>
      </c>
    </row>
    <row r="1282">
      <c r="H1282" s="3" t="str">
        <f>IFERROR(__xludf.DUMMYFUNCTION("""COMPUTED_VALUE"""),"HIMALAYA (ZENITH)")</f>
        <v>HIMALAYA (ZENITH)</v>
      </c>
    </row>
    <row r="1283">
      <c r="H1283" s="3" t="str">
        <f>IFERROR(__xludf.DUMMYFUNCTION("""COMPUTED_VALUE"""),"HIMALAYA (ZINDEL)")</f>
        <v>HIMALAYA (ZINDEL)</v>
      </c>
    </row>
    <row r="1284">
      <c r="H1284" s="3" t="str">
        <f>IFERROR(__xludf.DUMMYFUNCTION("""COMPUTED_VALUE"""),"Himalaya Drug Company")</f>
        <v>Himalaya Drug Company</v>
      </c>
    </row>
    <row r="1285">
      <c r="H1285" s="3" t="str">
        <f>IFERROR(__xludf.DUMMYFUNCTION("""COMPUTED_VALUE"""),"HIMALAYAN MEDICARE PVT LTD")</f>
        <v>HIMALAYAN MEDICARE PVT LTD</v>
      </c>
    </row>
    <row r="1286">
      <c r="H1286" s="3" t="str">
        <f>IFERROR(__xludf.DUMMYFUNCTION("""COMPUTED_VALUE"""),"HIMANI")</f>
        <v>HIMANI</v>
      </c>
    </row>
    <row r="1287">
      <c r="H1287" s="3" t="str">
        <f>IFERROR(__xludf.DUMMYFUNCTION("""COMPUTED_VALUE"""),"HIMANSHU PHARMACEUTICALS P LTD")</f>
        <v>HIMANSHU PHARMACEUTICALS P LTD</v>
      </c>
    </row>
    <row r="1288">
      <c r="H1288" s="3" t="str">
        <f>IFERROR(__xludf.DUMMYFUNCTION("""COMPUTED_VALUE"""),"HIMEROS PHARMA")</f>
        <v>HIMEROS PHARMA</v>
      </c>
    </row>
    <row r="1289">
      <c r="H1289" s="3" t="str">
        <f>IFERROR(__xludf.DUMMYFUNCTION("""COMPUTED_VALUE"""),"HIND C&amp;C WORKS")</f>
        <v>HIND C&amp;C WORKS</v>
      </c>
    </row>
    <row r="1290">
      <c r="H1290" s="3" t="str">
        <f>IFERROR(__xludf.DUMMYFUNCTION("""COMPUTED_VALUE"""),"HIND CHEMICALS")</f>
        <v>HIND CHEMICALS</v>
      </c>
    </row>
    <row r="1291">
      <c r="H1291" s="3" t="str">
        <f>IFERROR(__xludf.DUMMYFUNCTION("""COMPUTED_VALUE"""),"HINDUKUSH BIOPRODUCTS PVT LTD (EMAAR)")</f>
        <v>HINDUKUSH BIOPRODUCTS PVT LTD (EMAAR)</v>
      </c>
    </row>
    <row r="1292">
      <c r="H1292" s="3" t="str">
        <f>IFERROR(__xludf.DUMMYFUNCTION("""COMPUTED_VALUE"""),"HINDUSTAN LATEX FAMILY PLANNING PROMOTION TRUST (HLFPPT)")</f>
        <v>HINDUSTAN LATEX FAMILY PLANNING PROMOTION TRUST (HLFPPT)</v>
      </c>
    </row>
    <row r="1293">
      <c r="H1293" s="3" t="str">
        <f>IFERROR(__xludf.DUMMYFUNCTION("""COMPUTED_VALUE"""),"Hindustan Latex Ltd")</f>
        <v>Hindustan Latex Ltd</v>
      </c>
    </row>
    <row r="1294">
      <c r="H1294" s="3" t="str">
        <f>IFERROR(__xludf.DUMMYFUNCTION("""COMPUTED_VALUE"""),"HINDUSTAN LIFESCIENCES")</f>
        <v>HINDUSTAN LIFESCIENCES</v>
      </c>
    </row>
    <row r="1295">
      <c r="H1295" s="3" t="str">
        <f>IFERROR(__xludf.DUMMYFUNCTION("""COMPUTED_VALUE"""),"HINDUSTAN MEDICARE")</f>
        <v>HINDUSTAN MEDICARE</v>
      </c>
    </row>
    <row r="1296">
      <c r="H1296" s="3" t="str">
        <f>IFERROR(__xludf.DUMMYFUNCTION("""COMPUTED_VALUE"""),"HINDUSTAN PHARMA")</f>
        <v>HINDUSTAN PHARMA</v>
      </c>
    </row>
    <row r="1297">
      <c r="H1297" s="3" t="str">
        <f>IFERROR(__xludf.DUMMYFUNCTION("""COMPUTED_VALUE"""),"HINDUSTAN SYRINGES AND MEDICAL DEVICES")</f>
        <v>HINDUSTAN SYRINGES AND MEDICAL DEVICES</v>
      </c>
    </row>
    <row r="1298">
      <c r="H1298" s="3" t="str">
        <f>IFERROR(__xludf.DUMMYFUNCTION("""COMPUTED_VALUE"""),"HINDUSTAN UNILEVER")</f>
        <v>HINDUSTAN UNILEVER</v>
      </c>
    </row>
    <row r="1299">
      <c r="H1299" s="3" t="str">
        <f>IFERROR(__xludf.DUMMYFUNCTION("""COMPUTED_VALUE"""),"Hindustan Unilever Ltd")</f>
        <v>Hindustan Unilever Ltd</v>
      </c>
    </row>
    <row r="1300">
      <c r="H1300" s="3" t="str">
        <f>IFERROR(__xludf.DUMMYFUNCTION("""COMPUTED_VALUE"""),"HINIKAM DRUGS AND PHARMACEUTICALS")</f>
        <v>HINIKAM DRUGS AND PHARMACEUTICALS</v>
      </c>
    </row>
    <row r="1301">
      <c r="H1301" s="3" t="str">
        <f>IFERROR(__xludf.DUMMYFUNCTION("""COMPUTED_VALUE"""),"HL")</f>
        <v>HL</v>
      </c>
    </row>
    <row r="1302">
      <c r="H1302" s="3" t="str">
        <f>IFERROR(__xludf.DUMMYFUNCTION("""COMPUTED_VALUE"""),"HL HEALTHCARE")</f>
        <v>HL HEALTHCARE</v>
      </c>
    </row>
    <row r="1303">
      <c r="H1303" s="3" t="str">
        <f>IFERROR(__xludf.DUMMYFUNCTION("""COMPUTED_VALUE"""),"HLL Lifecare Ltd")</f>
        <v>HLL Lifecare Ltd</v>
      </c>
    </row>
    <row r="1304">
      <c r="H1304" s="3" t="str">
        <f>IFERROR(__xludf.DUMMYFUNCTION("""COMPUTED_VALUE"""),"HMD LTD")</f>
        <v>HMD LTD</v>
      </c>
    </row>
    <row r="1305">
      <c r="H1305" s="3" t="str">
        <f>IFERROR(__xludf.DUMMYFUNCTION("""COMPUTED_VALUE"""),"HOECHEST")</f>
        <v>HOECHEST</v>
      </c>
    </row>
    <row r="1306">
      <c r="H1306" s="3" t="str">
        <f>IFERROR(__xludf.DUMMYFUNCTION("""COMPUTED_VALUE"""),"HOME REMEDIES")</f>
        <v>HOME REMEDIES</v>
      </c>
    </row>
    <row r="1307">
      <c r="H1307" s="3" t="str">
        <f>IFERROR(__xludf.DUMMYFUNCTION("""COMPUTED_VALUE"""),"HORIZON BIOCEUTICALS PVT LTD")</f>
        <v>HORIZON BIOCEUTICALS PVT LTD</v>
      </c>
    </row>
    <row r="1308">
      <c r="H1308" s="3" t="str">
        <f>IFERROR(__xludf.DUMMYFUNCTION("""COMPUTED_VALUE"""),"HORIZON MEDICAMENT")</f>
        <v>HORIZON MEDICAMENT</v>
      </c>
    </row>
    <row r="1309">
      <c r="H1309" s="3" t="str">
        <f>IFERROR(__xludf.DUMMYFUNCTION("""COMPUTED_VALUE"""),"HORIZON PHARMACEUTICALS")</f>
        <v>HORIZON PHARMACEUTICALS</v>
      </c>
    </row>
    <row r="1310">
      <c r="H1310" s="3" t="str">
        <f>IFERROR(__xludf.DUMMYFUNCTION("""COMPUTED_VALUE"""),"HORWEIZ PHARMACEUTICAL")</f>
        <v>HORWEIZ PHARMACEUTICAL</v>
      </c>
    </row>
    <row r="1311">
      <c r="H1311" s="3" t="str">
        <f>IFERROR(__xludf.DUMMYFUNCTION("""COMPUTED_VALUE"""),"HOYA LENS INDIA")</f>
        <v>HOYA LENS INDIA</v>
      </c>
    </row>
    <row r="1312">
      <c r="H1312" s="3" t="str">
        <f>IFERROR(__xludf.DUMMYFUNCTION("""COMPUTED_VALUE"""),"HP")</f>
        <v>HP</v>
      </c>
    </row>
    <row r="1313">
      <c r="H1313" s="3" t="str">
        <f>IFERROR(__xludf.DUMMYFUNCTION("""COMPUTED_VALUE"""),"HRI HEALTHCARE")</f>
        <v>HRI HEALTHCARE</v>
      </c>
    </row>
    <row r="1314">
      <c r="H1314" s="3" t="str">
        <f>IFERROR(__xludf.DUMMYFUNCTION("""COMPUTED_VALUE"""),"HSL")</f>
        <v>HSL</v>
      </c>
    </row>
    <row r="1315">
      <c r="H1315" s="3" t="str">
        <f>IFERROR(__xludf.DUMMYFUNCTION("""COMPUTED_VALUE"""),"HUMAN BIO ORGANIC")</f>
        <v>HUMAN BIO ORGANIC</v>
      </c>
    </row>
    <row r="1316">
      <c r="H1316" s="3" t="str">
        <f>IFERROR(__xludf.DUMMYFUNCTION("""COMPUTED_VALUE"""),"HUMAN HEALTH CARE")</f>
        <v>HUMAN HEALTH CARE</v>
      </c>
    </row>
    <row r="1317">
      <c r="H1317" s="3" t="str">
        <f>IFERROR(__xludf.DUMMYFUNCTION("""COMPUTED_VALUE"""),"HUMANBIO-LOGICAL PVT LTD")</f>
        <v>HUMANBIO-LOGICAL PVT LTD</v>
      </c>
    </row>
    <row r="1318">
      <c r="H1318" s="3" t="str">
        <f>IFERROR(__xludf.DUMMYFUNCTION("""COMPUTED_VALUE"""),"HUMMOCK PHARMACEUTICALS PVT LTD")</f>
        <v>HUMMOCK PHARMACEUTICALS PVT LTD</v>
      </c>
    </row>
    <row r="1319">
      <c r="H1319" s="3" t="str">
        <f>IFERROR(__xludf.DUMMYFUNCTION("""COMPUTED_VALUE"""),"HUMPS INDIA PVT LTD")</f>
        <v>HUMPS INDIA PVT LTD</v>
      </c>
    </row>
    <row r="1320">
      <c r="H1320" s="3" t="str">
        <f>IFERROR(__xludf.DUMMYFUNCTION("""COMPUTED_VALUE"""),"HYGEIA LABS")</f>
        <v>HYGEIA LABS</v>
      </c>
    </row>
    <row r="1321">
      <c r="H1321" s="3" t="str">
        <f>IFERROR(__xludf.DUMMYFUNCTION("""COMPUTED_VALUE"""),"HYGEIA LABS (H)")</f>
        <v>HYGEIA LABS (H)</v>
      </c>
    </row>
    <row r="1322">
      <c r="H1322" s="3" t="str">
        <f>IFERROR(__xludf.DUMMYFUNCTION("""COMPUTED_VALUE"""),"HYGIENIC RESEARCH INSTITUTE")</f>
        <v>HYGIENIC RESEARCH INSTITUTE</v>
      </c>
    </row>
    <row r="1323">
      <c r="H1323" s="3" t="str">
        <f>IFERROR(__xludf.DUMMYFUNCTION("""COMPUTED_VALUE"""),"HYMAX HEALTHCARE P LTD")</f>
        <v>HYMAX HEALTHCARE P LTD</v>
      </c>
    </row>
    <row r="1324">
      <c r="H1324" s="3" t="str">
        <f>IFERROR(__xludf.DUMMYFUNCTION("""COMPUTED_VALUE"""),"HYPATOS PHARMACEUTICALS PVT LTD")</f>
        <v>HYPATOS PHARMACEUTICALS PVT LTD</v>
      </c>
    </row>
    <row r="1325">
      <c r="H1325" s="3" t="str">
        <f>IFERROR(__xludf.DUMMYFUNCTION("""COMPUTED_VALUE"""),"HYPOLIN")</f>
        <v>HYPOLIN</v>
      </c>
    </row>
    <row r="1326">
      <c r="H1326" s="3" t="str">
        <f>IFERROR(__xludf.DUMMYFUNCTION("""COMPUTED_VALUE"""),"I CONNECT")</f>
        <v>I CONNECT</v>
      </c>
    </row>
    <row r="1327">
      <c r="H1327" s="3" t="str">
        <f>IFERROR(__xludf.DUMMYFUNCTION("""COMPUTED_VALUE"""),"IBLUE (GENERIC)")</f>
        <v>IBLUE (GENERIC)</v>
      </c>
    </row>
    <row r="1328">
      <c r="H1328" s="3" t="str">
        <f>IFERROR(__xludf.DUMMYFUNCTION("""COMPUTED_VALUE"""),"ICON HEALTH CARE")</f>
        <v>ICON HEALTH CARE</v>
      </c>
    </row>
    <row r="1329">
      <c r="H1329" s="3" t="str">
        <f>IFERROR(__xludf.DUMMYFUNCTION("""COMPUTED_VALUE"""),"Icon Life Sciences")</f>
        <v>Icon Life Sciences</v>
      </c>
    </row>
    <row r="1330">
      <c r="H1330" s="3" t="str">
        <f>IFERROR(__xludf.DUMMYFUNCTION("""COMPUTED_VALUE"""),"Icon Pharma &amp; Surgicals Pvt Ltd")</f>
        <v>Icon Pharma &amp; Surgicals Pvt Ltd</v>
      </c>
    </row>
    <row r="1331">
      <c r="H1331" s="3" t="str">
        <f>IFERROR(__xludf.DUMMYFUNCTION("""COMPUTED_VALUE"""),"Icpa Health Products Ltd")</f>
        <v>Icpa Health Products Ltd</v>
      </c>
    </row>
    <row r="1332">
      <c r="H1332" s="3" t="str">
        <f>IFERROR(__xludf.DUMMYFUNCTION("""COMPUTED_VALUE"""),"IIFA HEALTHCARE")</f>
        <v>IIFA HEALTHCARE</v>
      </c>
    </row>
    <row r="1333">
      <c r="H1333" s="3" t="str">
        <f>IFERROR(__xludf.DUMMYFUNCTION("""COMPUTED_VALUE"""),"Ikon Pharmachem Pvt Ltd")</f>
        <v>Ikon Pharmachem Pvt Ltd</v>
      </c>
    </row>
    <row r="1334">
      <c r="H1334" s="3" t="str">
        <f>IFERROR(__xludf.DUMMYFUNCTION("""COMPUTED_VALUE"""),"IKON REMEDIES")</f>
        <v>IKON REMEDIES</v>
      </c>
    </row>
    <row r="1335">
      <c r="H1335" s="3" t="str">
        <f>IFERROR(__xludf.DUMMYFUNCTION("""COMPUTED_VALUE"""),"IKON REMEDIES (GENERIC)")</f>
        <v>IKON REMEDIES (GENERIC)</v>
      </c>
    </row>
    <row r="1336">
      <c r="H1336" s="3" t="str">
        <f>IFERROR(__xludf.DUMMYFUNCTION("""COMPUTED_VALUE"""),"INAVARS BIOLOGICALS INC")</f>
        <v>INAVARS BIOLOGICALS INC</v>
      </c>
    </row>
    <row r="1337">
      <c r="H1337" s="3" t="str">
        <f>IFERROR(__xludf.DUMMYFUNCTION("""COMPUTED_VALUE"""),"INCEPTA PHARMACEUTICALS LTD")</f>
        <v>INCEPTA PHARMACEUTICALS LTD</v>
      </c>
    </row>
    <row r="1338">
      <c r="H1338" s="3" t="str">
        <f>IFERROR(__xludf.DUMMYFUNCTION("""COMPUTED_VALUE"""),"INCIPE PHARMACEUTICAL")</f>
        <v>INCIPE PHARMACEUTICAL</v>
      </c>
    </row>
    <row r="1339">
      <c r="H1339" s="3" t="str">
        <f>IFERROR(__xludf.DUMMYFUNCTION("""COMPUTED_VALUE"""),"IND RUSSIAN")</f>
        <v>IND RUSSIAN</v>
      </c>
    </row>
    <row r="1340">
      <c r="H1340" s="3" t="str">
        <f>IFERROR(__xludf.DUMMYFUNCTION("""COMPUTED_VALUE"""),"Ind Swift (CARDIOSWIFT)")</f>
        <v>Ind Swift (CARDIOSWIFT)</v>
      </c>
    </row>
    <row r="1341">
      <c r="H1341" s="3" t="str">
        <f>IFERROR(__xludf.DUMMYFUNCTION("""COMPUTED_VALUE"""),"Ind Swift (GYANOSWIFT)")</f>
        <v>Ind Swift (GYANOSWIFT)</v>
      </c>
    </row>
    <row r="1342">
      <c r="H1342" s="3" t="str">
        <f>IFERROR(__xludf.DUMMYFUNCTION("""COMPUTED_VALUE"""),"Ind Swift (MEGASWIFT)")</f>
        <v>Ind Swift (MEGASWIFT)</v>
      </c>
    </row>
    <row r="1343">
      <c r="H1343" s="3" t="str">
        <f>IFERROR(__xludf.DUMMYFUNCTION("""COMPUTED_VALUE"""),"Ind Swift (NEUTRAMATRIX)")</f>
        <v>Ind Swift (NEUTRAMATRIX)</v>
      </c>
    </row>
    <row r="1344">
      <c r="H1344" s="3" t="str">
        <f>IFERROR(__xludf.DUMMYFUNCTION("""COMPUTED_VALUE"""),"Ind Swift Laboratories (GENERIC)")</f>
        <v>Ind Swift Laboratories (GENERIC)</v>
      </c>
    </row>
    <row r="1345">
      <c r="H1345" s="3" t="str">
        <f>IFERROR(__xludf.DUMMYFUNCTION("""COMPUTED_VALUE"""),"Ind Swift Laboratories Ltd")</f>
        <v>Ind Swift Laboratories Ltd</v>
      </c>
    </row>
    <row r="1346">
      <c r="H1346" s="3" t="str">
        <f>IFERROR(__xludf.DUMMYFUNCTION("""COMPUTED_VALUE"""),"Indchemi Health Specialies Pvt Ltd")</f>
        <v>Indchemi Health Specialies Pvt Ltd</v>
      </c>
    </row>
    <row r="1347">
      <c r="H1347" s="3" t="str">
        <f>IFERROR(__xludf.DUMMYFUNCTION("""COMPUTED_VALUE"""),"Indi Pharma")</f>
        <v>Indi Pharma</v>
      </c>
    </row>
    <row r="1348">
      <c r="H1348" s="3" t="str">
        <f>IFERROR(__xludf.DUMMYFUNCTION("""COMPUTED_VALUE"""),"INDIABULLS (CRITICA)")</f>
        <v>INDIABULLS (CRITICA)</v>
      </c>
    </row>
    <row r="1349">
      <c r="H1349" s="3" t="str">
        <f>IFERROR(__xludf.DUMMYFUNCTION("""COMPUTED_VALUE"""),"INDIABULLS (CVD)")</f>
        <v>INDIABULLS (CVD)</v>
      </c>
    </row>
    <row r="1350">
      <c r="H1350" s="3" t="str">
        <f>IFERROR(__xludf.DUMMYFUNCTION("""COMPUTED_VALUE"""),"INDIABULLS (DERMANEX 1)")</f>
        <v>INDIABULLS (DERMANEX 1)</v>
      </c>
    </row>
    <row r="1351">
      <c r="H1351" s="3" t="str">
        <f>IFERROR(__xludf.DUMMYFUNCTION("""COMPUTED_VALUE"""),"INDIABULLS (DERMANEX 3)")</f>
        <v>INDIABULLS (DERMANEX 3)</v>
      </c>
    </row>
    <row r="1352">
      <c r="H1352" s="3" t="str">
        <f>IFERROR(__xludf.DUMMYFUNCTION("""COMPUTED_VALUE"""),"INDIABULLS (FEMINEX)")</f>
        <v>INDIABULLS (FEMINEX)</v>
      </c>
    </row>
    <row r="1353">
      <c r="H1353" s="3" t="str">
        <f>IFERROR(__xludf.DUMMYFUNCTION("""COMPUTED_VALUE"""),"INDIABULLS (INVICTA)")</f>
        <v>INDIABULLS (INVICTA)</v>
      </c>
    </row>
    <row r="1354">
      <c r="H1354" s="3" t="str">
        <f>IFERROR(__xludf.DUMMYFUNCTION("""COMPUTED_VALUE"""),"INDIABULLS (NEXPIRA)")</f>
        <v>INDIABULLS (NEXPIRA)</v>
      </c>
    </row>
    <row r="1355">
      <c r="H1355" s="3" t="str">
        <f>IFERROR(__xludf.DUMMYFUNCTION("""COMPUTED_VALUE"""),"INDIABULLS (PEDIA)")</f>
        <v>INDIABULLS (PEDIA)</v>
      </c>
    </row>
    <row r="1356">
      <c r="H1356" s="3" t="str">
        <f>IFERROR(__xludf.DUMMYFUNCTION("""COMPUTED_VALUE"""),"INDIABULLS (PHARMACEUTICAL)")</f>
        <v>INDIABULLS (PHARMACEUTICAL)</v>
      </c>
    </row>
    <row r="1357">
      <c r="H1357" s="3" t="str">
        <f>IFERROR(__xludf.DUMMYFUNCTION("""COMPUTED_VALUE"""),"INDIABULLS (PRIMA)")</f>
        <v>INDIABULLS (PRIMA)</v>
      </c>
    </row>
    <row r="1358">
      <c r="H1358" s="3" t="str">
        <f>IFERROR(__xludf.DUMMYFUNCTION("""COMPUTED_VALUE"""),"INDIABULLS (VESTA)")</f>
        <v>INDIABULLS (VESTA)</v>
      </c>
    </row>
    <row r="1359">
      <c r="H1359" s="3" t="str">
        <f>IFERROR(__xludf.DUMMYFUNCTION("""COMPUTED_VALUE"""),"INDIABULLS PHARMACEUTICAL")</f>
        <v>INDIABULLS PHARMACEUTICAL</v>
      </c>
    </row>
    <row r="1360">
      <c r="H1360" s="3" t="str">
        <f>IFERROR(__xludf.DUMMYFUNCTION("""COMPUTED_VALUE"""),"INDIAN CHEMICAL WORKS")</f>
        <v>INDIAN CHEMICAL WORKS</v>
      </c>
    </row>
    <row r="1361">
      <c r="H1361" s="3" t="str">
        <f>IFERROR(__xludf.DUMMYFUNCTION("""COMPUTED_VALUE"""),"Indian Immunologicals Ltd")</f>
        <v>Indian Immunologicals Ltd</v>
      </c>
    </row>
    <row r="1362">
      <c r="H1362" s="3" t="str">
        <f>IFERROR(__xludf.DUMMYFUNCTION("""COMPUTED_VALUE"""),"INDIAN TRADERS (OEP)")</f>
        <v>INDIAN TRADERS (OEP)</v>
      </c>
    </row>
    <row r="1363">
      <c r="H1363" s="3" t="str">
        <f>IFERROR(__xludf.DUMMYFUNCTION("""COMPUTED_VALUE"""),"Indica Laboratories Pvt Ltd")</f>
        <v>Indica Laboratories Pvt Ltd</v>
      </c>
    </row>
    <row r="1364">
      <c r="H1364" s="3" t="str">
        <f>IFERROR(__xludf.DUMMYFUNCTION("""COMPUTED_VALUE"""),"INDILINA PHARMACEUTICALS")</f>
        <v>INDILINA PHARMACEUTICALS</v>
      </c>
    </row>
    <row r="1365">
      <c r="H1365" s="3" t="str">
        <f>IFERROR(__xludf.DUMMYFUNCTION("""COMPUTED_VALUE"""),"Indkus Drugs &amp; Pharma Pvt. Ltd")</f>
        <v>Indkus Drugs &amp; Pharma Pvt. Ltd</v>
      </c>
    </row>
    <row r="1366">
      <c r="H1366" s="3" t="str">
        <f>IFERROR(__xludf.DUMMYFUNCTION("""COMPUTED_VALUE"""),"Indkus Drugs &amp; Pharma Pvt. Ltd.")</f>
        <v>Indkus Drugs &amp; Pharma Pvt. Ltd.</v>
      </c>
    </row>
    <row r="1367">
      <c r="H1367" s="3" t="str">
        <f>IFERROR(__xludf.DUMMYFUNCTION("""COMPUTED_VALUE"""),"INDOCO REMEDIES (WARREN-EXEL)")</f>
        <v>INDOCO REMEDIES (WARREN-EXEL)</v>
      </c>
    </row>
    <row r="1368">
      <c r="H1368" s="3" t="str">
        <f>IFERROR(__xludf.DUMMYFUNCTION("""COMPUTED_VALUE"""),"INDOCO REMEDIES (WARREN)")</f>
        <v>INDOCO REMEDIES (WARREN)</v>
      </c>
    </row>
    <row r="1369">
      <c r="H1369" s="3" t="str">
        <f>IFERROR(__xludf.DUMMYFUNCTION("""COMPUTED_VALUE"""),"Indoco Remedies Ltd")</f>
        <v>Indoco Remedies Ltd</v>
      </c>
    </row>
    <row r="1370">
      <c r="H1370" s="3" t="str">
        <f>IFERROR(__xludf.DUMMYFUNCTION("""COMPUTED_VALUE"""),"INDON HEALTHCARE LTD.")</f>
        <v>INDON HEALTHCARE LTD.</v>
      </c>
    </row>
    <row r="1371">
      <c r="H1371" s="3" t="str">
        <f>IFERROR(__xludf.DUMMYFUNCTION("""COMPUTED_VALUE"""),"INDORE MEDICINE HOUSE (COMMON)")</f>
        <v>INDORE MEDICINE HOUSE (COMMON)</v>
      </c>
    </row>
    <row r="1372">
      <c r="H1372" s="3" t="str">
        <f>IFERROR(__xludf.DUMMYFUNCTION("""COMPUTED_VALUE"""),"INDORE MEDICINE HOUSE (VETERINARY)")</f>
        <v>INDORE MEDICINE HOUSE (VETERINARY)</v>
      </c>
    </row>
    <row r="1373">
      <c r="H1373" s="3" t="str">
        <f>IFERROR(__xludf.DUMMYFUNCTION("""COMPUTED_VALUE"""),"INDOSS LIFE SCIENCES")</f>
        <v>INDOSS LIFE SCIENCES</v>
      </c>
    </row>
    <row r="1374">
      <c r="H1374" s="3" t="str">
        <f>IFERROR(__xludf.DUMMYFUNCTION("""COMPUTED_VALUE"""),"INDUS MEDITECH P LTD")</f>
        <v>INDUS MEDITECH P LTD</v>
      </c>
    </row>
    <row r="1375">
      <c r="H1375" s="3" t="str">
        <f>IFERROR(__xludf.DUMMYFUNCTION("""COMPUTED_VALUE"""),"INDUSKEN")</f>
        <v>INDUSKEN</v>
      </c>
    </row>
    <row r="1376">
      <c r="H1376" s="3" t="str">
        <f>IFERROR(__xludf.DUMMYFUNCTION("""COMPUTED_VALUE"""),"Infar (India) Ltd.")</f>
        <v>Infar (India) Ltd.</v>
      </c>
    </row>
    <row r="1377">
      <c r="H1377" s="3" t="str">
        <f>IFERROR(__xludf.DUMMYFUNCTION("""COMPUTED_VALUE"""),"INGA LABORATORIES")</f>
        <v>INGA LABORATORIES</v>
      </c>
    </row>
    <row r="1378">
      <c r="H1378" s="3" t="str">
        <f>IFERROR(__xludf.DUMMYFUNCTION("""COMPUTED_VALUE"""),"INGOLDSHIELD PHARMA")</f>
        <v>INGOLDSHIELD PHARMA</v>
      </c>
    </row>
    <row r="1379">
      <c r="H1379" s="3" t="str">
        <f>IFERROR(__xludf.DUMMYFUNCTION("""COMPUTED_VALUE"""),"INIZIA HEALTHCARE")</f>
        <v>INIZIA HEALTHCARE</v>
      </c>
    </row>
    <row r="1380">
      <c r="H1380" s="3" t="str">
        <f>IFERROR(__xludf.DUMMYFUNCTION("""COMPUTED_VALUE"""),"INIZIA HEALTHCARE (CENURA)")</f>
        <v>INIZIA HEALTHCARE (CENURA)</v>
      </c>
    </row>
    <row r="1381">
      <c r="H1381" s="3" t="str">
        <f>IFERROR(__xludf.DUMMYFUNCTION("""COMPUTED_VALUE"""),"INJAYS PHARMACEUTICALS P LTD")</f>
        <v>INJAYS PHARMACEUTICALS P LTD</v>
      </c>
    </row>
    <row r="1382">
      <c r="H1382" s="3" t="str">
        <f>IFERROR(__xludf.DUMMYFUNCTION("""COMPUTED_VALUE"""),"INJECT CARE PARENTERALS")</f>
        <v>INJECT CARE PARENTERALS</v>
      </c>
    </row>
    <row r="1383">
      <c r="H1383" s="3" t="str">
        <f>IFERROR(__xludf.DUMMYFUNCTION("""COMPUTED_VALUE"""),"INJECTO CAPTA PVT.LTD.")</f>
        <v>INJECTO CAPTA PVT.LTD.</v>
      </c>
    </row>
    <row r="1384">
      <c r="H1384" s="3" t="str">
        <f>IFERROR(__xludf.DUMMYFUNCTION("""COMPUTED_VALUE"""),"INNATE BIOTECH")</f>
        <v>INNATE BIOTECH</v>
      </c>
    </row>
    <row r="1385">
      <c r="H1385" s="3" t="str">
        <f>IFERROR(__xludf.DUMMYFUNCTION("""COMPUTED_VALUE"""),"INNOVA FORMULATION PVT LTD")</f>
        <v>INNOVA FORMULATION PVT LTD</v>
      </c>
    </row>
    <row r="1386">
      <c r="H1386" s="3" t="str">
        <f>IFERROR(__xludf.DUMMYFUNCTION("""COMPUTED_VALUE"""),"INNOVATIVE")</f>
        <v>INNOVATIVE</v>
      </c>
    </row>
    <row r="1387">
      <c r="H1387" s="3" t="str">
        <f>IFERROR(__xludf.DUMMYFUNCTION("""COMPUTED_VALUE"""),"Innovative Lifesciences")</f>
        <v>Innovative Lifesciences</v>
      </c>
    </row>
    <row r="1388">
      <c r="H1388" s="3" t="str">
        <f>IFERROR(__xludf.DUMMYFUNCTION("""COMPUTED_VALUE"""),"INNOVATIVE PHARMACEUTICALS (GENERIC)")</f>
        <v>INNOVATIVE PHARMACEUTICALS (GENERIC)</v>
      </c>
    </row>
    <row r="1389">
      <c r="H1389" s="3" t="str">
        <f>IFERROR(__xludf.DUMMYFUNCTION("""COMPUTED_VALUE"""),"INNOVCARE LIFESCIENCE (ALTIUS)")</f>
        <v>INNOVCARE LIFESCIENCE (ALTIUS)</v>
      </c>
    </row>
    <row r="1390">
      <c r="H1390" s="3" t="str">
        <f>IFERROR(__xludf.DUMMYFUNCTION("""COMPUTED_VALUE"""),"INNOVCARE LIFESCIENCES")</f>
        <v>INNOVCARE LIFESCIENCES</v>
      </c>
    </row>
    <row r="1391">
      <c r="H1391" s="3" t="str">
        <f>IFERROR(__xludf.DUMMYFUNCTION("""COMPUTED_VALUE"""),"INNOVEXIA LIFE SCIENCES")</f>
        <v>INNOVEXIA LIFE SCIENCES</v>
      </c>
    </row>
    <row r="1392">
      <c r="H1392" s="3" t="str">
        <f>IFERROR(__xludf.DUMMYFUNCTION("""COMPUTED_VALUE"""),"INNOVEXIA LIFE SCIENCES PVT LTD")</f>
        <v>INNOVEXIA LIFE SCIENCES PVT LTD</v>
      </c>
    </row>
    <row r="1393">
      <c r="H1393" s="3" t="str">
        <f>IFERROR(__xludf.DUMMYFUNCTION("""COMPUTED_VALUE"""),"INOWELL PHARMA (GYNEAC)")</f>
        <v>INOWELL PHARMA (GYNEAC)</v>
      </c>
    </row>
    <row r="1394">
      <c r="H1394" s="3" t="str">
        <f>IFERROR(__xludf.DUMMYFUNCTION("""COMPUTED_VALUE"""),"INSIGHT EYECARE")</f>
        <v>INSIGHT EYECARE</v>
      </c>
    </row>
    <row r="1395">
      <c r="H1395" s="3" t="str">
        <f>IFERROR(__xludf.DUMMYFUNCTION("""COMPUTED_VALUE"""),"INTAS (ADRINA)")</f>
        <v>INTAS (ADRINA)</v>
      </c>
    </row>
    <row r="1396">
      <c r="H1396" s="3" t="str">
        <f>IFERROR(__xludf.DUMMYFUNCTION("""COMPUTED_VALUE"""),"INTAS (ALAIRA)")</f>
        <v>INTAS (ALAIRA)</v>
      </c>
    </row>
    <row r="1397">
      <c r="H1397" s="3" t="str">
        <f>IFERROR(__xludf.DUMMYFUNCTION("""COMPUTED_VALUE"""),"INTAS (ALECTA)")</f>
        <v>INTAS (ALECTA)</v>
      </c>
    </row>
    <row r="1398">
      <c r="H1398" s="3" t="str">
        <f>IFERROR(__xludf.DUMMYFUNCTION("""COMPUTED_VALUE"""),"INTAS (ALERON)")</f>
        <v>INTAS (ALERON)</v>
      </c>
    </row>
    <row r="1399">
      <c r="H1399" s="3" t="str">
        <f>IFERROR(__xludf.DUMMYFUNCTION("""COMPUTED_VALUE"""),"INTAS (ALTIMA)")</f>
        <v>INTAS (ALTIMA)</v>
      </c>
    </row>
    <row r="1400">
      <c r="H1400" s="3" t="str">
        <f>IFERROR(__xludf.DUMMYFUNCTION("""COMPUTED_VALUE"""),"INTAS (ALTIS)")</f>
        <v>INTAS (ALTIS)</v>
      </c>
    </row>
    <row r="1401">
      <c r="H1401" s="3" t="str">
        <f>IFERROR(__xludf.DUMMYFUNCTION("""COMPUTED_VALUE"""),"INTAS (ANDRE)")</f>
        <v>INTAS (ANDRE)</v>
      </c>
    </row>
    <row r="1402">
      <c r="H1402" s="3" t="str">
        <f>IFERROR(__xludf.DUMMYFUNCTION("""COMPUTED_VALUE"""),"INTAS (AQUILA)")</f>
        <v>INTAS (AQUILA)</v>
      </c>
    </row>
    <row r="1403">
      <c r="H1403" s="3" t="str">
        <f>IFERROR(__xludf.DUMMYFUNCTION("""COMPUTED_VALUE"""),"INTAS (ARRON)")</f>
        <v>INTAS (ARRON)</v>
      </c>
    </row>
    <row r="1404">
      <c r="H1404" s="3" t="str">
        <f>IFERROR(__xludf.DUMMYFUNCTION("""COMPUTED_VALUE"""),"INTAS (ASPIRA)")</f>
        <v>INTAS (ASPIRA)</v>
      </c>
    </row>
    <row r="1405">
      <c r="H1405" s="3" t="str">
        <f>IFERROR(__xludf.DUMMYFUNCTION("""COMPUTED_VALUE"""),"INTAS (ASTERA)")</f>
        <v>INTAS (ASTERA)</v>
      </c>
    </row>
    <row r="1406">
      <c r="H1406" s="3" t="str">
        <f>IFERROR(__xludf.DUMMYFUNCTION("""COMPUTED_VALUE"""),"INTAS (AVANTA)")</f>
        <v>INTAS (AVANTA)</v>
      </c>
    </row>
    <row r="1407">
      <c r="H1407" s="3" t="str">
        <f>IFERROR(__xludf.DUMMYFUNCTION("""COMPUTED_VALUE"""),"INTAS (AVIOR)")</f>
        <v>INTAS (AVIOR)</v>
      </c>
    </row>
    <row r="1408">
      <c r="H1408" s="3" t="str">
        <f>IFERROR(__xludf.DUMMYFUNCTION("""COMPUTED_VALUE"""),"INTAS (AYOKKA)")</f>
        <v>INTAS (AYOKKA)</v>
      </c>
    </row>
    <row r="1409">
      <c r="H1409" s="3" t="str">
        <f>IFERROR(__xludf.DUMMYFUNCTION("""COMPUTED_VALUE"""),"INTAS (INARA)")</f>
        <v>INTAS (INARA)</v>
      </c>
    </row>
    <row r="1410">
      <c r="H1410" s="3" t="str">
        <f>IFERROR(__xludf.DUMMYFUNCTION("""COMPUTED_VALUE"""),"INTAS (NEPHROLOGY)")</f>
        <v>INTAS (NEPHROLOGY)</v>
      </c>
    </row>
    <row r="1411">
      <c r="H1411" s="3" t="str">
        <f>IFERROR(__xludf.DUMMYFUNCTION("""COMPUTED_VALUE"""),"INTAS (ONCOLOGY)")</f>
        <v>INTAS (ONCOLOGY)</v>
      </c>
    </row>
    <row r="1412">
      <c r="H1412" s="3" t="str">
        <f>IFERROR(__xludf.DUMMYFUNCTION("""COMPUTED_VALUE"""),"INTAS (OPTIMA)")</f>
        <v>INTAS (OPTIMA)</v>
      </c>
    </row>
    <row r="1413">
      <c r="H1413" s="3" t="str">
        <f>IFERROR(__xludf.DUMMYFUNCTION("""COMPUTED_VALUE"""),"INTAS (SPECIALITIES)")</f>
        <v>INTAS (SPECIALITIES)</v>
      </c>
    </row>
    <row r="1414">
      <c r="H1414" s="3" t="str">
        <f>IFERROR(__xludf.DUMMYFUNCTION("""COMPUTED_VALUE"""),"INTAS (SUPRIMA)")</f>
        <v>INTAS (SUPRIMA)</v>
      </c>
    </row>
    <row r="1415">
      <c r="H1415" s="3" t="str">
        <f>IFERROR(__xludf.DUMMYFUNCTION("""COMPUTED_VALUE"""),"INTAS (SURIVA)")</f>
        <v>INTAS (SURIVA)</v>
      </c>
    </row>
    <row r="1416">
      <c r="H1416" s="3" t="str">
        <f>IFERROR(__xludf.DUMMYFUNCTION("""COMPUTED_VALUE"""),"INTAS (SYBELLA)")</f>
        <v>INTAS (SYBELLA)</v>
      </c>
    </row>
    <row r="1417">
      <c r="H1417" s="3" t="str">
        <f>IFERROR(__xludf.DUMMYFUNCTION("""COMPUTED_VALUE"""),"INTAS (VECTOR)")</f>
        <v>INTAS (VECTOR)</v>
      </c>
    </row>
    <row r="1418">
      <c r="H1418" s="3" t="str">
        <f>IFERROR(__xludf.DUMMYFUNCTION("""COMPUTED_VALUE"""),"INTAS (VIVIA)")</f>
        <v>INTAS (VIVIA)</v>
      </c>
    </row>
    <row r="1419">
      <c r="H1419" s="3" t="str">
        <f>IFERROR(__xludf.DUMMYFUNCTION("""COMPUTED_VALUE"""),"INTAS (XENITH)")</f>
        <v>INTAS (XENITH)</v>
      </c>
    </row>
    <row r="1420">
      <c r="H1420" s="3" t="str">
        <f>IFERROR(__xludf.DUMMYFUNCTION("""COMPUTED_VALUE"""),"Intas Pharmaceuticals Ltd")</f>
        <v>Intas Pharmaceuticals Ltd</v>
      </c>
    </row>
    <row r="1421">
      <c r="H1421" s="3" t="str">
        <f>IFERROR(__xludf.DUMMYFUNCTION("""COMPUTED_VALUE"""),"Intas Pharmaceuticals Ltd (GENERIC)")</f>
        <v>Intas Pharmaceuticals Ltd (GENERIC)</v>
      </c>
    </row>
    <row r="1422">
      <c r="H1422" s="3" t="str">
        <f>IFERROR(__xludf.DUMMYFUNCTION("""COMPUTED_VALUE"""),"Integra Life Sciences (P) Ltd. (Alfa Igra Inc.)")</f>
        <v>Integra Life Sciences (P) Ltd. (Alfa Igra Inc.)</v>
      </c>
    </row>
    <row r="1423">
      <c r="H1423" s="3" t="str">
        <f>IFERROR(__xludf.DUMMYFUNCTION("""COMPUTED_VALUE"""),"Integra Life Sciences (P) Ltd. (Alfa Igra Inc.)
")</f>
        <v>Integra Life Sciences (P) Ltd. (Alfa Igra Inc.)
</v>
      </c>
    </row>
    <row r="1424">
      <c r="H1424" s="3" t="str">
        <f>IFERROR(__xludf.DUMMYFUNCTION("""COMPUTED_VALUE"""),"INTEGRAL LIFE SCIENCES")</f>
        <v>INTEGRAL LIFE SCIENCES</v>
      </c>
    </row>
    <row r="1425">
      <c r="H1425" s="3" t="str">
        <f>IFERROR(__xludf.DUMMYFUNCTION("""COMPUTED_VALUE"""),"INTEGRAL LIFE SCIENCES (SS)")</f>
        <v>INTEGRAL LIFE SCIENCES (SS)</v>
      </c>
    </row>
    <row r="1426">
      <c r="H1426" s="3" t="str">
        <f>IFERROR(__xludf.DUMMYFUNCTION("""COMPUTED_VALUE"""),"INTEGRATED LABORATORIES PVT LTD")</f>
        <v>INTEGRATED LABORATORIES PVT LTD</v>
      </c>
    </row>
    <row r="1427">
      <c r="H1427" s="3" t="str">
        <f>IFERROR(__xludf.DUMMYFUNCTION("""COMPUTED_VALUE"""),"INTELICURE LIFESCIENCES")</f>
        <v>INTELICURE LIFESCIENCES</v>
      </c>
    </row>
    <row r="1428">
      <c r="H1428" s="3" t="str">
        <f>IFERROR(__xludf.DUMMYFUNCTION("""COMPUTED_VALUE"""),"Intermed Pharma Pvt Ltd")</f>
        <v>Intermed Pharma Pvt Ltd</v>
      </c>
    </row>
    <row r="1429">
      <c r="H1429" s="3" t="str">
        <f>IFERROR(__xludf.DUMMYFUNCTION("""COMPUTED_VALUE"""),"Intra Labs India Pvt. Ltd")</f>
        <v>Intra Labs India Pvt. Ltd</v>
      </c>
    </row>
    <row r="1430">
      <c r="H1430" s="3" t="str">
        <f>IFERROR(__xludf.DUMMYFUNCTION("""COMPUTED_VALUE"""),"Intra Labs India Pvt. Ltd. (Intra Life)")</f>
        <v>Intra Labs India Pvt. Ltd. (Intra Life)</v>
      </c>
    </row>
    <row r="1431">
      <c r="H1431" s="3" t="str">
        <f>IFERROR(__xludf.DUMMYFUNCTION("""COMPUTED_VALUE"""),"Intra Labs India Pvt. Ltd. (Inventure)")</f>
        <v>Intra Labs India Pvt. Ltd. (Inventure)</v>
      </c>
    </row>
    <row r="1432">
      <c r="H1432" s="3" t="str">
        <f>IFERROR(__xludf.DUMMYFUNCTION("""COMPUTED_VALUE"""),"Intra Life (Doxis Laboratories)")</f>
        <v>Intra Life (Doxis Laboratories)</v>
      </c>
    </row>
    <row r="1433">
      <c r="H1433" s="3" t="str">
        <f>IFERROR(__xludf.DUMMYFUNCTION("""COMPUTED_VALUE"""),"INVEN PHARMACEUTICALS PVT LTD")</f>
        <v>INVEN PHARMACEUTICALS PVT LTD</v>
      </c>
    </row>
    <row r="1434">
      <c r="H1434" s="3" t="str">
        <f>IFERROR(__xludf.DUMMYFUNCTION("""COMPUTED_VALUE"""),"INVENTIVE (GENERIC)")</f>
        <v>INVENTIVE (GENERIC)</v>
      </c>
    </row>
    <row r="1435">
      <c r="H1435" s="3" t="str">
        <f>IFERROR(__xludf.DUMMYFUNCTION("""COMPUTED_VALUE"""),"Invida India Pvt. Ltd.")</f>
        <v>Invida India Pvt. Ltd.</v>
      </c>
    </row>
    <row r="1436">
      <c r="H1436" s="3" t="str">
        <f>IFERROR(__xludf.DUMMYFUNCTION("""COMPUTED_VALUE"""),"INVISCUS LIFE SCIENCES")</f>
        <v>INVISCUS LIFE SCIENCES</v>
      </c>
    </row>
    <row r="1437">
      <c r="H1437" s="3" t="str">
        <f>IFERROR(__xludf.DUMMYFUNCTION("""COMPUTED_VALUE"""),"Invision Medi Sciences Pvt. Ltd")</f>
        <v>Invision Medi Sciences Pvt. Ltd</v>
      </c>
    </row>
    <row r="1438">
      <c r="H1438" s="3" t="str">
        <f>IFERROR(__xludf.DUMMYFUNCTION("""COMPUTED_VALUE"""),"Invomed Cotab Pvt. Ltd")</f>
        <v>Invomed Cotab Pvt. Ltd</v>
      </c>
    </row>
    <row r="1439">
      <c r="H1439" s="3" t="str">
        <f>IFERROR(__xludf.DUMMYFUNCTION("""COMPUTED_VALUE"""),"ION HEALTHCARE")</f>
        <v>ION HEALTHCARE</v>
      </c>
    </row>
    <row r="1440">
      <c r="H1440" s="3" t="str">
        <f>IFERROR(__xludf.DUMMYFUNCTION("""COMPUTED_VALUE"""),"IPC HEALTHCARE PVT LTD")</f>
        <v>IPC HEALTHCARE PVT LTD</v>
      </c>
    </row>
    <row r="1441">
      <c r="H1441" s="3" t="str">
        <f>IFERROR(__xludf.DUMMYFUNCTION("""COMPUTED_VALUE"""),"IPCA (1)")</f>
        <v>IPCA (1)</v>
      </c>
    </row>
    <row r="1442">
      <c r="H1442" s="3" t="str">
        <f>IFERROR(__xludf.DUMMYFUNCTION("""COMPUTED_VALUE"""),"IPCA (2)")</f>
        <v>IPCA (2)</v>
      </c>
    </row>
    <row r="1443">
      <c r="H1443" s="3" t="str">
        <f>IFERROR(__xludf.DUMMYFUNCTION("""COMPUTED_VALUE"""),"IPCA (3C)")</f>
        <v>IPCA (3C)</v>
      </c>
    </row>
    <row r="1444">
      <c r="H1444" s="3" t="str">
        <f>IFERROR(__xludf.DUMMYFUNCTION("""COMPUTED_VALUE"""),"IPCA (3D)")</f>
        <v>IPCA (3D)</v>
      </c>
    </row>
    <row r="1445">
      <c r="H1445" s="3" t="str">
        <f>IFERROR(__xludf.DUMMYFUNCTION("""COMPUTED_VALUE"""),"IPCA (ACTIVA)")</f>
        <v>IPCA (ACTIVA)</v>
      </c>
    </row>
    <row r="1446">
      <c r="H1446" s="3" t="str">
        <f>IFERROR(__xludf.DUMMYFUNCTION("""COMPUTED_VALUE"""),"IPCA (BIONOVA  ACE)")</f>
        <v>IPCA (BIONOVA  ACE)</v>
      </c>
    </row>
    <row r="1447">
      <c r="H1447" s="3" t="str">
        <f>IFERROR(__xludf.DUMMYFUNCTION("""COMPUTED_VALUE"""),"IPCA (BIONOVA ACE)")</f>
        <v>IPCA (BIONOVA ACE)</v>
      </c>
    </row>
    <row r="1448">
      <c r="H1448" s="3" t="str">
        <f>IFERROR(__xludf.DUMMYFUNCTION("""COMPUTED_VALUE"""),"IPCA (BIONOVA SPECIALITY)")</f>
        <v>IPCA (BIONOVA SPECIALITY)</v>
      </c>
    </row>
    <row r="1449">
      <c r="H1449" s="3" t="str">
        <f>IFERROR(__xludf.DUMMYFUNCTION("""COMPUTED_VALUE"""),"IPCA (BIONOVA)")</f>
        <v>IPCA (BIONOVA)</v>
      </c>
    </row>
    <row r="1450">
      <c r="H1450" s="3" t="str">
        <f>IFERROR(__xludf.DUMMYFUNCTION("""COMPUTED_VALUE"""),"IPCA (DYNAMIX)")</f>
        <v>IPCA (DYNAMIX)</v>
      </c>
    </row>
    <row r="1451">
      <c r="H1451" s="3" t="str">
        <f>IFERROR(__xludf.DUMMYFUNCTION("""COMPUTED_VALUE"""),"IPCA (HYQ)")</f>
        <v>IPCA (HYQ)</v>
      </c>
    </row>
    <row r="1452">
      <c r="H1452" s="3" t="str">
        <f>IFERROR(__xludf.DUMMYFUNCTION("""COMPUTED_VALUE"""),"IPCA (INNOVA)")</f>
        <v>IPCA (INNOVA)</v>
      </c>
    </row>
    <row r="1453">
      <c r="H1453" s="3" t="str">
        <f>IFERROR(__xludf.DUMMYFUNCTION("""COMPUTED_VALUE"""),"IPCA (INTIMA)")</f>
        <v>IPCA (INTIMA)</v>
      </c>
    </row>
    <row r="1454">
      <c r="H1454" s="3" t="str">
        <f>IFERROR(__xludf.DUMMYFUNCTION("""COMPUTED_VALUE"""),"IPCA (IPM)")</f>
        <v>IPCA (IPM)</v>
      </c>
    </row>
    <row r="1455">
      <c r="H1455" s="3" t="str">
        <f>IFERROR(__xludf.DUMMYFUNCTION("""COMPUTED_VALUE"""),"IPCA (OPTIMA)")</f>
        <v>IPCA (OPTIMA)</v>
      </c>
    </row>
    <row r="1456">
      <c r="H1456" s="3" t="str">
        <f>IFERROR(__xludf.DUMMYFUNCTION("""COMPUTED_VALUE"""),"IPCA (PHARMA NEXT)")</f>
        <v>IPCA (PHARMA NEXT)</v>
      </c>
    </row>
    <row r="1457">
      <c r="H1457" s="3" t="str">
        <f>IFERROR(__xludf.DUMMYFUNCTION("""COMPUTED_VALUE"""),"IPCA (PHARMA)")</f>
        <v>IPCA (PHARMA)</v>
      </c>
    </row>
    <row r="1458">
      <c r="H1458" s="3" t="str">
        <f>IFERROR(__xludf.DUMMYFUNCTION("""COMPUTED_VALUE"""),"IPCA (URO SPECIALITY)")</f>
        <v>IPCA (URO SPECIALITY)</v>
      </c>
    </row>
    <row r="1459">
      <c r="H1459" s="3" t="str">
        <f>IFERROR(__xludf.DUMMYFUNCTION("""COMPUTED_VALUE"""),"IPCA (URO)")</f>
        <v>IPCA (URO)</v>
      </c>
    </row>
    <row r="1460">
      <c r="H1460" s="3" t="str">
        <f>IFERROR(__xludf.DUMMYFUNCTION("""COMPUTED_VALUE"""),"Ipca Laboratories Ltd")</f>
        <v>Ipca Laboratories Ltd</v>
      </c>
    </row>
    <row r="1461">
      <c r="H1461" s="3" t="str">
        <f>IFERROR(__xludf.DUMMYFUNCTION("""COMPUTED_VALUE"""),"Ipsa Labs Pvt Ltd")</f>
        <v>Ipsa Labs Pvt Ltd</v>
      </c>
    </row>
    <row r="1462">
      <c r="H1462" s="3" t="str">
        <f>IFERROR(__xludf.DUMMYFUNCTION("""COMPUTED_VALUE"""),"IQL HEALTHCARE P LTD")</f>
        <v>IQL HEALTHCARE P LTD</v>
      </c>
    </row>
    <row r="1463">
      <c r="H1463" s="3" t="str">
        <f>IFERROR(__xludf.DUMMYFUNCTION("""COMPUTED_VALUE"""),"ISCON")</f>
        <v>ISCON</v>
      </c>
    </row>
    <row r="1464">
      <c r="H1464" s="3" t="str">
        <f>IFERROR(__xludf.DUMMYFUNCTION("""COMPUTED_VALUE"""),"ISCON LIFE SCIENCES")</f>
        <v>ISCON LIFE SCIENCES</v>
      </c>
    </row>
    <row r="1465">
      <c r="H1465" s="3" t="str">
        <f>IFERROR(__xludf.DUMMYFUNCTION("""COMPUTED_VALUE"""),"ISHAVARNI HEALTHCARE PVT LTD")</f>
        <v>ISHAVARNI HEALTHCARE PVT LTD</v>
      </c>
    </row>
    <row r="1466">
      <c r="H1466" s="3" t="str">
        <f>IFERROR(__xludf.DUMMYFUNCTION("""COMPUTED_VALUE"""),"ISIS Pharmaceuticals")</f>
        <v>ISIS Pharmaceuticals</v>
      </c>
    </row>
    <row r="1467">
      <c r="H1467" s="3" t="str">
        <f>IFERROR(__xludf.DUMMYFUNCTION("""COMPUTED_VALUE"""),"ISKON REMEDIES, SIRMOR")</f>
        <v>ISKON REMEDIES, SIRMOR</v>
      </c>
    </row>
    <row r="1468">
      <c r="H1468" s="3" t="str">
        <f>IFERROR(__xludf.DUMMYFUNCTION("""COMPUTED_VALUE"""),"ITC LIMITED")</f>
        <v>ITC LIMITED</v>
      </c>
    </row>
    <row r="1469">
      <c r="H1469" s="3" t="str">
        <f>IFERROR(__xludf.DUMMYFUNCTION("""COMPUTED_VALUE"""),"IZAR HEALTHCARE")</f>
        <v>IZAR HEALTHCARE</v>
      </c>
    </row>
    <row r="1470">
      <c r="H1470" s="3" t="str">
        <f>IFERROR(__xludf.DUMMYFUNCTION("""COMPUTED_VALUE"""),"J and J Dechane Pvt Ltd")</f>
        <v>J and J Dechane Pvt Ltd</v>
      </c>
    </row>
    <row r="1471">
      <c r="H1471" s="3" t="str">
        <f>IFERROR(__xludf.DUMMYFUNCTION("""COMPUTED_VALUE"""),"J L Morison India Ltd")</f>
        <v>J L Morison India Ltd</v>
      </c>
    </row>
    <row r="1472">
      <c r="H1472" s="3" t="str">
        <f>IFERROR(__xludf.DUMMYFUNCTION("""COMPUTED_VALUE"""),"J M REMEDIES SOLAN")</f>
        <v>J M REMEDIES SOLAN</v>
      </c>
    </row>
    <row r="1473">
      <c r="H1473" s="3" t="str">
        <f>IFERROR(__xludf.DUMMYFUNCTION("""COMPUTED_VALUE"""),"J&amp;J BABY")</f>
        <v>J&amp;J BABY</v>
      </c>
    </row>
    <row r="1474">
      <c r="H1474" s="3" t="str">
        <f>IFERROR(__xludf.DUMMYFUNCTION("""COMPUTED_VALUE"""),"JABS BIOTECH")</f>
        <v>JABS BIOTECH</v>
      </c>
    </row>
    <row r="1475">
      <c r="H1475" s="3" t="str">
        <f>IFERROR(__xludf.DUMMYFUNCTION("""COMPUTED_VALUE"""),"JAGAT PHARMA")</f>
        <v>JAGAT PHARMA</v>
      </c>
    </row>
    <row r="1476">
      <c r="H1476" s="3" t="str">
        <f>IFERROR(__xludf.DUMMYFUNCTION("""COMPUTED_VALUE"""),"Jagdale Lifesciences")</f>
        <v>Jagdale Lifesciences</v>
      </c>
    </row>
    <row r="1477">
      <c r="H1477" s="3" t="str">
        <f>IFERROR(__xludf.DUMMYFUNCTION("""COMPUTED_VALUE"""),"JAGRAVE HERBAL PRODUCTS")</f>
        <v>JAGRAVE HERBAL PRODUCTS</v>
      </c>
    </row>
    <row r="1478">
      <c r="H1478" s="3" t="str">
        <f>IFERROR(__xludf.DUMMYFUNCTION("""COMPUTED_VALUE"""),"Jagsonpal Pharmaceuticals Ltd")</f>
        <v>Jagsonpal Pharmaceuticals Ltd</v>
      </c>
    </row>
    <row r="1479">
      <c r="H1479" s="3" t="str">
        <f>IFERROR(__xludf.DUMMYFUNCTION("""COMPUTED_VALUE"""),"JAIN GROUP PHARMACEUTICALS")</f>
        <v>JAIN GROUP PHARMACEUTICALS</v>
      </c>
    </row>
    <row r="1480">
      <c r="H1480" s="3" t="str">
        <f>IFERROR(__xludf.DUMMYFUNCTION("""COMPUTED_VALUE"""),"JAINSON BIOTECH")</f>
        <v>JAINSON BIOTECH</v>
      </c>
    </row>
    <row r="1481">
      <c r="H1481" s="3" t="str">
        <f>IFERROR(__xludf.DUMMYFUNCTION("""COMPUTED_VALUE"""),"JAINSON CHEMICALS")</f>
        <v>JAINSON CHEMICALS</v>
      </c>
    </row>
    <row r="1482">
      <c r="H1482" s="3" t="str">
        <f>IFERROR(__xludf.DUMMYFUNCTION("""COMPUTED_VALUE"""),"JAIWIK BIOTEK")</f>
        <v>JAIWIK BIOTEK</v>
      </c>
    </row>
    <row r="1483">
      <c r="H1483" s="3" t="str">
        <f>IFERROR(__xludf.DUMMYFUNCTION("""COMPUTED_VALUE"""),"JAMNA PHARMACEUTICALS")</f>
        <v>JAMNA PHARMACEUTICALS</v>
      </c>
    </row>
    <row r="1484">
      <c r="H1484" s="3" t="str">
        <f>IFERROR(__xludf.DUMMYFUNCTION("""COMPUTED_VALUE"""),"JAMSONS LABORTORIES")</f>
        <v>JAMSONS LABORTORIES</v>
      </c>
    </row>
    <row r="1485">
      <c r="H1485" s="3" t="str">
        <f>IFERROR(__xludf.DUMMYFUNCTION("""COMPUTED_VALUE"""),"JAMUWAY PHARMACEUTICALS")</f>
        <v>JAMUWAY PHARMACEUTICALS</v>
      </c>
    </row>
    <row r="1486">
      <c r="H1486" s="3" t="str">
        <f>IFERROR(__xludf.DUMMYFUNCTION("""COMPUTED_VALUE"""),"JANKEM LIFE SCIENCE")</f>
        <v>JANKEM LIFE SCIENCE</v>
      </c>
    </row>
    <row r="1487">
      <c r="H1487" s="3" t="str">
        <f>IFERROR(__xludf.DUMMYFUNCTION("""COMPUTED_VALUE"""),"JANMARK PHARMA LTD")</f>
        <v>JANMARK PHARMA LTD</v>
      </c>
    </row>
    <row r="1488">
      <c r="H1488" s="3" t="str">
        <f>IFERROR(__xludf.DUMMYFUNCTION("""COMPUTED_VALUE"""),"JANMERCH")</f>
        <v>JANMERCH</v>
      </c>
    </row>
    <row r="1489">
      <c r="H1489" s="3" t="str">
        <f>IFERROR(__xludf.DUMMYFUNCTION("""COMPUTED_VALUE"""),"JANTEC PHARMA")</f>
        <v>JANTEC PHARMA</v>
      </c>
    </row>
    <row r="1490">
      <c r="H1490" s="3" t="str">
        <f>IFERROR(__xludf.DUMMYFUNCTION("""COMPUTED_VALUE"""),"JANUS BIOTECH P LTD")</f>
        <v>JANUS BIOTECH P LTD</v>
      </c>
    </row>
    <row r="1491">
      <c r="H1491" s="3" t="str">
        <f>IFERROR(__xludf.DUMMYFUNCTION("""COMPUTED_VALUE"""),"JARUN PHARMACEUTICALS")</f>
        <v>JARUN PHARMACEUTICALS</v>
      </c>
    </row>
    <row r="1492">
      <c r="H1492" s="3" t="str">
        <f>IFERROR(__xludf.DUMMYFUNCTION("""COMPUTED_VALUE"""),"JASCO NUTRI FOODS")</f>
        <v>JASCO NUTRI FOODS</v>
      </c>
    </row>
    <row r="1493">
      <c r="H1493" s="3" t="str">
        <f>IFERROR(__xludf.DUMMYFUNCTION("""COMPUTED_VALUE"""),"JASVIC LABORATORIES ROORKE")</f>
        <v>JASVIC LABORATORIES ROORKE</v>
      </c>
    </row>
    <row r="1494">
      <c r="H1494" s="3" t="str">
        <f>IFERROR(__xludf.DUMMYFUNCTION("""COMPUTED_VALUE"""),"Jawa Pharmaceuticals (I) Pvt. Ltd")</f>
        <v>Jawa Pharmaceuticals (I) Pvt. Ltd</v>
      </c>
    </row>
    <row r="1495">
      <c r="H1495" s="3" t="str">
        <f>IFERROR(__xludf.DUMMYFUNCTION("""COMPUTED_VALUE"""),"JAY ELL HEALTHCARE P LTD")</f>
        <v>JAY ELL HEALTHCARE P LTD</v>
      </c>
    </row>
    <row r="1496">
      <c r="H1496" s="3" t="str">
        <f>IFERROR(__xludf.DUMMYFUNCTION("""COMPUTED_VALUE"""),"JAY HEALTHCARE")</f>
        <v>JAY HEALTHCARE</v>
      </c>
    </row>
    <row r="1497">
      <c r="H1497" s="3" t="str">
        <f>IFERROR(__xludf.DUMMYFUNCTION("""COMPUTED_VALUE"""),"JAY LIFECARE")</f>
        <v>JAY LIFECARE</v>
      </c>
    </row>
    <row r="1498">
      <c r="H1498" s="3" t="str">
        <f>IFERROR(__xludf.DUMMYFUNCTION("""COMPUTED_VALUE"""),"JAY SHREE PHARMACEUTICALS")</f>
        <v>JAY SHREE PHARMACEUTICALS</v>
      </c>
    </row>
    <row r="1499">
      <c r="H1499" s="3" t="str">
        <f>IFERROR(__xludf.DUMMYFUNCTION("""COMPUTED_VALUE"""),"JAYSHREE PHARMACEUTICALS")</f>
        <v>JAYSHREE PHARMACEUTICALS</v>
      </c>
    </row>
    <row r="1500">
      <c r="H1500" s="3" t="str">
        <f>IFERROR(__xludf.DUMMYFUNCTION("""COMPUTED_VALUE"""),"JB Chemicals (DENTA)")</f>
        <v>JB Chemicals (DENTA)</v>
      </c>
    </row>
    <row r="1501">
      <c r="H1501" s="3" t="str">
        <f>IFERROR(__xludf.DUMMYFUNCTION("""COMPUTED_VALUE"""),"JB CHEMICALS (NEPHRO-URO)")</f>
        <v>JB CHEMICALS (NEPHRO-URO)</v>
      </c>
    </row>
    <row r="1502">
      <c r="H1502" s="3" t="str">
        <f>IFERROR(__xludf.DUMMYFUNCTION("""COMPUTED_VALUE"""),"JB Chemicals &amp; Pharmaceuticals Ltd")</f>
        <v>JB Chemicals &amp; Pharmaceuticals Ltd</v>
      </c>
    </row>
    <row r="1503">
      <c r="H1503" s="3" t="str">
        <f>IFERROR(__xludf.DUMMYFUNCTION("""COMPUTED_VALUE"""),"JB REMEDIES P LTD")</f>
        <v>JB REMEDIES P LTD</v>
      </c>
    </row>
    <row r="1504">
      <c r="H1504" s="3" t="str">
        <f>IFERROR(__xludf.DUMMYFUNCTION("""COMPUTED_VALUE"""),"JEEVAN JYOTI")</f>
        <v>JEEVAN JYOTI</v>
      </c>
    </row>
    <row r="1505">
      <c r="H1505" s="3" t="str">
        <f>IFERROR(__xludf.DUMMYFUNCTION("""COMPUTED_VALUE"""),"Jenburkt Pharmaceuticals Ltd")</f>
        <v>Jenburkt Pharmaceuticals Ltd</v>
      </c>
    </row>
    <row r="1506">
      <c r="H1506" s="3" t="str">
        <f>IFERROR(__xludf.DUMMYFUNCTION("""COMPUTED_VALUE"""),"JENOME BIOPHAR")</f>
        <v>JENOME BIOPHAR</v>
      </c>
    </row>
    <row r="1507">
      <c r="H1507" s="3" t="str">
        <f>IFERROR(__xludf.DUMMYFUNCTION("""COMPUTED_VALUE"""),"JHAWAR PHARMACY")</f>
        <v>JHAWAR PHARMACY</v>
      </c>
    </row>
    <row r="1508">
      <c r="H1508" s="3" t="str">
        <f>IFERROR(__xludf.DUMMYFUNCTION("""COMPUTED_VALUE"""),"JINESH PHARMA (OSP)")</f>
        <v>JINESH PHARMA (OSP)</v>
      </c>
    </row>
    <row r="1509">
      <c r="H1509" s="3" t="str">
        <f>IFERROR(__xludf.DUMMYFUNCTION("""COMPUTED_VALUE"""),"JIVYANA HEALTH CARE P LTD")</f>
        <v>JIVYANA HEALTH CARE P LTD</v>
      </c>
    </row>
    <row r="1510">
      <c r="H1510" s="3" t="str">
        <f>IFERROR(__xludf.DUMMYFUNCTION("""COMPUTED_VALUE"""),"JIWADAYA NETRAPRA")</f>
        <v>JIWADAYA NETRAPRA</v>
      </c>
    </row>
    <row r="1511">
      <c r="H1511" s="3" t="str">
        <f>IFERROR(__xludf.DUMMYFUNCTION("""COMPUTED_VALUE"""),"JK ANSELL P LTD")</f>
        <v>JK ANSELL P LTD</v>
      </c>
    </row>
    <row r="1512">
      <c r="H1512" s="3" t="str">
        <f>IFERROR(__xludf.DUMMYFUNCTION("""COMPUTED_VALUE"""),"JNSON")</f>
        <v>JNSON</v>
      </c>
    </row>
    <row r="1513">
      <c r="H1513" s="3" t="str">
        <f>IFERROR(__xludf.DUMMYFUNCTION("""COMPUTED_VALUE"""),"John Biotech Pvt Ltd")</f>
        <v>John Biotech Pvt Ltd</v>
      </c>
    </row>
    <row r="1514">
      <c r="H1514" s="3" t="str">
        <f>IFERROR(__xludf.DUMMYFUNCTION("""COMPUTED_VALUE"""),"JOHNLEE PHARMACEUTICALS PVT LTD")</f>
        <v>JOHNLEE PHARMACEUTICALS PVT LTD</v>
      </c>
    </row>
    <row r="1515">
      <c r="H1515" s="3" t="str">
        <f>IFERROR(__xludf.DUMMYFUNCTION("""COMPUTED_VALUE"""),"Johnson &amp; Johnson")</f>
        <v>Johnson &amp; Johnson</v>
      </c>
    </row>
    <row r="1516">
      <c r="H1516" s="3" t="str">
        <f>IFERROR(__xludf.DUMMYFUNCTION("""COMPUTED_VALUE"""),"JOHNSON &amp; JOHNSON (CONSUMER)")</f>
        <v>JOHNSON &amp; JOHNSON (CONSUMER)</v>
      </c>
    </row>
    <row r="1517">
      <c r="H1517" s="3" t="str">
        <f>IFERROR(__xludf.DUMMYFUNCTION("""COMPUTED_VALUE"""),"JOHNSON &amp; JOHNSON (DERMA)")</f>
        <v>JOHNSON &amp; JOHNSON (DERMA)</v>
      </c>
    </row>
    <row r="1518">
      <c r="H1518" s="3" t="str">
        <f>IFERROR(__xludf.DUMMYFUNCTION("""COMPUTED_VALUE"""),"JOHNSON &amp; JOHNSON (ETHNOR)")</f>
        <v>JOHNSON &amp; JOHNSON (ETHNOR)</v>
      </c>
    </row>
    <row r="1519">
      <c r="H1519" s="3" t="str">
        <f>IFERROR(__xludf.DUMMYFUNCTION("""COMPUTED_VALUE"""),"JOHNSON &amp; JOHNSON (HOSPITAL)")</f>
        <v>JOHNSON &amp; JOHNSON (HOSPITAL)</v>
      </c>
    </row>
    <row r="1520">
      <c r="H1520" s="3" t="str">
        <f>IFERROR(__xludf.DUMMYFUNCTION("""COMPUTED_VALUE"""),"JOHNSON &amp; JOHNSON (MASS MARKET)")</f>
        <v>JOHNSON &amp; JOHNSON (MASS MARKET)</v>
      </c>
    </row>
    <row r="1521">
      <c r="H1521" s="3" t="str">
        <f>IFERROR(__xludf.DUMMYFUNCTION("""COMPUTED_VALUE"""),"JOHNSON &amp; JOHNSON (METABOLIX)")</f>
        <v>JOHNSON &amp; JOHNSON (METABOLIX)</v>
      </c>
    </row>
    <row r="1522">
      <c r="H1522" s="3" t="str">
        <f>IFERROR(__xludf.DUMMYFUNCTION("""COMPUTED_VALUE"""),"JOLLY HEALTH CARE")</f>
        <v>JOLLY HEALTH CARE</v>
      </c>
    </row>
    <row r="1523">
      <c r="H1523" s="3" t="str">
        <f>IFERROR(__xludf.DUMMYFUNCTION("""COMPUTED_VALUE"""),"JOYCARE LIFE SCIENCES")</f>
        <v>JOYCARE LIFE SCIENCES</v>
      </c>
    </row>
    <row r="1524">
      <c r="H1524" s="3" t="str">
        <f>IFERROR(__xludf.DUMMYFUNCTION("""COMPUTED_VALUE"""),"JOYEAPCE HEALTHCARE")</f>
        <v>JOYEAPCE HEALTHCARE</v>
      </c>
    </row>
    <row r="1525">
      <c r="H1525" s="3" t="str">
        <f>IFERROR(__xludf.DUMMYFUNCTION("""COMPUTED_VALUE"""),"Jubilant Life Sciences")</f>
        <v>Jubilant Life Sciences</v>
      </c>
    </row>
    <row r="1526">
      <c r="H1526" s="3" t="str">
        <f>IFERROR(__xludf.DUMMYFUNCTION("""COMPUTED_VALUE"""),"Juggat Pharma")</f>
        <v>Juggat Pharma</v>
      </c>
    </row>
    <row r="1527">
      <c r="H1527" s="3" t="str">
        <f>IFERROR(__xludf.DUMMYFUNCTION("""COMPUTED_VALUE"""),"Jupiter Pharmaceutical Ltd")</f>
        <v>Jupiter Pharmaceutical Ltd</v>
      </c>
    </row>
    <row r="1528">
      <c r="H1528" s="3" t="str">
        <f>IFERROR(__xludf.DUMMYFUNCTION("""COMPUTED_VALUE"""),"JUPITER PHARMACEUTICALS (Ayurvedic)")</f>
        <v>JUPITER PHARMACEUTICALS (Ayurvedic)</v>
      </c>
    </row>
    <row r="1529">
      <c r="H1529" s="3" t="str">
        <f>IFERROR(__xludf.DUMMYFUNCTION("""COMPUTED_VALUE"""),"JUPIVEN PHARMA PVT LTD")</f>
        <v>JUPIVEN PHARMA PVT LTD</v>
      </c>
    </row>
    <row r="1530">
      <c r="H1530" s="3" t="str">
        <f>IFERROR(__xludf.DUMMYFUNCTION("""COMPUTED_VALUE"""),"JUVENOR PHARMACEUTICALS INC")</f>
        <v>JUVENOR PHARMACEUTICALS INC</v>
      </c>
    </row>
    <row r="1531">
      <c r="H1531" s="3" t="str">
        <f>IFERROR(__xludf.DUMMYFUNCTION("""COMPUTED_VALUE"""),"JVJ PHARMACEUTICALS P LTD")</f>
        <v>JVJ PHARMACEUTICALS P LTD</v>
      </c>
    </row>
    <row r="1532">
      <c r="H1532" s="3" t="str">
        <f>IFERROR(__xludf.DUMMYFUNCTION("""COMPUTED_VALUE"""),"JVS")</f>
        <v>JVS</v>
      </c>
    </row>
    <row r="1533">
      <c r="H1533" s="3" t="str">
        <f>IFERROR(__xludf.DUMMYFUNCTION("""COMPUTED_VALUE"""),"JYOTHI")</f>
        <v>JYOTHI</v>
      </c>
    </row>
    <row r="1534">
      <c r="H1534" s="3" t="str">
        <f>IFERROR(__xludf.DUMMYFUNCTION("""COMPUTED_VALUE"""),"JYOTI HERBS (INDIA) P LTD")</f>
        <v>JYOTI HERBS (INDIA) P LTD</v>
      </c>
    </row>
    <row r="1535">
      <c r="H1535" s="3" t="str">
        <f>IFERROR(__xludf.DUMMYFUNCTION("""COMPUTED_VALUE"""),"K BIO HEARBS")</f>
        <v>K BIO HEARBS</v>
      </c>
    </row>
    <row r="1536">
      <c r="H1536" s="3" t="str">
        <f>IFERROR(__xludf.DUMMYFUNCTION("""COMPUTED_VALUE"""),"KABRA DRUGS LTD")</f>
        <v>KABRA DRUGS LTD</v>
      </c>
    </row>
    <row r="1537">
      <c r="H1537" s="3" t="str">
        <f>IFERROR(__xludf.DUMMYFUNCTION("""COMPUTED_VALUE"""),"KAIYNAAT &amp; SABROZ")</f>
        <v>KAIYNAAT &amp; SABROZ</v>
      </c>
    </row>
    <row r="1538">
      <c r="H1538" s="3" t="str">
        <f>IFERROR(__xludf.DUMMYFUNCTION("""COMPUTED_VALUE"""),"KAMAL &amp; SONS")</f>
        <v>KAMAL &amp; SONS</v>
      </c>
    </row>
    <row r="1539">
      <c r="H1539" s="3" t="str">
        <f>IFERROR(__xludf.DUMMYFUNCTION("""COMPUTED_VALUE"""),"KANAM LATEX PVT LTD")</f>
        <v>KANAM LATEX PVT LTD</v>
      </c>
    </row>
    <row r="1540">
      <c r="H1540" s="3" t="str">
        <f>IFERROR(__xludf.DUMMYFUNCTION("""COMPUTED_VALUE"""),"KAPIRET LIFESCIENCES")</f>
        <v>KAPIRET LIFESCIENCES</v>
      </c>
    </row>
    <row r="1541">
      <c r="H1541" s="3" t="str">
        <f>IFERROR(__xludf.DUMMYFUNCTION("""COMPUTED_VALUE"""),"KARAM INDUSTRIES")</f>
        <v>KARAM INDUSTRIES</v>
      </c>
    </row>
    <row r="1542">
      <c r="H1542" s="3" t="str">
        <f>IFERROR(__xludf.DUMMYFUNCTION("""COMPUTED_VALUE"""),"KARNANI PHARMA")</f>
        <v>KARNANI PHARMA</v>
      </c>
    </row>
    <row r="1543">
      <c r="H1543" s="3" t="str">
        <f>IFERROR(__xludf.DUMMYFUNCTION("""COMPUTED_VALUE"""),"Karnataka Antibiotics &amp; Pharmaceuticals Ltd")</f>
        <v>Karnataka Antibiotics &amp; Pharmaceuticals Ltd</v>
      </c>
    </row>
    <row r="1544">
      <c r="H1544" s="3" t="str">
        <f>IFERROR(__xludf.DUMMYFUNCTION("""COMPUTED_VALUE"""),"KAVYA HEALTHCARE")</f>
        <v>KAVYA HEALTHCARE</v>
      </c>
    </row>
    <row r="1545">
      <c r="H1545" s="3" t="str">
        <f>IFERROR(__xludf.DUMMYFUNCTION("""COMPUTED_VALUE"""),"KAYTEE")</f>
        <v>KAYTEE</v>
      </c>
    </row>
    <row r="1546">
      <c r="H1546" s="3" t="str">
        <f>IFERROR(__xludf.DUMMYFUNCTION("""COMPUTED_VALUE"""),"KD CHEM-PHARMA")</f>
        <v>KD CHEM-PHARMA</v>
      </c>
    </row>
    <row r="1547">
      <c r="H1547" s="3" t="str">
        <f>IFERROR(__xludf.DUMMYFUNCTION("""COMPUTED_VALUE"""),"KEDRION BIOPHARMA")</f>
        <v>KEDRION BIOPHARMA</v>
      </c>
    </row>
    <row r="1548">
      <c r="H1548" s="3" t="str">
        <f>IFERROR(__xludf.DUMMYFUNCTION("""COMPUTED_VALUE"""),"Kee Pharma")</f>
        <v>Kee Pharma</v>
      </c>
    </row>
    <row r="1549">
      <c r="H1549" s="3" t="str">
        <f>IFERROR(__xludf.DUMMYFUNCTION("""COMPUTED_VALUE"""),"KENN PHARMACEUTICALS PVT LTD
")</f>
        <v>KENN PHARMACEUTICALS PVT LTD
</v>
      </c>
    </row>
    <row r="1550">
      <c r="H1550" s="3" t="str">
        <f>IFERROR(__xludf.DUMMYFUNCTION("""COMPUTED_VALUE"""),"KENT PHARMACEUTICALS")</f>
        <v>KENT PHARMACEUTICALS</v>
      </c>
    </row>
    <row r="1551">
      <c r="H1551" s="3" t="str">
        <f>IFERROR(__xludf.DUMMYFUNCTION("""COMPUTED_VALUE"""),"KENTOSSA PHARMACEUTICAL")</f>
        <v>KENTOSSA PHARMACEUTICAL</v>
      </c>
    </row>
    <row r="1552">
      <c r="H1552" s="3" t="str">
        <f>IFERROR(__xludf.DUMMYFUNCTION("""COMPUTED_VALUE"""),"KENTRECK LABORATORIES")</f>
        <v>KENTRECK LABORATORIES</v>
      </c>
    </row>
    <row r="1553">
      <c r="H1553" s="3" t="str">
        <f>IFERROR(__xludf.DUMMYFUNCTION("""COMPUTED_VALUE"""),"KEPLER (DERMA)")</f>
        <v>KEPLER (DERMA)</v>
      </c>
    </row>
    <row r="1554">
      <c r="H1554" s="3" t="str">
        <f>IFERROR(__xludf.DUMMYFUNCTION("""COMPUTED_VALUE"""),"KEPLER (SKIN INFINITY)")</f>
        <v>KEPLER (SKIN INFINITY)</v>
      </c>
    </row>
    <row r="1555">
      <c r="H1555" s="3" t="str">
        <f>IFERROR(__xludf.DUMMYFUNCTION("""COMPUTED_VALUE"""),"KEPLER HEALTHCARE")</f>
        <v>KEPLER HEALTHCARE</v>
      </c>
    </row>
    <row r="1556">
      <c r="H1556" s="3" t="str">
        <f>IFERROR(__xludf.DUMMYFUNCTION("""COMPUTED_VALUE"""),"KERMOUNT")</f>
        <v>KERMOUNT</v>
      </c>
    </row>
    <row r="1557">
      <c r="H1557" s="3" t="str">
        <f>IFERROR(__xludf.DUMMYFUNCTION("""COMPUTED_VALUE"""),"KEVENTIS HEALTHCARE (KEVENTIS)")</f>
        <v>KEVENTIS HEALTHCARE (KEVENTIS)</v>
      </c>
    </row>
    <row r="1558">
      <c r="H1558" s="3" t="str">
        <f>IFERROR(__xludf.DUMMYFUNCTION("""COMPUTED_VALUE"""),"KEYA CORPORATION")</f>
        <v>KEYA CORPORATION</v>
      </c>
    </row>
    <row r="1559">
      <c r="H1559" s="3" t="str">
        <f>IFERROR(__xludf.DUMMYFUNCTION("""COMPUTED_VALUE"""),"KEYA PHARMAWIN")</f>
        <v>KEYA PHARMAWIN</v>
      </c>
    </row>
    <row r="1560">
      <c r="H1560" s="3" t="str">
        <f>IFERROR(__xludf.DUMMYFUNCTION("""COMPUTED_VALUE"""),"KG PHARMA")</f>
        <v>KG PHARMA</v>
      </c>
    </row>
    <row r="1561">
      <c r="H1561" s="3" t="str">
        <f>IFERROR(__xludf.DUMMYFUNCTION("""COMPUTED_VALUE"""),"KHANDELWAL LABORATORIES (GENERIC)")</f>
        <v>KHANDELWAL LABORATORIES (GENERIC)</v>
      </c>
    </row>
    <row r="1562">
      <c r="H1562" s="3" t="str">
        <f>IFERROR(__xludf.DUMMYFUNCTION("""COMPUTED_VALUE"""),"Khandelwal Laboratories Pvt Ltd")</f>
        <v>Khandelwal Laboratories Pvt Ltd</v>
      </c>
    </row>
    <row r="1563">
      <c r="H1563" s="3" t="str">
        <f>IFERROR(__xludf.DUMMYFUNCTION("""COMPUTED_VALUE"""),"KHONA CHEMICAL WORKS")</f>
        <v>KHONA CHEMICAL WORKS</v>
      </c>
    </row>
    <row r="1564">
      <c r="H1564" s="3" t="str">
        <f>IFERROR(__xludf.DUMMYFUNCTION("""COMPUTED_VALUE"""),"Kinedex Healthcare Pvt Ltd")</f>
        <v>Kinedex Healthcare Pvt Ltd</v>
      </c>
    </row>
    <row r="1565">
      <c r="H1565" s="3" t="str">
        <f>IFERROR(__xludf.DUMMYFUNCTION("""COMPUTED_VALUE"""),"KINESIS BIOCARE")</f>
        <v>KINESIS BIOCARE</v>
      </c>
    </row>
    <row r="1566">
      <c r="H1566" s="3" t="str">
        <f>IFERROR(__xludf.DUMMYFUNCTION("""COMPUTED_VALUE"""),"KINJAL BIOTECH PVT LTD")</f>
        <v>KINJAL BIOTECH PVT LTD</v>
      </c>
    </row>
    <row r="1567">
      <c r="H1567" s="3" t="str">
        <f>IFERROR(__xludf.DUMMYFUNCTION("""COMPUTED_VALUE"""),"KIRI LABORATORIES")</f>
        <v>KIRI LABORATORIES</v>
      </c>
    </row>
    <row r="1568">
      <c r="H1568" s="3" t="str">
        <f>IFERROR(__xludf.DUMMYFUNCTION("""COMPUTED_VALUE"""),"Kivi Labs (DERMA)")</f>
        <v>Kivi Labs (DERMA)</v>
      </c>
    </row>
    <row r="1569">
      <c r="H1569" s="3" t="str">
        <f>IFERROR(__xludf.DUMMYFUNCTION("""COMPUTED_VALUE"""),"Kivi Labs (ENDURA)")</f>
        <v>Kivi Labs (ENDURA)</v>
      </c>
    </row>
    <row r="1570">
      <c r="H1570" s="3" t="str">
        <f>IFERROR(__xludf.DUMMYFUNCTION("""COMPUTED_VALUE"""),"Kivi Labs (MAIN)")</f>
        <v>Kivi Labs (MAIN)</v>
      </c>
    </row>
    <row r="1571">
      <c r="H1571" s="3" t="str">
        <f>IFERROR(__xludf.DUMMYFUNCTION("""COMPUTED_VALUE"""),"Kivi Labs Ltd")</f>
        <v>Kivi Labs Ltd</v>
      </c>
    </row>
    <row r="1572">
      <c r="H1572" s="3" t="str">
        <f>IFERROR(__xludf.DUMMYFUNCTION("""COMPUTED_VALUE"""),"KIVILIFE HEALTHCARE (CNS)")</f>
        <v>KIVILIFE HEALTHCARE (CNS)</v>
      </c>
    </row>
    <row r="1573">
      <c r="H1573" s="3" t="str">
        <f>IFERROR(__xludf.DUMMYFUNCTION("""COMPUTED_VALUE"""),"KLAR SEHEN")</f>
        <v>KLAR SEHEN</v>
      </c>
    </row>
    <row r="1574">
      <c r="H1574" s="3" t="str">
        <f>IFERROR(__xludf.DUMMYFUNCTION("""COMPUTED_VALUE"""),"KLM (PEDI)")</f>
        <v>KLM (PEDI)</v>
      </c>
    </row>
    <row r="1575">
      <c r="H1575" s="3" t="str">
        <f>IFERROR(__xludf.DUMMYFUNCTION("""COMPUTED_VALUE"""),"KLM Laboratories (COSMO)")</f>
        <v>KLM Laboratories (COSMO)</v>
      </c>
    </row>
    <row r="1576">
      <c r="H1576" s="3" t="str">
        <f>IFERROR(__xludf.DUMMYFUNCTION("""COMPUTED_VALUE"""),"KLM Laboratories (DERMA)")</f>
        <v>KLM Laboratories (DERMA)</v>
      </c>
    </row>
    <row r="1577">
      <c r="H1577" s="3" t="str">
        <f>IFERROR(__xludf.DUMMYFUNCTION("""COMPUTED_VALUE"""),"KLM LABORATORIES (EYE CARE)")</f>
        <v>KLM LABORATORIES (EYE CARE)</v>
      </c>
    </row>
    <row r="1578">
      <c r="H1578" s="3" t="str">
        <f>IFERROR(__xludf.DUMMYFUNCTION("""COMPUTED_VALUE"""),"KLM LABORATORIES (ORTHO)")</f>
        <v>KLM LABORATORIES (ORTHO)</v>
      </c>
    </row>
    <row r="1579">
      <c r="H1579" s="3" t="str">
        <f>IFERROR(__xludf.DUMMYFUNCTION("""COMPUTED_VALUE"""),"KLM Laboratories Pvt Ltd")</f>
        <v>KLM Laboratories Pvt Ltd</v>
      </c>
    </row>
    <row r="1580">
      <c r="H1580" s="3" t="str">
        <f>IFERROR(__xludf.DUMMYFUNCTION("""COMPUTED_VALUE"""),"KMS Health Center Pvt Ltd")</f>
        <v>KMS Health Center Pvt Ltd</v>
      </c>
    </row>
    <row r="1581">
      <c r="H1581" s="3" t="str">
        <f>IFERROR(__xludf.DUMMYFUNCTION("""COMPUTED_VALUE"""),"KN BIOTECH")</f>
        <v>KN BIOTECH</v>
      </c>
    </row>
    <row r="1582">
      <c r="H1582" s="3" t="str">
        <f>IFERROR(__xludf.DUMMYFUNCTION("""COMPUTED_VALUE"""),"Knoll Pharmaceuticals Ltd")</f>
        <v>Knoll Pharmaceuticals Ltd</v>
      </c>
    </row>
    <row r="1583">
      <c r="H1583" s="3" t="str">
        <f>IFERROR(__xludf.DUMMYFUNCTION("""COMPUTED_VALUE"""),"Knoll Pharmaceuticals Ltd (GENERIC)")</f>
        <v>Knoll Pharmaceuticals Ltd (GENERIC)</v>
      </c>
    </row>
    <row r="1584">
      <c r="H1584" s="3" t="str">
        <f>IFERROR(__xludf.DUMMYFUNCTION("""COMPUTED_VALUE"""),"KNOVIQ LIFESCIENCES")</f>
        <v>KNOVIQ LIFESCIENCES</v>
      </c>
    </row>
    <row r="1585">
      <c r="H1585" s="3" t="str">
        <f>IFERROR(__xludf.DUMMYFUNCTION("""COMPUTED_VALUE"""),"KONTEST CHEMICALS")</f>
        <v>KONTEST CHEMICALS</v>
      </c>
    </row>
    <row r="1586">
      <c r="H1586" s="3" t="str">
        <f>IFERROR(__xludf.DUMMYFUNCTION("""COMPUTED_VALUE"""),"KONVERGE HEALTHCARE")</f>
        <v>KONVERGE HEALTHCARE</v>
      </c>
    </row>
    <row r="1587">
      <c r="H1587" s="3" t="str">
        <f>IFERROR(__xludf.DUMMYFUNCTION("""COMPUTED_VALUE"""),"KOPRAN")</f>
        <v>KOPRAN</v>
      </c>
    </row>
    <row r="1588">
      <c r="H1588" s="3" t="str">
        <f>IFERROR(__xludf.DUMMYFUNCTION("""COMPUTED_VALUE"""),"Koye Pharmaceuticals (CAIR)")</f>
        <v>Koye Pharmaceuticals (CAIR)</v>
      </c>
    </row>
    <row r="1589">
      <c r="H1589" s="3" t="str">
        <f>IFERROR(__xludf.DUMMYFUNCTION("""COMPUTED_VALUE"""),"Koye Pharmaceuticals (CARDIO)")</f>
        <v>Koye Pharmaceuticals (CARDIO)</v>
      </c>
    </row>
    <row r="1590">
      <c r="H1590" s="3" t="str">
        <f>IFERROR(__xludf.DUMMYFUNCTION("""COMPUTED_VALUE"""),"Koye Pharmaceuticals (GYNO)")</f>
        <v>Koye Pharmaceuticals (GYNO)</v>
      </c>
    </row>
    <row r="1591">
      <c r="H1591" s="3" t="str">
        <f>IFERROR(__xludf.DUMMYFUNCTION("""COMPUTED_VALUE"""),"Koye Pharmaceuticals (MAIN)")</f>
        <v>Koye Pharmaceuticals (MAIN)</v>
      </c>
    </row>
    <row r="1592">
      <c r="H1592" s="3" t="str">
        <f>IFERROR(__xludf.DUMMYFUNCTION("""COMPUTED_VALUE"""),"Koye Pharmaceuticals (ORIGYN)")</f>
        <v>Koye Pharmaceuticals (ORIGYN)</v>
      </c>
    </row>
    <row r="1593">
      <c r="H1593" s="3" t="str">
        <f>IFERROR(__xludf.DUMMYFUNCTION("""COMPUTED_VALUE"""),"koye Pharmaceuticals (OTC)")</f>
        <v>koye Pharmaceuticals (OTC)</v>
      </c>
    </row>
    <row r="1594">
      <c r="H1594" s="3" t="str">
        <f>IFERROR(__xludf.DUMMYFUNCTION("""COMPUTED_VALUE"""),"Koye Pharmaceuticals Pvt ltd")</f>
        <v>Koye Pharmaceuticals Pvt ltd</v>
      </c>
    </row>
    <row r="1595">
      <c r="H1595" s="3" t="str">
        <f>IFERROR(__xludf.DUMMYFUNCTION("""COMPUTED_VALUE"""),"KR ENTERPRISES")</f>
        <v>KR ENTERPRISES</v>
      </c>
    </row>
    <row r="1596">
      <c r="H1596" s="3" t="str">
        <f>IFERROR(__xludf.DUMMYFUNCTION("""COMPUTED_VALUE"""),"KR INDO GERMAN")</f>
        <v>KR INDO GERMAN</v>
      </c>
    </row>
    <row r="1597">
      <c r="H1597" s="3" t="str">
        <f>IFERROR(__xludf.DUMMYFUNCTION("""COMPUTED_VALUE"""),"KRAFT INDIA FOOD LTD")</f>
        <v>KRAFT INDIA FOOD LTD</v>
      </c>
    </row>
    <row r="1598">
      <c r="H1598" s="3" t="str">
        <f>IFERROR(__xludf.DUMMYFUNCTION("""COMPUTED_VALUE"""),"KREIOS PHARMA")</f>
        <v>KREIOS PHARMA</v>
      </c>
    </row>
    <row r="1599">
      <c r="H1599" s="3" t="str">
        <f>IFERROR(__xludf.DUMMYFUNCTION("""COMPUTED_VALUE"""),"KRISHLAR PHARMACEUTICALS")</f>
        <v>KRISHLAR PHARMACEUTICALS</v>
      </c>
    </row>
    <row r="1600">
      <c r="H1600" s="3" t="str">
        <f>IFERROR(__xludf.DUMMYFUNCTION("""COMPUTED_VALUE"""),"KRISHNA MANFACTURING COMPANY")</f>
        <v>KRISHNA MANFACTURING COMPANY</v>
      </c>
    </row>
    <row r="1601">
      <c r="H1601" s="3" t="str">
        <f>IFERROR(__xludf.DUMMYFUNCTION("""COMPUTED_VALUE"""),"KSHIPRA HEALTH SOLUTIONS")</f>
        <v>KSHIPRA HEALTH SOLUTIONS</v>
      </c>
    </row>
    <row r="1602">
      <c r="H1602" s="3" t="str">
        <f>IFERROR(__xludf.DUMMYFUNCTION("""COMPUTED_VALUE"""),"KUDOS")</f>
        <v>KUDOS</v>
      </c>
    </row>
    <row r="1603">
      <c r="H1603" s="3" t="str">
        <f>IFERROR(__xludf.DUMMYFUNCTION("""COMPUTED_VALUE"""),"KUNNATH PHARMACEUTICALS")</f>
        <v>KUNNATH PHARMACEUTICALS</v>
      </c>
    </row>
    <row r="1604">
      <c r="H1604" s="3" t="str">
        <f>IFERROR(__xludf.DUMMYFUNCTION("""COMPUTED_VALUE"""),"KUSUM HEALTHCARE PVT LTD")</f>
        <v>KUSUM HEALTHCARE PVT LTD</v>
      </c>
    </row>
    <row r="1605">
      <c r="H1605" s="3" t="str">
        <f>IFERROR(__xludf.DUMMYFUNCTION("""COMPUTED_VALUE"""),"KWALITY PHARMACEUTICALS LTD")</f>
        <v>KWALITY PHARMACEUTICALS LTD</v>
      </c>
    </row>
    <row r="1606">
      <c r="H1606" s="3" t="str">
        <f>IFERROR(__xludf.DUMMYFUNCTION("""COMPUTED_VALUE"""),"KWIK HEALTHCARE")</f>
        <v>KWIK HEALTHCARE</v>
      </c>
    </row>
    <row r="1607">
      <c r="H1607" s="3" t="str">
        <f>IFERROR(__xludf.DUMMYFUNCTION("""COMPUTED_VALUE"""),"L AND V PHARMA")</f>
        <v>L AND V PHARMA</v>
      </c>
    </row>
    <row r="1608">
      <c r="H1608" s="3" t="str">
        <f>IFERROR(__xludf.DUMMYFUNCTION("""COMPUTED_VALUE"""),"L V LIFE SCIENCE SOLAN")</f>
        <v>L V LIFE SCIENCE SOLAN</v>
      </c>
    </row>
    <row r="1609">
      <c r="H1609" s="3" t="str">
        <f>IFERROR(__xludf.DUMMYFUNCTION("""COMPUTED_VALUE"""),"L'AMAR HEALTHCARE")</f>
        <v>L'AMAR HEALTHCARE</v>
      </c>
    </row>
    <row r="1610">
      <c r="H1610" s="3" t="str">
        <f>IFERROR(__xludf.DUMMYFUNCTION("""COMPUTED_VALUE"""),"L&amp;T PHARMA")</f>
        <v>L&amp;T PHARMA</v>
      </c>
    </row>
    <row r="1611">
      <c r="H1611" s="3" t="str">
        <f>IFERROR(__xludf.DUMMYFUNCTION("""COMPUTED_VALUE"""),"LA MED INDIA")</f>
        <v>LA MED INDIA</v>
      </c>
    </row>
    <row r="1612">
      <c r="H1612" s="3" t="str">
        <f>IFERROR(__xludf.DUMMYFUNCTION("""COMPUTED_VALUE"""),"LA PENSER LIFE SCIENCES")</f>
        <v>LA PENSER LIFE SCIENCES</v>
      </c>
    </row>
    <row r="1613">
      <c r="H1613" s="3" t="str">
        <f>IFERROR(__xludf.DUMMYFUNCTION("""COMPUTED_VALUE"""),"LA PIEL BIOTECH P LTD")</f>
        <v>LA PIEL BIOTECH P LTD</v>
      </c>
    </row>
    <row r="1614">
      <c r="H1614" s="3" t="str">
        <f>IFERROR(__xludf.DUMMYFUNCTION("""COMPUTED_VALUE"""),"LA PRISTINE BIOCEUTICALS P LTD")</f>
        <v>LA PRISTINE BIOCEUTICALS P LTD</v>
      </c>
    </row>
    <row r="1615">
      <c r="H1615" s="3" t="str">
        <f>IFERROR(__xludf.DUMMYFUNCTION("""COMPUTED_VALUE"""),"LA RENON (CARDIO METABOLIC)")</f>
        <v>LA RENON (CARDIO METABOLIC)</v>
      </c>
    </row>
    <row r="1616">
      <c r="H1616" s="3" t="str">
        <f>IFERROR(__xludf.DUMMYFUNCTION("""COMPUTED_VALUE"""),"LA RENON (CNS-1)")</f>
        <v>LA RENON (CNS-1)</v>
      </c>
    </row>
    <row r="1617">
      <c r="H1617" s="3" t="str">
        <f>IFERROR(__xludf.DUMMYFUNCTION("""COMPUTED_VALUE"""),"LA RENON (CNS-2)")</f>
        <v>LA RENON (CNS-2)</v>
      </c>
    </row>
    <row r="1618">
      <c r="H1618" s="3" t="str">
        <f>IFERROR(__xludf.DUMMYFUNCTION("""COMPUTED_VALUE"""),"LA RENON (CRITICAL CARE)")</f>
        <v>LA RENON (CRITICAL CARE)</v>
      </c>
    </row>
    <row r="1619">
      <c r="H1619" s="3" t="str">
        <f>IFERROR(__xludf.DUMMYFUNCTION("""COMPUTED_VALUE"""),"LA RENON (GYNAECOLOGY)")</f>
        <v>LA RENON (GYNAECOLOGY)</v>
      </c>
    </row>
    <row r="1620">
      <c r="H1620" s="3" t="str">
        <f>IFERROR(__xludf.DUMMYFUNCTION("""COMPUTED_VALUE"""),"LA RENON (KIRRUS)")</f>
        <v>LA RENON (KIRRUS)</v>
      </c>
    </row>
    <row r="1621">
      <c r="H1621" s="3" t="str">
        <f>IFERROR(__xludf.DUMMYFUNCTION("""COMPUTED_VALUE"""),"LA RENON (LAUREATE)")</f>
        <v>LA RENON (LAUREATE)</v>
      </c>
    </row>
    <row r="1622">
      <c r="H1622" s="3" t="str">
        <f>IFERROR(__xludf.DUMMYFUNCTION("""COMPUTED_VALUE"""),"LA RENON (NEPHRO)")</f>
        <v>LA RENON (NEPHRO)</v>
      </c>
    </row>
    <row r="1623">
      <c r="H1623" s="3" t="str">
        <f>IFERROR(__xludf.DUMMYFUNCTION("""COMPUTED_VALUE"""),"LA RENON (ULTRA)")</f>
        <v>LA RENON (ULTRA)</v>
      </c>
    </row>
    <row r="1624">
      <c r="H1624" s="3" t="str">
        <f>IFERROR(__xludf.DUMMYFUNCTION("""COMPUTED_VALUE"""),"LA RENON (UROLOGY)")</f>
        <v>LA RENON (UROLOGY)</v>
      </c>
    </row>
    <row r="1625">
      <c r="H1625" s="3" t="str">
        <f>IFERROR(__xludf.DUMMYFUNCTION("""COMPUTED_VALUE"""),"La Renon Healthcare Pvt Ltd")</f>
        <v>La Renon Healthcare Pvt Ltd</v>
      </c>
    </row>
    <row r="1626">
      <c r="H1626" s="3" t="str">
        <f>IFERROR(__xludf.DUMMYFUNCTION("""COMPUTED_VALUE"""),"LA VELLA HEALTHCARE")</f>
        <v>LA VELLA HEALTHCARE</v>
      </c>
    </row>
    <row r="1627">
      <c r="H1627" s="3" t="str">
        <f>IFERROR(__xludf.DUMMYFUNCTION("""COMPUTED_VALUE"""),"LA-MED")</f>
        <v>LA-MED</v>
      </c>
    </row>
    <row r="1628">
      <c r="H1628" s="3" t="str">
        <f>IFERROR(__xludf.DUMMYFUNCTION("""COMPUTED_VALUE"""),"Laborate (GENERIC)")</f>
        <v>Laborate (GENERIC)</v>
      </c>
    </row>
    <row r="1629">
      <c r="H1629" s="3" t="str">
        <f>IFERROR(__xludf.DUMMYFUNCTION("""COMPUTED_VALUE"""),"LABORATE PHARMA")</f>
        <v>LABORATE PHARMA</v>
      </c>
    </row>
    <row r="1630">
      <c r="H1630" s="3" t="str">
        <f>IFERROR(__xludf.DUMMYFUNCTION("""COMPUTED_VALUE"""),"LABORATE PHARMACEUTICALS INDIA LTD")</f>
        <v>LABORATE PHARMACEUTICALS INDIA LTD</v>
      </c>
    </row>
    <row r="1631">
      <c r="H1631" s="3" t="str">
        <f>IFERROR(__xludf.DUMMYFUNCTION("""COMPUTED_VALUE"""),"LACELLE")</f>
        <v>LACELLE</v>
      </c>
    </row>
    <row r="1632">
      <c r="H1632" s="3" t="str">
        <f>IFERROR(__xludf.DUMMYFUNCTION("""COMPUTED_VALUE"""),"LAKSHYA")</f>
        <v>LAKSHYA</v>
      </c>
    </row>
    <row r="1633">
      <c r="H1633" s="3" t="str">
        <f>IFERROR(__xludf.DUMMYFUNCTION("""COMPUTED_VALUE"""),"LALIT PHARMACY")</f>
        <v>LALIT PHARMACY</v>
      </c>
    </row>
    <row r="1634">
      <c r="H1634" s="3" t="str">
        <f>IFERROR(__xludf.DUMMYFUNCTION("""COMPUTED_VALUE"""),"LARK LABORATORIES LTD")</f>
        <v>LARK LABORATORIES LTD</v>
      </c>
    </row>
    <row r="1635">
      <c r="H1635" s="3" t="str">
        <f>IFERROR(__xludf.DUMMYFUNCTION("""COMPUTED_VALUE"""),"LAUREL LIFE SCIENCE")</f>
        <v>LAUREL LIFE SCIENCE</v>
      </c>
    </row>
    <row r="1636">
      <c r="H1636" s="3" t="str">
        <f>IFERROR(__xludf.DUMMYFUNCTION("""COMPUTED_VALUE"""),"Laxian Incorporation")</f>
        <v>Laxian Incorporation</v>
      </c>
    </row>
    <row r="1637">
      <c r="H1637" s="3" t="str">
        <f>IFERROR(__xludf.DUMMYFUNCTION("""COMPUTED_VALUE"""),"LAXIAN PHARMACEUTICALS")</f>
        <v>LAXIAN PHARMACEUTICALS</v>
      </c>
    </row>
    <row r="1638">
      <c r="H1638" s="3" t="str">
        <f>IFERROR(__xludf.DUMMYFUNCTION("""COMPUTED_VALUE"""),"LAXMI DISTIBUTORS")</f>
        <v>LAXMI DISTIBUTORS</v>
      </c>
    </row>
    <row r="1639">
      <c r="H1639" s="3" t="str">
        <f>IFERROR(__xludf.DUMMYFUNCTION("""COMPUTED_VALUE"""),"LAXMI DRUG HOUSE (OTHER GENERAL PRODUCTS)")</f>
        <v>LAXMI DRUG HOUSE (OTHER GENERAL PRODUCTS)</v>
      </c>
    </row>
    <row r="1640">
      <c r="H1640" s="3" t="str">
        <f>IFERROR(__xludf.DUMMYFUNCTION("""COMPUTED_VALUE"""),"LAXO MEDICARE PVT LTD")</f>
        <v>LAXO MEDICARE PVT LTD</v>
      </c>
    </row>
    <row r="1641">
      <c r="H1641" s="3" t="str">
        <f>IFERROR(__xludf.DUMMYFUNCTION("""COMPUTED_VALUE"""),"LE-VANZA PHARMA PVT LTD")</f>
        <v>LE-VANZA PHARMA PVT LTD</v>
      </c>
    </row>
    <row r="1642">
      <c r="H1642" s="3" t="str">
        <f>IFERROR(__xludf.DUMMYFUNCTION("""COMPUTED_VALUE"""),"LEAD CARE INTERNATIONAL")</f>
        <v>LEAD CARE INTERNATIONAL</v>
      </c>
    </row>
    <row r="1643">
      <c r="H1643" s="3" t="str">
        <f>IFERROR(__xludf.DUMMYFUNCTION("""COMPUTED_VALUE"""),"LEADERS HEALTHCARE LTD")</f>
        <v>LEADERS HEALTHCARE LTD</v>
      </c>
    </row>
    <row r="1644">
      <c r="H1644" s="3" t="str">
        <f>IFERROR(__xludf.DUMMYFUNCTION("""COMPUTED_VALUE"""),"LEBEN LABORATORIES PVT LTD")</f>
        <v>LEBEN LABORATORIES PVT LTD</v>
      </c>
    </row>
    <row r="1645">
      <c r="H1645" s="3" t="str">
        <f>IFERROR(__xludf.DUMMYFUNCTION("""COMPUTED_VALUE"""),"LEDERLE PHARMA")</f>
        <v>LEDERLE PHARMA</v>
      </c>
    </row>
    <row r="1646">
      <c r="H1646" s="3" t="str">
        <f>IFERROR(__xludf.DUMMYFUNCTION("""COMPUTED_VALUE"""),"LEE BENZ LIFESCIENCES")</f>
        <v>LEE BENZ LIFESCIENCES</v>
      </c>
    </row>
    <row r="1647">
      <c r="H1647" s="3" t="str">
        <f>IFERROR(__xludf.DUMMYFUNCTION("""COMPUTED_VALUE"""),"LEEFORD (COSMIC)")</f>
        <v>LEEFORD (COSMIC)</v>
      </c>
    </row>
    <row r="1648">
      <c r="H1648" s="3" t="str">
        <f>IFERROR(__xludf.DUMMYFUNCTION("""COMPUTED_VALUE"""),"LEEFORD (GENERIC)")</f>
        <v>LEEFORD (GENERIC)</v>
      </c>
    </row>
    <row r="1649">
      <c r="H1649" s="3" t="str">
        <f>IFERROR(__xludf.DUMMYFUNCTION("""COMPUTED_VALUE"""),"LEEFORD (HEALTHCARE)")</f>
        <v>LEEFORD (HEALTHCARE)</v>
      </c>
    </row>
    <row r="1650">
      <c r="H1650" s="3" t="str">
        <f>IFERROR(__xludf.DUMMYFUNCTION("""COMPUTED_VALUE"""),"LEEFORD (WELLNESS)")</f>
        <v>LEEFORD (WELLNESS)</v>
      </c>
    </row>
    <row r="1651">
      <c r="H1651" s="3" t="str">
        <f>IFERROR(__xludf.DUMMYFUNCTION("""COMPUTED_VALUE"""),"LEESUN PHARMACEUTICALS")</f>
        <v>LEESUN PHARMACEUTICALS</v>
      </c>
    </row>
    <row r="1652">
      <c r="H1652" s="3" t="str">
        <f>IFERROR(__xludf.DUMMYFUNCTION("""COMPUTED_VALUE"""),"LENVANIB 10MG")</f>
        <v>LENVANIB 10MG</v>
      </c>
    </row>
    <row r="1653">
      <c r="H1653" s="3" t="str">
        <f>IFERROR(__xludf.DUMMYFUNCTION("""COMPUTED_VALUE"""),"LENVANIB 4MG")</f>
        <v>LENVANIB 4MG</v>
      </c>
    </row>
    <row r="1654">
      <c r="H1654" s="3" t="str">
        <f>IFERROR(__xludf.DUMMYFUNCTION("""COMPUTED_VALUE"""),"LEO CHEMICALS")</f>
        <v>LEO CHEMICALS</v>
      </c>
    </row>
    <row r="1655">
      <c r="H1655" s="3" t="str">
        <f>IFERROR(__xludf.DUMMYFUNCTION("""COMPUTED_VALUE"""),"LEO FORMULATION P LTD")</f>
        <v>LEO FORMULATION P LTD</v>
      </c>
    </row>
    <row r="1656">
      <c r="H1656" s="3" t="str">
        <f>IFERROR(__xludf.DUMMYFUNCTION("""COMPUTED_VALUE"""),"LEXA LABS")</f>
        <v>LEXA LABS</v>
      </c>
    </row>
    <row r="1657">
      <c r="H1657" s="3" t="str">
        <f>IFERROR(__xludf.DUMMYFUNCTION("""COMPUTED_VALUE"""),"LEZAA BIOTECH")</f>
        <v>LEZAA BIOTECH</v>
      </c>
    </row>
    <row r="1658">
      <c r="H1658" s="3" t="str">
        <f>IFERROR(__xludf.DUMMYFUNCTION("""COMPUTED_VALUE"""),"LEZAPIN MD")</f>
        <v>LEZAPIN MD</v>
      </c>
    </row>
    <row r="1659">
      <c r="H1659" s="3" t="str">
        <f>IFERROR(__xludf.DUMMYFUNCTION("""COMPUTED_VALUE"""),"LG Lifesciences")</f>
        <v>LG Lifesciences</v>
      </c>
    </row>
    <row r="1660">
      <c r="H1660" s="3" t="str">
        <f>IFERROR(__xludf.DUMMYFUNCTION("""COMPUTED_VALUE"""),"LIFE LINE BIOTECH LTD")</f>
        <v>LIFE LINE BIOTECH LTD</v>
      </c>
    </row>
    <row r="1661">
      <c r="H1661" s="3" t="str">
        <f>IFERROR(__xludf.DUMMYFUNCTION("""COMPUTED_VALUE"""),"LIFE MEDICARE &amp; BIOTECH PVT.LT")</f>
        <v>LIFE MEDICARE &amp; BIOTECH PVT.LT</v>
      </c>
    </row>
    <row r="1662">
      <c r="H1662" s="3" t="str">
        <f>IFERROR(__xludf.DUMMYFUNCTION("""COMPUTED_VALUE"""),"LIFE PHARMACEUTICALS PVT LTD")</f>
        <v>LIFE PHARMACEUTICALS PVT LTD</v>
      </c>
    </row>
    <row r="1663">
      <c r="H1663" s="3" t="str">
        <f>IFERROR(__xludf.DUMMYFUNCTION("""COMPUTED_VALUE"""),"LIFECARE NEURO PRODUCTS LTD")</f>
        <v>LIFECARE NEURO PRODUCTS LTD</v>
      </c>
    </row>
    <row r="1664">
      <c r="H1664" s="3" t="str">
        <f>IFERROR(__xludf.DUMMYFUNCTION("""COMPUTED_VALUE"""),"LIFEGATE REMEDIES")</f>
        <v>LIFEGATE REMEDIES</v>
      </c>
    </row>
    <row r="1665">
      <c r="H1665" s="3" t="str">
        <f>IFERROR(__xludf.DUMMYFUNCTION("""COMPUTED_VALUE"""),"LIFEKYOR PHARMA")</f>
        <v>LIFEKYOR PHARMA</v>
      </c>
    </row>
    <row r="1666">
      <c r="H1666" s="3" t="str">
        <f>IFERROR(__xludf.DUMMYFUNCTION("""COMPUTED_VALUE"""),"LIFESOL MEDICAL LIMITED")</f>
        <v>LIFESOL MEDICAL LIMITED</v>
      </c>
    </row>
    <row r="1667">
      <c r="H1667" s="3" t="str">
        <f>IFERROR(__xludf.DUMMYFUNCTION("""COMPUTED_VALUE"""),"LIFEZ")</f>
        <v>LIFEZ</v>
      </c>
    </row>
    <row r="1668">
      <c r="H1668" s="3" t="str">
        <f>IFERROR(__xludf.DUMMYFUNCTION("""COMPUTED_VALUE"""),"LIFT LIFE BIOTECH")</f>
        <v>LIFT LIFE BIOTECH</v>
      </c>
    </row>
    <row r="1669">
      <c r="H1669" s="3" t="str">
        <f>IFERROR(__xludf.DUMMYFUNCTION("""COMPUTED_VALUE"""),"LIKAMEDA PHARMACEUTICALS PVT LTD")</f>
        <v>LIKAMEDA PHARMACEUTICALS PVT LTD</v>
      </c>
    </row>
    <row r="1670">
      <c r="H1670" s="3" t="str">
        <f>IFERROR(__xludf.DUMMYFUNCTION("""COMPUTED_VALUE"""),"LILANIA MEDICORP (INDIA) P LTD")</f>
        <v>LILANIA MEDICORP (INDIA) P LTD</v>
      </c>
    </row>
    <row r="1671">
      <c r="H1671" s="3" t="str">
        <f>IFERROR(__xludf.DUMMYFUNCTION("""COMPUTED_VALUE"""),"LIMBIC LIFE SCIENCES P LTD")</f>
        <v>LIMBIC LIFE SCIENCES P LTD</v>
      </c>
    </row>
    <row r="1672">
      <c r="H1672" s="3" t="str">
        <f>IFERROR(__xludf.DUMMYFUNCTION("""COMPUTED_VALUE"""),"LINCOLN (LORDS)")</f>
        <v>LINCOLN (LORDS)</v>
      </c>
    </row>
    <row r="1673">
      <c r="H1673" s="3" t="str">
        <f>IFERROR(__xludf.DUMMYFUNCTION("""COMPUTED_VALUE"""),"LINCOLN (TERESA)")</f>
        <v>LINCOLN (TERESA)</v>
      </c>
    </row>
    <row r="1674">
      <c r="H1674" s="3" t="str">
        <f>IFERROR(__xludf.DUMMYFUNCTION("""COMPUTED_VALUE"""),"Lincoln Pharmaceuticals Ltd")</f>
        <v>Lincoln Pharmaceuticals Ltd</v>
      </c>
    </row>
    <row r="1675">
      <c r="H1675" s="3" t="str">
        <f>IFERROR(__xludf.DUMMYFUNCTION("""COMPUTED_VALUE"""),"LINGDAO HEALTHCARE")</f>
        <v>LINGDAO HEALTHCARE</v>
      </c>
    </row>
    <row r="1676">
      <c r="H1676" s="3" t="str">
        <f>IFERROR(__xludf.DUMMYFUNCTION("""COMPUTED_VALUE"""),"LINK PHARMA")</f>
        <v>LINK PHARMA</v>
      </c>
    </row>
    <row r="1677">
      <c r="H1677" s="3" t="str">
        <f>IFERROR(__xludf.DUMMYFUNCTION("""COMPUTED_VALUE"""),"Linux Laboratories")</f>
        <v>Linux Laboratories</v>
      </c>
    </row>
    <row r="1678">
      <c r="H1678" s="3" t="str">
        <f>IFERROR(__xludf.DUMMYFUNCTION("""COMPUTED_VALUE"""),"LION BRAND")</f>
        <v>LION BRAND</v>
      </c>
    </row>
    <row r="1679">
      <c r="H1679" s="3" t="str">
        <f>IFERROR(__xludf.DUMMYFUNCTION("""COMPUTED_VALUE"""),"LIP PINK")</f>
        <v>LIP PINK</v>
      </c>
    </row>
    <row r="1680">
      <c r="H1680" s="3" t="str">
        <f>IFERROR(__xludf.DUMMYFUNCTION("""COMPUTED_VALUE"""),"ListApp Technologies")</f>
        <v>ListApp Technologies</v>
      </c>
    </row>
    <row r="1681">
      <c r="H1681" s="3" t="str">
        <f>IFERROR(__xludf.DUMMYFUNCTION("""COMPUTED_VALUE"""),"LITAKA PHARMACEUTICALS LTD")</f>
        <v>LITAKA PHARMACEUTICALS LTD</v>
      </c>
    </row>
    <row r="1682">
      <c r="H1682" s="3" t="str">
        <f>IFERROR(__xludf.DUMMYFUNCTION("""COMPUTED_VALUE"""),"LITTLE ANGEL")</f>
        <v>LITTLE ANGEL</v>
      </c>
    </row>
    <row r="1683">
      <c r="H1683" s="3" t="str">
        <f>IFERROR(__xludf.DUMMYFUNCTION("""COMPUTED_VALUE"""),"Little Greave Pharmaceuticals Pvt. Ltd.")</f>
        <v>Little Greave Pharmaceuticals Pvt. Ltd.</v>
      </c>
    </row>
    <row r="1684">
      <c r="H1684" s="3" t="str">
        <f>IFERROR(__xludf.DUMMYFUNCTION("""COMPUTED_VALUE"""),"Liva Healthcare Ltd")</f>
        <v>Liva Healthcare Ltd</v>
      </c>
    </row>
    <row r="1685">
      <c r="H1685" s="3" t="str">
        <f>IFERROR(__xludf.DUMMYFUNCTION("""COMPUTED_VALUE"""),"LIVEON HEALTHCARE")</f>
        <v>LIVEON HEALTHCARE</v>
      </c>
    </row>
    <row r="1686">
      <c r="H1686" s="3" t="str">
        <f>IFERROR(__xludf.DUMMYFUNCTION("""COMPUTED_VALUE"""),"LIWEL HEALTHCARE")</f>
        <v>LIWEL HEALTHCARE</v>
      </c>
    </row>
    <row r="1687">
      <c r="H1687" s="3" t="str">
        <f>IFERROR(__xludf.DUMMYFUNCTION("""COMPUTED_VALUE"""),"LOK BETA PHARMACEUTICAL")</f>
        <v>LOK BETA PHARMACEUTICAL</v>
      </c>
    </row>
    <row r="1688">
      <c r="H1688" s="3" t="str">
        <f>IFERROR(__xludf.DUMMYFUNCTION("""COMPUTED_VALUE"""),"LORDS")</f>
        <v>LORDS</v>
      </c>
    </row>
    <row r="1689">
      <c r="H1689" s="3" t="str">
        <f>IFERROR(__xludf.DUMMYFUNCTION("""COMPUTED_VALUE"""),"LOTUS NUTRATECH")</f>
        <v>LOTUS NUTRATECH</v>
      </c>
    </row>
    <row r="1690">
      <c r="H1690" s="3" t="str">
        <f>IFERROR(__xludf.DUMMYFUNCTION("""COMPUTED_VALUE"""),"LOUIES LIFE SCIENCES")</f>
        <v>LOUIES LIFE SCIENCES</v>
      </c>
    </row>
    <row r="1691">
      <c r="H1691" s="3" t="str">
        <f>IFERROR(__xludf.DUMMYFUNCTION("""COMPUTED_VALUE"""),"LT&amp;T PHARMA PVT LTD")</f>
        <v>LT&amp;T PHARMA PVT LTD</v>
      </c>
    </row>
    <row r="1692">
      <c r="H1692" s="3" t="str">
        <f>IFERROR(__xludf.DUMMYFUNCTION("""COMPUTED_VALUE"""),"LUCIFER AND HESPER (INDIA) PVT LTD")</f>
        <v>LUCIFER AND HESPER (INDIA) PVT LTD</v>
      </c>
    </row>
    <row r="1693">
      <c r="H1693" s="3" t="str">
        <f>IFERROR(__xludf.DUMMYFUNCTION("""COMPUTED_VALUE"""),"LUCO HEALTHCARE")</f>
        <v>LUCO HEALTHCARE</v>
      </c>
    </row>
    <row r="1694">
      <c r="H1694" s="3" t="str">
        <f>IFERROR(__xludf.DUMMYFUNCTION("""COMPUTED_VALUE"""),"LUNARIA LIFE SCIENCE")</f>
        <v>LUNARIA LIFE SCIENCE</v>
      </c>
    </row>
    <row r="1695">
      <c r="H1695" s="3" t="str">
        <f>IFERROR(__xludf.DUMMYFUNCTION("""COMPUTED_VALUE"""),"Lundbeck India Pvt Ltd")</f>
        <v>Lundbeck India Pvt Ltd</v>
      </c>
    </row>
    <row r="1696">
      <c r="H1696" s="3" t="str">
        <f>IFERROR(__xludf.DUMMYFUNCTION("""COMPUTED_VALUE"""),"LUPIN (ASCENDER)")</f>
        <v>LUPIN (ASCENDER)</v>
      </c>
    </row>
    <row r="1697">
      <c r="H1697" s="3" t="str">
        <f>IFERROR(__xludf.DUMMYFUNCTION("""COMPUTED_VALUE"""),"LUPIN (ASPIRA)")</f>
        <v>LUPIN (ASPIRA)</v>
      </c>
    </row>
    <row r="1698">
      <c r="H1698" s="3" t="str">
        <f>IFERROR(__xludf.DUMMYFUNCTION("""COMPUTED_VALUE"""),"LUPIN (BLUE EYES)")</f>
        <v>LUPIN (BLUE EYES)</v>
      </c>
    </row>
    <row r="1699">
      <c r="H1699" s="3" t="str">
        <f>IFERROR(__xludf.DUMMYFUNCTION("""COMPUTED_VALUE"""),"LUPIN (DERMA)")</f>
        <v>LUPIN (DERMA)</v>
      </c>
    </row>
    <row r="1700">
      <c r="H1700" s="3" t="str">
        <f>IFERROR(__xludf.DUMMYFUNCTION("""COMPUTED_VALUE"""),"LUPIN (DIABETES CARE)")</f>
        <v>LUPIN (DIABETES CARE)</v>
      </c>
    </row>
    <row r="1701">
      <c r="H1701" s="3" t="str">
        <f>IFERROR(__xludf.DUMMYFUNCTION("""COMPUTED_VALUE"""),"LUPIN (ENDEAVOUR)")</f>
        <v>LUPIN (ENDEAVOUR)</v>
      </c>
    </row>
    <row r="1702">
      <c r="H1702" s="3" t="str">
        <f>IFERROR(__xludf.DUMMYFUNCTION("""COMPUTED_VALUE"""),"LUPIN (FEMINA)")</f>
        <v>LUPIN (FEMINA)</v>
      </c>
    </row>
    <row r="1703">
      <c r="H1703" s="3" t="str">
        <f>IFERROR(__xludf.DUMMYFUNCTION("""COMPUTED_VALUE"""),"LUPIN (FORMICA)")</f>
        <v>LUPIN (FORMICA)</v>
      </c>
    </row>
    <row r="1704">
      <c r="H1704" s="3" t="str">
        <f>IFERROR(__xludf.DUMMYFUNCTION("""COMPUTED_VALUE"""),"LUPIN (GENERIC)")</f>
        <v>LUPIN (GENERIC)</v>
      </c>
    </row>
    <row r="1705">
      <c r="H1705" s="3" t="str">
        <f>IFERROR(__xludf.DUMMYFUNCTION("""COMPUTED_VALUE"""),"LUPIN (IKONIC)")</f>
        <v>LUPIN (IKONIC)</v>
      </c>
    </row>
    <row r="1706">
      <c r="H1706" s="3" t="str">
        <f>IFERROR(__xludf.DUMMYFUNCTION("""COMPUTED_VALUE"""),"LUPIN (LIFE)")</f>
        <v>LUPIN (LIFE)</v>
      </c>
    </row>
    <row r="1707">
      <c r="H1707" s="3" t="str">
        <f>IFERROR(__xludf.DUMMYFUNCTION("""COMPUTED_VALUE"""),"LUPIN (MAXTER)")</f>
        <v>LUPIN (MAXTER)</v>
      </c>
    </row>
    <row r="1708">
      <c r="H1708" s="3" t="str">
        <f>IFERROR(__xludf.DUMMYFUNCTION("""COMPUTED_VALUE"""),"LUPIN (METABOLICS)")</f>
        <v>LUPIN (METABOLICS)</v>
      </c>
    </row>
    <row r="1709">
      <c r="H1709" s="3" t="str">
        <f>IFERROR(__xludf.DUMMYFUNCTION("""COMPUTED_VALUE"""),"LUPIN (MIND VISION)")</f>
        <v>LUPIN (MIND VISION)</v>
      </c>
    </row>
    <row r="1710">
      <c r="H1710" s="3" t="str">
        <f>IFERROR(__xludf.DUMMYFUNCTION("""COMPUTED_VALUE"""),"LUPIN (NEPHRO)")</f>
        <v>LUPIN (NEPHRO)</v>
      </c>
    </row>
    <row r="1711">
      <c r="H1711" s="3" t="str">
        <f>IFERROR(__xludf.DUMMYFUNCTION("""COMPUTED_VALUE"""),"LUPIN (PHOENIX)")</f>
        <v>LUPIN (PHOENIX)</v>
      </c>
    </row>
    <row r="1712">
      <c r="H1712" s="3" t="str">
        <f>IFERROR(__xludf.DUMMYFUNCTION("""COMPUTED_VALUE"""),"LUPIN (PINACALLE)")</f>
        <v>LUPIN (PINACALLE)</v>
      </c>
    </row>
    <row r="1713">
      <c r="H1713" s="3" t="str">
        <f>IFERROR(__xludf.DUMMYFUNCTION("""COMPUTED_VALUE"""),"LUPIN (PINNACLE CVN)")</f>
        <v>LUPIN (PINNACLE CVN)</v>
      </c>
    </row>
    <row r="1714">
      <c r="H1714" s="3" t="str">
        <f>IFERROR(__xludf.DUMMYFUNCTION("""COMPUTED_VALUE"""),"LUPIN (PRIMUSO)")</f>
        <v>LUPIN (PRIMUSO)</v>
      </c>
    </row>
    <row r="1715">
      <c r="H1715" s="3" t="str">
        <f>IFERROR(__xludf.DUMMYFUNCTION("""COMPUTED_VALUE"""),"LUPIN (RESPIRA-SPECIALITY)")</f>
        <v>LUPIN (RESPIRA-SPECIALITY)</v>
      </c>
    </row>
    <row r="1716">
      <c r="H1716" s="3" t="str">
        <f>IFERROR(__xludf.DUMMYFUNCTION("""COMPUTED_VALUE"""),"LUPIN (RESPIRA)")</f>
        <v>LUPIN (RESPIRA)</v>
      </c>
    </row>
    <row r="1717">
      <c r="H1717" s="3" t="str">
        <f>IFERROR(__xludf.DUMMYFUNCTION("""COMPUTED_VALUE"""),"LUPIN (STELLAR)")</f>
        <v>LUPIN (STELLAR)</v>
      </c>
    </row>
    <row r="1718">
      <c r="H1718" s="3" t="str">
        <f>IFERROR(__xludf.DUMMYFUNCTION("""COMPUTED_VALUE"""),"LUPIN (SYNOX)")</f>
        <v>LUPIN (SYNOX)</v>
      </c>
    </row>
    <row r="1719">
      <c r="H1719" s="3" t="str">
        <f>IFERROR(__xludf.DUMMYFUNCTION("""COMPUTED_VALUE"""),"LUPIN (TB)")</f>
        <v>LUPIN (TB)</v>
      </c>
    </row>
    <row r="1720">
      <c r="H1720" s="3" t="str">
        <f>IFERROR(__xludf.DUMMYFUNCTION("""COMPUTED_VALUE"""),"Lupin Ltd")</f>
        <v>Lupin Ltd</v>
      </c>
    </row>
    <row r="1721">
      <c r="H1721" s="3" t="str">
        <f>IFERROR(__xludf.DUMMYFUNCTION("""COMPUTED_VALUE"""),"LUSAN PHARMACEUTICALS")</f>
        <v>LUSAN PHARMACEUTICALS</v>
      </c>
    </row>
    <row r="1722">
      <c r="H1722" s="3" t="str">
        <f>IFERROR(__xludf.DUMMYFUNCTION("""COMPUTED_VALUE"""),"LUVIA LIFESCIENCES")</f>
        <v>LUVIA LIFESCIENCES</v>
      </c>
    </row>
    <row r="1723">
      <c r="H1723" s="3" t="str">
        <f>IFERROR(__xludf.DUMMYFUNCTION("""COMPUTED_VALUE"""),"LYCON HEALTHCARE PVT LTD")</f>
        <v>LYCON HEALTHCARE PVT LTD</v>
      </c>
    </row>
    <row r="1724">
      <c r="H1724" s="3" t="str">
        <f>IFERROR(__xludf.DUMMYFUNCTION("""COMPUTED_VALUE"""),"LYKA LABS LTD")</f>
        <v>LYKA LABS LTD</v>
      </c>
    </row>
    <row r="1725">
      <c r="H1725" s="3" t="str">
        <f>IFERROR(__xludf.DUMMYFUNCTION("""COMPUTED_VALUE"""),"LYRA LABORATORIES PVT LTD")</f>
        <v>LYRA LABORATORIES PVT LTD</v>
      </c>
    </row>
    <row r="1726">
      <c r="H1726" s="3" t="str">
        <f>IFERROR(__xludf.DUMMYFUNCTION("""COMPUTED_VALUE"""),"LYSTEN GLOBAL PHARMACEUTICAL")</f>
        <v>LYSTEN GLOBAL PHARMACEUTICAL</v>
      </c>
    </row>
    <row r="1727">
      <c r="H1727" s="3" t="str">
        <f>IFERROR(__xludf.DUMMYFUNCTION("""COMPUTED_VALUE"""),"M &amp; M PHARMA")</f>
        <v>M &amp; M PHARMA</v>
      </c>
    </row>
    <row r="1728">
      <c r="H1728" s="3" t="str">
        <f>IFERROR(__xludf.DUMMYFUNCTION("""COMPUTED_VALUE"""),"M H JAVERIAN N SONS")</f>
        <v>M H JAVERIAN N SONS</v>
      </c>
    </row>
    <row r="1729">
      <c r="H1729" s="3" t="str">
        <f>IFERROR(__xludf.DUMMYFUNCTION("""COMPUTED_VALUE"""),"MAA CHAMUNDA HEALTHCARE")</f>
        <v>MAA CHAMUNDA HEALTHCARE</v>
      </c>
    </row>
    <row r="1730">
      <c r="H1730" s="3" t="str">
        <f>IFERROR(__xludf.DUMMYFUNCTION("""COMPUTED_VALUE"""),"MAAN PHARMACEUTICAL LTD")</f>
        <v>MAAN PHARMACEUTICAL LTD</v>
      </c>
    </row>
    <row r="1731">
      <c r="H1731" s="3" t="str">
        <f>IFERROR(__xludf.DUMMYFUNCTION("""COMPUTED_VALUE"""),"MACELODS (CV)")</f>
        <v>MACELODS (CV)</v>
      </c>
    </row>
    <row r="1732">
      <c r="H1732" s="3" t="str">
        <f>IFERROR(__xludf.DUMMYFUNCTION("""COMPUTED_VALUE"""),"MACFORD PHARMACEUTICALS")</f>
        <v>MACFORD PHARMACEUTICALS</v>
      </c>
    </row>
    <row r="1733">
      <c r="H1733" s="3" t="str">
        <f>IFERROR(__xludf.DUMMYFUNCTION("""COMPUTED_VALUE"""),"MACIN'S PHARMA")</f>
        <v>MACIN'S PHARMA</v>
      </c>
    </row>
    <row r="1734">
      <c r="H1734" s="3" t="str">
        <f>IFERROR(__xludf.DUMMYFUNCTION("""COMPUTED_VALUE"""),"MACLEODS (ACCUPHAR)")</f>
        <v>MACLEODS (ACCUPHAR)</v>
      </c>
    </row>
    <row r="1735">
      <c r="H1735" s="3" t="str">
        <f>IFERROR(__xludf.DUMMYFUNCTION("""COMPUTED_VALUE"""),"MACLEODS (AEROMAC)")</f>
        <v>MACLEODS (AEROMAC)</v>
      </c>
    </row>
    <row r="1736">
      <c r="H1736" s="3" t="str">
        <f>IFERROR(__xludf.DUMMYFUNCTION("""COMPUTED_VALUE"""),"MACLEODS (GEN CARE)")</f>
        <v>MACLEODS (GEN CARE)</v>
      </c>
    </row>
    <row r="1737">
      <c r="H1737" s="3" t="str">
        <f>IFERROR(__xludf.DUMMYFUNCTION("""COMPUTED_VALUE"""),"MACLEODS (MACPHAR)")</f>
        <v>MACLEODS (MACPHAR)</v>
      </c>
    </row>
    <row r="1738">
      <c r="H1738" s="3" t="str">
        <f>IFERROR(__xludf.DUMMYFUNCTION("""COMPUTED_VALUE"""),"MACLEODS (OSTEVA)")</f>
        <v>MACLEODS (OSTEVA)</v>
      </c>
    </row>
    <row r="1739">
      <c r="H1739" s="3" t="str">
        <f>IFERROR(__xludf.DUMMYFUNCTION("""COMPUTED_VALUE"""),"MACLEODS (OXALIS)")</f>
        <v>MACLEODS (OXALIS)</v>
      </c>
    </row>
    <row r="1740">
      <c r="H1740" s="3" t="str">
        <f>IFERROR(__xludf.DUMMYFUNCTION("""COMPUTED_VALUE"""),"MACLEODS (PROCARE-AHT)")</f>
        <v>MACLEODS (PROCARE-AHT)</v>
      </c>
    </row>
    <row r="1741">
      <c r="H1741" s="3" t="str">
        <f>IFERROR(__xludf.DUMMYFUNCTION("""COMPUTED_VALUE"""),"MACLEODS (PROCARE-AHT2)")</f>
        <v>MACLEODS (PROCARE-AHT2)</v>
      </c>
    </row>
    <row r="1742">
      <c r="H1742" s="3" t="str">
        <f>IFERROR(__xludf.DUMMYFUNCTION("""COMPUTED_VALUE"""),"MACLEODS (PROCARE-CV)")</f>
        <v>MACLEODS (PROCARE-CV)</v>
      </c>
    </row>
    <row r="1743">
      <c r="H1743" s="3" t="str">
        <f>IFERROR(__xludf.DUMMYFUNCTION("""COMPUTED_VALUE"""),"MACLEODS (TB CARE)")</f>
        <v>MACLEODS (TB CARE)</v>
      </c>
    </row>
    <row r="1744">
      <c r="H1744" s="3" t="str">
        <f>IFERROR(__xludf.DUMMYFUNCTION("""COMPUTED_VALUE"""),"MACLEODS PHARMA (MAIN)")</f>
        <v>MACLEODS PHARMA (MAIN)</v>
      </c>
    </row>
    <row r="1745">
      <c r="H1745" s="3" t="str">
        <f>IFERROR(__xludf.DUMMYFUNCTION("""COMPUTED_VALUE"""),"Macleods Pharmaceuticals Pvt Ltd")</f>
        <v>Macleods Pharmaceuticals Pvt Ltd</v>
      </c>
    </row>
    <row r="1746">
      <c r="H1746" s="3" t="str">
        <f>IFERROR(__xludf.DUMMYFUNCTION("""COMPUTED_VALUE"""),"MACLIFE BIOTECH P LTD")</f>
        <v>MACLIFE BIOTECH P LTD</v>
      </c>
    </row>
    <row r="1747">
      <c r="H1747" s="3" t="str">
        <f>IFERROR(__xludf.DUMMYFUNCTION("""COMPUTED_VALUE"""),"MACLOEDS (PROCARE-HD)")</f>
        <v>MACLOEDS (PROCARE-HD)</v>
      </c>
    </row>
    <row r="1748">
      <c r="H1748" s="3" t="str">
        <f>IFERROR(__xludf.DUMMYFUNCTION("""COMPUTED_VALUE"""),"MACLOWIN LIFE SCIENCE")</f>
        <v>MACLOWIN LIFE SCIENCE</v>
      </c>
    </row>
    <row r="1749">
      <c r="H1749" s="3" t="str">
        <f>IFERROR(__xludf.DUMMYFUNCTION("""COMPUTED_VALUE"""),"MACPHAR REMEDIES")</f>
        <v>MACPHAR REMEDIES</v>
      </c>
    </row>
    <row r="1750">
      <c r="H1750" s="3" t="str">
        <f>IFERROR(__xludf.DUMMYFUNCTION("""COMPUTED_VALUE"""),"MACTEC LIFE SCIENCES")</f>
        <v>MACTEC LIFE SCIENCES</v>
      </c>
    </row>
    <row r="1751">
      <c r="H1751" s="3" t="str">
        <f>IFERROR(__xludf.DUMMYFUNCTION("""COMPUTED_VALUE"""),"MACWELL PHARMACEUTICALS")</f>
        <v>MACWELL PHARMACEUTICALS</v>
      </c>
    </row>
    <row r="1752">
      <c r="H1752" s="3" t="str">
        <f>IFERROR(__xludf.DUMMYFUNCTION("""COMPUTED_VALUE"""),"MACWIN PHARMACEUTICALS PVT LTD")</f>
        <v>MACWIN PHARMACEUTICALS PVT LTD</v>
      </c>
    </row>
    <row r="1753">
      <c r="H1753" s="3" t="str">
        <f>IFERROR(__xludf.DUMMYFUNCTION("""COMPUTED_VALUE"""),"MADBRIS LIFESCIENCES PVT LTD")</f>
        <v>MADBRIS LIFESCIENCES PVT LTD</v>
      </c>
    </row>
    <row r="1754">
      <c r="H1754" s="3" t="str">
        <f>IFERROR(__xludf.DUMMYFUNCTION("""COMPUTED_VALUE"""),"MADHU TRADERS")</f>
        <v>MADHU TRADERS</v>
      </c>
    </row>
    <row r="1755">
      <c r="H1755" s="3" t="str">
        <f>IFERROR(__xludf.DUMMYFUNCTION("""COMPUTED_VALUE"""),"MAESTROS MEDILINE SYSTEMS LIMITED")</f>
        <v>MAESTROS MEDILINE SYSTEMS LIMITED</v>
      </c>
    </row>
    <row r="1756">
      <c r="H1756" s="3" t="str">
        <f>IFERROR(__xludf.DUMMYFUNCTION("""COMPUTED_VALUE"""),"MAGMA ALLIANZ")</f>
        <v>MAGMA ALLIANZ</v>
      </c>
    </row>
    <row r="1757">
      <c r="H1757" s="3" t="str">
        <f>IFERROR(__xludf.DUMMYFUNCTION("""COMPUTED_VALUE"""),"Maharishi Ayurveda Products Pvt Ltd")</f>
        <v>Maharishi Ayurveda Products Pvt Ltd</v>
      </c>
    </row>
    <row r="1758">
      <c r="H1758" s="3" t="str">
        <f>IFERROR(__xludf.DUMMYFUNCTION("""COMPUTED_VALUE"""),"MAHARSHI BADRI PHARMACEUTICALS")</f>
        <v>MAHARSHI BADRI PHARMACEUTICALS</v>
      </c>
    </row>
    <row r="1759">
      <c r="H1759" s="3" t="str">
        <f>IFERROR(__xludf.DUMMYFUNCTION("""COMPUTED_VALUE"""),"MAHESHWARI FARMACEUTICAL LTD")</f>
        <v>MAHESHWARI FARMACEUTICAL LTD</v>
      </c>
    </row>
    <row r="1760">
      <c r="H1760" s="3" t="str">
        <f>IFERROR(__xludf.DUMMYFUNCTION("""COMPUTED_VALUE"""),"MAKERS LABORATORIES LTD")</f>
        <v>MAKERS LABORATORIES LTD</v>
      </c>
    </row>
    <row r="1761">
      <c r="H1761" s="3" t="str">
        <f>IFERROR(__xludf.DUMMYFUNCTION("""COMPUTED_VALUE"""),"MAKEWELL PHARMACEUTICAL")</f>
        <v>MAKEWELL PHARMACEUTICAL</v>
      </c>
    </row>
    <row r="1762">
      <c r="H1762" s="3" t="str">
        <f>IFERROR(__xludf.DUMMYFUNCTION("""COMPUTED_VALUE"""),"MAKIN LABORATORIES PVT LTD")</f>
        <v>MAKIN LABORATORIES PVT LTD</v>
      </c>
    </row>
    <row r="1763">
      <c r="H1763" s="3" t="str">
        <f>IFERROR(__xludf.DUMMYFUNCTION("""COMPUTED_VALUE"""),"MAKSUN BIOTECH P LTD")</f>
        <v>MAKSUN BIOTECH P LTD</v>
      </c>
    </row>
    <row r="1764">
      <c r="H1764" s="3" t="str">
        <f>IFERROR(__xludf.DUMMYFUNCTION("""COMPUTED_VALUE"""),"MAMTA PHARMACEUTICALS PVT LTD")</f>
        <v>MAMTA PHARMACEUTICALS PVT LTD</v>
      </c>
    </row>
    <row r="1765">
      <c r="H1765" s="3" t="str">
        <f>IFERROR(__xludf.DUMMYFUNCTION("""COMPUTED_VALUE"""),"MAN SERVE PHARMA")</f>
        <v>MAN SERVE PHARMA</v>
      </c>
    </row>
    <row r="1766">
      <c r="H1766" s="3" t="str">
        <f>IFERROR(__xludf.DUMMYFUNCTION("""COMPUTED_VALUE"""),"MANCARE LABS PVT LTD")</f>
        <v>MANCARE LABS PVT LTD</v>
      </c>
    </row>
    <row r="1767">
      <c r="H1767" s="3" t="str">
        <f>IFERROR(__xludf.DUMMYFUNCTION("""COMPUTED_VALUE"""),"MANEESH HEALTH CARE")</f>
        <v>MANEESH HEALTH CARE</v>
      </c>
    </row>
    <row r="1768">
      <c r="H1768" s="3" t="str">
        <f>IFERROR(__xludf.DUMMYFUNCTION("""COMPUTED_VALUE"""),"Maneesh Pharmaceuticals")</f>
        <v>Maneesh Pharmaceuticals</v>
      </c>
    </row>
    <row r="1769">
      <c r="H1769" s="3" t="str">
        <f>IFERROR(__xludf.DUMMYFUNCTION("""COMPUTED_VALUE"""),"MANKIND (3D)")</f>
        <v>MANKIND (3D)</v>
      </c>
    </row>
    <row r="1770">
      <c r="H1770" s="3" t="str">
        <f>IFERROR(__xludf.DUMMYFUNCTION("""COMPUTED_VALUE"""),"MANKIND (ASPIRA)")</f>
        <v>MANKIND (ASPIRA)</v>
      </c>
    </row>
    <row r="1771">
      <c r="H1771" s="3" t="str">
        <f>IFERROR(__xludf.DUMMYFUNCTION("""COMPUTED_VALUE"""),"MANKIND (CEREBRIS)")</f>
        <v>MANKIND (CEREBRIS)</v>
      </c>
    </row>
    <row r="1772">
      <c r="H1772" s="3" t="str">
        <f>IFERROR(__xludf.DUMMYFUNCTION("""COMPUTED_VALUE"""),"MANKIND (CURIS)")</f>
        <v>MANKIND (CURIS)</v>
      </c>
    </row>
    <row r="1773">
      <c r="H1773" s="3" t="str">
        <f>IFERROR(__xludf.DUMMYFUNCTION("""COMPUTED_VALUE"""),"MANKIND (DISCOVERY)")</f>
        <v>MANKIND (DISCOVERY)</v>
      </c>
    </row>
    <row r="1774">
      <c r="H1774" s="3" t="str">
        <f>IFERROR(__xludf.DUMMYFUNCTION("""COMPUTED_VALUE"""),"MANKIND (FUTURE)")</f>
        <v>MANKIND (FUTURE)</v>
      </c>
    </row>
    <row r="1775">
      <c r="H1775" s="3" t="str">
        <f>IFERROR(__xludf.DUMMYFUNCTION("""COMPUTED_VALUE"""),"MANKIND (GENERIC-AMAZING)")</f>
        <v>MANKIND (GENERIC-AMAZING)</v>
      </c>
    </row>
    <row r="1776">
      <c r="H1776" s="3" t="str">
        <f>IFERROR(__xludf.DUMMYFUNCTION("""COMPUTED_VALUE"""),"MANKIND (GENERIC)")</f>
        <v>MANKIND (GENERIC)</v>
      </c>
    </row>
    <row r="1777">
      <c r="H1777" s="3" t="str">
        <f>IFERROR(__xludf.DUMMYFUNCTION("""COMPUTED_VALUE"""),"MANKIND (GRAVITAS)")</f>
        <v>MANKIND (GRAVITAS)</v>
      </c>
    </row>
    <row r="1778">
      <c r="H1778" s="3" t="str">
        <f>IFERROR(__xludf.DUMMYFUNCTION("""COMPUTED_VALUE"""),"MANKIND (LIFESTAR-1)")</f>
        <v>MANKIND (LIFESTAR-1)</v>
      </c>
    </row>
    <row r="1779">
      <c r="H1779" s="3" t="str">
        <f>IFERROR(__xludf.DUMMYFUNCTION("""COMPUTED_VALUE"""),"MANKIND (LIFESTAR-2)")</f>
        <v>MANKIND (LIFESTAR-2)</v>
      </c>
    </row>
    <row r="1780">
      <c r="H1780" s="3" t="str">
        <f>IFERROR(__xludf.DUMMYFUNCTION("""COMPUTED_VALUE"""),"MANKIND (MAGNET)")</f>
        <v>MANKIND (MAGNET)</v>
      </c>
    </row>
    <row r="1781">
      <c r="H1781" s="3" t="str">
        <f>IFERROR(__xludf.DUMMYFUNCTION("""COMPUTED_VALUE"""),"MANKIND (MAIN)")</f>
        <v>MANKIND (MAIN)</v>
      </c>
    </row>
    <row r="1782">
      <c r="H1782" s="3" t="str">
        <f>IFERROR(__xludf.DUMMYFUNCTION("""COMPUTED_VALUE"""),"MANKIND (NOBELIS)")</f>
        <v>MANKIND (NOBELIS)</v>
      </c>
    </row>
    <row r="1783">
      <c r="H1783" s="3" t="str">
        <f>IFERROR(__xludf.DUMMYFUNCTION("""COMPUTED_VALUE"""),"MANKIND (OCULARIS)")</f>
        <v>MANKIND (OCULARIS)</v>
      </c>
    </row>
    <row r="1784">
      <c r="H1784" s="3" t="str">
        <f>IFERROR(__xludf.DUMMYFUNCTION("""COMPUTED_VALUE"""),"MANKIND (PRIME)")</f>
        <v>MANKIND (PRIME)</v>
      </c>
    </row>
    <row r="1785">
      <c r="H1785" s="3" t="str">
        <f>IFERROR(__xludf.DUMMYFUNCTION("""COMPUTED_VALUE"""),"MANKIND (SPECIAL)")</f>
        <v>MANKIND (SPECIAL)</v>
      </c>
    </row>
    <row r="1786">
      <c r="H1786" s="3" t="str">
        <f>IFERROR(__xludf.DUMMYFUNCTION("""COMPUTED_VALUE"""),"MANKIND (ZESTEVA)")</f>
        <v>MANKIND (ZESTEVA)</v>
      </c>
    </row>
    <row r="1787">
      <c r="H1787" s="3" t="str">
        <f>IFERROR(__xludf.DUMMYFUNCTION("""COMPUTED_VALUE"""),"Mankind Pharma Ltd")</f>
        <v>Mankind Pharma Ltd</v>
      </c>
    </row>
    <row r="1788">
      <c r="H1788" s="3" t="str">
        <f>IFERROR(__xludf.DUMMYFUNCTION("""COMPUTED_VALUE"""),"MANTIS REMEDIES")</f>
        <v>MANTIS REMEDIES</v>
      </c>
    </row>
    <row r="1789">
      <c r="H1789" s="3" t="str">
        <f>IFERROR(__xludf.DUMMYFUNCTION("""COMPUTED_VALUE"""),"MANTRA PHARMACEUTICALS")</f>
        <v>MANTRA PHARMACEUTICALS</v>
      </c>
    </row>
    <row r="1790">
      <c r="H1790" s="3" t="str">
        <f>IFERROR(__xludf.DUMMYFUNCTION("""COMPUTED_VALUE"""),"MANTRAX HEALTHCARE")</f>
        <v>MANTRAX HEALTHCARE</v>
      </c>
    </row>
    <row r="1791">
      <c r="H1791" s="3" t="str">
        <f>IFERROR(__xludf.DUMMYFUNCTION("""COMPUTED_VALUE"""),"MAPLE DRUGS")</f>
        <v>MAPLE DRUGS</v>
      </c>
    </row>
    <row r="1792">
      <c r="H1792" s="3" t="str">
        <f>IFERROR(__xludf.DUMMYFUNCTION("""COMPUTED_VALUE"""),"MAPLE DRUGS &amp; PHARMACEUTICALS")</f>
        <v>MAPLE DRUGS &amp; PHARMACEUTICALS</v>
      </c>
    </row>
    <row r="1793">
      <c r="H1793" s="3" t="str">
        <f>IFERROR(__xludf.DUMMYFUNCTION("""COMPUTED_VALUE"""),"Mapra Laboratories Pvt Ltd")</f>
        <v>Mapra Laboratories Pvt Ltd</v>
      </c>
    </row>
    <row r="1794">
      <c r="H1794" s="3" t="str">
        <f>IFERROR(__xludf.DUMMYFUNCTION("""COMPUTED_VALUE"""),"MAPRO")</f>
        <v>MAPRO</v>
      </c>
    </row>
    <row r="1795">
      <c r="H1795" s="3" t="str">
        <f>IFERROR(__xludf.DUMMYFUNCTION("""COMPUTED_VALUE"""),"MAPRO LIFESCIENCE")</f>
        <v>MAPRO LIFESCIENCE</v>
      </c>
    </row>
    <row r="1796">
      <c r="H1796" s="3" t="str">
        <f>IFERROR(__xludf.DUMMYFUNCTION("""COMPUTED_VALUE"""),"MAPSCURC SUSPENSION")</f>
        <v>MAPSCURC SUSPENSION</v>
      </c>
    </row>
    <row r="1797">
      <c r="H1797" s="3" t="str">
        <f>IFERROR(__xludf.DUMMYFUNCTION("""COMPUTED_VALUE"""),"MAPSCURC TAB")</f>
        <v>MAPSCURC TAB</v>
      </c>
    </row>
    <row r="1798">
      <c r="H1798" s="3" t="str">
        <f>IFERROR(__xludf.DUMMYFUNCTION("""COMPUTED_VALUE"""),"MAPSCURE GEL")</f>
        <v>MAPSCURE GEL</v>
      </c>
    </row>
    <row r="1799">
      <c r="H1799" s="3" t="str">
        <f>IFERROR(__xludf.DUMMYFUNCTION("""COMPUTED_VALUE"""),"MAPSCURE TAB")</f>
        <v>MAPSCURE TAB</v>
      </c>
    </row>
    <row r="1800">
      <c r="H1800" s="3" t="str">
        <f>IFERROR(__xludf.DUMMYFUNCTION("""COMPUTED_VALUE"""),"MAPSGEM 1000")</f>
        <v>MAPSGEM 1000</v>
      </c>
    </row>
    <row r="1801">
      <c r="H1801" s="3" t="str">
        <f>IFERROR(__xludf.DUMMYFUNCTION("""COMPUTED_VALUE"""),"MAPSONIB 200MG")</f>
        <v>MAPSONIB 200MG</v>
      </c>
    </row>
    <row r="1802">
      <c r="H1802" s="3" t="str">
        <f>IFERROR(__xludf.DUMMYFUNCTION("""COMPUTED_VALUE"""),"MAPSTABINE 500MG")</f>
        <v>MAPSTABINE 500MG</v>
      </c>
    </row>
    <row r="1803">
      <c r="H1803" s="3" t="str">
        <f>IFERROR(__xludf.DUMMYFUNCTION("""COMPUTED_VALUE"""),"MAPSTHIONE 250MG")</f>
        <v>MAPSTHIONE 250MG</v>
      </c>
    </row>
    <row r="1804">
      <c r="H1804" s="3" t="str">
        <f>IFERROR(__xludf.DUMMYFUNCTION("""COMPUTED_VALUE"""),"Marc Laboratories Pvt Ltd")</f>
        <v>Marc Laboratories Pvt Ltd</v>
      </c>
    </row>
    <row r="1805">
      <c r="H1805" s="3" t="str">
        <f>IFERROR(__xludf.DUMMYFUNCTION("""COMPUTED_VALUE"""),"Marck Biosciences Ltd")</f>
        <v>Marck Biosciences Ltd</v>
      </c>
    </row>
    <row r="1806">
      <c r="H1806" s="3" t="str">
        <f>IFERROR(__xludf.DUMMYFUNCTION("""COMPUTED_VALUE"""),"MARDIA PHARMACEUTICALS")</f>
        <v>MARDIA PHARMACEUTICALS</v>
      </c>
    </row>
    <row r="1807">
      <c r="H1807" s="3" t="str">
        <f>IFERROR(__xludf.DUMMYFUNCTION("""COMPUTED_VALUE"""),"Mark India")</f>
        <v>Mark India</v>
      </c>
    </row>
    <row r="1808">
      <c r="H1808" s="3" t="str">
        <f>IFERROR(__xludf.DUMMYFUNCTION("""COMPUTED_VALUE"""),"MARKSANS PHARMA LTD (CNS CEREBELLA)")</f>
        <v>MARKSANS PHARMA LTD (CNS CEREBELLA)</v>
      </c>
    </row>
    <row r="1809">
      <c r="H1809" s="3" t="str">
        <f>IFERROR(__xludf.DUMMYFUNCTION("""COMPUTED_VALUE"""),"MARS COMMERCE (VALERIE)")</f>
        <v>MARS COMMERCE (VALERIE)</v>
      </c>
    </row>
    <row r="1810">
      <c r="H1810" s="3" t="str">
        <f>IFERROR(__xludf.DUMMYFUNCTION("""COMPUTED_VALUE"""),"MARTIN &amp; BROWN BIOSCIENCES")</f>
        <v>MARTIN &amp; BROWN BIOSCIENCES</v>
      </c>
    </row>
    <row r="1811">
      <c r="H1811" s="3" t="str">
        <f>IFERROR(__xludf.DUMMYFUNCTION("""COMPUTED_VALUE"""),"Martin &amp; Harris Pvt Ltd")</f>
        <v>Martin &amp; Harris Pvt Ltd</v>
      </c>
    </row>
    <row r="1812">
      <c r="H1812" s="3" t="str">
        <f>IFERROR(__xludf.DUMMYFUNCTION("""COMPUTED_VALUE"""),"MARVEK BIOSCIENCES")</f>
        <v>MARVEK BIOSCIENCES</v>
      </c>
    </row>
    <row r="1813">
      <c r="H1813" s="3" t="str">
        <f>IFERROR(__xludf.DUMMYFUNCTION("""COMPUTED_VALUE"""),"MARVEL BIOSCIENCES")</f>
        <v>MARVEL BIOSCIENCES</v>
      </c>
    </row>
    <row r="1814">
      <c r="H1814" s="3" t="str">
        <f>IFERROR(__xludf.DUMMYFUNCTION("""COMPUTED_VALUE"""),"MARX PHARMA")</f>
        <v>MARX PHARMA</v>
      </c>
    </row>
    <row r="1815">
      <c r="H1815" s="3" t="str">
        <f>IFERROR(__xludf.DUMMYFUNCTION("""COMPUTED_VALUE"""),"MARX REMEDIES")</f>
        <v>MARX REMEDIES</v>
      </c>
    </row>
    <row r="1816">
      <c r="H1816" s="3" t="str">
        <f>IFERROR(__xludf.DUMMYFUNCTION("""COMPUTED_VALUE"""),"MAS HEALTHCARE P LTD")</f>
        <v>MAS HEALTHCARE P LTD</v>
      </c>
    </row>
    <row r="1817">
      <c r="H1817" s="3" t="str">
        <f>IFERROR(__xludf.DUMMYFUNCTION("""COMPUTED_VALUE"""),"MAS PHARMACHEM SOLAN")</f>
        <v>MAS PHARMACHEM SOLAN</v>
      </c>
    </row>
    <row r="1818">
      <c r="H1818" s="3" t="str">
        <f>IFERROR(__xludf.DUMMYFUNCTION("""COMPUTED_VALUE"""),"MASCOT BIOTECH")</f>
        <v>MASCOT BIOTECH</v>
      </c>
    </row>
    <row r="1819">
      <c r="H1819" s="3" t="str">
        <f>IFERROR(__xludf.DUMMYFUNCTION("""COMPUTED_VALUE"""),"MASCOT HEALTH SERIES PVT LTD")</f>
        <v>MASCOT HEALTH SERIES PVT LTD</v>
      </c>
    </row>
    <row r="1820">
      <c r="H1820" s="3" t="str">
        <f>IFERROR(__xludf.DUMMYFUNCTION("""COMPUTED_VALUE"""),"MASCOT LIFESCIENCE P LTD")</f>
        <v>MASCOT LIFESCIENCE P LTD</v>
      </c>
    </row>
    <row r="1821">
      <c r="H1821" s="3" t="str">
        <f>IFERROR(__xludf.DUMMYFUNCTION("""COMPUTED_VALUE"""),"MATIAS HEALTHCARE")</f>
        <v>MATIAS HEALTHCARE</v>
      </c>
    </row>
    <row r="1822">
      <c r="H1822" s="3" t="str">
        <f>IFERROR(__xludf.DUMMYFUNCTION("""COMPUTED_VALUE"""),"MATRIA MEDICA")</f>
        <v>MATRIA MEDICA</v>
      </c>
    </row>
    <row r="1823">
      <c r="H1823" s="3" t="str">
        <f>IFERROR(__xludf.DUMMYFUNCTION("""COMPUTED_VALUE"""),"MATTEO (CVD)")</f>
        <v>MATTEO (CVD)</v>
      </c>
    </row>
    <row r="1824">
      <c r="H1824" s="3" t="str">
        <f>IFERROR(__xludf.DUMMYFUNCTION("""COMPUTED_VALUE"""),"MATTEO HEALTHCARE PVT LTD")</f>
        <v>MATTEO HEALTHCARE PVT LTD</v>
      </c>
    </row>
    <row r="1825">
      <c r="H1825" s="3" t="str">
        <f>IFERROR(__xludf.DUMMYFUNCTION("""COMPUTED_VALUE"""),"MAX CHEMICALS (INDIA)")</f>
        <v>MAX CHEMICALS (INDIA)</v>
      </c>
    </row>
    <row r="1826">
      <c r="H1826" s="3" t="str">
        <f>IFERROR(__xludf.DUMMYFUNCTION("""COMPUTED_VALUE"""),"MAX PHARMA")</f>
        <v>MAX PHARMA</v>
      </c>
    </row>
    <row r="1827">
      <c r="H1827" s="3" t="str">
        <f>IFERROR(__xludf.DUMMYFUNCTION("""COMPUTED_VALUE"""),"MAXFORD HEALTHCARE")</f>
        <v>MAXFORD HEALTHCARE</v>
      </c>
    </row>
    <row r="1828">
      <c r="H1828" s="3" t="str">
        <f>IFERROR(__xludf.DUMMYFUNCTION("""COMPUTED_VALUE"""),"MAXFORD LABS PVT LTD")</f>
        <v>MAXFORD LABS PVT LTD</v>
      </c>
    </row>
    <row r="1829">
      <c r="H1829" s="3" t="str">
        <f>IFERROR(__xludf.DUMMYFUNCTION("""COMPUTED_VALUE"""),"MAXIMAA PROYURVEDA")</f>
        <v>MAXIMAA PROYURVEDA</v>
      </c>
    </row>
    <row r="1830">
      <c r="H1830" s="3" t="str">
        <f>IFERROR(__xludf.DUMMYFUNCTION("""COMPUTED_VALUE"""),"MAXIMUM LABS")</f>
        <v>MAXIMUM LABS</v>
      </c>
    </row>
    <row r="1831">
      <c r="H1831" s="3" t="str">
        <f>IFERROR(__xludf.DUMMYFUNCTION("""COMPUTED_VALUE"""),"MAXUS PHARMA")</f>
        <v>MAXUS PHARMA</v>
      </c>
    </row>
    <row r="1832">
      <c r="H1832" s="3" t="str">
        <f>IFERROR(__xludf.DUMMYFUNCTION("""COMPUTED_VALUE"""),"MAXX FARMACIA")</f>
        <v>MAXX FARMACIA</v>
      </c>
    </row>
    <row r="1833">
      <c r="H1833" s="3" t="str">
        <f>IFERROR(__xludf.DUMMYFUNCTION("""COMPUTED_VALUE"""),"MAXZIMAA PHARMACEUTICALS")</f>
        <v>MAXZIMAA PHARMACEUTICALS</v>
      </c>
    </row>
    <row r="1834">
      <c r="H1834" s="3" t="str">
        <f>IFERROR(__xludf.DUMMYFUNCTION("""COMPUTED_VALUE"""),"MAY &amp; BAKER")</f>
        <v>MAY &amp; BAKER</v>
      </c>
    </row>
    <row r="1835">
      <c r="H1835" s="3" t="str">
        <f>IFERROR(__xludf.DUMMYFUNCTION("""COMPUTED_VALUE"""),"Mayflower India (MARIGOLD)")</f>
        <v>Mayflower India (MARIGOLD)</v>
      </c>
    </row>
    <row r="1836">
      <c r="H1836" s="3" t="str">
        <f>IFERROR(__xludf.DUMMYFUNCTION("""COMPUTED_VALUE"""),"MAYGRISS HEALTHCARE PVT LTD")</f>
        <v>MAYGRISS HEALTHCARE PVT LTD</v>
      </c>
    </row>
    <row r="1837">
      <c r="H1837" s="3" t="str">
        <f>IFERROR(__xludf.DUMMYFUNCTION("""COMPUTED_VALUE"""),"Mcastro Pharma")</f>
        <v>Mcastro Pharma</v>
      </c>
    </row>
    <row r="1838">
      <c r="H1838" s="3" t="str">
        <f>IFERROR(__xludf.DUMMYFUNCTION("""COMPUTED_VALUE"""),"McW Healthcare")</f>
        <v>McW Healthcare</v>
      </c>
    </row>
    <row r="1839">
      <c r="H1839" s="3" t="str">
        <f>IFERROR(__xludf.DUMMYFUNCTION("""COMPUTED_VALUE"""),"MCWEL HEALTHCARE P LTD")</f>
        <v>MCWEL HEALTHCARE P LTD</v>
      </c>
    </row>
    <row r="1840">
      <c r="H1840" s="3" t="str">
        <f>IFERROR(__xludf.DUMMYFUNCTION("""COMPUTED_VALUE"""),"MEAD JOHNSON &amp; COMPANY")</f>
        <v>MEAD JOHNSON &amp; COMPANY</v>
      </c>
    </row>
    <row r="1841">
      <c r="H1841" s="3" t="str">
        <f>IFERROR(__xludf.DUMMYFUNCTION("""COMPUTED_VALUE"""),"MECARTUS HEALTH CARE P LTD")</f>
        <v>MECARTUS HEALTH CARE P LTD</v>
      </c>
    </row>
    <row r="1842">
      <c r="H1842" s="3" t="str">
        <f>IFERROR(__xludf.DUMMYFUNCTION("""COMPUTED_VALUE"""),"MECOSON LABS")</f>
        <v>MECOSON LABS</v>
      </c>
    </row>
    <row r="1843">
      <c r="H1843" s="3" t="str">
        <f>IFERROR(__xludf.DUMMYFUNCTION("""COMPUTED_VALUE"""),"MED MANOR (GLORIA)")</f>
        <v>MED MANOR (GLORIA)</v>
      </c>
    </row>
    <row r="1844">
      <c r="H1844" s="3" t="str">
        <f>IFERROR(__xludf.DUMMYFUNCTION("""COMPUTED_VALUE"""),"MED MANOR (PEDIA)")</f>
        <v>MED MANOR (PEDIA)</v>
      </c>
    </row>
    <row r="1845">
      <c r="H1845" s="3" t="str">
        <f>IFERROR(__xludf.DUMMYFUNCTION("""COMPUTED_VALUE"""),"Med Manor Organics Pvt Ltd")</f>
        <v>Med Manor Organics Pvt Ltd</v>
      </c>
    </row>
    <row r="1846">
      <c r="H1846" s="3" t="str">
        <f>IFERROR(__xludf.DUMMYFUNCTION("""COMPUTED_VALUE"""),"MEDCONIC HEALTHCARE")</f>
        <v>MEDCONIC HEALTHCARE</v>
      </c>
    </row>
    <row r="1847">
      <c r="H1847" s="3" t="str">
        <f>IFERROR(__xludf.DUMMYFUNCTION("""COMPUTED_VALUE"""),"MEDCURE ORGANIC")</f>
        <v>MEDCURE ORGANIC</v>
      </c>
    </row>
    <row r="1848">
      <c r="H1848" s="3" t="str">
        <f>IFERROR(__xludf.DUMMYFUNCTION("""COMPUTED_VALUE"""),"MEDFOR BIOSCIENCES PVT LTD")</f>
        <v>MEDFOR BIOSCIENCES PVT LTD</v>
      </c>
    </row>
    <row r="1849">
      <c r="H1849" s="3" t="str">
        <f>IFERROR(__xludf.DUMMYFUNCTION("""COMPUTED_VALUE"""),"MEDI JOHN BIOTECH")</f>
        <v>MEDI JOHN BIOTECH</v>
      </c>
    </row>
    <row r="1850">
      <c r="H1850" s="3" t="str">
        <f>IFERROR(__xludf.DUMMYFUNCTION("""COMPUTED_VALUE"""),"MEDI SURGE IMPEX")</f>
        <v>MEDI SURGE IMPEX</v>
      </c>
    </row>
    <row r="1851">
      <c r="H1851" s="3" t="str">
        <f>IFERROR(__xludf.DUMMYFUNCTION("""COMPUTED_VALUE"""),"MEDIART LIFESCIENCES")</f>
        <v>MEDIART LIFESCIENCES</v>
      </c>
    </row>
    <row r="1852">
      <c r="H1852" s="3" t="str">
        <f>IFERROR(__xludf.DUMMYFUNCTION("""COMPUTED_VALUE"""),"MEDIC")</f>
        <v>MEDIC</v>
      </c>
    </row>
    <row r="1853">
      <c r="H1853" s="3" t="str">
        <f>IFERROR(__xludf.DUMMYFUNCTION("""COMPUTED_VALUE"""),"MEDIC REMEDIES")</f>
        <v>MEDIC REMEDIES</v>
      </c>
    </row>
    <row r="1854">
      <c r="H1854" s="3" t="str">
        <f>IFERROR(__xludf.DUMMYFUNCTION("""COMPUTED_VALUE"""),"MEDICEVO HEALTHCARE")</f>
        <v>MEDICEVO HEALTHCARE</v>
      </c>
    </row>
    <row r="1855">
      <c r="H1855" s="3" t="str">
        <f>IFERROR(__xludf.DUMMYFUNCTION("""COMPUTED_VALUE"""),"MEDICHI BIO CARE")</f>
        <v>MEDICHI BIO CARE</v>
      </c>
    </row>
    <row r="1856">
      <c r="H1856" s="3" t="str">
        <f>IFERROR(__xludf.DUMMYFUNCTION("""COMPUTED_VALUE"""),"MEDICIS LIFE SCIENCES")</f>
        <v>MEDICIS LIFE SCIENCES</v>
      </c>
    </row>
    <row r="1857">
      <c r="H1857" s="3" t="str">
        <f>IFERROR(__xludf.DUMMYFUNCTION("""COMPUTED_VALUE"""),"MEDICO HEALTHCARE")</f>
        <v>MEDICO HEALTHCARE</v>
      </c>
    </row>
    <row r="1858">
      <c r="H1858" s="3" t="str">
        <f>IFERROR(__xludf.DUMMYFUNCTION("""COMPUTED_VALUE"""),"MEDICRUX HEALTHCARE")</f>
        <v>MEDICRUX HEALTHCARE</v>
      </c>
    </row>
    <row r="1859">
      <c r="H1859" s="3" t="str">
        <f>IFERROR(__xludf.DUMMYFUNCTION("""COMPUTED_VALUE"""),"MEDICULE HEALTHCARE")</f>
        <v>MEDICULE HEALTHCARE</v>
      </c>
    </row>
    <row r="1860">
      <c r="H1860" s="3" t="str">
        <f>IFERROR(__xludf.DUMMYFUNCTION("""COMPUTED_VALUE"""),"MEDICUS HEALTH")</f>
        <v>MEDICUS HEALTH</v>
      </c>
    </row>
    <row r="1861">
      <c r="H1861" s="3" t="str">
        <f>IFERROR(__xludf.DUMMYFUNCTION("""COMPUTED_VALUE"""),"MEDICUS LABS")</f>
        <v>MEDICUS LABS</v>
      </c>
    </row>
    <row r="1862">
      <c r="H1862" s="3" t="str">
        <f>IFERROR(__xludf.DUMMYFUNCTION("""COMPUTED_VALUE"""),"MEDIEX HEALTHCARE")</f>
        <v>MEDIEX HEALTHCARE</v>
      </c>
    </row>
    <row r="1863">
      <c r="H1863" s="3" t="str">
        <f>IFERROR(__xludf.DUMMYFUNCTION("""COMPUTED_VALUE"""),"MEDIFAITH BIOTECH")</f>
        <v>MEDIFAITH BIOTECH</v>
      </c>
    </row>
    <row r="1864">
      <c r="H1864" s="3" t="str">
        <f>IFERROR(__xludf.DUMMYFUNCTION("""COMPUTED_VALUE"""),"MEDIFIT")</f>
        <v>MEDIFIT</v>
      </c>
    </row>
    <row r="1865">
      <c r="H1865" s="3" t="str">
        <f>IFERROR(__xludf.DUMMYFUNCTION("""COMPUTED_VALUE"""),"MEDIGUARD MARKETING")</f>
        <v>MEDIGUARD MARKETING</v>
      </c>
    </row>
    <row r="1866">
      <c r="H1866" s="3" t="str">
        <f>IFERROR(__xludf.DUMMYFUNCTION("""COMPUTED_VALUE"""),"MEDILANCE HEALTHCARE")</f>
        <v>MEDILANCE HEALTHCARE</v>
      </c>
    </row>
    <row r="1867">
      <c r="H1867" s="3" t="str">
        <f>IFERROR(__xludf.DUMMYFUNCTION("""COMPUTED_VALUE"""),"MEDIMARK BIOTECH")</f>
        <v>MEDIMARK BIOTECH</v>
      </c>
    </row>
    <row r="1868">
      <c r="H1868" s="3" t="str">
        <f>IFERROR(__xludf.DUMMYFUNCTION("""COMPUTED_VALUE"""),"MEDINN BELLE HERBAL CARE PVT LTD")</f>
        <v>MEDINN BELLE HERBAL CARE PVT LTD</v>
      </c>
    </row>
    <row r="1869">
      <c r="H1869" s="3" t="str">
        <f>IFERROR(__xludf.DUMMYFUNCTION("""COMPUTED_VALUE"""),"MEDINOVA")</f>
        <v>MEDINOVA</v>
      </c>
    </row>
    <row r="1870">
      <c r="H1870" s="3" t="str">
        <f>IFERROR(__xludf.DUMMYFUNCTION("""COMPUTED_VALUE"""),"Medispan Ltd")</f>
        <v>Medispan Ltd</v>
      </c>
    </row>
    <row r="1871">
      <c r="H1871" s="3" t="str">
        <f>IFERROR(__xludf.DUMMYFUNCTION("""COMPUTED_VALUE"""),"MEDITECH DEVICES")</f>
        <v>MEDITECH DEVICES</v>
      </c>
    </row>
    <row r="1872">
      <c r="H1872" s="3" t="str">
        <f>IFERROR(__xludf.DUMMYFUNCTION("""COMPUTED_VALUE"""),"MEDITEK INDIA")</f>
        <v>MEDITEK INDIA</v>
      </c>
    </row>
    <row r="1873">
      <c r="H1873" s="3" t="str">
        <f>IFERROR(__xludf.DUMMYFUNCTION("""COMPUTED_VALUE"""),"MEDITEX PHARMA PVT LTD")</f>
        <v>MEDITEX PHARMA PVT LTD</v>
      </c>
    </row>
    <row r="1874">
      <c r="H1874" s="3" t="str">
        <f>IFERROR(__xludf.DUMMYFUNCTION("""COMPUTED_VALUE"""),"MEDIVAXIA PHARMA")</f>
        <v>MEDIVAXIA PHARMA</v>
      </c>
    </row>
    <row r="1875">
      <c r="H1875" s="3" t="str">
        <f>IFERROR(__xludf.DUMMYFUNCTION("""COMPUTED_VALUE"""),"MEDIVISON PHARM")</f>
        <v>MEDIVISON PHARM</v>
      </c>
    </row>
    <row r="1876">
      <c r="H1876" s="3" t="str">
        <f>IFERROR(__xludf.DUMMYFUNCTION("""COMPUTED_VALUE"""),"MEDIVISTA LIFE SCIENCES P LTD")</f>
        <v>MEDIVISTA LIFE SCIENCES P LTD</v>
      </c>
    </row>
    <row r="1877">
      <c r="H1877" s="3" t="str">
        <f>IFERROR(__xludf.DUMMYFUNCTION("""COMPUTED_VALUE"""),"MEDLEY (GLYCEKARE)")</f>
        <v>MEDLEY (GLYCEKARE)</v>
      </c>
    </row>
    <row r="1878">
      <c r="H1878" s="3" t="str">
        <f>IFERROR(__xludf.DUMMYFUNCTION("""COMPUTED_VALUE"""),"MEDLEY (NUTRAKARE)")</f>
        <v>MEDLEY (NUTRAKARE)</v>
      </c>
    </row>
    <row r="1879">
      <c r="H1879" s="3" t="str">
        <f>IFERROR(__xludf.DUMMYFUNCTION("""COMPUTED_VALUE"""),"MEDLEY (OSTEOCARE)")</f>
        <v>MEDLEY (OSTEOCARE)</v>
      </c>
    </row>
    <row r="1880">
      <c r="H1880" s="3" t="str">
        <f>IFERROR(__xludf.DUMMYFUNCTION("""COMPUTED_VALUE"""),"MEDLEY (SUPRAKARE)")</f>
        <v>MEDLEY (SUPRAKARE)</v>
      </c>
    </row>
    <row r="1881">
      <c r="H1881" s="3" t="str">
        <f>IFERROR(__xludf.DUMMYFUNCTION("""COMPUTED_VALUE"""),"MEDLEY (VAZOKARE)")</f>
        <v>MEDLEY (VAZOKARE)</v>
      </c>
    </row>
    <row r="1882">
      <c r="H1882" s="3" t="str">
        <f>IFERROR(__xludf.DUMMYFUNCTION("""COMPUTED_VALUE"""),"MEDLEY (ZENKARE)")</f>
        <v>MEDLEY (ZENKARE)</v>
      </c>
    </row>
    <row r="1883">
      <c r="H1883" s="3" t="str">
        <f>IFERROR(__xludf.DUMMYFUNCTION("""COMPUTED_VALUE"""),"Medley Pharmaceuticals")</f>
        <v>Medley Pharmaceuticals</v>
      </c>
    </row>
    <row r="1884">
      <c r="H1884" s="3" t="str">
        <f>IFERROR(__xludf.DUMMYFUNCTION("""COMPUTED_VALUE"""),"Medley Pharmaceuticals (GENERIC)")</f>
        <v>Medley Pharmaceuticals (GENERIC)</v>
      </c>
    </row>
    <row r="1885">
      <c r="H1885" s="3" t="str">
        <f>IFERROR(__xludf.DUMMYFUNCTION("""COMPUTED_VALUE"""),"Medo Pharma")</f>
        <v>Medo Pharma</v>
      </c>
    </row>
    <row r="1886">
      <c r="H1886" s="3" t="str">
        <f>IFERROR(__xludf.DUMMYFUNCTION("""COMPUTED_VALUE"""),"MEDO PHARMA (CARDICARE)")</f>
        <v>MEDO PHARMA (CARDICARE)</v>
      </c>
    </row>
    <row r="1887">
      <c r="H1887" s="3" t="str">
        <f>IFERROR(__xludf.DUMMYFUNCTION("""COMPUTED_VALUE"""),"MEDOK LIFESCIENCES PVT LTD")</f>
        <v>MEDOK LIFESCIENCES PVT LTD</v>
      </c>
    </row>
    <row r="1888">
      <c r="H1888" s="3" t="str">
        <f>IFERROR(__xludf.DUMMYFUNCTION("""COMPUTED_VALUE"""),"MEDOPHARM (JUBILANT)")</f>
        <v>MEDOPHARM (JUBILANT)</v>
      </c>
    </row>
    <row r="1889">
      <c r="H1889" s="3" t="str">
        <f>IFERROR(__xludf.DUMMYFUNCTION("""COMPUTED_VALUE"""),"MEDOZ PHARMA")</f>
        <v>MEDOZ PHARMA</v>
      </c>
    </row>
    <row r="1890">
      <c r="H1890" s="3" t="str">
        <f>IFERROR(__xludf.DUMMYFUNCTION("""COMPUTED_VALUE"""),"MEDPURE LIFE SCIENCE")</f>
        <v>MEDPURE LIFE SCIENCE</v>
      </c>
    </row>
    <row r="1891">
      <c r="H1891" s="3" t="str">
        <f>IFERROR(__xludf.DUMMYFUNCTION("""COMPUTED_VALUE"""),"Medreich Lifecare Ltd (SAIMIRA)")</f>
        <v>Medreich Lifecare Ltd (SAIMIRA)</v>
      </c>
    </row>
    <row r="1892">
      <c r="H1892" s="3" t="str">
        <f>IFERROR(__xludf.DUMMYFUNCTION("""COMPUTED_VALUE"""),"Medsol India Overseas Pvt Ltd")</f>
        <v>Medsol India Overseas Pvt Ltd</v>
      </c>
    </row>
    <row r="1893">
      <c r="H1893" s="3" t="str">
        <f>IFERROR(__xludf.DUMMYFUNCTION("""COMPUTED_VALUE"""),"MEDTRONIC")</f>
        <v>MEDTRONIC</v>
      </c>
    </row>
    <row r="1894">
      <c r="H1894" s="3" t="str">
        <f>IFERROR(__xludf.DUMMYFUNCTION("""COMPUTED_VALUE"""),"MEDWIN IMPEX PVT LTD")</f>
        <v>MEDWIN IMPEX PVT LTD</v>
      </c>
    </row>
    <row r="1895">
      <c r="H1895" s="3" t="str">
        <f>IFERROR(__xludf.DUMMYFUNCTION("""COMPUTED_VALUE"""),"MEDWIN PHARMA")</f>
        <v>MEDWIN PHARMA</v>
      </c>
    </row>
    <row r="1896">
      <c r="H1896" s="3" t="str">
        <f>IFERROR(__xludf.DUMMYFUNCTION("""COMPUTED_VALUE"""),"MEETHI PHARMACEUTICALS")</f>
        <v>MEETHI PHARMACEUTICALS</v>
      </c>
    </row>
    <row r="1897">
      <c r="H1897" s="3" t="str">
        <f>IFERROR(__xludf.DUMMYFUNCTION("""COMPUTED_VALUE"""),"Mefro Pharmaceuticals (P) Ltd")</f>
        <v>Mefro Pharmaceuticals (P) Ltd</v>
      </c>
    </row>
    <row r="1898">
      <c r="H1898" s="3" t="str">
        <f>IFERROR(__xludf.DUMMYFUNCTION("""COMPUTED_VALUE"""),"Megacorp Healthcare Pvt Ltd")</f>
        <v>Megacorp Healthcare Pvt Ltd</v>
      </c>
    </row>
    <row r="1899">
      <c r="H1899" s="3" t="str">
        <f>IFERROR(__xludf.DUMMYFUNCTION("""COMPUTED_VALUE"""),"MEGHDOOT GRAM UDYOG")</f>
        <v>MEGHDOOT GRAM UDYOG</v>
      </c>
    </row>
    <row r="1900">
      <c r="H1900" s="3" t="str">
        <f>IFERROR(__xludf.DUMMYFUNCTION("""COMPUTED_VALUE"""),"MEGMA HEALTHCARE")</f>
        <v>MEGMA HEALTHCARE</v>
      </c>
    </row>
    <row r="1901">
      <c r="H1901" s="3" t="str">
        <f>IFERROR(__xludf.DUMMYFUNCTION("""COMPUTED_VALUE"""),"MEHAR LABORATORIE")</f>
        <v>MEHAR LABORATORIE</v>
      </c>
    </row>
    <row r="1902">
      <c r="H1902" s="3" t="str">
        <f>IFERROR(__xludf.DUMMYFUNCTION("""COMPUTED_VALUE"""),"MEHAR LABORATORIES")</f>
        <v>MEHAR LABORATORIES</v>
      </c>
    </row>
    <row r="1903">
      <c r="H1903" s="3" t="str">
        <f>IFERROR(__xludf.DUMMYFUNCTION("""COMPUTED_VALUE"""),"MEHTA PHARMACEUTICALS PVT LTD")</f>
        <v>MEHTA PHARMACEUTICALS PVT LTD</v>
      </c>
    </row>
    <row r="1904">
      <c r="H1904" s="3" t="str">
        <f>IFERROR(__xludf.DUMMYFUNCTION("""COMPUTED_VALUE"""),"Menarini India Pvt Ltd")</f>
        <v>Menarini India Pvt Ltd</v>
      </c>
    </row>
    <row r="1905">
      <c r="H1905" s="3" t="str">
        <f>IFERROR(__xludf.DUMMYFUNCTION("""COMPUTED_VALUE"""),"MERCK (P&amp;G)")</f>
        <v>MERCK (P&amp;G)</v>
      </c>
    </row>
    <row r="1906">
      <c r="H1906" s="3" t="str">
        <f>IFERROR(__xludf.DUMMYFUNCTION("""COMPUTED_VALUE"""),"Merck Ltd")</f>
        <v>Merck Ltd</v>
      </c>
    </row>
    <row r="1907">
      <c r="H1907" s="3" t="str">
        <f>IFERROR(__xludf.DUMMYFUNCTION("""COMPUTED_VALUE"""),"Merck Ltd (CHC)")</f>
        <v>Merck Ltd (CHC)</v>
      </c>
    </row>
    <row r="1908">
      <c r="H1908" s="3" t="str">
        <f>IFERROR(__xludf.DUMMYFUNCTION("""COMPUTED_VALUE"""),"Merck Ltd (CMC)")</f>
        <v>Merck Ltd (CMC)</v>
      </c>
    </row>
    <row r="1909">
      <c r="H1909" s="3" t="str">
        <f>IFERROR(__xludf.DUMMYFUNCTION("""COMPUTED_VALUE"""),"Merck Ltd (GENERAL MEDCINE)")</f>
        <v>Merck Ltd (GENERAL MEDCINE)</v>
      </c>
    </row>
    <row r="1910">
      <c r="H1910" s="3" t="str">
        <f>IFERROR(__xludf.DUMMYFUNCTION("""COMPUTED_VALUE"""),"Merck Ltd (OTX)")</f>
        <v>Merck Ltd (OTX)</v>
      </c>
    </row>
    <row r="1911">
      <c r="H1911" s="3" t="str">
        <f>IFERROR(__xludf.DUMMYFUNCTION("""COMPUTED_VALUE"""),"Merck Ltd (WHC)")</f>
        <v>Merck Ltd (WHC)</v>
      </c>
    </row>
    <row r="1912">
      <c r="H1912" s="3" t="str">
        <f>IFERROR(__xludf.DUMMYFUNCTION("""COMPUTED_VALUE"""),"MERCK SPECIALITIES PVT LTD")</f>
        <v>MERCK SPECIALITIES PVT LTD</v>
      </c>
    </row>
    <row r="1913">
      <c r="H1913" s="3" t="str">
        <f>IFERROR(__xludf.DUMMYFUNCTION("""COMPUTED_VALUE"""),"Mercury Healthcare Pvt Ltd")</f>
        <v>Mercury Healthcare Pvt Ltd</v>
      </c>
    </row>
    <row r="1914">
      <c r="H1914" s="3" t="str">
        <f>IFERROR(__xludf.DUMMYFUNCTION("""COMPUTED_VALUE"""),"MERCURY LABORATORIES")</f>
        <v>MERCURY LABORATORIES</v>
      </c>
    </row>
    <row r="1915">
      <c r="H1915" s="3" t="str">
        <f>IFERROR(__xludf.DUMMYFUNCTION("""COMPUTED_VALUE"""),"MERIDIAN ENTERPRISES")</f>
        <v>MERIDIAN ENTERPRISES</v>
      </c>
    </row>
    <row r="1916">
      <c r="H1916" s="3" t="str">
        <f>IFERROR(__xludf.DUMMYFUNCTION("""COMPUTED_VALUE"""),"Meridian Medicare Ltd")</f>
        <v>Meridian Medicare Ltd</v>
      </c>
    </row>
    <row r="1917">
      <c r="H1917" s="3" t="str">
        <f>IFERROR(__xludf.DUMMYFUNCTION("""COMPUTED_VALUE"""),"Merion Care")</f>
        <v>Merion Care</v>
      </c>
    </row>
    <row r="1918">
      <c r="H1918" s="3" t="str">
        <f>IFERROR(__xludf.DUMMYFUNCTION("""COMPUTED_VALUE"""),"MERLIN PHARMA PVT LTD")</f>
        <v>MERLIN PHARMA PVT LTD</v>
      </c>
    </row>
    <row r="1919">
      <c r="H1919" s="3" t="str">
        <f>IFERROR(__xludf.DUMMYFUNCTION("""COMPUTED_VALUE"""),"MERRUT HOMOEO PHARMACY")</f>
        <v>MERRUT HOMOEO PHARMACY</v>
      </c>
    </row>
    <row r="1920">
      <c r="H1920" s="3" t="str">
        <f>IFERROR(__xludf.DUMMYFUNCTION("""COMPUTED_VALUE"""),"Meryl Pharma")</f>
        <v>Meryl Pharma</v>
      </c>
    </row>
    <row r="1921">
      <c r="H1921" s="3" t="str">
        <f>IFERROR(__xludf.DUMMYFUNCTION("""COMPUTED_VALUE"""),"MESOVA PHARMACEUTICAL")</f>
        <v>MESOVA PHARMACEUTICAL</v>
      </c>
    </row>
    <row r="1922">
      <c r="H1922" s="3" t="str">
        <f>IFERROR(__xludf.DUMMYFUNCTION("""COMPUTED_VALUE"""),"MEWAR AYURVEDIC WORKS")</f>
        <v>MEWAR AYURVEDIC WORKS</v>
      </c>
    </row>
    <row r="1923">
      <c r="H1923" s="3" t="str">
        <f>IFERROR(__xludf.DUMMYFUNCTION("""COMPUTED_VALUE"""),"MEWELL BIOTECH")</f>
        <v>MEWELL BIOTECH</v>
      </c>
    </row>
    <row r="1924">
      <c r="H1924" s="3" t="str">
        <f>IFERROR(__xludf.DUMMYFUNCTION("""COMPUTED_VALUE"""),"MEXX VISION PHARMA")</f>
        <v>MEXX VISION PHARMA</v>
      </c>
    </row>
    <row r="1925">
      <c r="H1925" s="3" t="str">
        <f>IFERROR(__xludf.DUMMYFUNCTION("""COMPUTED_VALUE"""),"MEYER ORGANICS (CELLAGE)")</f>
        <v>MEYER ORGANICS (CELLAGE)</v>
      </c>
    </row>
    <row r="1926">
      <c r="H1926" s="3" t="str">
        <f>IFERROR(__xludf.DUMMYFUNCTION("""COMPUTED_VALUE"""),"MEYER ORGANICS (EXCEL)")</f>
        <v>MEYER ORGANICS (EXCEL)</v>
      </c>
    </row>
    <row r="1927">
      <c r="H1927" s="3" t="str">
        <f>IFERROR(__xludf.DUMMYFUNCTION("""COMPUTED_VALUE"""),"MEYER ORGANICS (SALES)")</f>
        <v>MEYER ORGANICS (SALES)</v>
      </c>
    </row>
    <row r="1928">
      <c r="H1928" s="3" t="str">
        <f>IFERROR(__xludf.DUMMYFUNCTION("""COMPUTED_VALUE"""),"Meyer Organics Pvt Ltd")</f>
        <v>Meyer Organics Pvt Ltd</v>
      </c>
    </row>
    <row r="1929">
      <c r="H1929" s="3" t="str">
        <f>IFERROR(__xludf.DUMMYFUNCTION("""COMPUTED_VALUE"""),"MIBSONS PHARMACEUTICAL")</f>
        <v>MIBSONS PHARMACEUTICAL</v>
      </c>
    </row>
    <row r="1930">
      <c r="H1930" s="3" t="str">
        <f>IFERROR(__xludf.DUMMYFUNCTION("""COMPUTED_VALUE"""),"MICRO (CARDICARE)")</f>
        <v>MICRO (CARDICARE)</v>
      </c>
    </row>
    <row r="1931">
      <c r="H1931" s="3" t="str">
        <f>IFERROR(__xludf.DUMMYFUNCTION("""COMPUTED_VALUE"""),"MICRO (CARSYON II)")</f>
        <v>MICRO (CARSYON II)</v>
      </c>
    </row>
    <row r="1932">
      <c r="H1932" s="3" t="str">
        <f>IFERROR(__xludf.DUMMYFUNCTION("""COMPUTED_VALUE"""),"MICRO (CARSYON III)")</f>
        <v>MICRO (CARSYON III)</v>
      </c>
    </row>
    <row r="1933">
      <c r="H1933" s="3" t="str">
        <f>IFERROR(__xludf.DUMMYFUNCTION("""COMPUTED_VALUE"""),"MICRO (DERMA)")</f>
        <v>MICRO (DERMA)</v>
      </c>
    </row>
    <row r="1934">
      <c r="H1934" s="3" t="str">
        <f>IFERROR(__xludf.DUMMYFUNCTION("""COMPUTED_VALUE"""),"MICRO (DTF)")</f>
        <v>MICRO (DTF)</v>
      </c>
    </row>
    <row r="1935">
      <c r="H1935" s="3" t="str">
        <f>IFERROR(__xludf.DUMMYFUNCTION("""COMPUTED_VALUE"""),"MICRO (GRATIA)")</f>
        <v>MICRO (GRATIA)</v>
      </c>
    </row>
    <row r="1936">
      <c r="H1936" s="3" t="str">
        <f>IFERROR(__xludf.DUMMYFUNCTION("""COMPUTED_VALUE"""),"MICRO (GTF II)")</f>
        <v>MICRO (GTF II)</v>
      </c>
    </row>
    <row r="1937">
      <c r="H1937" s="3" t="str">
        <f>IFERROR(__xludf.DUMMYFUNCTION("""COMPUTED_VALUE"""),"MICRO (LUMIRA)")</f>
        <v>MICRO (LUMIRA)</v>
      </c>
    </row>
    <row r="1938">
      <c r="H1938" s="3" t="str">
        <f>IFERROR(__xludf.DUMMYFUNCTION("""COMPUTED_VALUE"""),"MICRO (MAIN)")</f>
        <v>MICRO (MAIN)</v>
      </c>
    </row>
    <row r="1939">
      <c r="H1939" s="3" t="str">
        <f>IFERROR(__xludf.DUMMYFUNCTION("""COMPUTED_VALUE"""),"MICRO (OTF)")</f>
        <v>MICRO (OTF)</v>
      </c>
    </row>
    <row r="1940">
      <c r="H1940" s="3" t="str">
        <f>IFERROR(__xludf.DUMMYFUNCTION("""COMPUTED_VALUE"""),"MICRO (VISION 1)")</f>
        <v>MICRO (VISION 1)</v>
      </c>
    </row>
    <row r="1941">
      <c r="H1941" s="3" t="str">
        <f>IFERROR(__xludf.DUMMYFUNCTION("""COMPUTED_VALUE"""),"MICRO (VISION 2)")</f>
        <v>MICRO (VISION 2)</v>
      </c>
    </row>
    <row r="1942">
      <c r="H1942" s="3" t="str">
        <f>IFERROR(__xludf.DUMMYFUNCTION("""COMPUTED_VALUE"""),"MICRO (VIVAA)")</f>
        <v>MICRO (VIVAA)</v>
      </c>
    </row>
    <row r="1943">
      <c r="H1943" s="3" t="str">
        <f>IFERROR(__xludf.DUMMYFUNCTION("""COMPUTED_VALUE"""),"MICRO CARSYON CARDIAC")</f>
        <v>MICRO CARSYON CARDIAC</v>
      </c>
    </row>
    <row r="1944">
      <c r="H1944" s="3" t="str">
        <f>IFERROR(__xludf.DUMMYFUNCTION("""COMPUTED_VALUE"""),"MICRO HELTHCARE LTD.")</f>
        <v>MICRO HELTHCARE LTD.</v>
      </c>
    </row>
    <row r="1945">
      <c r="H1945" s="3" t="str">
        <f>IFERROR(__xludf.DUMMYFUNCTION("""COMPUTED_VALUE"""),"Micro Labs (BROWN &amp; BURK)")</f>
        <v>Micro Labs (BROWN &amp; BURK)</v>
      </c>
    </row>
    <row r="1946">
      <c r="H1946" s="3" t="str">
        <f>IFERROR(__xludf.DUMMYFUNCTION("""COMPUTED_VALUE"""),"Micro Labs Ltd")</f>
        <v>Micro Labs Ltd</v>
      </c>
    </row>
    <row r="1947">
      <c r="H1947" s="3" t="str">
        <f>IFERROR(__xludf.DUMMYFUNCTION("""COMPUTED_VALUE"""),"Micro Labs Ltd (NOVA)")</f>
        <v>Micro Labs Ltd (NOVA)</v>
      </c>
    </row>
    <row r="1948">
      <c r="H1948" s="3" t="str">
        <f>IFERROR(__xludf.DUMMYFUNCTION("""COMPUTED_VALUE"""),"Micro Labs Ltd (SPECIALITY)")</f>
        <v>Micro Labs Ltd (SPECIALITY)</v>
      </c>
    </row>
    <row r="1949">
      <c r="H1949" s="3" t="str">
        <f>IFERROR(__xludf.DUMMYFUNCTION("""COMPUTED_VALUE"""),"MICROGEN HYGIENE PVT LTD")</f>
        <v>MICROGEN HYGIENE PVT LTD</v>
      </c>
    </row>
    <row r="1950">
      <c r="H1950" s="3" t="str">
        <f>IFERROR(__xludf.DUMMYFUNCTION("""COMPUTED_VALUE"""),"MICROPARK LOGISTICS PVT LTD (WELLNESS)")</f>
        <v>MICROPARK LOGISTICS PVT LTD (WELLNESS)</v>
      </c>
    </row>
    <row r="1951">
      <c r="H1951" s="3" t="str">
        <f>IFERROR(__xludf.DUMMYFUNCTION("""COMPUTED_VALUE"""),"MICROPOLIS LIFESCIENCES PVT LTD")</f>
        <v>MICROPOLIS LIFESCIENCES PVT LTD</v>
      </c>
    </row>
    <row r="1952">
      <c r="H1952" s="3" t="str">
        <f>IFERROR(__xludf.DUMMYFUNCTION("""COMPUTED_VALUE"""),"MICROWIN LABORATORIES LTD")</f>
        <v>MICROWIN LABORATORIES LTD</v>
      </c>
    </row>
    <row r="1953">
      <c r="H1953" s="3" t="str">
        <f>IFERROR(__xludf.DUMMYFUNCTION("""COMPUTED_VALUE"""),"Midas Healthcare Ltd")</f>
        <v>Midas Healthcare Ltd</v>
      </c>
    </row>
    <row r="1954">
      <c r="H1954" s="3" t="str">
        <f>IFERROR(__xludf.DUMMYFUNCTION("""COMPUTED_VALUE"""),"MidasCare Pharmaceuticals Pvt Ltd")</f>
        <v>MidasCare Pharmaceuticals Pvt Ltd</v>
      </c>
    </row>
    <row r="1955">
      <c r="H1955" s="3" t="str">
        <f>IFERROR(__xludf.DUMMYFUNCTION("""COMPUTED_VALUE"""),"Millennium Herbal Care")</f>
        <v>Millennium Herbal Care</v>
      </c>
    </row>
    <row r="1956">
      <c r="H1956" s="3" t="str">
        <f>IFERROR(__xludf.DUMMYFUNCTION("""COMPUTED_VALUE"""),"MIRACALUS")</f>
        <v>MIRACALUS</v>
      </c>
    </row>
    <row r="1957">
      <c r="H1957" s="3" t="str">
        <f>IFERROR(__xludf.DUMMYFUNCTION("""COMPUTED_VALUE"""),"MIRACALUS PHARMA PVT LTD")</f>
        <v>MIRACALUS PHARMA PVT LTD</v>
      </c>
    </row>
    <row r="1958">
      <c r="H1958" s="3" t="str">
        <f>IFERROR(__xludf.DUMMYFUNCTION("""COMPUTED_VALUE"""),"MIRCO ( SYNAPSE)")</f>
        <v>MIRCO ( SYNAPSE)</v>
      </c>
    </row>
    <row r="1959">
      <c r="H1959" s="3" t="str">
        <f>IFERROR(__xludf.DUMMYFUNCTION("""COMPUTED_VALUE"""),"MIRCO (CNS)")</f>
        <v>MIRCO (CNS)</v>
      </c>
    </row>
    <row r="1960">
      <c r="H1960" s="3" t="str">
        <f>IFERROR(__xludf.DUMMYFUNCTION("""COMPUTED_VALUE"""),"MIRCO (SYNAPSE)")</f>
        <v>MIRCO (SYNAPSE)</v>
      </c>
    </row>
    <row r="1961">
      <c r="H1961" s="3" t="str">
        <f>IFERROR(__xludf.DUMMYFUNCTION("""COMPUTED_VALUE"""),"MIRIX LABORATORIES")</f>
        <v>MIRIX LABORATORIES</v>
      </c>
    </row>
    <row r="1962">
      <c r="H1962" s="3" t="str">
        <f>IFERROR(__xludf.DUMMYFUNCTION("""COMPUTED_VALUE"""),"MISHA AYURVEDA")</f>
        <v>MISHA AYURVEDA</v>
      </c>
    </row>
    <row r="1963">
      <c r="H1963" s="3" t="str">
        <f>IFERROR(__xludf.DUMMYFUNCTION("""COMPUTED_VALUE"""),"MISSION RESEARCH LAB")</f>
        <v>MISSION RESEARCH LAB</v>
      </c>
    </row>
    <row r="1964">
      <c r="H1964" s="3" t="str">
        <f>IFERROR(__xludf.DUMMYFUNCTION("""COMPUTED_VALUE"""),"MMC HEALTHCARE")</f>
        <v>MMC HEALTHCARE</v>
      </c>
    </row>
    <row r="1965">
      <c r="H1965" s="3" t="str">
        <f>IFERROR(__xludf.DUMMYFUNCTION("""COMPUTED_VALUE"""),"MMG HEALTH CARE")</f>
        <v>MMG HEALTH CARE</v>
      </c>
    </row>
    <row r="1966">
      <c r="H1966" s="3" t="str">
        <f>IFERROR(__xludf.DUMMYFUNCTION("""COMPUTED_VALUE"""),"MODI MUNDI PHARMA (GROVIVA)")</f>
        <v>MODI MUNDI PHARMA (GROVIVA)</v>
      </c>
    </row>
    <row r="1967">
      <c r="H1967" s="3" t="str">
        <f>IFERROR(__xludf.DUMMYFUNCTION("""COMPUTED_VALUE"""),"MODI MUNDI PHARMA (MAXVIDA)")</f>
        <v>MODI MUNDI PHARMA (MAXVIDA)</v>
      </c>
    </row>
    <row r="1968">
      <c r="H1968" s="3" t="str">
        <f>IFERROR(__xludf.DUMMYFUNCTION("""COMPUTED_VALUE"""),"Modi Mundi Pharma Pvt Ltd")</f>
        <v>Modi Mundi Pharma Pvt Ltd</v>
      </c>
    </row>
    <row r="1969">
      <c r="H1969" s="3" t="str">
        <f>IFERROR(__xludf.DUMMYFUNCTION("""COMPUTED_VALUE"""),"MOHAMMEDIA PRODUCTS")</f>
        <v>MOHAMMEDIA PRODUCTS</v>
      </c>
    </row>
    <row r="1970">
      <c r="H1970" s="3" t="str">
        <f>IFERROR(__xludf.DUMMYFUNCTION("""COMPUTED_VALUE"""),"Molekule India Pvt Ltd")</f>
        <v>Molekule India Pvt Ltd</v>
      </c>
    </row>
    <row r="1971">
      <c r="H1971" s="3" t="str">
        <f>IFERROR(__xludf.DUMMYFUNCTION("""COMPUTED_VALUE"""),"MONJI VISHRAM &amp; COMPANY")</f>
        <v>MONJI VISHRAM &amp; COMPANY</v>
      </c>
    </row>
    <row r="1972">
      <c r="H1972" s="3" t="str">
        <f>IFERROR(__xludf.DUMMYFUNCTION("""COMPUTED_VALUE"""),"MONOPHARMA P LTD")</f>
        <v>MONOPHARMA P LTD</v>
      </c>
    </row>
    <row r="1973">
      <c r="H1973" s="3" t="str">
        <f>IFERROR(__xludf.DUMMYFUNCTION("""COMPUTED_VALUE"""),"MONTA REMEDIES")</f>
        <v>MONTA REMEDIES</v>
      </c>
    </row>
    <row r="1974">
      <c r="H1974" s="3" t="str">
        <f>IFERROR(__xludf.DUMMYFUNCTION("""COMPUTED_VALUE"""),"MONTANA REMEDIES")</f>
        <v>MONTANA REMEDIES</v>
      </c>
    </row>
    <row r="1975">
      <c r="H1975" s="3" t="str">
        <f>IFERROR(__xludf.DUMMYFUNCTION("""COMPUTED_VALUE"""),"MOREPEN LABORATORIES (GENERIC)")</f>
        <v>MOREPEN LABORATORIES (GENERIC)</v>
      </c>
    </row>
    <row r="1976">
      <c r="H1976" s="3" t="str">
        <f>IFERROR(__xludf.DUMMYFUNCTION("""COMPUTED_VALUE"""),"Morepen Laboratories Ltd")</f>
        <v>Morepen Laboratories Ltd</v>
      </c>
    </row>
    <row r="1977">
      <c r="H1977" s="3" t="str">
        <f>IFERROR(__xludf.DUMMYFUNCTION("""COMPUTED_VALUE"""),"MORPHUS PHARMACEUTICALS P LTD")</f>
        <v>MORPHUS PHARMACEUTICALS P LTD</v>
      </c>
    </row>
    <row r="1978">
      <c r="H1978" s="3" t="str">
        <f>IFERROR(__xludf.DUMMYFUNCTION("""COMPUTED_VALUE"""),"MORVIN")</f>
        <v>MORVIN</v>
      </c>
    </row>
    <row r="1979">
      <c r="H1979" s="3" t="str">
        <f>IFERROR(__xludf.DUMMYFUNCTION("""COMPUTED_VALUE"""),"MORWIN BIOPHARMA")</f>
        <v>MORWIN BIOPHARMA</v>
      </c>
    </row>
    <row r="1980">
      <c r="H1980" s="3" t="str">
        <f>IFERROR(__xludf.DUMMYFUNCTION("""COMPUTED_VALUE"""),"Mova Pharmaceutical Pvt Ltd")</f>
        <v>Mova Pharmaceutical Pvt Ltd</v>
      </c>
    </row>
    <row r="1981">
      <c r="H1981" s="3" t="str">
        <f>IFERROR(__xludf.DUMMYFUNCTION("""COMPUTED_VALUE"""),"MOVEO PHARMA")</f>
        <v>MOVEO PHARMA</v>
      </c>
    </row>
    <row r="1982">
      <c r="H1982" s="3" t="str">
        <f>IFERROR(__xludf.DUMMYFUNCTION("""COMPUTED_VALUE"""),"MP PHARMA")</f>
        <v>MP PHARMA</v>
      </c>
    </row>
    <row r="1983">
      <c r="H1983" s="3" t="str">
        <f>IFERROR(__xludf.DUMMYFUNCTION("""COMPUTED_VALUE"""),"MRG LABORATORIES")</f>
        <v>MRG LABORATORIES</v>
      </c>
    </row>
    <row r="1984">
      <c r="H1984" s="3" t="str">
        <f>IFERROR(__xludf.DUMMYFUNCTION("""COMPUTED_VALUE"""),"MRHM PHARMACEUTICALS PVT LTD")</f>
        <v>MRHM PHARMACEUTICALS PVT LTD</v>
      </c>
    </row>
    <row r="1985">
      <c r="H1985" s="3" t="str">
        <f>IFERROR(__xludf.DUMMYFUNCTION("""COMPUTED_VALUE"""),"MSD (FULFORD)")</f>
        <v>MSD (FULFORD)</v>
      </c>
    </row>
    <row r="1986">
      <c r="H1986" s="3" t="str">
        <f>IFERROR(__xludf.DUMMYFUNCTION("""COMPUTED_VALUE"""),"MSD (META)")</f>
        <v>MSD (META)</v>
      </c>
    </row>
    <row r="1987">
      <c r="H1987" s="3" t="str">
        <f>IFERROR(__xludf.DUMMYFUNCTION("""COMPUTED_VALUE"""),"MSD (ORGANON)")</f>
        <v>MSD (ORGANON)</v>
      </c>
    </row>
    <row r="1988">
      <c r="H1988" s="3" t="str">
        <f>IFERROR(__xludf.DUMMYFUNCTION("""COMPUTED_VALUE"""),"MSD Pharmaceuticals")</f>
        <v>MSD Pharmaceuticals</v>
      </c>
    </row>
    <row r="1989">
      <c r="H1989" s="3" t="str">
        <f>IFERROR(__xludf.DUMMYFUNCTION("""COMPUTED_VALUE"""),"MSN (CARDIAC)")</f>
        <v>MSN (CARDIAC)</v>
      </c>
    </row>
    <row r="1990">
      <c r="H1990" s="3" t="str">
        <f>IFERROR(__xludf.DUMMYFUNCTION("""COMPUTED_VALUE"""),"MSN (CNS)")</f>
        <v>MSN (CNS)</v>
      </c>
    </row>
    <row r="1991">
      <c r="H1991" s="3" t="str">
        <f>IFERROR(__xludf.DUMMYFUNCTION("""COMPUTED_VALUE"""),"MSN (CV 2)")</f>
        <v>MSN (CV 2)</v>
      </c>
    </row>
    <row r="1992">
      <c r="H1992" s="3" t="str">
        <f>IFERROR(__xludf.DUMMYFUNCTION("""COMPUTED_VALUE"""),"MSN (NEPHRO)")</f>
        <v>MSN (NEPHRO)</v>
      </c>
    </row>
    <row r="1993">
      <c r="H1993" s="3" t="str">
        <f>IFERROR(__xludf.DUMMYFUNCTION("""COMPUTED_VALUE"""),"MSN (URO)")</f>
        <v>MSN (URO)</v>
      </c>
    </row>
    <row r="1994">
      <c r="H1994" s="3" t="str">
        <f>IFERROR(__xludf.DUMMYFUNCTION("""COMPUTED_VALUE"""),"MSN Laboratories")</f>
        <v>MSN Laboratories</v>
      </c>
    </row>
    <row r="1995">
      <c r="H1995" s="3" t="str">
        <f>IFERROR(__xludf.DUMMYFUNCTION("""COMPUTED_VALUE"""),"MU AMRELIA")</f>
        <v>MU AMRELIA</v>
      </c>
    </row>
    <row r="1996">
      <c r="H1996" s="3" t="str">
        <f>IFERROR(__xludf.DUMMYFUNCTION("""COMPUTED_VALUE"""),"MUCOS PHARMA(INDIA)PVT LTD")</f>
        <v>MUCOS PHARMA(INDIA)PVT LTD</v>
      </c>
    </row>
    <row r="1997">
      <c r="H1997" s="3" t="str">
        <f>IFERROR(__xludf.DUMMYFUNCTION("""COMPUTED_VALUE"""),"MULLER &amp; PHIPPS LTD")</f>
        <v>MULLER &amp; PHIPPS LTD</v>
      </c>
    </row>
    <row r="1998">
      <c r="H1998" s="3" t="str">
        <f>IFERROR(__xludf.DUMMYFUNCTION("""COMPUTED_VALUE"""),"MULTANI PHARMACEUTICALS")</f>
        <v>MULTANI PHARMACEUTICALS</v>
      </c>
    </row>
    <row r="1999">
      <c r="H1999" s="3" t="str">
        <f>IFERROR(__xludf.DUMMYFUNCTION("""COMPUTED_VALUE"""),"MULTI FOCAL")</f>
        <v>MULTI FOCAL</v>
      </c>
    </row>
    <row r="2000">
      <c r="H2000" s="3" t="str">
        <f>IFERROR(__xludf.DUMMYFUNCTION("""COMPUTED_VALUE"""),"MUNIMJI &amp;SONS")</f>
        <v>MUNIMJI &amp;SONS</v>
      </c>
    </row>
    <row r="2001">
      <c r="H2001" s="3" t="str">
        <f>IFERROR(__xludf.DUMMYFUNCTION("""COMPUTED_VALUE"""),"MUSHROOM WORLD AYURVED&amp; FOOD")</f>
        <v>MUSHROOM WORLD AYURVED&amp; FOOD</v>
      </c>
    </row>
    <row r="2002">
      <c r="H2002" s="3" t="str">
        <f>IFERROR(__xludf.DUMMYFUNCTION("""COMPUTED_VALUE"""),"MV ENTERPRISES")</f>
        <v>MV ENTERPRISES</v>
      </c>
    </row>
    <row r="2003">
      <c r="H2003" s="3" t="str">
        <f>IFERROR(__xludf.DUMMYFUNCTION("""COMPUTED_VALUE"""),"MYCORION PHARMACEUTICAL")</f>
        <v>MYCORION PHARMACEUTICAL</v>
      </c>
    </row>
    <row r="2004">
      <c r="H2004" s="3" t="str">
        <f>IFERROR(__xludf.DUMMYFUNCTION("""COMPUTED_VALUE"""),"MYLAN PHARMA")</f>
        <v>MYLAN PHARMA</v>
      </c>
    </row>
    <row r="2005">
      <c r="H2005" s="3" t="str">
        <f>IFERROR(__xludf.DUMMYFUNCTION("""COMPUTED_VALUE"""),"NAGARJUN PHARMA")</f>
        <v>NAGARJUN PHARMA</v>
      </c>
    </row>
    <row r="2006">
      <c r="H2006" s="3" t="str">
        <f>IFERROR(__xludf.DUMMYFUNCTION("""COMPUTED_VALUE"""),"NAGARJUNA HERBAL CONCENTRATES")</f>
        <v>NAGARJUNA HERBAL CONCENTRATES</v>
      </c>
    </row>
    <row r="2007">
      <c r="H2007" s="3" t="str">
        <f>IFERROR(__xludf.DUMMYFUNCTION("""COMPUTED_VALUE"""),"NAMAN INDIA")</f>
        <v>NAMAN INDIA</v>
      </c>
    </row>
    <row r="2008">
      <c r="H2008" s="3" t="str">
        <f>IFERROR(__xludf.DUMMYFUNCTION("""COMPUTED_VALUE"""),"NAMCARE BIOTECH LLP")</f>
        <v>NAMCARE BIOTECH LLP</v>
      </c>
    </row>
    <row r="2009">
      <c r="H2009" s="3" t="str">
        <f>IFERROR(__xludf.DUMMYFUNCTION("""COMPUTED_VALUE"""),"NANDADEVI FOOTCARE LTD.")</f>
        <v>NANDADEVI FOOTCARE LTD.</v>
      </c>
    </row>
    <row r="2010">
      <c r="H2010" s="3" t="str">
        <f>IFERROR(__xludf.DUMMYFUNCTION("""COMPUTED_VALUE"""),"NANDEVI FOOT CARE LTD.")</f>
        <v>NANDEVI FOOT CARE LTD.</v>
      </c>
    </row>
    <row r="2011">
      <c r="H2011" s="3" t="str">
        <f>IFERROR(__xludf.DUMMYFUNCTION("""COMPUTED_VALUE"""),"NANO PHARMACEUTICALS")</f>
        <v>NANO PHARMACEUTICALS</v>
      </c>
    </row>
    <row r="2012">
      <c r="H2012" s="3" t="str">
        <f>IFERROR(__xludf.DUMMYFUNCTION("""COMPUTED_VALUE"""),"NANZ MED SCIENCE PHARMA PV")</f>
        <v>NANZ MED SCIENCE PHARMA PV</v>
      </c>
    </row>
    <row r="2013">
      <c r="H2013" s="3" t="str">
        <f>IFERROR(__xludf.DUMMYFUNCTION("""COMPUTED_VALUE"""),"NAR NARAYAN AYURVEDIC PHARMACY")</f>
        <v>NAR NARAYAN AYURVEDIC PHARMACY</v>
      </c>
    </row>
    <row r="2014">
      <c r="H2014" s="3" t="str">
        <f>IFERROR(__xludf.DUMMYFUNCTION("""COMPUTED_VALUE"""),"NASEBERRY LABORATORIES")</f>
        <v>NASEBERRY LABORATORIES</v>
      </c>
    </row>
    <row r="2015">
      <c r="H2015" s="3" t="str">
        <f>IFERROR(__xludf.DUMMYFUNCTION("""COMPUTED_VALUE"""),"Natco Pharma Ltd")</f>
        <v>Natco Pharma Ltd</v>
      </c>
    </row>
    <row r="2016">
      <c r="H2016" s="3" t="str">
        <f>IFERROR(__xludf.DUMMYFUNCTION("""COMPUTED_VALUE"""),"Natco Pharma Ltd (CND DIVISION)")</f>
        <v>Natco Pharma Ltd (CND DIVISION)</v>
      </c>
    </row>
    <row r="2017">
      <c r="H2017" s="3" t="str">
        <f>IFERROR(__xludf.DUMMYFUNCTION("""COMPUTED_VALUE"""),"Natco Pharma Ltd (ONCO DIVISION)")</f>
        <v>Natco Pharma Ltd (ONCO DIVISION)</v>
      </c>
    </row>
    <row r="2018">
      <c r="H2018" s="3" t="str">
        <f>IFERROR(__xludf.DUMMYFUNCTION("""COMPUTED_VALUE"""),"Natco Pharma Ltd (SPL DIVISION)")</f>
        <v>Natco Pharma Ltd (SPL DIVISION)</v>
      </c>
    </row>
    <row r="2019">
      <c r="H2019" s="3" t="str">
        <f>IFERROR(__xludf.DUMMYFUNCTION("""COMPUTED_VALUE"""),"NATIONAL CHEMICAL &amp; PHARMACEUTICAL WORKS")</f>
        <v>NATIONAL CHEMICAL &amp; PHARMACEUTICAL WORKS</v>
      </c>
    </row>
    <row r="2020">
      <c r="H2020" s="3" t="str">
        <f>IFERROR(__xludf.DUMMYFUNCTION("""COMPUTED_VALUE"""),"NATIVE NATURAL HERBAL PRODUCT PVT LTD")</f>
        <v>NATIVE NATURAL HERBAL PRODUCT PVT LTD</v>
      </c>
    </row>
    <row r="2021">
      <c r="H2021" s="3" t="str">
        <f>IFERROR(__xludf.DUMMYFUNCTION("""COMPUTED_VALUE"""),"NATURAL LOOK")</f>
        <v>NATURAL LOOK</v>
      </c>
    </row>
    <row r="2022">
      <c r="H2022" s="3" t="str">
        <f>IFERROR(__xludf.DUMMYFUNCTION("""COMPUTED_VALUE"""),"NATURAL REMEDIS PVT LTD")</f>
        <v>NATURAL REMEDIS PVT LTD</v>
      </c>
    </row>
    <row r="2023">
      <c r="H2023" s="3" t="str">
        <f>IFERROR(__xludf.DUMMYFUNCTION("""COMPUTED_VALUE"""),"NAVIL LABORATORIES PVT LTD")</f>
        <v>NAVIL LABORATORIES PVT LTD</v>
      </c>
    </row>
    <row r="2024">
      <c r="H2024" s="3" t="str">
        <f>IFERROR(__xludf.DUMMYFUNCTION("""COMPUTED_VALUE"""),"NAVIL LABS (LIVAN)")</f>
        <v>NAVIL LABS (LIVAN)</v>
      </c>
    </row>
    <row r="2025">
      <c r="H2025" s="3" t="str">
        <f>IFERROR(__xludf.DUMMYFUNCTION("""COMPUTED_VALUE"""),"NAVKAR")</f>
        <v>NAVKAR</v>
      </c>
    </row>
    <row r="2026">
      <c r="H2026" s="3" t="str">
        <f>IFERROR(__xludf.DUMMYFUNCTION("""COMPUTED_VALUE"""),"Nectar Lifesciences Ltd.")</f>
        <v>Nectar Lifesciences Ltd.</v>
      </c>
    </row>
    <row r="2027">
      <c r="H2027" s="3" t="str">
        <f>IFERROR(__xludf.DUMMYFUNCTION("""COMPUTED_VALUE"""),"NECTAR MEDIPHARMA")</f>
        <v>NECTAR MEDIPHARMA</v>
      </c>
    </row>
    <row r="2028">
      <c r="H2028" s="3" t="str">
        <f>IFERROR(__xludf.DUMMYFUNCTION("""COMPUTED_VALUE"""),"NEISS LABS")</f>
        <v>NEISS LABS</v>
      </c>
    </row>
    <row r="2029">
      <c r="H2029" s="3" t="str">
        <f>IFERROR(__xludf.DUMMYFUNCTION("""COMPUTED_VALUE"""),"NEM LABORATORIES")</f>
        <v>NEM LABORATORIES</v>
      </c>
    </row>
    <row r="2030">
      <c r="H2030" s="3" t="str">
        <f>IFERROR(__xludf.DUMMYFUNCTION("""COMPUTED_VALUE"""),"NEMMY PHARMA")</f>
        <v>NEMMY PHARMA</v>
      </c>
    </row>
    <row r="2031">
      <c r="H2031" s="3" t="str">
        <f>IFERROR(__xludf.DUMMYFUNCTION("""COMPUTED_VALUE"""),"NEMUS PHARMACEUTICALS PVT LTD")</f>
        <v>NEMUS PHARMACEUTICALS PVT LTD</v>
      </c>
    </row>
    <row r="2032">
      <c r="H2032" s="3" t="str">
        <f>IFERROR(__xludf.DUMMYFUNCTION("""COMPUTED_VALUE"""),"Neo Vedic Drug Pharma")</f>
        <v>Neo Vedic Drug Pharma</v>
      </c>
    </row>
    <row r="2033">
      <c r="H2033" s="3" t="str">
        <f>IFERROR(__xludf.DUMMYFUNCTION("""COMPUTED_VALUE"""),"NEOMATRIS PHARMA")</f>
        <v>NEOMATRIS PHARMA</v>
      </c>
    </row>
    <row r="2034">
      <c r="H2034" s="3" t="str">
        <f>IFERROR(__xludf.DUMMYFUNCTION("""COMPUTED_VALUE"""),"Neon Laboratories Ltd")</f>
        <v>Neon Laboratories Ltd</v>
      </c>
    </row>
    <row r="2035">
      <c r="H2035" s="3" t="str">
        <f>IFERROR(__xludf.DUMMYFUNCTION("""COMPUTED_VALUE"""),"Neon Laboratories Ltd (ANESTHESIA)")</f>
        <v>Neon Laboratories Ltd (ANESTHESIA)</v>
      </c>
    </row>
    <row r="2036">
      <c r="H2036" s="3" t="str">
        <f>IFERROR(__xludf.DUMMYFUNCTION("""COMPUTED_VALUE"""),"Neon Laboratories Ltd (CANCER)")</f>
        <v>Neon Laboratories Ltd (CANCER)</v>
      </c>
    </row>
    <row r="2037">
      <c r="H2037" s="3" t="str">
        <f>IFERROR(__xludf.DUMMYFUNCTION("""COMPUTED_VALUE"""),"Neon Laboratories Ltd (CRITICAL CARE)")</f>
        <v>Neon Laboratories Ltd (CRITICAL CARE)</v>
      </c>
    </row>
    <row r="2038">
      <c r="H2038" s="3" t="str">
        <f>IFERROR(__xludf.DUMMYFUNCTION("""COMPUTED_VALUE"""),"Neon Laboratories Ltd (GYNAECOLOGY)")</f>
        <v>Neon Laboratories Ltd (GYNAECOLOGY)</v>
      </c>
    </row>
    <row r="2039">
      <c r="H2039" s="3" t="str">
        <f>IFERROR(__xludf.DUMMYFUNCTION("""COMPUTED_VALUE"""),"Neon Laboratories Ltd (STELLAR)")</f>
        <v>Neon Laboratories Ltd (STELLAR)</v>
      </c>
    </row>
    <row r="2040">
      <c r="H2040" s="3" t="str">
        <f>IFERROR(__xludf.DUMMYFUNCTION("""COMPUTED_VALUE"""),"NEOVAP BIOPHARMACEUTICALS")</f>
        <v>NEOVAP BIOPHARMACEUTICALS</v>
      </c>
    </row>
    <row r="2041">
      <c r="H2041" s="3" t="str">
        <f>IFERROR(__xludf.DUMMYFUNCTION("""COMPUTED_VALUE"""),"NEPHUROCARE PHARMA (NEPHRO)")</f>
        <v>NEPHUROCARE PHARMA (NEPHRO)</v>
      </c>
    </row>
    <row r="2042">
      <c r="H2042" s="3" t="str">
        <f>IFERROR(__xludf.DUMMYFUNCTION("""COMPUTED_VALUE"""),"NEPTUNE LIFE SCIENCE P LTD")</f>
        <v>NEPTUNE LIFE SCIENCE P LTD</v>
      </c>
    </row>
    <row r="2043">
      <c r="H2043" s="3" t="str">
        <f>IFERROR(__xludf.DUMMYFUNCTION("""COMPUTED_VALUE"""),"NERV-ERA LIFESCIENCES")</f>
        <v>NERV-ERA LIFESCIENCES</v>
      </c>
    </row>
    <row r="2044">
      <c r="H2044" s="3" t="str">
        <f>IFERROR(__xludf.DUMMYFUNCTION("""COMPUTED_VALUE"""),"NESTLE INDIA LIMITED")</f>
        <v>NESTLE INDIA LIMITED</v>
      </c>
    </row>
    <row r="2045">
      <c r="H2045" s="3" t="str">
        <f>IFERROR(__xludf.DUMMYFUNCTION("""COMPUTED_VALUE"""),"NETSURF")</f>
        <v>NETSURF</v>
      </c>
    </row>
    <row r="2046">
      <c r="H2046" s="3" t="str">
        <f>IFERROR(__xludf.DUMMYFUNCTION("""COMPUTED_VALUE"""),"NEUCLOX")</f>
        <v>NEUCLOX</v>
      </c>
    </row>
    <row r="2047">
      <c r="H2047" s="3" t="str">
        <f>IFERROR(__xludf.DUMMYFUNCTION("""COMPUTED_VALUE"""),"NEUCURE LIFESCIENCES P. LTD.")</f>
        <v>NEUCURE LIFESCIENCES P. LTD.</v>
      </c>
    </row>
    <row r="2048">
      <c r="H2048" s="3" t="str">
        <f>IFERROR(__xludf.DUMMYFUNCTION("""COMPUTED_VALUE"""),"NEURACLE LIFESCIENCES")</f>
        <v>NEURACLE LIFESCIENCES</v>
      </c>
    </row>
    <row r="2049">
      <c r="H2049" s="3" t="str">
        <f>IFERROR(__xludf.DUMMYFUNCTION("""COMPUTED_VALUE"""),"NEUTECHEALTHCARE PVT")</f>
        <v>NEUTECHEALTHCARE PVT</v>
      </c>
    </row>
    <row r="2050">
      <c r="H2050" s="3" t="str">
        <f>IFERROR(__xludf.DUMMYFUNCTION("""COMPUTED_VALUE"""),"NEW CONCEPT BIOTECH")</f>
        <v>NEW CONCEPT BIOTECH</v>
      </c>
    </row>
    <row r="2051">
      <c r="H2051" s="3" t="str">
        <f>IFERROR(__xludf.DUMMYFUNCTION("""COMPUTED_VALUE"""),"NEW GENERATION LIFE SCIENCES")</f>
        <v>NEW GENERATION LIFE SCIENCES</v>
      </c>
    </row>
    <row r="2052">
      <c r="H2052" s="3" t="str">
        <f>IFERROR(__xludf.DUMMYFUNCTION("""COMPUTED_VALUE"""),"NEW LIFE")</f>
        <v>NEW LIFE</v>
      </c>
    </row>
    <row r="2053">
      <c r="H2053" s="3" t="str">
        <f>IFERROR(__xludf.DUMMYFUNCTION("""COMPUTED_VALUE"""),"NEW MEDICON PHARMA LAB PVT.LTD")</f>
        <v>NEW MEDICON PHARMA LAB PVT.LTD</v>
      </c>
    </row>
    <row r="2054">
      <c r="H2054" s="3" t="str">
        <f>IFERROR(__xludf.DUMMYFUNCTION("""COMPUTED_VALUE"""),"NEW WORLD PHARMA P LTD")</f>
        <v>NEW WORLD PHARMA P LTD</v>
      </c>
    </row>
    <row r="2055">
      <c r="H2055" s="3" t="str">
        <f>IFERROR(__xludf.DUMMYFUNCTION("""COMPUTED_VALUE"""),"NEWTRAMAX HEALTHCARE, SIRMOR")</f>
        <v>NEWTRAMAX HEALTHCARE, SIRMOR</v>
      </c>
    </row>
    <row r="2056">
      <c r="H2056" s="3" t="str">
        <f>IFERROR(__xludf.DUMMYFUNCTION("""COMPUTED_VALUE"""),"NEWWORLD PHARMACEUTICALS P LTD")</f>
        <v>NEWWORLD PHARMACEUTICALS P LTD</v>
      </c>
    </row>
    <row r="2057">
      <c r="H2057" s="3" t="str">
        <f>IFERROR(__xludf.DUMMYFUNCTION("""COMPUTED_VALUE"""),"NEXA HEALTHCARE PVT LTD")</f>
        <v>NEXA HEALTHCARE PVT LTD</v>
      </c>
    </row>
    <row r="2058">
      <c r="H2058" s="3" t="str">
        <f>IFERROR(__xludf.DUMMYFUNCTION("""COMPUTED_VALUE"""),"NEXGEN LIFESCIENCES")</f>
        <v>NEXGEN LIFESCIENCES</v>
      </c>
    </row>
    <row r="2059">
      <c r="H2059" s="3" t="str">
        <f>IFERROR(__xludf.DUMMYFUNCTION("""COMPUTED_VALUE"""),"NEXGEN PHARMA")</f>
        <v>NEXGEN PHARMA</v>
      </c>
    </row>
    <row r="2060">
      <c r="H2060" s="3" t="str">
        <f>IFERROR(__xludf.DUMMYFUNCTION("""COMPUTED_VALUE"""),"NEXINA LIFE SCIENCES")</f>
        <v>NEXINA LIFE SCIENCES</v>
      </c>
    </row>
    <row r="2061">
      <c r="H2061" s="3" t="str">
        <f>IFERROR(__xludf.DUMMYFUNCTION("""COMPUTED_VALUE"""),"NEXKEM PHARMA")</f>
        <v>NEXKEM PHARMA</v>
      </c>
    </row>
    <row r="2062">
      <c r="H2062" s="3" t="str">
        <f>IFERROR(__xludf.DUMMYFUNCTION("""COMPUTED_VALUE"""),"NEXTGEN HEALTHCARE")</f>
        <v>NEXTGEN HEALTHCARE</v>
      </c>
    </row>
    <row r="2063">
      <c r="H2063" s="3" t="str">
        <f>IFERROR(__xludf.DUMMYFUNCTION("""COMPUTED_VALUE"""),"NEXUS PHARMACEUTICALS")</f>
        <v>NEXUS PHARMACEUTICALS</v>
      </c>
    </row>
    <row r="2064">
      <c r="H2064" s="3" t="str">
        <f>IFERROR(__xludf.DUMMYFUNCTION("""COMPUTED_VALUE"""),"NEXWIN PHARMA")</f>
        <v>NEXWIN PHARMA</v>
      </c>
    </row>
    <row r="2065">
      <c r="H2065" s="3" t="str">
        <f>IFERROR(__xludf.DUMMYFUNCTION("""COMPUTED_VALUE"""),"NICIA")</f>
        <v>NICIA</v>
      </c>
    </row>
    <row r="2066">
      <c r="H2066" s="3" t="str">
        <f>IFERROR(__xludf.DUMMYFUNCTION("""COMPUTED_VALUE"""),"NICKS CORPORATION")</f>
        <v>NICKS CORPORATION</v>
      </c>
    </row>
    <row r="2067">
      <c r="H2067" s="3" t="str">
        <f>IFERROR(__xludf.DUMMYFUNCTION("""COMPUTED_VALUE"""),"NIKIR")</f>
        <v>NIKIR</v>
      </c>
    </row>
    <row r="2068">
      <c r="H2068" s="3" t="str">
        <f>IFERROR(__xludf.DUMMYFUNCTION("""COMPUTED_VALUE"""),"NILRISE PHARMACEUTICALS")</f>
        <v>NILRISE PHARMACEUTICALS</v>
      </c>
    </row>
    <row r="2069">
      <c r="H2069" s="3" t="str">
        <f>IFERROR(__xludf.DUMMYFUNCTION("""COMPUTED_VALUE"""),"NINELABS INDIA P LTD")</f>
        <v>NINELABS INDIA P LTD</v>
      </c>
    </row>
    <row r="2070">
      <c r="H2070" s="3" t="str">
        <f>IFERROR(__xludf.DUMMYFUNCTION("""COMPUTED_VALUE"""),"NIPM SURGICALS")</f>
        <v>NIPM SURGICALS</v>
      </c>
    </row>
    <row r="2071">
      <c r="H2071" s="3" t="str">
        <f>IFERROR(__xludf.DUMMYFUNCTION("""COMPUTED_VALUE"""),"NIPPON SEIYAKU")</f>
        <v>NIPPON SEIYAKU</v>
      </c>
    </row>
    <row r="2072">
      <c r="H2072" s="3" t="str">
        <f>IFERROR(__xludf.DUMMYFUNCTION("""COMPUTED_VALUE"""),"NIPRO")</f>
        <v>NIPRO</v>
      </c>
    </row>
    <row r="2073">
      <c r="H2073" s="3" t="str">
        <f>IFERROR(__xludf.DUMMYFUNCTION("""COMPUTED_VALUE"""),"NIRAMANCE HEALTH CARE")</f>
        <v>NIRAMANCE HEALTH CARE</v>
      </c>
    </row>
    <row r="2074">
      <c r="H2074" s="3" t="str">
        <f>IFERROR(__xludf.DUMMYFUNCTION("""COMPUTED_VALUE"""),"NIRAV HEALTHCARE")</f>
        <v>NIRAV HEALTHCARE</v>
      </c>
    </row>
    <row r="2075">
      <c r="H2075" s="3" t="str">
        <f>IFERROR(__xludf.DUMMYFUNCTION("""COMPUTED_VALUE"""),"NIRIX DERMA")</f>
        <v>NIRIX DERMA</v>
      </c>
    </row>
    <row r="2076">
      <c r="H2076" s="3" t="str">
        <f>IFERROR(__xludf.DUMMYFUNCTION("""COMPUTED_VALUE"""),"NIRLIFE")</f>
        <v>NIRLIFE</v>
      </c>
    </row>
    <row r="2077">
      <c r="H2077" s="3" t="str">
        <f>IFERROR(__xludf.DUMMYFUNCTION("""COMPUTED_VALUE"""),"NIRMA LTD")</f>
        <v>NIRMA LTD</v>
      </c>
    </row>
    <row r="2078">
      <c r="H2078" s="3" t="str">
        <f>IFERROR(__xludf.DUMMYFUNCTION("""COMPUTED_VALUE"""),"NIROG PHARMA")</f>
        <v>NIROG PHARMA</v>
      </c>
    </row>
    <row r="2079">
      <c r="H2079" s="3" t="str">
        <f>IFERROR(__xludf.DUMMYFUNCTION("""COMPUTED_VALUE"""),"NIROWELL HEALTHCARE PVT LTD")</f>
        <v>NIROWELL HEALTHCARE PVT LTD</v>
      </c>
    </row>
    <row r="2080">
      <c r="H2080" s="3" t="str">
        <f>IFERROR(__xludf.DUMMYFUNCTION("""COMPUTED_VALUE"""),"NISHI MEDICOSE (OTHER PRODUCTS)")</f>
        <v>NISHI MEDICOSE (OTHER PRODUCTS)</v>
      </c>
    </row>
    <row r="2081">
      <c r="H2081" s="3" t="str">
        <f>IFERROR(__xludf.DUMMYFUNCTION("""COMPUTED_VALUE"""),"NISHIRA PHARMA")</f>
        <v>NISHIRA PHARMA</v>
      </c>
    </row>
    <row r="2082">
      <c r="H2082" s="3" t="str">
        <f>IFERROR(__xludf.DUMMYFUNCTION("""COMPUTED_VALUE"""),"Nitin Lifesciences Ltd")</f>
        <v>Nitin Lifesciences Ltd</v>
      </c>
    </row>
    <row r="2083">
      <c r="H2083" s="3" t="str">
        <f>IFERROR(__xludf.DUMMYFUNCTION("""COMPUTED_VALUE"""),"NITRO ORGANICES")</f>
        <v>NITRO ORGANICES</v>
      </c>
    </row>
    <row r="2084">
      <c r="H2084" s="3" t="str">
        <f>IFERROR(__xludf.DUMMYFUNCTION("""COMPUTED_VALUE"""),"NIYAMBA PHARMA")</f>
        <v>NIYAMBA PHARMA</v>
      </c>
    </row>
    <row r="2085">
      <c r="H2085" s="3" t="str">
        <f>IFERROR(__xludf.DUMMYFUNCTION("""COMPUTED_VALUE"""),"NOBLE DRUGS PVT.LTD.")</f>
        <v>NOBLE DRUGS PVT.LTD.</v>
      </c>
    </row>
    <row r="2086">
      <c r="H2086" s="3" t="str">
        <f>IFERROR(__xludf.DUMMYFUNCTION("""COMPUTED_VALUE"""),"NOEL PHARMA INDIA PVT LTD")</f>
        <v>NOEL PHARMA INDIA PVT LTD</v>
      </c>
    </row>
    <row r="2087">
      <c r="H2087" s="3" t="str">
        <f>IFERROR(__xludf.DUMMYFUNCTION("""COMPUTED_VALUE"""),"NONI BIOTECH P LTD")</f>
        <v>NONI BIOTECH P LTD</v>
      </c>
    </row>
    <row r="2088">
      <c r="H2088" s="3" t="str">
        <f>IFERROR(__xludf.DUMMYFUNCTION("""COMPUTED_VALUE"""),"NORRIS MEDICINES LTD.")</f>
        <v>NORRIS MEDICINES LTD.</v>
      </c>
    </row>
    <row r="2089">
      <c r="H2089" s="3" t="str">
        <f>IFERROR(__xludf.DUMMYFUNCTION("""COMPUTED_VALUE"""),"NORTIC HEALTHCARE")</f>
        <v>NORTIC HEALTHCARE</v>
      </c>
    </row>
    <row r="2090">
      <c r="H2090" s="3" t="str">
        <f>IFERROR(__xludf.DUMMYFUNCTION("""COMPUTED_VALUE"""),"NOSTRUM REMEDIES")</f>
        <v>NOSTRUM REMEDIES</v>
      </c>
    </row>
    <row r="2091">
      <c r="H2091" s="3" t="str">
        <f>IFERROR(__xludf.DUMMYFUNCTION("""COMPUTED_VALUE"""),"NOT TO BE ADDED")</f>
        <v>NOT TO BE ADDED</v>
      </c>
    </row>
    <row r="2092">
      <c r="H2092" s="3" t="str">
        <f>IFERROR(__xludf.DUMMYFUNCTION("""COMPUTED_VALUE"""),"NOURIER LAB")</f>
        <v>NOURIER LAB</v>
      </c>
    </row>
    <row r="2093">
      <c r="H2093" s="3" t="str">
        <f>IFERROR(__xludf.DUMMYFUNCTION("""COMPUTED_VALUE"""),"Nouveau Medicament Pvt Ltd")</f>
        <v>Nouveau Medicament Pvt Ltd</v>
      </c>
    </row>
    <row r="2094">
      <c r="H2094" s="3" t="str">
        <f>IFERROR(__xludf.DUMMYFUNCTION("""COMPUTED_VALUE"""),"NOVACHEM LAB")</f>
        <v>NOVACHEM LAB</v>
      </c>
    </row>
    <row r="2095">
      <c r="H2095" s="3" t="str">
        <f>IFERROR(__xludf.DUMMYFUNCTION("""COMPUTED_VALUE"""),"NOVACURE HEALTHCARE")</f>
        <v>NOVACURE HEALTHCARE</v>
      </c>
    </row>
    <row r="2096">
      <c r="H2096" s="3" t="str">
        <f>IFERROR(__xludf.DUMMYFUNCTION("""COMPUTED_VALUE"""),"NOVARTIS (BETA)")</f>
        <v>NOVARTIS (BETA)</v>
      </c>
    </row>
    <row r="2097">
      <c r="H2097" s="3" t="str">
        <f>IFERROR(__xludf.DUMMYFUNCTION("""COMPUTED_VALUE"""),"NOVARTIS (CARDIC)")</f>
        <v>NOVARTIS (CARDIC)</v>
      </c>
    </row>
    <row r="2098">
      <c r="H2098" s="3" t="str">
        <f>IFERROR(__xludf.DUMMYFUNCTION("""COMPUTED_VALUE"""),"NOVARTIS (CVM)")</f>
        <v>NOVARTIS (CVM)</v>
      </c>
    </row>
    <row r="2099">
      <c r="H2099" s="3" t="str">
        <f>IFERROR(__xludf.DUMMYFUNCTION("""COMPUTED_VALUE"""),"NOVARTIS (EMBU)")</f>
        <v>NOVARTIS (EMBU)</v>
      </c>
    </row>
    <row r="2100">
      <c r="H2100" s="3" t="str">
        <f>IFERROR(__xludf.DUMMYFUNCTION("""COMPUTED_VALUE"""),"NOVARTIS (GY)")</f>
        <v>NOVARTIS (GY)</v>
      </c>
    </row>
    <row r="2101">
      <c r="H2101" s="3" t="str">
        <f>IFERROR(__xludf.DUMMYFUNCTION("""COMPUTED_VALUE"""),"NOVARTIS (NEURO PSYCHIATRY)")</f>
        <v>NOVARTIS (NEURO PSYCHIATRY)</v>
      </c>
    </row>
    <row r="2102">
      <c r="H2102" s="3" t="str">
        <f>IFERROR(__xludf.DUMMYFUNCTION("""COMPUTED_VALUE"""),"NOVARTIS (PRASAAR)")</f>
        <v>NOVARTIS (PRASAAR)</v>
      </c>
    </row>
    <row r="2103">
      <c r="H2103" s="3" t="str">
        <f>IFERROR(__xludf.DUMMYFUNCTION("""COMPUTED_VALUE"""),"NOVARTIS (SANDOZ)")</f>
        <v>NOVARTIS (SANDOZ)</v>
      </c>
    </row>
    <row r="2104">
      <c r="H2104" s="3" t="str">
        <f>IFERROR(__xludf.DUMMYFUNCTION("""COMPUTED_VALUE"""),"NOVARTIS (TEAM)")</f>
        <v>NOVARTIS (TEAM)</v>
      </c>
    </row>
    <row r="2105">
      <c r="H2105" s="3" t="str">
        <f>IFERROR(__xludf.DUMMYFUNCTION("""COMPUTED_VALUE"""),"NOVARTIS (VACCINE)")</f>
        <v>NOVARTIS (VACCINE)</v>
      </c>
    </row>
    <row r="2106">
      <c r="H2106" s="3" t="str">
        <f>IFERROR(__xludf.DUMMYFUNCTION("""COMPUTED_VALUE"""),"Novartis India Ltd")</f>
        <v>Novartis India Ltd</v>
      </c>
    </row>
    <row r="2107">
      <c r="H2107" s="3" t="str">
        <f>IFERROR(__xludf.DUMMYFUNCTION("""COMPUTED_VALUE"""),"NOVASCOTT (GENERIC)")</f>
        <v>NOVASCOTT (GENERIC)</v>
      </c>
    </row>
    <row r="2108">
      <c r="H2108" s="3" t="str">
        <f>IFERROR(__xludf.DUMMYFUNCTION("""COMPUTED_VALUE"""),"NOVASURE HEALTHCARE")</f>
        <v>NOVASURE HEALTHCARE</v>
      </c>
    </row>
    <row r="2109">
      <c r="H2109" s="3" t="str">
        <f>IFERROR(__xludf.DUMMYFUNCTION("""COMPUTED_VALUE"""),"NOVAZING PHARMA")</f>
        <v>NOVAZING PHARMA</v>
      </c>
    </row>
    <row r="2110">
      <c r="H2110" s="3" t="str">
        <f>IFERROR(__xludf.DUMMYFUNCTION("""COMPUTED_VALUE"""),"NOVELTY HEALTHSHINE")</f>
        <v>NOVELTY HEALTHSHINE</v>
      </c>
    </row>
    <row r="2111">
      <c r="H2111" s="3" t="str">
        <f>IFERROR(__xludf.DUMMYFUNCTION("""COMPUTED_VALUE"""),"NOVIQUE LIFE SCIENCES PVT")</f>
        <v>NOVIQUE LIFE SCIENCES PVT</v>
      </c>
    </row>
    <row r="2112">
      <c r="H2112" s="3" t="str">
        <f>IFERROR(__xludf.DUMMYFUNCTION("""COMPUTED_VALUE"""),"NOVITA HEALTHCARE PVT LTD")</f>
        <v>NOVITA HEALTHCARE PVT LTD</v>
      </c>
    </row>
    <row r="2113">
      <c r="H2113" s="3" t="str">
        <f>IFERROR(__xludf.DUMMYFUNCTION("""COMPUTED_VALUE"""),"NOVITAS HEALTHCARE")</f>
        <v>NOVITAS HEALTHCARE</v>
      </c>
    </row>
    <row r="2114">
      <c r="H2114" s="3" t="str">
        <f>IFERROR(__xludf.DUMMYFUNCTION("""COMPUTED_VALUE"""),"NOVO INDUS PHARMACEUTICALS")</f>
        <v>NOVO INDUS PHARMACEUTICALS</v>
      </c>
    </row>
    <row r="2115">
      <c r="H2115" s="3" t="str">
        <f>IFERROR(__xludf.DUMMYFUNCTION("""COMPUTED_VALUE"""),"NOVO MEDI SCIENCES PVT LTD")</f>
        <v>NOVO MEDI SCIENCES PVT LTD</v>
      </c>
    </row>
    <row r="2116">
      <c r="H2116" s="3" t="str">
        <f>IFERROR(__xludf.DUMMYFUNCTION("""COMPUTED_VALUE"""),"Novo Nordisk India Pvt Ltd")</f>
        <v>Novo Nordisk India Pvt Ltd</v>
      </c>
    </row>
    <row r="2117">
      <c r="H2117" s="3" t="str">
        <f>IFERROR(__xludf.DUMMYFUNCTION("""COMPUTED_VALUE"""),"NOVOGEN CAPTAB")</f>
        <v>NOVOGEN CAPTAB</v>
      </c>
    </row>
    <row r="2118">
      <c r="H2118" s="3" t="str">
        <f>IFERROR(__xludf.DUMMYFUNCTION("""COMPUTED_VALUE"""),"NOVOSAVIOR")</f>
        <v>NOVOSAVIOR</v>
      </c>
    </row>
    <row r="2119">
      <c r="H2119" s="3" t="str">
        <f>IFERROR(__xludf.DUMMYFUNCTION("""COMPUTED_VALUE"""),"NOVUS BIOLOGICALS LLC")</f>
        <v>NOVUS BIOLOGICALS LLC</v>
      </c>
    </row>
    <row r="2120">
      <c r="H2120" s="3" t="str">
        <f>IFERROR(__xludf.DUMMYFUNCTION("""COMPUTED_VALUE"""),"NUKIND HEALTHCARE PVT LTD")</f>
        <v>NUKIND HEALTHCARE PVT LTD</v>
      </c>
    </row>
    <row r="2121">
      <c r="H2121" s="3" t="str">
        <f>IFERROR(__xludf.DUMMYFUNCTION("""COMPUTED_VALUE"""),"NuLife Pharmaceuticals")</f>
        <v>NuLife Pharmaceuticals</v>
      </c>
    </row>
    <row r="2122">
      <c r="H2122" s="3" t="str">
        <f>IFERROR(__xludf.DUMMYFUNCTION("""COMPUTED_VALUE"""),"NUMAC HEALTHCARE PVT LTD")</f>
        <v>NUMAC HEALTHCARE PVT LTD</v>
      </c>
    </row>
    <row r="2123">
      <c r="H2123" s="3" t="str">
        <f>IFERROR(__xludf.DUMMYFUNCTION("""COMPUTED_VALUE"""),"NUTRA WELLNESS")</f>
        <v>NUTRA WELLNESS</v>
      </c>
    </row>
    <row r="2124">
      <c r="H2124" s="3" t="str">
        <f>IFERROR(__xludf.DUMMYFUNCTION("""COMPUTED_VALUE"""),"NUTRACARE NUTRITION")</f>
        <v>NUTRACARE NUTRITION</v>
      </c>
    </row>
    <row r="2125">
      <c r="H2125" s="3" t="str">
        <f>IFERROR(__xludf.DUMMYFUNCTION("""COMPUTED_VALUE"""),"NUTRAMEDICA INC.")</f>
        <v>NUTRAMEDICA INC.</v>
      </c>
    </row>
    <row r="2126">
      <c r="H2126" s="3" t="str">
        <f>IFERROR(__xludf.DUMMYFUNCTION("""COMPUTED_VALUE"""),"Nutricia International Pvt Ltd")</f>
        <v>Nutricia International Pvt Ltd</v>
      </c>
    </row>
    <row r="2127">
      <c r="H2127" s="3" t="str">
        <f>IFERROR(__xludf.DUMMYFUNCTION("""COMPUTED_VALUE"""),"NUTRINO HEALTH CARE")</f>
        <v>NUTRINO HEALTH CARE</v>
      </c>
    </row>
    <row r="2128">
      <c r="H2128" s="3" t="str">
        <f>IFERROR(__xludf.DUMMYFUNCTION("""COMPUTED_VALUE"""),"NUTRISROT")</f>
        <v>NUTRISROT</v>
      </c>
    </row>
    <row r="2129">
      <c r="H2129" s="3" t="str">
        <f>IFERROR(__xludf.DUMMYFUNCTION("""COMPUTED_VALUE"""),"NV Lifecare Pvt. Ltd.")</f>
        <v>NV Lifecare Pvt. Ltd.</v>
      </c>
    </row>
    <row r="2130">
      <c r="H2130" s="3" t="str">
        <f>IFERROR(__xludf.DUMMYFUNCTION("""COMPUTED_VALUE"""),"OAKNET HEALTHCARE PVT LTD")</f>
        <v>OAKNET HEALTHCARE PVT LTD</v>
      </c>
    </row>
    <row r="2131">
      <c r="H2131" s="3" t="str">
        <f>IFERROR(__xludf.DUMMYFUNCTION("""COMPUTED_VALUE"""),"OAKNET HEALTHCARE PVT LTD (COSMECARE)")</f>
        <v>OAKNET HEALTHCARE PVT LTD (COSMECARE)</v>
      </c>
    </row>
    <row r="2132">
      <c r="H2132" s="3" t="str">
        <f>IFERROR(__xludf.DUMMYFUNCTION("""COMPUTED_VALUE"""),"OAKNET HEALTHCARE PVT LTD (SKINCARE)")</f>
        <v>OAKNET HEALTHCARE PVT LTD (SKINCARE)</v>
      </c>
    </row>
    <row r="2133">
      <c r="H2133" s="3" t="str">
        <f>IFERROR(__xludf.DUMMYFUNCTION("""COMPUTED_VALUE"""),"OAKNET LIFESCIENCES PVT LTD")</f>
        <v>OAKNET LIFESCIENCES PVT LTD</v>
      </c>
    </row>
    <row r="2134">
      <c r="H2134" s="3" t="str">
        <f>IFERROR(__xludf.DUMMYFUNCTION("""COMPUTED_VALUE"""),"OATH HEALTHCARE")</f>
        <v>OATH HEALTHCARE</v>
      </c>
    </row>
    <row r="2135">
      <c r="H2135" s="3" t="str">
        <f>IFERROR(__xludf.DUMMYFUNCTION("""COMPUTED_VALUE"""),"OBERLIN HEALTHCARE")</f>
        <v>OBERLIN HEALTHCARE</v>
      </c>
    </row>
    <row r="2136">
      <c r="H2136" s="3" t="str">
        <f>IFERROR(__xludf.DUMMYFUNCTION("""COMPUTED_VALUE"""),"OCEAN CARE")</f>
        <v>OCEAN CARE</v>
      </c>
    </row>
    <row r="2137">
      <c r="H2137" s="3" t="str">
        <f>IFERROR(__xludf.DUMMYFUNCTION("""COMPUTED_VALUE"""),"OCEAN FORMULATIONS")</f>
        <v>OCEAN FORMULATIONS</v>
      </c>
    </row>
    <row r="2138">
      <c r="H2138" s="3" t="str">
        <f>IFERROR(__xludf.DUMMYFUNCTION("""COMPUTED_VALUE"""),"OCEAN HERBAL &amp; LIFECARE")</f>
        <v>OCEAN HERBAL &amp; LIFECARE</v>
      </c>
    </row>
    <row r="2139">
      <c r="H2139" s="3" t="str">
        <f>IFERROR(__xludf.DUMMYFUNCTION("""COMPUTED_VALUE"""),"OCEAN OPHTHALMICS")</f>
        <v>OCEAN OPHTHALMICS</v>
      </c>
    </row>
    <row r="2140">
      <c r="H2140" s="3" t="str">
        <f>IFERROR(__xludf.DUMMYFUNCTION("""COMPUTED_VALUE"""),"OCHOA LABORATORIES")</f>
        <v>OCHOA LABORATORIES</v>
      </c>
    </row>
    <row r="2141">
      <c r="H2141" s="3" t="str">
        <f>IFERROR(__xludf.DUMMYFUNCTION("""COMPUTED_VALUE"""),"OCTALIFE PHARMA")</f>
        <v>OCTALIFE PHARMA</v>
      </c>
    </row>
    <row r="2142">
      <c r="H2142" s="3" t="str">
        <f>IFERROR(__xludf.DUMMYFUNCTION("""COMPUTED_VALUE"""),"OJAL LIFESCIENCES P LTD")</f>
        <v>OJAL LIFESCIENCES P LTD</v>
      </c>
    </row>
    <row r="2143">
      <c r="H2143" s="3" t="str">
        <f>IFERROR(__xludf.DUMMYFUNCTION("""COMPUTED_VALUE"""),"OJAL PHARMACEUTICAL PVT LTD")</f>
        <v>OJAL PHARMACEUTICAL PVT LTD</v>
      </c>
    </row>
    <row r="2144">
      <c r="H2144" s="3" t="str">
        <f>IFERROR(__xludf.DUMMYFUNCTION("""COMPUTED_VALUE"""),"OJAL PHARMACEUTICALS")</f>
        <v>OJAL PHARMACEUTICALS</v>
      </c>
    </row>
    <row r="2145">
      <c r="H2145" s="3" t="str">
        <f>IFERROR(__xludf.DUMMYFUNCTION("""COMPUTED_VALUE"""),"OJAS HUMAN SCIENCES INDIA PVT LTD")</f>
        <v>OJAS HUMAN SCIENCES INDIA PVT LTD</v>
      </c>
    </row>
    <row r="2146">
      <c r="H2146" s="3" t="str">
        <f>IFERROR(__xludf.DUMMYFUNCTION("""COMPUTED_VALUE"""),"OLAMIC HEALTH CARE")</f>
        <v>OLAMIC HEALTH CARE</v>
      </c>
    </row>
    <row r="2147">
      <c r="H2147" s="3" t="str">
        <f>IFERROR(__xludf.DUMMYFUNCTION("""COMPUTED_VALUE"""),"OLAMIC HEALTHCARE")</f>
        <v>OLAMIC HEALTHCARE</v>
      </c>
    </row>
    <row r="2148">
      <c r="H2148" s="3" t="str">
        <f>IFERROR(__xludf.DUMMYFUNCTION("""COMPUTED_VALUE"""),"OLCARE LABORATORIES")</f>
        <v>OLCARE LABORATORIES</v>
      </c>
    </row>
    <row r="2149">
      <c r="H2149" s="3" t="str">
        <f>IFERROR(__xludf.DUMMYFUNCTION("""COMPUTED_VALUE"""),"OLCARE LABORATORIES PVT LTD")</f>
        <v>OLCARE LABORATORIES PVT LTD</v>
      </c>
    </row>
    <row r="2150">
      <c r="H2150" s="3" t="str">
        <f>IFERROR(__xludf.DUMMYFUNCTION("""COMPUTED_VALUE"""),"OLWEN LIFESCIENCES PVT LTD")</f>
        <v>OLWEN LIFESCIENCES PVT LTD</v>
      </c>
    </row>
    <row r="2151">
      <c r="H2151" s="3" t="str">
        <f>IFERROR(__xludf.DUMMYFUNCTION("""COMPUTED_VALUE"""),"OLYMPUS CONTROL")</f>
        <v>OLYMPUS CONTROL</v>
      </c>
    </row>
    <row r="2152">
      <c r="H2152" s="3" t="str">
        <f>IFERROR(__xludf.DUMMYFUNCTION("""COMPUTED_VALUE"""),"OM S INTERNATIONAL P LTD")</f>
        <v>OM S INTERNATIONAL P LTD</v>
      </c>
    </row>
    <row r="2153">
      <c r="H2153" s="3" t="str">
        <f>IFERROR(__xludf.DUMMYFUNCTION("""COMPUTED_VALUE"""),"OMCURE BIOTECH")</f>
        <v>OMCURE BIOTECH</v>
      </c>
    </row>
    <row r="2154">
      <c r="H2154" s="3" t="str">
        <f>IFERROR(__xludf.DUMMYFUNCTION("""COMPUTED_VALUE"""),"ON&amp;ON")</f>
        <v>ON&amp;ON</v>
      </c>
    </row>
    <row r="2155">
      <c r="H2155" s="3" t="str">
        <f>IFERROR(__xludf.DUMMYFUNCTION("""COMPUTED_VALUE"""),"ONCARE LIFE SCIENSES")</f>
        <v>ONCARE LIFE SCIENSES</v>
      </c>
    </row>
    <row r="2156">
      <c r="H2156" s="3" t="str">
        <f>IFERROR(__xludf.DUMMYFUNCTION("""COMPUTED_VALUE"""),"ONCOBIOTEK DRUG PVT.LTD")</f>
        <v>ONCOBIOTEK DRUG PVT.LTD</v>
      </c>
    </row>
    <row r="2157">
      <c r="H2157" s="3" t="str">
        <f>IFERROR(__xludf.DUMMYFUNCTION("""COMPUTED_VALUE"""),"ONESTEP HEALTHCARE")</f>
        <v>ONESTEP HEALTHCARE</v>
      </c>
    </row>
    <row r="2158">
      <c r="H2158" s="3" t="str">
        <f>IFERROR(__xludf.DUMMYFUNCTION("""COMPUTED_VALUE"""),"ONEX")</f>
        <v>ONEX</v>
      </c>
    </row>
    <row r="2159">
      <c r="H2159" s="3" t="str">
        <f>IFERROR(__xludf.DUMMYFUNCTION("""COMPUTED_VALUE"""),"ONEX (GINPAX)")</f>
        <v>ONEX (GINPAX)</v>
      </c>
    </row>
    <row r="2160">
      <c r="H2160" s="3" t="str">
        <f>IFERROR(__xludf.DUMMYFUNCTION("""COMPUTED_VALUE"""),"ONIDA HEALTHCARE")</f>
        <v>ONIDA HEALTHCARE</v>
      </c>
    </row>
    <row r="2161">
      <c r="H2161" s="3" t="str">
        <f>IFERROR(__xludf.DUMMYFUNCTION("""COMPUTED_VALUE"""),"OPTHAL REMEDIES PVT LTD")</f>
        <v>OPTHAL REMEDIES PVT LTD</v>
      </c>
    </row>
    <row r="2162">
      <c r="H2162" s="3" t="str">
        <f>IFERROR(__xludf.DUMMYFUNCTION("""COMPUTED_VALUE"""),"OPTHO REMEDIES (LIFE SCIENCES)")</f>
        <v>OPTHO REMEDIES (LIFE SCIENCES)</v>
      </c>
    </row>
    <row r="2163">
      <c r="H2163" s="3" t="str">
        <f>IFERROR(__xludf.DUMMYFUNCTION("""COMPUTED_VALUE"""),"Optho Remedies Pvt Ltd")</f>
        <v>Optho Remedies Pvt Ltd</v>
      </c>
    </row>
    <row r="2164">
      <c r="H2164" s="3" t="str">
        <f>IFERROR(__xludf.DUMMYFUNCTION("""COMPUTED_VALUE"""),"OPTIDERMA SKINCARE")</f>
        <v>OPTIDERMA SKINCARE</v>
      </c>
    </row>
    <row r="2165">
      <c r="H2165" s="3" t="str">
        <f>IFERROR(__xludf.DUMMYFUNCTION("""COMPUTED_VALUE"""),"OPTIGMA HEALTHCARE P LTD")</f>
        <v>OPTIGMA HEALTHCARE P LTD</v>
      </c>
    </row>
    <row r="2166">
      <c r="H2166" s="3" t="str">
        <f>IFERROR(__xludf.DUMMYFUNCTION("""COMPUTED_VALUE"""),"OPTIM HEALTH")</f>
        <v>OPTIM HEALTH</v>
      </c>
    </row>
    <row r="2167">
      <c r="H2167" s="3" t="str">
        <f>IFERROR(__xludf.DUMMYFUNCTION("""COMPUTED_VALUE"""),"OPTIMA HEALTHCARE")</f>
        <v>OPTIMA HEALTHCARE</v>
      </c>
    </row>
    <row r="2168">
      <c r="H2168" s="3" t="str">
        <f>IFERROR(__xludf.DUMMYFUNCTION("""COMPUTED_VALUE"""),"OPTIMA LENS")</f>
        <v>OPTIMA LENS</v>
      </c>
    </row>
    <row r="2169">
      <c r="H2169" s="3" t="str">
        <f>IFERROR(__xludf.DUMMYFUNCTION("""COMPUTED_VALUE"""),"ORAGYN CURIS P LTD")</f>
        <v>ORAGYN CURIS P LTD</v>
      </c>
    </row>
    <row r="2170">
      <c r="H2170" s="3" t="str">
        <f>IFERROR(__xludf.DUMMYFUNCTION("""COMPUTED_VALUE"""),"ORAMA LIFESCIENCES")</f>
        <v>ORAMA LIFESCIENCES</v>
      </c>
    </row>
    <row r="2171">
      <c r="H2171" s="3" t="str">
        <f>IFERROR(__xludf.DUMMYFUNCTION("""COMPUTED_VALUE"""),"ORANGE BIOTECH PVT LTD")</f>
        <v>ORANGE BIOTECH PVT LTD</v>
      </c>
    </row>
    <row r="2172">
      <c r="H2172" s="3" t="str">
        <f>IFERROR(__xludf.DUMMYFUNCTION("""COMPUTED_VALUE"""),"ORANGE RESEARCH LABS")</f>
        <v>ORANGE RESEARCH LABS</v>
      </c>
    </row>
    <row r="2173">
      <c r="H2173" s="3" t="str">
        <f>IFERROR(__xludf.DUMMYFUNCTION("""COMPUTED_VALUE"""),"Orchid Chemicals &amp; Pharmaceuticals Ltd")</f>
        <v>Orchid Chemicals &amp; Pharmaceuticals Ltd</v>
      </c>
    </row>
    <row r="2174">
      <c r="H2174" s="3" t="str">
        <f>IFERROR(__xludf.DUMMYFUNCTION("""COMPUTED_VALUE"""),"ORCO LIFESCIENCES")</f>
        <v>ORCO LIFESCIENCES</v>
      </c>
    </row>
    <row r="2175">
      <c r="H2175" s="3" t="str">
        <f>IFERROR(__xludf.DUMMYFUNCTION("""COMPUTED_VALUE"""),"Ordain Health Care Global Pvt Ltd")</f>
        <v>Ordain Health Care Global Pvt Ltd</v>
      </c>
    </row>
    <row r="2176">
      <c r="H2176" s="3" t="str">
        <f>IFERROR(__xludf.DUMMYFUNCTION("""COMPUTED_VALUE"""),"ORDAIN HEALTHCARE (ESPERZ)")</f>
        <v>ORDAIN HEALTHCARE (ESPERZ)</v>
      </c>
    </row>
    <row r="2177">
      <c r="H2177" s="3" t="str">
        <f>IFERROR(__xludf.DUMMYFUNCTION("""COMPUTED_VALUE"""),"ORDAIN HEALTHCARE (ESPRITZ)")</f>
        <v>ORDAIN HEALTHCARE (ESPRITZ)</v>
      </c>
    </row>
    <row r="2178">
      <c r="H2178" s="3" t="str">
        <f>IFERROR(__xludf.DUMMYFUNCTION("""COMPUTED_VALUE"""),"ORDAIN HEALTHCARE (INTENZ)")</f>
        <v>ORDAIN HEALTHCARE (INTENZ)</v>
      </c>
    </row>
    <row r="2179">
      <c r="H2179" s="3" t="str">
        <f>IFERROR(__xludf.DUMMYFUNCTION("""COMPUTED_VALUE"""),"ORDAIN HEALTHCARE (PERZISTA)")</f>
        <v>ORDAIN HEALTHCARE (PERZISTA)</v>
      </c>
    </row>
    <row r="2180">
      <c r="H2180" s="3" t="str">
        <f>IFERROR(__xludf.DUMMYFUNCTION("""COMPUTED_VALUE"""),"OREVA DERMACARE")</f>
        <v>OREVA DERMACARE</v>
      </c>
    </row>
    <row r="2181">
      <c r="H2181" s="3" t="str">
        <f>IFERROR(__xludf.DUMMYFUNCTION("""COMPUTED_VALUE"""),"ORGANIC INDIA")</f>
        <v>ORGANIC INDIA</v>
      </c>
    </row>
    <row r="2182">
      <c r="H2182" s="3" t="str">
        <f>IFERROR(__xludf.DUMMYFUNCTION("""COMPUTED_VALUE"""),"ORGANIC LABS PVT LTD")</f>
        <v>ORGANIC LABS PVT LTD</v>
      </c>
    </row>
    <row r="2183">
      <c r="H2183" s="3" t="str">
        <f>IFERROR(__xludf.DUMMYFUNCTION("""COMPUTED_VALUE"""),"Organon (India) Ltd")</f>
        <v>Organon (India) Ltd</v>
      </c>
    </row>
    <row r="2184">
      <c r="H2184" s="3" t="str">
        <f>IFERROR(__xludf.DUMMYFUNCTION("""COMPUTED_VALUE"""),"ORGYN LABS")</f>
        <v>ORGYN LABS</v>
      </c>
    </row>
    <row r="2185">
      <c r="H2185" s="3" t="str">
        <f>IFERROR(__xludf.DUMMYFUNCTION("""COMPUTED_VALUE"""),"ORIENTAL CHEMICALS WORKS")</f>
        <v>ORIENTAL CHEMICALS WORKS</v>
      </c>
    </row>
    <row r="2186">
      <c r="H2186" s="3" t="str">
        <f>IFERROR(__xludf.DUMMYFUNCTION("""COMPUTED_VALUE"""),"ORION PHARMA")</f>
        <v>ORION PHARMA</v>
      </c>
    </row>
    <row r="2187">
      <c r="H2187" s="3" t="str">
        <f>IFERROR(__xludf.DUMMYFUNCTION("""COMPUTED_VALUE"""),"ORISON PHARMA INTERNATIONAL")</f>
        <v>ORISON PHARMA INTERNATIONAL</v>
      </c>
    </row>
    <row r="2188">
      <c r="H2188" s="3" t="str">
        <f>IFERROR(__xludf.DUMMYFUNCTION("""COMPUTED_VALUE"""),"ORIVA NUTRITION")</f>
        <v>ORIVA NUTRITION</v>
      </c>
    </row>
    <row r="2189">
      <c r="H2189" s="3" t="str">
        <f>IFERROR(__xludf.DUMMYFUNCTION("""COMPUTED_VALUE"""),"ORLLYFORD HEALTHCARE")</f>
        <v>ORLLYFORD HEALTHCARE</v>
      </c>
    </row>
    <row r="2190">
      <c r="H2190" s="3" t="str">
        <f>IFERROR(__xludf.DUMMYFUNCTION("""COMPUTED_VALUE"""),"Oscar Remedies")</f>
        <v>Oscar Remedies</v>
      </c>
    </row>
    <row r="2191">
      <c r="H2191" s="3" t="str">
        <f>IFERROR(__xludf.DUMMYFUNCTION("""COMPUTED_VALUE"""),"Oscar Remedies (EVANS Pharma)")</f>
        <v>Oscar Remedies (EVANS Pharma)</v>
      </c>
    </row>
    <row r="2192">
      <c r="H2192" s="3" t="str">
        <f>IFERROR(__xludf.DUMMYFUNCTION("""COMPUTED_VALUE"""),"Oscar Remedies (Indoss Life Sciences)")</f>
        <v>Oscar Remedies (Indoss Life Sciences)</v>
      </c>
    </row>
    <row r="2193">
      <c r="H2193" s="3" t="str">
        <f>IFERROR(__xludf.DUMMYFUNCTION("""COMPUTED_VALUE"""),"Oscar Remedies (MAK Pharmaceuticals)")</f>
        <v>Oscar Remedies (MAK Pharmaceuticals)</v>
      </c>
    </row>
    <row r="2194">
      <c r="H2194" s="3" t="str">
        <f>IFERROR(__xludf.DUMMYFUNCTION("""COMPUTED_VALUE"""),"Oscar Remedies (Next Way India)")</f>
        <v>Oscar Remedies (Next Way India)</v>
      </c>
    </row>
    <row r="2195">
      <c r="H2195" s="3" t="str">
        <f>IFERROR(__xludf.DUMMYFUNCTION("""COMPUTED_VALUE"""),"Oscar Remedies Pvt Ltd")</f>
        <v>Oscar Remedies Pvt Ltd</v>
      </c>
    </row>
    <row r="2196">
      <c r="H2196" s="3" t="str">
        <f>IFERROR(__xludf.DUMMYFUNCTION("""COMPUTED_VALUE"""),"OSMED FORMULATIONS")</f>
        <v>OSMED FORMULATIONS</v>
      </c>
    </row>
    <row r="2197">
      <c r="H2197" s="3" t="str">
        <f>IFERROR(__xludf.DUMMYFUNCTION("""COMPUTED_VALUE"""),"OSPICARE LIFE SCIENCES PVT LTD")</f>
        <v>OSPICARE LIFE SCIENCES PVT LTD</v>
      </c>
    </row>
    <row r="2198">
      <c r="H2198" s="3" t="str">
        <f>IFERROR(__xludf.DUMMYFUNCTION("""COMPUTED_VALUE"""),"OSQUE PHARMA PVT LTD")</f>
        <v>OSQUE PHARMA PVT LTD</v>
      </c>
    </row>
    <row r="2199">
      <c r="H2199" s="3" t="str">
        <f>IFERROR(__xludf.DUMMYFUNCTION("""COMPUTED_VALUE"""),"OTHANTIC (DERMA)")</f>
        <v>OTHANTIC (DERMA)</v>
      </c>
    </row>
    <row r="2200">
      <c r="H2200" s="3" t="str">
        <f>IFERROR(__xludf.DUMMYFUNCTION("""COMPUTED_VALUE"""),"OTHANTIC (KIYOMI)")</f>
        <v>OTHANTIC (KIYOMI)</v>
      </c>
    </row>
    <row r="2201">
      <c r="H2201" s="3" t="str">
        <f>IFERROR(__xludf.DUMMYFUNCTION("""COMPUTED_VALUE"""),"OTSUKA")</f>
        <v>OTSUKA</v>
      </c>
    </row>
    <row r="2202">
      <c r="H2202" s="3" t="str">
        <f>IFERROR(__xludf.DUMMYFUNCTION("""COMPUTED_VALUE"""),"OVAL ORGANICS")</f>
        <v>OVAL ORGANICS</v>
      </c>
    </row>
    <row r="2203">
      <c r="H2203" s="3" t="str">
        <f>IFERROR(__xludf.DUMMYFUNCTION("""COMPUTED_VALUE"""),"Overseas Healthcare Pvt Ltd")</f>
        <v>Overseas Healthcare Pvt Ltd</v>
      </c>
    </row>
    <row r="2204">
      <c r="H2204" s="3" t="str">
        <f>IFERROR(__xludf.DUMMYFUNCTION("""COMPUTED_VALUE"""),"OVERSES HEALTHCARE")</f>
        <v>OVERSES HEALTHCARE</v>
      </c>
    </row>
    <row r="2205">
      <c r="H2205" s="3" t="str">
        <f>IFERROR(__xludf.DUMMYFUNCTION("""COMPUTED_VALUE"""),"OXFORD PHARMA")</f>
        <v>OXFORD PHARMA</v>
      </c>
    </row>
    <row r="2206">
      <c r="H2206" s="3" t="str">
        <f>IFERROR(__xludf.DUMMYFUNCTION("""COMPUTED_VALUE"""),"OZONE (NUCLEUS)")</f>
        <v>OZONE (NUCLEUS)</v>
      </c>
    </row>
    <row r="2207">
      <c r="H2207" s="3" t="str">
        <f>IFERROR(__xludf.DUMMYFUNCTION("""COMPUTED_VALUE"""),"OZONE (PROTON)")</f>
        <v>OZONE (PROTON)</v>
      </c>
    </row>
    <row r="2208">
      <c r="H2208" s="3" t="str">
        <f>IFERROR(__xludf.DUMMYFUNCTION("""COMPUTED_VALUE"""),"OZONE AYURVEDICS")</f>
        <v>OZONE AYURVEDICS</v>
      </c>
    </row>
    <row r="2209">
      <c r="H2209" s="3" t="str">
        <f>IFERROR(__xludf.DUMMYFUNCTION("""COMPUTED_VALUE"""),"OZONE PHARMA CYCONAL")</f>
        <v>OZONE PHARMA CYCONAL</v>
      </c>
    </row>
    <row r="2210">
      <c r="H2210" s="3" t="str">
        <f>IFERROR(__xludf.DUMMYFUNCTION("""COMPUTED_VALUE"""),"Ozone Pharmaceuticals Ltd")</f>
        <v>Ozone Pharmaceuticals Ltd</v>
      </c>
    </row>
    <row r="2211">
      <c r="H2211" s="3" t="str">
        <f>IFERROR(__xludf.DUMMYFUNCTION("""COMPUTED_VALUE"""),"P M RATHOD COMPANY")</f>
        <v>P M RATHOD COMPANY</v>
      </c>
    </row>
    <row r="2212">
      <c r="H2212" s="3" t="str">
        <f>IFERROR(__xludf.DUMMYFUNCTION("""COMPUTED_VALUE"""),"P&amp;B PHARMA")</f>
        <v>P&amp;B PHARMA</v>
      </c>
    </row>
    <row r="2213">
      <c r="H2213" s="3" t="str">
        <f>IFERROR(__xludf.DUMMYFUNCTION("""COMPUTED_VALUE"""),"P&amp;G PHARMA")</f>
        <v>P&amp;G PHARMA</v>
      </c>
    </row>
    <row r="2214">
      <c r="H2214" s="3" t="str">
        <f>IFERROR(__xludf.DUMMYFUNCTION("""COMPUTED_VALUE"""),"PACE PHARMACEUTICALS")</f>
        <v>PACE PHARMACEUTICALS</v>
      </c>
    </row>
    <row r="2215">
      <c r="H2215" s="3" t="str">
        <f>IFERROR(__xludf.DUMMYFUNCTION("""COMPUTED_VALUE"""),"PACIFIC MED.&amp; BIO.")</f>
        <v>PACIFIC MED.&amp; BIO.</v>
      </c>
    </row>
    <row r="2216">
      <c r="H2216" s="3" t="str">
        <f>IFERROR(__xludf.DUMMYFUNCTION("""COMPUTED_VALUE"""),"PACITORA BIOTECH")</f>
        <v>PACITORA BIOTECH</v>
      </c>
    </row>
    <row r="2217">
      <c r="H2217" s="3" t="str">
        <f>IFERROR(__xludf.DUMMYFUNCTION("""COMPUTED_VALUE"""),"PACT INDIA")</f>
        <v>PACT INDIA</v>
      </c>
    </row>
    <row r="2218">
      <c r="H2218" s="3" t="str">
        <f>IFERROR(__xludf.DUMMYFUNCTION("""COMPUTED_VALUE"""),"PAEON PHARMACEUTICALS PVT LTD")</f>
        <v>PAEON PHARMACEUTICALS PVT LTD</v>
      </c>
    </row>
    <row r="2219">
      <c r="H2219" s="3" t="str">
        <f>IFERROR(__xludf.DUMMYFUNCTION("""COMPUTED_VALUE"""),"Paksons Pharmaceuticals P Ltd")</f>
        <v>Paksons Pharmaceuticals P Ltd</v>
      </c>
    </row>
    <row r="2220">
      <c r="H2220" s="3" t="str">
        <f>IFERROR(__xludf.DUMMYFUNCTION("""COMPUTED_VALUE"""),"PALSON DRUG")</f>
        <v>PALSON DRUG</v>
      </c>
    </row>
    <row r="2221">
      <c r="H2221" s="3" t="str">
        <f>IFERROR(__xludf.DUMMYFUNCTION("""COMPUTED_VALUE"""),"Palsons Derma")</f>
        <v>Palsons Derma</v>
      </c>
    </row>
    <row r="2222">
      <c r="H2222" s="3" t="str">
        <f>IFERROR(__xludf.DUMMYFUNCTION("""COMPUTED_VALUE"""),"PANACEA (DIACAR ALPHA)")</f>
        <v>PANACEA (DIACAR ALPHA)</v>
      </c>
    </row>
    <row r="2223">
      <c r="H2223" s="3" t="str">
        <f>IFERROR(__xludf.DUMMYFUNCTION("""COMPUTED_VALUE"""),"PANACEA BIOTEC")</f>
        <v>PANACEA BIOTEC</v>
      </c>
    </row>
    <row r="2224">
      <c r="H2224" s="3" t="str">
        <f>IFERROR(__xludf.DUMMYFUNCTION("""COMPUTED_VALUE"""),"Panacea Biotec Ltd")</f>
        <v>Panacea Biotec Ltd</v>
      </c>
    </row>
    <row r="2225">
      <c r="H2225" s="3" t="str">
        <f>IFERROR(__xludf.DUMMYFUNCTION("""COMPUTED_VALUE"""),"PANCHEM LIFE CARE PVT LTD")</f>
        <v>PANCHEM LIFE CARE PVT LTD</v>
      </c>
    </row>
    <row r="2226">
      <c r="H2226" s="3" t="str">
        <f>IFERROR(__xludf.DUMMYFUNCTION("""COMPUTED_VALUE"""),"PANJON LIMITED")</f>
        <v>PANJON LIMITED</v>
      </c>
    </row>
    <row r="2227">
      <c r="H2227" s="3" t="str">
        <f>IFERROR(__xludf.DUMMYFUNCTION("""COMPUTED_VALUE"""),"PANJON PHARMA")</f>
        <v>PANJON PHARMA</v>
      </c>
    </row>
    <row r="2228">
      <c r="H2228" s="3" t="str">
        <f>IFERROR(__xludf.DUMMYFUNCTION("""COMPUTED_VALUE"""),"PANZER PHARMACEUTICALS")</f>
        <v>PANZER PHARMACEUTICALS</v>
      </c>
    </row>
    <row r="2229">
      <c r="H2229" s="3" t="str">
        <f>IFERROR(__xludf.DUMMYFUNCTION("""COMPUTED_VALUE"""),"PARABOLIC DRUGS LTD")</f>
        <v>PARABOLIC DRUGS LTD</v>
      </c>
    </row>
    <row r="2230">
      <c r="H2230" s="3" t="str">
        <f>IFERROR(__xludf.DUMMYFUNCTION("""COMPUTED_VALUE"""),"Paras Pharmaceuticals Ltd")</f>
        <v>Paras Pharmaceuticals Ltd</v>
      </c>
    </row>
    <row r="2231">
      <c r="H2231" s="3" t="str">
        <f>IFERROR(__xludf.DUMMYFUNCTION("""COMPUTED_VALUE"""),"PARASOL LAB")</f>
        <v>PARASOL LAB</v>
      </c>
    </row>
    <row r="2232">
      <c r="H2232" s="3" t="str">
        <f>IFERROR(__xludf.DUMMYFUNCTION("""COMPUTED_VALUE"""),"Parenteral Drugs (PDPL)")</f>
        <v>Parenteral Drugs (PDPL)</v>
      </c>
    </row>
    <row r="2233">
      <c r="H2233" s="3" t="str">
        <f>IFERROR(__xludf.DUMMYFUNCTION("""COMPUTED_VALUE"""),"PARENTERAL DRUGS INDIA LTD")</f>
        <v>PARENTERAL DRUGS INDIA LTD</v>
      </c>
    </row>
    <row r="2234">
      <c r="H2234" s="3" t="str">
        <f>IFERROR(__xludf.DUMMYFUNCTION("""COMPUTED_VALUE"""),"PARK PHARMA")</f>
        <v>PARK PHARMA</v>
      </c>
    </row>
    <row r="2235">
      <c r="H2235" s="3" t="str">
        <f>IFERROR(__xludf.DUMMYFUNCTION("""COMPUTED_VALUE"""),"PARK PHARMACITUCALS SOLAN")</f>
        <v>PARK PHARMACITUCALS SOLAN</v>
      </c>
    </row>
    <row r="2236">
      <c r="H2236" s="3" t="str">
        <f>IFERROR(__xludf.DUMMYFUNCTION("""COMPUTED_VALUE"""),"PARSH PHARMA NEMANVASA")</f>
        <v>PARSH PHARMA NEMANVASA</v>
      </c>
    </row>
    <row r="2237">
      <c r="H2237" s="3" t="str">
        <f>IFERROR(__xludf.DUMMYFUNCTION("""COMPUTED_VALUE"""),"PARSHWA LIFE SCIENCES")</f>
        <v>PARSHWA LIFE SCIENCES</v>
      </c>
    </row>
    <row r="2238">
      <c r="H2238" s="3" t="str">
        <f>IFERROR(__xludf.DUMMYFUNCTION("""COMPUTED_VALUE"""),"PARTH")</f>
        <v>PARTH</v>
      </c>
    </row>
    <row r="2239">
      <c r="H2239" s="3" t="str">
        <f>IFERROR(__xludf.DUMMYFUNCTION("""COMPUTED_VALUE"""),"PARTH REMEDIES")</f>
        <v>PARTH REMEDIES</v>
      </c>
    </row>
    <row r="2240">
      <c r="H2240" s="3" t="str">
        <f>IFERROR(__xludf.DUMMYFUNCTION("""COMPUTED_VALUE"""),"PARUL")</f>
        <v>PARUL</v>
      </c>
    </row>
    <row r="2241">
      <c r="H2241" s="3" t="str">
        <f>IFERROR(__xludf.DUMMYFUNCTION("""COMPUTED_VALUE"""),"PATANJALI AYURVED LTD")</f>
        <v>PATANJALI AYURVED LTD</v>
      </c>
    </row>
    <row r="2242">
      <c r="H2242" s="3" t="str">
        <f>IFERROR(__xludf.DUMMYFUNCTION("""COMPUTED_VALUE"""),"PATLI DABUR HEALTHCARE")</f>
        <v>PATLI DABUR HEALTHCARE</v>
      </c>
    </row>
    <row r="2243">
      <c r="H2243" s="3" t="str">
        <f>IFERROR(__xludf.DUMMYFUNCTION("""COMPUTED_VALUE"""),"PATSON LABORATORIES")</f>
        <v>PATSON LABORATORIES</v>
      </c>
    </row>
    <row r="2244">
      <c r="H2244" s="3" t="str">
        <f>IFERROR(__xludf.DUMMYFUNCTION("""COMPUTED_VALUE"""),"PCI")</f>
        <v>PCI</v>
      </c>
    </row>
    <row r="2245">
      <c r="H2245" s="3" t="str">
        <f>IFERROR(__xludf.DUMMYFUNCTION("""COMPUTED_VALUE"""),"PEDIACARE BIOTECH")</f>
        <v>PEDIACARE BIOTECH</v>
      </c>
    </row>
    <row r="2246">
      <c r="H2246" s="3" t="str">
        <f>IFERROR(__xludf.DUMMYFUNCTION("""COMPUTED_VALUE"""),"PEDIGREE")</f>
        <v>PEDIGREE</v>
      </c>
    </row>
    <row r="2247">
      <c r="H2247" s="3" t="str">
        <f>IFERROR(__xludf.DUMMYFUNCTION("""COMPUTED_VALUE"""),"PEELIFE PHARMACEUTICAL PVT LTD")</f>
        <v>PEELIFE PHARMACEUTICAL PVT LTD</v>
      </c>
    </row>
    <row r="2248">
      <c r="H2248" s="3" t="str">
        <f>IFERROR(__xludf.DUMMYFUNCTION("""COMPUTED_VALUE"""),"PEHAL LIFE SCIENCE P LTD")</f>
        <v>PEHAL LIFE SCIENCE P LTD</v>
      </c>
    </row>
    <row r="2249">
      <c r="H2249" s="3" t="str">
        <f>IFERROR(__xludf.DUMMYFUNCTION("""COMPUTED_VALUE"""),"PENTA PHARMA")</f>
        <v>PENTA PHARMA</v>
      </c>
    </row>
    <row r="2250">
      <c r="H2250" s="3" t="str">
        <f>IFERROR(__xludf.DUMMYFUNCTION("""COMPUTED_VALUE"""),"PERCEPT PHARMA LTD")</f>
        <v>PERCEPT PHARMA LTD</v>
      </c>
    </row>
    <row r="2251">
      <c r="H2251" s="3" t="str">
        <f>IFERROR(__xludf.DUMMYFUNCTION("""COMPUTED_VALUE"""),"Percos India Pvt Ltd")</f>
        <v>Percos India Pvt Ltd</v>
      </c>
    </row>
    <row r="2252">
      <c r="H2252" s="3" t="str">
        <f>IFERROR(__xludf.DUMMYFUNCTION("""COMPUTED_VALUE"""),"PERILLA LIFE SCIENCE PVT LTD")</f>
        <v>PERILLA LIFE SCIENCE PVT LTD</v>
      </c>
    </row>
    <row r="2253">
      <c r="H2253" s="3" t="str">
        <f>IFERROR(__xludf.DUMMYFUNCTION("""COMPUTED_VALUE"""),"PFIZER (CNS)")</f>
        <v>PFIZER (CNS)</v>
      </c>
    </row>
    <row r="2254">
      <c r="H2254" s="3" t="str">
        <f>IFERROR(__xludf.DUMMYFUNCTION("""COMPUTED_VALUE"""),"PFIZER (CRITICAL)")</f>
        <v>PFIZER (CRITICAL)</v>
      </c>
    </row>
    <row r="2255">
      <c r="H2255" s="3" t="str">
        <f>IFERROR(__xludf.DUMMYFUNCTION("""COMPUTED_VALUE"""),"PFIZER (FUTURA)")</f>
        <v>PFIZER (FUTURA)</v>
      </c>
    </row>
    <row r="2256">
      <c r="H2256" s="3" t="str">
        <f>IFERROR(__xludf.DUMMYFUNCTION("""COMPUTED_VALUE"""),"PFIZER (INTIMA)")</f>
        <v>PFIZER (INTIMA)</v>
      </c>
    </row>
    <row r="2257">
      <c r="H2257" s="3" t="str">
        <f>IFERROR(__xludf.DUMMYFUNCTION("""COMPUTED_VALUE"""),"PFIZER (MAGNUM)")</f>
        <v>PFIZER (MAGNUM)</v>
      </c>
    </row>
    <row r="2258">
      <c r="H2258" s="3" t="str">
        <f>IFERROR(__xludf.DUMMYFUNCTION("""COMPUTED_VALUE"""),"PFIZER (OTC)")</f>
        <v>PFIZER (OTC)</v>
      </c>
    </row>
    <row r="2259">
      <c r="H2259" s="3" t="str">
        <f>IFERROR(__xludf.DUMMYFUNCTION("""COMPUTED_VALUE"""),"PFIZER (PAIN TEAM)")</f>
        <v>PFIZER (PAIN TEAM)</v>
      </c>
    </row>
    <row r="2260">
      <c r="H2260" s="3" t="str">
        <f>IFERROR(__xludf.DUMMYFUNCTION("""COMPUTED_VALUE"""),"PFIZER (RESPIRATORY TEAM)")</f>
        <v>PFIZER (RESPIRATORY TEAM)</v>
      </c>
    </row>
    <row r="2261">
      <c r="H2261" s="3" t="str">
        <f>IFERROR(__xludf.DUMMYFUNCTION("""COMPUTED_VALUE"""),"PFIZER (ULTIMA)")</f>
        <v>PFIZER (ULTIMA)</v>
      </c>
    </row>
    <row r="2262">
      <c r="H2262" s="3" t="str">
        <f>IFERROR(__xludf.DUMMYFUNCTION("""COMPUTED_VALUE"""),"Pfizer Ltd")</f>
        <v>Pfizer Ltd</v>
      </c>
    </row>
    <row r="2263">
      <c r="H2263" s="3" t="str">
        <f>IFERROR(__xludf.DUMMYFUNCTION("""COMPUTED_VALUE"""),"Pfizer Ltd (CRITICAL)")</f>
        <v>Pfizer Ltd (CRITICAL)</v>
      </c>
    </row>
    <row r="2264">
      <c r="H2264" s="3" t="str">
        <f>IFERROR(__xludf.DUMMYFUNCTION("""COMPUTED_VALUE"""),"Pfizer Ltd&amp; UPJOHN PVT.LTD.")</f>
        <v>Pfizer Ltd&amp; UPJOHN PVT.LTD.</v>
      </c>
    </row>
    <row r="2265">
      <c r="H2265" s="3" t="str">
        <f>IFERROR(__xludf.DUMMYFUNCTION("""COMPUTED_VALUE"""),"PHARMA ASIA DRUG")</f>
        <v>PHARMA ASIA DRUG</v>
      </c>
    </row>
    <row r="2266">
      <c r="H2266" s="3" t="str">
        <f>IFERROR(__xludf.DUMMYFUNCTION("""COMPUTED_VALUE"""),"PHARMA CORP INC (GENERIC)")</f>
        <v>PHARMA CORP INC (GENERIC)</v>
      </c>
    </row>
    <row r="2267">
      <c r="H2267" s="3" t="str">
        <f>IFERROR(__xludf.DUMMYFUNCTION("""COMPUTED_VALUE"""),"Pharma Fabrikon")</f>
        <v>Pharma Fabrikon</v>
      </c>
    </row>
    <row r="2268">
      <c r="H2268" s="3" t="str">
        <f>IFERROR(__xludf.DUMMYFUNCTION("""COMPUTED_VALUE"""),"Pharma Link Pvt Ltd")</f>
        <v>Pharma Link Pvt Ltd</v>
      </c>
    </row>
    <row r="2269">
      <c r="H2269" s="3" t="str">
        <f>IFERROR(__xludf.DUMMYFUNCTION("""COMPUTED_VALUE"""),"PHARMA NOVA")</f>
        <v>PHARMA NOVA</v>
      </c>
    </row>
    <row r="2270">
      <c r="H2270" s="3" t="str">
        <f>IFERROR(__xludf.DUMMYFUNCTION("""COMPUTED_VALUE"""),"PHARMA PLANET INDIA")</f>
        <v>PHARMA PLANET INDIA</v>
      </c>
    </row>
    <row r="2271">
      <c r="H2271" s="3" t="str">
        <f>IFERROR(__xludf.DUMMYFUNCTION("""COMPUTED_VALUE"""),"PHARMA SYNTH FORMULATIONS LTD")</f>
        <v>PHARMA SYNTH FORMULATIONS LTD</v>
      </c>
    </row>
    <row r="2272">
      <c r="H2272" s="3" t="str">
        <f>IFERROR(__xludf.DUMMYFUNCTION("""COMPUTED_VALUE"""),"Pharma-Tech India")</f>
        <v>Pharma-Tech India</v>
      </c>
    </row>
    <row r="2273">
      <c r="H2273" s="3" t="str">
        <f>IFERROR(__xludf.DUMMYFUNCTION("""COMPUTED_VALUE"""),"PHARMACHEM PVT LTD")</f>
        <v>PHARMACHEM PVT LTD</v>
      </c>
    </row>
    <row r="2274">
      <c r="H2274" s="3" t="str">
        <f>IFERROR(__xludf.DUMMYFUNCTION("""COMPUTED_VALUE"""),"PHARMACORPO INDIA")</f>
        <v>PHARMACORPO INDIA</v>
      </c>
    </row>
    <row r="2275">
      <c r="H2275" s="3" t="str">
        <f>IFERROR(__xludf.DUMMYFUNCTION("""COMPUTED_VALUE"""),"PHARMALINK")</f>
        <v>PHARMALINK</v>
      </c>
    </row>
    <row r="2276">
      <c r="H2276" s="3" t="str">
        <f>IFERROR(__xludf.DUMMYFUNCTION("""COMPUTED_VALUE"""),"PHARMAMAN MEDITECH PVT LTD")</f>
        <v>PHARMAMAN MEDITECH PVT LTD</v>
      </c>
    </row>
    <row r="2277">
      <c r="H2277" s="3" t="str">
        <f>IFERROR(__xludf.DUMMYFUNCTION("""COMPUTED_VALUE"""),"Pharmanova India")</f>
        <v>Pharmanova India</v>
      </c>
    </row>
    <row r="2278">
      <c r="H2278" s="3" t="str">
        <f>IFERROR(__xludf.DUMMYFUNCTION("""COMPUTED_VALUE"""),"PHARMANOVA INDIA DRUGS PVT LTD")</f>
        <v>PHARMANOVA INDIA DRUGS PVT LTD</v>
      </c>
    </row>
    <row r="2279">
      <c r="H2279" s="3" t="str">
        <f>IFERROR(__xludf.DUMMYFUNCTION("""COMPUTED_VALUE"""),"PHARMANOVA SPECIALITIES")</f>
        <v>PHARMANOVA SPECIALITIES</v>
      </c>
    </row>
    <row r="2280">
      <c r="H2280" s="3" t="str">
        <f>IFERROR(__xludf.DUMMYFUNCTION("""COMPUTED_VALUE"""),"PHARMASIA")</f>
        <v>PHARMASIA</v>
      </c>
    </row>
    <row r="2281">
      <c r="H2281" s="3" t="str">
        <f>IFERROR(__xludf.DUMMYFUNCTION("""COMPUTED_VALUE"""),"PHARMASUN")</f>
        <v>PHARMASUN</v>
      </c>
    </row>
    <row r="2282">
      <c r="H2282" s="3" t="str">
        <f>IFERROR(__xludf.DUMMYFUNCTION("""COMPUTED_VALUE"""),"Pharmatak Opthalmics Pvt Ltd")</f>
        <v>Pharmatak Opthalmics Pvt Ltd</v>
      </c>
    </row>
    <row r="2283">
      <c r="H2283" s="3" t="str">
        <f>IFERROR(__xludf.DUMMYFUNCTION("""COMPUTED_VALUE"""),"Pharmatak Opthalmics Pvt Ltd OPTHALMICS")</f>
        <v>Pharmatak Opthalmics Pvt Ltd OPTHALMICS</v>
      </c>
    </row>
    <row r="2284">
      <c r="H2284" s="3" t="str">
        <f>IFERROR(__xludf.DUMMYFUNCTION("""COMPUTED_VALUE"""),"PHARMAX INDIA PVT LTD")</f>
        <v>PHARMAX INDIA PVT LTD</v>
      </c>
    </row>
    <row r="2285">
      <c r="H2285" s="3" t="str">
        <f>IFERROR(__xludf.DUMMYFUNCTION("""COMPUTED_VALUE"""),"Pharmed Ltd")</f>
        <v>Pharmed Ltd</v>
      </c>
    </row>
    <row r="2286">
      <c r="H2286" s="3" t="str">
        <f>IFERROR(__xludf.DUMMYFUNCTION("""COMPUTED_VALUE"""),"PHARMTAK")</f>
        <v>PHARMTAK</v>
      </c>
    </row>
    <row r="2287">
      <c r="H2287" s="3" t="str">
        <f>IFERROR(__xludf.DUMMYFUNCTION("""COMPUTED_VALUE"""),"PICWELL PHARMACEUTICALS P LTD")</f>
        <v>PICWELL PHARMACEUTICALS P LTD</v>
      </c>
    </row>
    <row r="2288">
      <c r="H2288" s="3" t="str">
        <f>IFERROR(__xludf.DUMMYFUNCTION("""COMPUTED_VALUE"""),"PIFER PHARMACEUTICALS")</f>
        <v>PIFER PHARMACEUTICALS</v>
      </c>
    </row>
    <row r="2289">
      <c r="H2289" s="3" t="str">
        <f>IFERROR(__xludf.DUMMYFUNCTION("""COMPUTED_VALUE"""),"PILCO PHARMA PVT LTD")</f>
        <v>PILCO PHARMA PVT LTD</v>
      </c>
    </row>
    <row r="2290">
      <c r="H2290" s="3" t="str">
        <f>IFERROR(__xludf.DUMMYFUNCTION("""COMPUTED_VALUE"""),"PINEHEARTS HEALTHCARE")</f>
        <v>PINEHEARTS HEALTHCARE</v>
      </c>
    </row>
    <row r="2291">
      <c r="H2291" s="3" t="str">
        <f>IFERROR(__xludf.DUMMYFUNCTION("""COMPUTED_VALUE"""),"PINK HEALTH (BRD GROUP)")</f>
        <v>PINK HEALTH (BRD GROUP)</v>
      </c>
    </row>
    <row r="2292">
      <c r="H2292" s="3" t="str">
        <f>IFERROR(__xludf.DUMMYFUNCTION("""COMPUTED_VALUE"""),"PINK Health (Deleted)")</f>
        <v>PINK Health (Deleted)</v>
      </c>
    </row>
    <row r="2293">
      <c r="H2293" s="3" t="str">
        <f>IFERROR(__xludf.DUMMYFUNCTION("""COMPUTED_VALUE"""),"PIOMA CHEMICALS")</f>
        <v>PIOMA CHEMICALS</v>
      </c>
    </row>
    <row r="2294">
      <c r="H2294" s="3" t="str">
        <f>IFERROR(__xludf.DUMMYFUNCTION("""COMPUTED_VALUE"""),"PIRAMAL (ACUTE CARE)")</f>
        <v>PIRAMAL (ACUTE CARE)</v>
      </c>
    </row>
    <row r="2295">
      <c r="H2295" s="3" t="str">
        <f>IFERROR(__xludf.DUMMYFUNCTION("""COMPUTED_VALUE"""),"PIRAMAL (CARDIAC)")</f>
        <v>PIRAMAL (CARDIAC)</v>
      </c>
    </row>
    <row r="2296">
      <c r="H2296" s="3" t="str">
        <f>IFERROR(__xludf.DUMMYFUNCTION("""COMPUTED_VALUE"""),"PIRAMAL (CARDIO DIABETES)")</f>
        <v>PIRAMAL (CARDIO DIABETES)</v>
      </c>
    </row>
    <row r="2297">
      <c r="H2297" s="3" t="str">
        <f>IFERROR(__xludf.DUMMYFUNCTION("""COMPUTED_VALUE"""),"PIRAMAL (CNS TASK)")</f>
        <v>PIRAMAL (CNS TASK)</v>
      </c>
    </row>
    <row r="2298">
      <c r="H2298" s="3" t="str">
        <f>IFERROR(__xludf.DUMMYFUNCTION("""COMPUTED_VALUE"""),"PIRAMAL (CONSUMER)")</f>
        <v>PIRAMAL (CONSUMER)</v>
      </c>
    </row>
    <row r="2299">
      <c r="H2299" s="3" t="str">
        <f>IFERROR(__xludf.DUMMYFUNCTION("""COMPUTED_VALUE"""),"PIRAMAL (CRITICAL CARDIOLOGY)")</f>
        <v>PIRAMAL (CRITICAL CARDIOLOGY)</v>
      </c>
    </row>
    <row r="2300">
      <c r="H2300" s="3" t="str">
        <f>IFERROR(__xludf.DUMMYFUNCTION("""COMPUTED_VALUE"""),"PIRAMAL (CTF)")</f>
        <v>PIRAMAL (CTF)</v>
      </c>
    </row>
    <row r="2301">
      <c r="H2301" s="3" t="str">
        <f>IFERROR(__xludf.DUMMYFUNCTION("""COMPUTED_VALUE"""),"PIRAMAL (DERMA COSMETICS)")</f>
        <v>PIRAMAL (DERMA COSMETICS)</v>
      </c>
    </row>
    <row r="2302">
      <c r="H2302" s="3" t="str">
        <f>IFERROR(__xludf.DUMMYFUNCTION("""COMPUTED_VALUE"""),"PIRAMAL (DERMA)")</f>
        <v>PIRAMAL (DERMA)</v>
      </c>
    </row>
    <row r="2303">
      <c r="H2303" s="3" t="str">
        <f>IFERROR(__xludf.DUMMYFUNCTION("""COMPUTED_VALUE"""),"PIRAMAL (DIABETES)")</f>
        <v>PIRAMAL (DIABETES)</v>
      </c>
    </row>
    <row r="2304">
      <c r="H2304" s="3" t="str">
        <f>IFERROR(__xludf.DUMMYFUNCTION("""COMPUTED_VALUE"""),"PIRAMAL (DIABITIES TASK FORCE)")</f>
        <v>PIRAMAL (DIABITIES TASK FORCE)</v>
      </c>
    </row>
    <row r="2305">
      <c r="H2305" s="3" t="str">
        <f>IFERROR(__xludf.DUMMYFUNCTION("""COMPUTED_VALUE"""),"PIRAMAL (ENDURA)")</f>
        <v>PIRAMAL (ENDURA)</v>
      </c>
    </row>
    <row r="2306">
      <c r="H2306" s="3" t="str">
        <f>IFERROR(__xludf.DUMMYFUNCTION("""COMPUTED_VALUE"""),"PIRAMAL (ENTERPRISES)")</f>
        <v>PIRAMAL (ENTERPRISES)</v>
      </c>
    </row>
    <row r="2307">
      <c r="H2307" s="3" t="str">
        <f>IFERROR(__xludf.DUMMYFUNCTION("""COMPUTED_VALUE"""),"PIRAMAL (GENERAL MEDICINE)")</f>
        <v>PIRAMAL (GENERAL MEDICINE)</v>
      </c>
    </row>
    <row r="2308">
      <c r="H2308" s="3" t="str">
        <f>IFERROR(__xludf.DUMMYFUNCTION("""COMPUTED_VALUE"""),"PIRAMAL (GENNEXT)")</f>
        <v>PIRAMAL (GENNEXT)</v>
      </c>
    </row>
    <row r="2309">
      <c r="H2309" s="3" t="str">
        <f>IFERROR(__xludf.DUMMYFUNCTION("""COMPUTED_VALUE"""),"PIRAMAL (MULTI SPECIALITY)")</f>
        <v>PIRAMAL (MULTI SPECIALITY)</v>
      </c>
    </row>
    <row r="2310">
      <c r="H2310" s="3" t="str">
        <f>IFERROR(__xludf.DUMMYFUNCTION("""COMPUTED_VALUE"""),"PIRAMAL (MULTY THERAPY)")</f>
        <v>PIRAMAL (MULTY THERAPY)</v>
      </c>
    </row>
    <row r="2311">
      <c r="H2311" s="3" t="str">
        <f>IFERROR(__xludf.DUMMYFUNCTION("""COMPUTED_VALUE"""),"PIRAMAL (NEURO PSYCHIATRY)")</f>
        <v>PIRAMAL (NEURO PSYCHIATRY)</v>
      </c>
    </row>
    <row r="2312">
      <c r="H2312" s="3" t="str">
        <f>IFERROR(__xludf.DUMMYFUNCTION("""COMPUTED_VALUE"""),"PIRAMAL (NPD)")</f>
        <v>PIRAMAL (NPD)</v>
      </c>
    </row>
    <row r="2313">
      <c r="H2313" s="3" t="str">
        <f>IFERROR(__xludf.DUMMYFUNCTION("""COMPUTED_VALUE"""),"PIRAMAL (ORTHO TASK FORCE)")</f>
        <v>PIRAMAL (ORTHO TASK FORCE)</v>
      </c>
    </row>
    <row r="2314">
      <c r="H2314" s="3" t="str">
        <f>IFERROR(__xludf.DUMMYFUNCTION("""COMPUTED_VALUE"""),"PIRAMAL (ORTHO)")</f>
        <v>PIRAMAL (ORTHO)</v>
      </c>
    </row>
    <row r="2315">
      <c r="H2315" s="3" t="str">
        <f>IFERROR(__xludf.DUMMYFUNCTION("""COMPUTED_VALUE"""),"PIRAMAL (PAIN MANAGEMENT)")</f>
        <v>PIRAMAL (PAIN MANAGEMENT)</v>
      </c>
    </row>
    <row r="2316">
      <c r="H2316" s="3" t="str">
        <f>IFERROR(__xludf.DUMMYFUNCTION("""COMPUTED_VALUE"""),"PIRAMAL (PLATINA)")</f>
        <v>PIRAMAL (PLATINA)</v>
      </c>
    </row>
    <row r="2317">
      <c r="H2317" s="3" t="str">
        <f>IFERROR(__xludf.DUMMYFUNCTION("""COMPUTED_VALUE"""),"PIRAMAL (RESPICARE)")</f>
        <v>PIRAMAL (RESPICARE)</v>
      </c>
    </row>
    <row r="2318">
      <c r="H2318" s="3" t="str">
        <f>IFERROR(__xludf.DUMMYFUNCTION("""COMPUTED_VALUE"""),"PIRAMAL (RESTORA)")</f>
        <v>PIRAMAL (RESTORA)</v>
      </c>
    </row>
    <row r="2319">
      <c r="H2319" s="3" t="str">
        <f>IFERROR(__xludf.DUMMYFUNCTION("""COMPUTED_VALUE"""),"PIRAMAL (S C GLEDEPA)")</f>
        <v>PIRAMAL (S C GLEDEPA)</v>
      </c>
    </row>
    <row r="2320">
      <c r="H2320" s="3" t="str">
        <f>IFERROR(__xludf.DUMMYFUNCTION("""COMPUTED_VALUE"""),"PIRAMAL (S C METALIFE)")</f>
        <v>PIRAMAL (S C METALIFE)</v>
      </c>
    </row>
    <row r="2321">
      <c r="H2321" s="3" t="str">
        <f>IFERROR(__xludf.DUMMYFUNCTION("""COMPUTED_VALUE"""),"PIRAMAL (SOLVAY)")</f>
        <v>PIRAMAL (SOLVAY)</v>
      </c>
    </row>
    <row r="2322">
      <c r="H2322" s="3" t="str">
        <f>IFERROR(__xludf.DUMMYFUNCTION("""COMPUTED_VALUE"""),"PIRAMAL (TM PENTIDS)")</f>
        <v>PIRAMAL (TM PENTIDS)</v>
      </c>
    </row>
    <row r="2323">
      <c r="H2323" s="3" t="str">
        <f>IFERROR(__xludf.DUMMYFUNCTION("""COMPUTED_VALUE"""),"Piramal Healthcare Limited")</f>
        <v>Piramal Healthcare Limited</v>
      </c>
    </row>
    <row r="2324">
      <c r="H2324" s="3" t="str">
        <f>IFERROR(__xludf.DUMMYFUNCTION("""COMPUTED_VALUE"""),"PIRAMAL SPCLTS")</f>
        <v>PIRAMAL SPCLTS</v>
      </c>
    </row>
    <row r="2325">
      <c r="H2325" s="3" t="str">
        <f>IFERROR(__xludf.DUMMYFUNCTION("""COMPUTED_VALUE"""),"PITAMBARI PRODUCTS")</f>
        <v>PITAMBARI PRODUCTS</v>
      </c>
    </row>
    <row r="2326">
      <c r="H2326" s="3" t="str">
        <f>IFERROR(__xludf.DUMMYFUNCTION("""COMPUTED_VALUE"""),"Planet Ayurveda")</f>
        <v>Planet Ayurveda</v>
      </c>
    </row>
    <row r="2327">
      <c r="H2327" s="3" t="str">
        <f>IFERROR(__xludf.DUMMYFUNCTION("""COMPUTED_VALUE"""),"PLANET HERBS LIFESCIENCES")</f>
        <v>PLANET HERBS LIFESCIENCES</v>
      </c>
    </row>
    <row r="2328">
      <c r="H2328" s="3" t="str">
        <f>IFERROR(__xludf.DUMMYFUNCTION("""COMPUTED_VALUE"""),"PLASMA HEALTH CARE")</f>
        <v>PLASMA HEALTH CARE</v>
      </c>
    </row>
    <row r="2329">
      <c r="H2329" s="3" t="str">
        <f>IFERROR(__xludf.DUMMYFUNCTION("""COMPUTED_VALUE"""),"PLASMAGEN BIOSCIENCES PVT LTD")</f>
        <v>PLASMAGEN BIOSCIENCES PVT LTD</v>
      </c>
    </row>
    <row r="2330">
      <c r="H2330" s="3" t="str">
        <f>IFERROR(__xludf.DUMMYFUNCTION("""COMPUTED_VALUE"""),"PLASMID HEALTH CARE")</f>
        <v>PLASMID HEALTH CARE</v>
      </c>
    </row>
    <row r="2331">
      <c r="H2331" s="3" t="str">
        <f>IFERROR(__xludf.DUMMYFUNCTION("""COMPUTED_VALUE"""),"PLASMOGEN BIOSCIENCES")</f>
        <v>PLASMOGEN BIOSCIENCES</v>
      </c>
    </row>
    <row r="2332">
      <c r="H2332" s="3" t="str">
        <f>IFERROR(__xludf.DUMMYFUNCTION("""COMPUTED_VALUE"""),"PLEASANT PHARMACEUTICAL PVT LTD")</f>
        <v>PLEASANT PHARMACEUTICAL PVT LTD</v>
      </c>
    </row>
    <row r="2333">
      <c r="H2333" s="3" t="str">
        <f>IFERROR(__xludf.DUMMYFUNCTION("""COMPUTED_VALUE"""),"PLENTEOUS PHARMACEUTICALS LTD")</f>
        <v>PLENTEOUS PHARMACEUTICALS LTD</v>
      </c>
    </row>
    <row r="2334">
      <c r="H2334" s="3" t="str">
        <f>IFERROR(__xludf.DUMMYFUNCTION("""COMPUTED_VALUE"""),"PLETHICO (VOLANT)")</f>
        <v>PLETHICO (VOLANT)</v>
      </c>
    </row>
    <row r="2335">
      <c r="H2335" s="3" t="str">
        <f>IFERROR(__xludf.DUMMYFUNCTION("""COMPUTED_VALUE"""),"POCKET HEALTHCARE PVT LTD")</f>
        <v>POCKET HEALTHCARE PVT LTD</v>
      </c>
    </row>
    <row r="2336">
      <c r="H2336" s="3" t="str">
        <f>IFERROR(__xludf.DUMMYFUNCTION("""COMPUTED_VALUE"""),"POCKET PHARMACY")</f>
        <v>POCKET PHARMACY</v>
      </c>
    </row>
    <row r="2337">
      <c r="H2337" s="3" t="str">
        <f>IFERROR(__xludf.DUMMYFUNCTION("""COMPUTED_VALUE"""),"POLARSTAR LTD.")</f>
        <v>POLARSTAR LTD.</v>
      </c>
    </row>
    <row r="2338">
      <c r="H2338" s="3" t="str">
        <f>IFERROR(__xludf.DUMMYFUNCTION("""COMPUTED_VALUE"""),"POLY MEDICURE PVT LTD")</f>
        <v>POLY MEDICURE PVT LTD</v>
      </c>
    </row>
    <row r="2339">
      <c r="H2339" s="3" t="str">
        <f>IFERROR(__xludf.DUMMYFUNCTION("""COMPUTED_VALUE"""),"POLYBOND INDIA PVT LTD")</f>
        <v>POLYBOND INDIA PVT LTD</v>
      </c>
    </row>
    <row r="2340">
      <c r="H2340" s="3" t="str">
        <f>IFERROR(__xludf.DUMMYFUNCTION("""COMPUTED_VALUE"""),"POPULATION HEALTH SERVICE INDIA")</f>
        <v>POPULATION HEALTH SERVICE INDIA</v>
      </c>
    </row>
    <row r="2341">
      <c r="H2341" s="3" t="str">
        <f>IFERROR(__xludf.DUMMYFUNCTION("""COMPUTED_VALUE"""),"POSITIF PHARMA")</f>
        <v>POSITIF PHARMA</v>
      </c>
    </row>
    <row r="2342">
      <c r="H2342" s="3" t="str">
        <f>IFERROR(__xludf.DUMMYFUNCTION("""COMPUTED_VALUE"""),"PPL HEALTH CARE")</f>
        <v>PPL HEALTH CARE</v>
      </c>
    </row>
    <row r="2343">
      <c r="H2343" s="3" t="str">
        <f>IFERROR(__xludf.DUMMYFUNCTION("""COMPUTED_VALUE"""),"PRAANACHARYA")</f>
        <v>PRAANACHARYA</v>
      </c>
    </row>
    <row r="2344">
      <c r="H2344" s="3" t="str">
        <f>IFERROR(__xludf.DUMMYFUNCTION("""COMPUTED_VALUE"""),"PRAD PHARMA PRODUCT UJJAIN")</f>
        <v>PRAD PHARMA PRODUCT UJJAIN</v>
      </c>
    </row>
    <row r="2345">
      <c r="H2345" s="3" t="str">
        <f>IFERROR(__xludf.DUMMYFUNCTION("""COMPUTED_VALUE"""),"PRAISE PHARMA")</f>
        <v>PRAISE PHARMA</v>
      </c>
    </row>
    <row r="2346">
      <c r="H2346" s="3" t="str">
        <f>IFERROR(__xludf.DUMMYFUNCTION("""COMPUTED_VALUE"""),"PRANO FLEX (INDIA) PVT LTD")</f>
        <v>PRANO FLEX (INDIA) PVT LTD</v>
      </c>
    </row>
    <row r="2347">
      <c r="H2347" s="3" t="str">
        <f>IFERROR(__xludf.DUMMYFUNCTION("""COMPUTED_VALUE"""),"PRATHANA PHARMA")</f>
        <v>PRATHANA PHARMA</v>
      </c>
    </row>
    <row r="2348">
      <c r="H2348" s="3" t="str">
        <f>IFERROR(__xludf.DUMMYFUNCTION("""COMPUTED_VALUE"""),"PRAVEK KALP HERBAL")</f>
        <v>PRAVEK KALP HERBAL</v>
      </c>
    </row>
    <row r="2349">
      <c r="H2349" s="3" t="str">
        <f>IFERROR(__xludf.DUMMYFUNCTION("""COMPUTED_VALUE"""),"PRAYAS PHARMACEUTICALS")</f>
        <v>PRAYAS PHARMACEUTICALS</v>
      </c>
    </row>
    <row r="2350">
      <c r="H2350" s="3" t="str">
        <f>IFERROR(__xludf.DUMMYFUNCTION("""COMPUTED_VALUE"""),"Precia Pharma")</f>
        <v>Precia Pharma</v>
      </c>
    </row>
    <row r="2351">
      <c r="H2351" s="3" t="str">
        <f>IFERROR(__xludf.DUMMYFUNCTION("""COMPUTED_VALUE"""),"PRECIOUS LIFE SCIENCE")</f>
        <v>PRECIOUS LIFE SCIENCE</v>
      </c>
    </row>
    <row r="2352">
      <c r="H2352" s="3" t="str">
        <f>IFERROR(__xludf.DUMMYFUNCTION("""COMPUTED_VALUE"""),"PRECIOUS PHARMA")</f>
        <v>PRECIOUS PHARMA</v>
      </c>
    </row>
    <row r="2353">
      <c r="H2353" s="3" t="str">
        <f>IFERROR(__xludf.DUMMYFUNCTION("""COMPUTED_VALUE"""),"PRECISE HEALTHCARE PVT LTD")</f>
        <v>PRECISE HEALTHCARE PVT LTD</v>
      </c>
    </row>
    <row r="2354">
      <c r="H2354" s="3" t="str">
        <f>IFERROR(__xludf.DUMMYFUNCTION("""COMPUTED_VALUE"""),"PRECTOR LIFESCIENCES")</f>
        <v>PRECTOR LIFESCIENCES</v>
      </c>
    </row>
    <row r="2355">
      <c r="H2355" s="3" t="str">
        <f>IFERROR(__xludf.DUMMYFUNCTION("""COMPUTED_VALUE"""),"PREKEM PHARMACEUTICALS")</f>
        <v>PREKEM PHARMACEUTICALS</v>
      </c>
    </row>
    <row r="2356">
      <c r="H2356" s="3" t="str">
        <f>IFERROR(__xludf.DUMMYFUNCTION("""COMPUTED_VALUE"""),"Prem Pharmaceuticals Ltd")</f>
        <v>Prem Pharmaceuticals Ltd</v>
      </c>
    </row>
    <row r="2357">
      <c r="H2357" s="3" t="str">
        <f>IFERROR(__xludf.DUMMYFUNCTION("""COMPUTED_VALUE"""),"Premier Nutraceuticals Pvt Ltd")</f>
        <v>Premier Nutraceuticals Pvt Ltd</v>
      </c>
    </row>
    <row r="2358">
      <c r="H2358" s="3" t="str">
        <f>IFERROR(__xludf.DUMMYFUNCTION("""COMPUTED_VALUE"""),"PREMIUM SERUMS AND VACCINES PVT LTD")</f>
        <v>PREMIUM SERUMS AND VACCINES PVT LTD</v>
      </c>
    </row>
    <row r="2359">
      <c r="H2359" s="3" t="str">
        <f>IFERROR(__xludf.DUMMYFUNCTION("""COMPUTED_VALUE"""),"PRESCRIPTION MEDICINES PVT LTD")</f>
        <v>PRESCRIPTION MEDICINES PVT LTD</v>
      </c>
    </row>
    <row r="2360">
      <c r="H2360" s="3" t="str">
        <f>IFERROR(__xludf.DUMMYFUNCTION("""COMPUTED_VALUE"""),"PRESINUS PHARMACEUTICAL")</f>
        <v>PRESINUS PHARMACEUTICAL</v>
      </c>
    </row>
    <row r="2361">
      <c r="H2361" s="3" t="str">
        <f>IFERROR(__xludf.DUMMYFUNCTION("""COMPUTED_VALUE"""),"PRETIUM PHARMACEUTICALS")</f>
        <v>PRETIUM PHARMACEUTICALS</v>
      </c>
    </row>
    <row r="2362">
      <c r="H2362" s="3" t="str">
        <f>IFERROR(__xludf.DUMMYFUNCTION("""COMPUTED_VALUE"""),"PRICON SYRINGES AND NEEDLES")</f>
        <v>PRICON SYRINGES AND NEEDLES</v>
      </c>
    </row>
    <row r="2363">
      <c r="H2363" s="3" t="str">
        <f>IFERROR(__xludf.DUMMYFUNCTION("""COMPUTED_VALUE"""),"PRIME LIFE SCIENCES")</f>
        <v>PRIME LIFE SCIENCES</v>
      </c>
    </row>
    <row r="2364">
      <c r="H2364" s="3" t="str">
        <f>IFERROR(__xludf.DUMMYFUNCTION("""COMPUTED_VALUE"""),"PRIMUS PHARMACEUTICALS")</f>
        <v>PRIMUS PHARMACEUTICALS</v>
      </c>
    </row>
    <row r="2365">
      <c r="H2365" s="3" t="str">
        <f>IFERROR(__xludf.DUMMYFUNCTION("""COMPUTED_VALUE"""),"PRINCE CARE PHARMA PVT LTD")</f>
        <v>PRINCE CARE PHARMA PVT LTD</v>
      </c>
    </row>
    <row r="2366">
      <c r="H2366" s="3" t="str">
        <f>IFERROR(__xludf.DUMMYFUNCTION("""COMPUTED_VALUE"""),"PRISM (DERMA)")</f>
        <v>PRISM (DERMA)</v>
      </c>
    </row>
    <row r="2367">
      <c r="H2367" s="3" t="str">
        <f>IFERROR(__xludf.DUMMYFUNCTION("""COMPUTED_VALUE"""),"PRISM LIFE SCIENCES")</f>
        <v>PRISM LIFE SCIENCES</v>
      </c>
    </row>
    <row r="2368">
      <c r="H2368" s="3" t="str">
        <f>IFERROR(__xludf.DUMMYFUNCTION("""COMPUTED_VALUE"""),"PRO LABORATORIES PVT LTD")</f>
        <v>PRO LABORATORIES PVT LTD</v>
      </c>
    </row>
    <row r="2369">
      <c r="H2369" s="3" t="str">
        <f>IFERROR(__xludf.DUMMYFUNCTION("""COMPUTED_VALUE"""),"PROCTER &amp; GAMBLE")</f>
        <v>PROCTER &amp; GAMBLE</v>
      </c>
    </row>
    <row r="2370">
      <c r="H2370" s="3" t="str">
        <f>IFERROR(__xludf.DUMMYFUNCTION("""COMPUTED_VALUE"""),"PROCTOR ORGANICS PVT LTD")</f>
        <v>PROCTOR ORGANICS PVT LTD</v>
      </c>
    </row>
    <row r="2371">
      <c r="H2371" s="3" t="str">
        <f>IFERROR(__xludf.DUMMYFUNCTION("""COMPUTED_VALUE"""),"Product Name")</f>
        <v>Product Name</v>
      </c>
    </row>
    <row r="2372">
      <c r="H2372" s="3" t="str">
        <f>IFERROR(__xludf.DUMMYFUNCTION("""COMPUTED_VALUE"""),"PROFAM HEALTHCARE")</f>
        <v>PROFAM HEALTHCARE</v>
      </c>
    </row>
    <row r="2373">
      <c r="H2373" s="3" t="str">
        <f>IFERROR(__xludf.DUMMYFUNCTION("""COMPUTED_VALUE"""),"PROFIC ORGANIC LIMITED")</f>
        <v>PROFIC ORGANIC LIMITED</v>
      </c>
    </row>
    <row r="2374">
      <c r="H2374" s="3" t="str">
        <f>IFERROR(__xludf.DUMMYFUNCTION("""COMPUTED_VALUE"""),"PROHEALTH VITAMIN")</f>
        <v>PROHEALTH VITAMIN</v>
      </c>
    </row>
    <row r="2375">
      <c r="H2375" s="3" t="str">
        <f>IFERROR(__xludf.DUMMYFUNCTION("""COMPUTED_VALUE"""),"PROLIDAC HEALTHCARE")</f>
        <v>PROLIDAC HEALTHCARE</v>
      </c>
    </row>
    <row r="2376">
      <c r="H2376" s="3" t="str">
        <f>IFERROR(__xludf.DUMMYFUNCTION("""COMPUTED_VALUE"""),"PRONTOCURE PHARMA P LTD")</f>
        <v>PRONTOCURE PHARMA P LTD</v>
      </c>
    </row>
    <row r="2377">
      <c r="H2377" s="3" t="str">
        <f>IFERROR(__xludf.DUMMYFUNCTION("""COMPUTED_VALUE"""),"PROSAIC PHARMACEUTICALS (MEDICINE)")</f>
        <v>PROSAIC PHARMACEUTICALS (MEDICINE)</v>
      </c>
    </row>
    <row r="2378">
      <c r="H2378" s="3" t="str">
        <f>IFERROR(__xludf.DUMMYFUNCTION("""COMPUTED_VALUE"""),"PROSPER")</f>
        <v>PROSPER</v>
      </c>
    </row>
    <row r="2379">
      <c r="H2379" s="3" t="str">
        <f>IFERROR(__xludf.DUMMYFUNCTION("""COMPUTED_VALUE"""),"PROVIS")</f>
        <v>PROVIS</v>
      </c>
    </row>
    <row r="2380">
      <c r="H2380" s="3" t="str">
        <f>IFERROR(__xludf.DUMMYFUNCTION("""COMPUTED_VALUE"""),"PSI INDIA PVT LTD")</f>
        <v>PSI INDIA PVT LTD</v>
      </c>
    </row>
    <row r="2381">
      <c r="H2381" s="3" t="str">
        <f>IFERROR(__xludf.DUMMYFUNCTION("""COMPUTED_VALUE"""),"PSYCHOCARE")</f>
        <v>PSYCHOCARE</v>
      </c>
    </row>
    <row r="2382">
      <c r="H2382" s="3" t="str">
        <f>IFERROR(__xludf.DUMMYFUNCTION("""COMPUTED_VALUE"""),"PSYCHOTROPICS INDIA LIMITED (GENERIC)")</f>
        <v>PSYCHOTROPICS INDIA LIMITED (GENERIC)</v>
      </c>
    </row>
    <row r="2383">
      <c r="H2383" s="3" t="str">
        <f>IFERROR(__xludf.DUMMYFUNCTION("""COMPUTED_VALUE"""),"PSYCHOTROPICS INDIA LTD")</f>
        <v>PSYCHOTROPICS INDIA LTD</v>
      </c>
    </row>
    <row r="2384">
      <c r="H2384" s="3" t="str">
        <f>IFERROR(__xludf.DUMMYFUNCTION("""COMPUTED_VALUE"""),"PSYCHOTROPICS INDIA LTD (FORMULATION)")</f>
        <v>PSYCHOTROPICS INDIA LTD (FORMULATION)</v>
      </c>
    </row>
    <row r="2385">
      <c r="H2385" s="3" t="str">
        <f>IFERROR(__xludf.DUMMYFUNCTION("""COMPUTED_VALUE"""),"PSYCHOTROPICS INDIA LTD (RADICAL)")</f>
        <v>PSYCHOTROPICS INDIA LTD (RADICAL)</v>
      </c>
    </row>
    <row r="2386">
      <c r="H2386" s="3" t="str">
        <f>IFERROR(__xludf.DUMMYFUNCTION("""COMPUTED_VALUE"""),"PSYCOGEN CAPTAB")</f>
        <v>PSYCOGEN CAPTAB</v>
      </c>
    </row>
    <row r="2387">
      <c r="H2387" s="3" t="str">
        <f>IFERROR(__xludf.DUMMYFUNCTION("""COMPUTED_VALUE"""),"Psycormedies")</f>
        <v>Psycormedies</v>
      </c>
    </row>
    <row r="2388">
      <c r="H2388" s="3" t="str">
        <f>IFERROR(__xludf.DUMMYFUNCTION("""COMPUTED_VALUE"""),"PULSE (STIMULUS)")</f>
        <v>PULSE (STIMULUS)</v>
      </c>
    </row>
    <row r="2389">
      <c r="H2389" s="3" t="str">
        <f>IFERROR(__xludf.DUMMYFUNCTION("""COMPUTED_VALUE"""),"Pulse Pharmaceuticals")</f>
        <v>Pulse Pharmaceuticals</v>
      </c>
    </row>
    <row r="2390">
      <c r="H2390" s="3" t="str">
        <f>IFERROR(__xludf.DUMMYFUNCTION("""COMPUTED_VALUE"""),"PULVIN PHARMACEUTICALS")</f>
        <v>PULVIN PHARMACEUTICALS</v>
      </c>
    </row>
    <row r="2391">
      <c r="H2391" s="3" t="str">
        <f>IFERROR(__xludf.DUMMYFUNCTION("""COMPUTED_VALUE"""),"Pure Derma")</f>
        <v>Pure Derma</v>
      </c>
    </row>
    <row r="2392">
      <c r="H2392" s="3" t="str">
        <f>IFERROR(__xludf.DUMMYFUNCTION("""COMPUTED_VALUE"""),"PUREMED BIOTECH")</f>
        <v>PUREMED BIOTECH</v>
      </c>
    </row>
    <row r="2393">
      <c r="H2393" s="3" t="str">
        <f>IFERROR(__xludf.DUMMYFUNCTION("""COMPUTED_VALUE"""),"PUREMED BIOTECH (CARDIMED)")</f>
        <v>PUREMED BIOTECH (CARDIMED)</v>
      </c>
    </row>
    <row r="2394">
      <c r="H2394" s="3" t="str">
        <f>IFERROR(__xludf.DUMMYFUNCTION("""COMPUTED_VALUE"""),"PURVISION MALTIFOCAL")</f>
        <v>PURVISION MALTIFOCAL</v>
      </c>
    </row>
    <row r="2395">
      <c r="H2395" s="3" t="str">
        <f>IFERROR(__xludf.DUMMYFUNCTION("""COMPUTED_VALUE"""),"PV TORIC")</f>
        <v>PV TORIC</v>
      </c>
    </row>
    <row r="2396">
      <c r="H2396" s="3" t="str">
        <f>IFERROR(__xludf.DUMMYFUNCTION("""COMPUTED_VALUE"""),"QUALITRON")</f>
        <v>QUALITRON</v>
      </c>
    </row>
    <row r="2397">
      <c r="H2397" s="3" t="str">
        <f>IFERROR(__xludf.DUMMYFUNCTION("""COMPUTED_VALUE"""),"QUALITY PHARMA")</f>
        <v>QUALITY PHARMA</v>
      </c>
    </row>
    <row r="2398">
      <c r="H2398" s="3" t="str">
        <f>IFERROR(__xludf.DUMMYFUNCTION("""COMPUTED_VALUE"""),"QUANTRIX HEALTHCARE")</f>
        <v>QUANTRIX HEALTHCARE</v>
      </c>
    </row>
    <row r="2399">
      <c r="H2399" s="3" t="str">
        <f>IFERROR(__xludf.DUMMYFUNCTION("""COMPUTED_VALUE"""),"QUEEN PHARMA")</f>
        <v>QUEEN PHARMA</v>
      </c>
    </row>
    <row r="2400">
      <c r="H2400" s="3" t="str">
        <f>IFERROR(__xludf.DUMMYFUNCTION("""COMPUTED_VALUE"""),"QUERWELL LIFE SCIENCE")</f>
        <v>QUERWELL LIFE SCIENCE</v>
      </c>
    </row>
    <row r="2401">
      <c r="H2401" s="3" t="str">
        <f>IFERROR(__xludf.DUMMYFUNCTION("""COMPUTED_VALUE"""),"QUEST PHARMA")</f>
        <v>QUEST PHARMA</v>
      </c>
    </row>
    <row r="2402">
      <c r="H2402" s="3" t="str">
        <f>IFERROR(__xludf.DUMMYFUNCTION("""COMPUTED_VALUE"""),"QUICK HEAL LIFESCIENCES")</f>
        <v>QUICK HEAL LIFESCIENCES</v>
      </c>
    </row>
    <row r="2403">
      <c r="H2403" s="3" t="str">
        <f>IFERROR(__xludf.DUMMYFUNCTION("""COMPUTED_VALUE"""),"QUIXOTIC PHARMA PVT LTD")</f>
        <v>QUIXOTIC PHARMA PVT LTD</v>
      </c>
    </row>
    <row r="2404">
      <c r="H2404" s="3" t="str">
        <f>IFERROR(__xludf.DUMMYFUNCTION("""COMPUTED_VALUE"""),"QUORA PHARMACEUTICALS (MASK)")</f>
        <v>QUORA PHARMACEUTICALS (MASK)</v>
      </c>
    </row>
    <row r="2405">
      <c r="H2405" s="3" t="str">
        <f>IFERROR(__xludf.DUMMYFUNCTION("""COMPUTED_VALUE"""),"QUREWELL LIFESCIENCES")</f>
        <v>QUREWELL LIFESCIENCES</v>
      </c>
    </row>
    <row r="2406">
      <c r="H2406" s="3" t="str">
        <f>IFERROR(__xludf.DUMMYFUNCTION("""COMPUTED_VALUE"""),"R+ PHARMACEUTICALS")</f>
        <v>R+ PHARMACEUTICALS</v>
      </c>
    </row>
    <row r="2407">
      <c r="H2407" s="3" t="str">
        <f>IFERROR(__xludf.DUMMYFUNCTION("""COMPUTED_VALUE"""),"RAAYN DRUGS")</f>
        <v>RAAYN DRUGS</v>
      </c>
    </row>
    <row r="2408">
      <c r="H2408" s="3" t="str">
        <f>IFERROR(__xludf.DUMMYFUNCTION("""COMPUTED_VALUE"""),"RADICO REMEDIES")</f>
        <v>RADICO REMEDIES</v>
      </c>
    </row>
    <row r="2409">
      <c r="H2409" s="3" t="str">
        <f>IFERROR(__xludf.DUMMYFUNCTION("""COMPUTED_VALUE"""),"RADICURA PHARMACEUTICALS")</f>
        <v>RADICURA PHARMACEUTICALS</v>
      </c>
    </row>
    <row r="2410">
      <c r="H2410" s="3" t="str">
        <f>IFERROR(__xludf.DUMMYFUNCTION("""COMPUTED_VALUE"""),"RADIUS HERBAL")</f>
        <v>RADIUS HERBAL</v>
      </c>
    </row>
    <row r="2411">
      <c r="H2411" s="3" t="str">
        <f>IFERROR(__xludf.DUMMYFUNCTION("""COMPUTED_VALUE"""),"RAFFLES PHARMA")</f>
        <v>RAFFLES PHARMA</v>
      </c>
    </row>
    <row r="2412">
      <c r="H2412" s="3" t="str">
        <f>IFERROR(__xludf.DUMMYFUNCTION("""COMPUTED_VALUE"""),"RAFPHEAL'S PHARMACEUTICALS")</f>
        <v>RAFPHEAL'S PHARMACEUTICALS</v>
      </c>
    </row>
    <row r="2413">
      <c r="H2413" s="3" t="str">
        <f>IFERROR(__xludf.DUMMYFUNCTION("""COMPUTED_VALUE"""),"RAGHAV VAIDYASHALA")</f>
        <v>RAGHAV VAIDYASHALA</v>
      </c>
    </row>
    <row r="2414">
      <c r="H2414" s="3" t="str">
        <f>IFERROR(__xludf.DUMMYFUNCTION("""COMPUTED_VALUE"""),"RAHAT INDUSTRIES")</f>
        <v>RAHAT INDUSTRIES</v>
      </c>
    </row>
    <row r="2415">
      <c r="H2415" s="3" t="str">
        <f>IFERROR(__xludf.DUMMYFUNCTION("""COMPUTED_VALUE"""),"RAHUL HEALTH CARE")</f>
        <v>RAHUL HEALTH CARE</v>
      </c>
    </row>
    <row r="2416">
      <c r="H2416" s="3" t="str">
        <f>IFERROR(__xludf.DUMMYFUNCTION("""COMPUTED_VALUE"""),"RAICHEM LIFE SCIENCES")</f>
        <v>RAICHEM LIFE SCIENCES</v>
      </c>
    </row>
    <row r="2417">
      <c r="H2417" s="3" t="str">
        <f>IFERROR(__xludf.DUMMYFUNCTION("""COMPUTED_VALUE"""),"RAINA HEALTHCARE")</f>
        <v>RAINA HEALTHCARE</v>
      </c>
    </row>
    <row r="2418">
      <c r="H2418" s="3" t="str">
        <f>IFERROR(__xludf.DUMMYFUNCTION("""COMPUTED_VALUE"""),"RAINBOW")</f>
        <v>RAINBOW</v>
      </c>
    </row>
    <row r="2419">
      <c r="H2419" s="3" t="str">
        <f>IFERROR(__xludf.DUMMYFUNCTION("""COMPUTED_VALUE"""),"RAINS HEALTHCARE")</f>
        <v>RAINS HEALTHCARE</v>
      </c>
    </row>
    <row r="2420">
      <c r="H2420" s="3" t="str">
        <f>IFERROR(__xludf.DUMMYFUNCTION("""COMPUTED_VALUE"""),"RAJDEEP HERBAL FORMULATION")</f>
        <v>RAJDEEP HERBAL FORMULATION</v>
      </c>
    </row>
    <row r="2421">
      <c r="H2421" s="3" t="str">
        <f>IFERROR(__xludf.DUMMYFUNCTION("""COMPUTED_VALUE"""),"RAJVAIDYA SHITAL PRASAD &amp; SONS")</f>
        <v>RAJVAIDYA SHITAL PRASAD &amp; SONS</v>
      </c>
    </row>
    <row r="2422">
      <c r="H2422" s="3" t="str">
        <f>IFERROR(__xludf.DUMMYFUNCTION("""COMPUTED_VALUE"""),"RALLIS INDIA LTD")</f>
        <v>RALLIS INDIA LTD</v>
      </c>
    </row>
    <row r="2423">
      <c r="H2423" s="3" t="str">
        <f>IFERROR(__xludf.DUMMYFUNCTION("""COMPUTED_VALUE"""),"RALSON")</f>
        <v>RALSON</v>
      </c>
    </row>
    <row r="2424">
      <c r="H2424" s="3" t="str">
        <f>IFERROR(__xludf.DUMMYFUNCTION("""COMPUTED_VALUE"""),"RAMKRISHNA RAMNARAYAN BAGDI")</f>
        <v>RAMKRISHNA RAMNARAYAN BAGDI</v>
      </c>
    </row>
    <row r="2425">
      <c r="H2425" s="3" t="str">
        <f>IFERROR(__xludf.DUMMYFUNCTION("""COMPUTED_VALUE"""),"RAMKRISHNA VIDYUT AYURVEDIC")</f>
        <v>RAMKRISHNA VIDYUT AYURVEDIC</v>
      </c>
    </row>
    <row r="2426">
      <c r="H2426" s="3" t="str">
        <f>IFERROR(__xludf.DUMMYFUNCTION("""COMPUTED_VALUE"""),"RAMOSE LABORATORIES")</f>
        <v>RAMOSE LABORATORIES</v>
      </c>
    </row>
    <row r="2427">
      <c r="H2427" s="3" t="str">
        <f>IFERROR(__xludf.DUMMYFUNCTION("""COMPUTED_VALUE"""),"RANBAXY (1)")</f>
        <v>RANBAXY (1)</v>
      </c>
    </row>
    <row r="2428">
      <c r="H2428" s="3" t="str">
        <f>IFERROR(__xludf.DUMMYFUNCTION("""COMPUTED_VALUE"""),"RANBAXY (2)")</f>
        <v>RANBAXY (2)</v>
      </c>
    </row>
    <row r="2429">
      <c r="H2429" s="3" t="str">
        <f>IFERROR(__xludf.DUMMYFUNCTION("""COMPUTED_VALUE"""),"RANBAXY (CROSSLAND)")</f>
        <v>RANBAXY (CROSSLAND)</v>
      </c>
    </row>
    <row r="2430">
      <c r="H2430" s="3" t="str">
        <f>IFERROR(__xludf.DUMMYFUNCTION("""COMPUTED_VALUE"""),"RANBAXY (CV-LIFE)")</f>
        <v>RANBAXY (CV-LIFE)</v>
      </c>
    </row>
    <row r="2431">
      <c r="H2431" s="3" t="str">
        <f>IFERROR(__xludf.DUMMYFUNCTION("""COMPUTED_VALUE"""),"RANBAXY (CV)")</f>
        <v>RANBAXY (CV)</v>
      </c>
    </row>
    <row r="2432">
      <c r="H2432" s="3" t="str">
        <f>IFERROR(__xludf.DUMMYFUNCTION("""COMPUTED_VALUE"""),"RANBAXY (DERMALANDS)")</f>
        <v>RANBAXY (DERMALANDS)</v>
      </c>
    </row>
    <row r="2433">
      <c r="H2433" s="3" t="str">
        <f>IFERROR(__xludf.DUMMYFUNCTION("""COMPUTED_VALUE"""),"Ranbaxy (GENERIC)")</f>
        <v>Ranbaxy (GENERIC)</v>
      </c>
    </row>
    <row r="2434">
      <c r="H2434" s="3" t="str">
        <f>IFERROR(__xludf.DUMMYFUNCTION("""COMPUTED_VALUE"""),"RANBAXY (MAXXIM)")</f>
        <v>RANBAXY (MAXXIM)</v>
      </c>
    </row>
    <row r="2435">
      <c r="H2435" s="3" t="str">
        <f>IFERROR(__xludf.DUMMYFUNCTION("""COMPUTED_VALUE"""),"RANBAXY (ORTHOLAND)")</f>
        <v>RANBAXY (ORTHOLAND)</v>
      </c>
    </row>
    <row r="2436">
      <c r="H2436" s="3" t="str">
        <f>IFERROR(__xludf.DUMMYFUNCTION("""COMPUTED_VALUE"""),"RANBAXY (OTC)")</f>
        <v>RANBAXY (OTC)</v>
      </c>
    </row>
    <row r="2437">
      <c r="H2437" s="3" t="str">
        <f>IFERROR(__xludf.DUMMYFUNCTION("""COMPUTED_VALUE"""),"RANBAXY (PHARMA)")</f>
        <v>RANBAXY (PHARMA)</v>
      </c>
    </row>
    <row r="2438">
      <c r="H2438" s="3" t="str">
        <f>IFERROR(__xludf.DUMMYFUNCTION("""COMPUTED_VALUE"""),"RANBAXY (PRIMALANDS)")</f>
        <v>RANBAXY (PRIMALANDS)</v>
      </c>
    </row>
    <row r="2439">
      <c r="H2439" s="3" t="str">
        <f>IFERROR(__xludf.DUMMYFUNCTION("""COMPUTED_VALUE"""),"RANBAXY (REXCEL)")</f>
        <v>RANBAXY (REXCEL)</v>
      </c>
    </row>
    <row r="2440">
      <c r="H2440" s="3" t="str">
        <f>IFERROR(__xludf.DUMMYFUNCTION("""COMPUTED_VALUE"""),"RANBAXY (SUNCROS)")</f>
        <v>RANBAXY (SUNCROS)</v>
      </c>
    </row>
    <row r="2441">
      <c r="H2441" s="3" t="str">
        <f>IFERROR(__xludf.DUMMYFUNCTION("""COMPUTED_VALUE"""),"RANBAXY (UROCARE)")</f>
        <v>RANBAXY (UROCARE)</v>
      </c>
    </row>
    <row r="2442">
      <c r="H2442" s="3" t="str">
        <f>IFERROR(__xludf.DUMMYFUNCTION("""COMPUTED_VALUE"""),"Ranbaxy Laboratories Ltd")</f>
        <v>Ranbaxy Laboratories Ltd</v>
      </c>
    </row>
    <row r="2443">
      <c r="H2443" s="3" t="str">
        <f>IFERROR(__xludf.DUMMYFUNCTION("""COMPUTED_VALUE"""),"RAPROSS PHARMACEUTICALS")</f>
        <v>RAPROSS PHARMACEUTICALS</v>
      </c>
    </row>
    <row r="2444">
      <c r="H2444" s="3" t="str">
        <f>IFERROR(__xludf.DUMMYFUNCTION("""COMPUTED_VALUE"""),"Raptakos Brett &amp; Co Ltd")</f>
        <v>Raptakos Brett &amp; Co Ltd</v>
      </c>
    </row>
    <row r="2445">
      <c r="H2445" s="3" t="str">
        <f>IFERROR(__xludf.DUMMYFUNCTION("""COMPUTED_VALUE"""),"RASNA CHEM")</f>
        <v>RASNA CHEM</v>
      </c>
    </row>
    <row r="2446">
      <c r="H2446" s="3" t="str">
        <f>IFERROR(__xludf.DUMMYFUNCTION("""COMPUTED_VALUE"""),"RATAN AYURVEDIC SANSTHAN")</f>
        <v>RATAN AYURVEDIC SANSTHAN</v>
      </c>
    </row>
    <row r="2447">
      <c r="H2447" s="3" t="str">
        <f>IFERROR(__xludf.DUMMYFUNCTION("""COMPUTED_VALUE"""),"RATAN ORGANICA INTERNATIONAL")</f>
        <v>RATAN ORGANICA INTERNATIONAL</v>
      </c>
    </row>
    <row r="2448">
      <c r="H2448" s="3" t="str">
        <f>IFERROR(__xludf.DUMMYFUNCTION("""COMPUTED_VALUE"""),"Rathi Laboratories (Hindustan) Pvt. Ltd.")</f>
        <v>Rathi Laboratories (Hindustan) Pvt. Ltd.</v>
      </c>
    </row>
    <row r="2449">
      <c r="H2449" s="3" t="str">
        <f>IFERROR(__xludf.DUMMYFUNCTION("""COMPUTED_VALUE"""),"RATNAMANI HEALTH P LTD")</f>
        <v>RATNAMANI HEALTH P LTD</v>
      </c>
    </row>
    <row r="2450">
      <c r="H2450" s="3" t="str">
        <f>IFERROR(__xludf.DUMMYFUNCTION("""COMPUTED_VALUE"""),"RATNAMANI HEALTH PVT LTD")</f>
        <v>RATNAMANI HEALTH PVT LTD</v>
      </c>
    </row>
    <row r="2451">
      <c r="H2451" s="3" t="str">
        <f>IFERROR(__xludf.DUMMYFUNCTION("""COMPUTED_VALUE"""),"RAVENBHEL HEALTHCARE")</f>
        <v>RAVENBHEL HEALTHCARE</v>
      </c>
    </row>
    <row r="2452">
      <c r="H2452" s="3" t="str">
        <f>IFERROR(__xludf.DUMMYFUNCTION("""COMPUTED_VALUE"""),"RAYH HEALTH CARE PVT LTD")</f>
        <v>RAYH HEALTH CARE PVT LTD</v>
      </c>
    </row>
    <row r="2453">
      <c r="H2453" s="3" t="str">
        <f>IFERROR(__xludf.DUMMYFUNCTION("""COMPUTED_VALUE"""),"RAYMED")</f>
        <v>RAYMED</v>
      </c>
    </row>
    <row r="2454">
      <c r="H2454" s="3" t="str">
        <f>IFERROR(__xludf.DUMMYFUNCTION("""COMPUTED_VALUE"""),"RAYMED PHARMACEUTICALS")</f>
        <v>RAYMED PHARMACEUTICALS</v>
      </c>
    </row>
    <row r="2455">
      <c r="H2455" s="3" t="str">
        <f>IFERROR(__xludf.DUMMYFUNCTION("""COMPUTED_VALUE"""),"RECENT HEALTHCARE LTD.")</f>
        <v>RECENT HEALTHCARE LTD.</v>
      </c>
    </row>
    <row r="2456">
      <c r="H2456" s="3" t="str">
        <f>IFERROR(__xludf.DUMMYFUNCTION("""COMPUTED_VALUE"""),"RECH ELIST PHARMA")</f>
        <v>RECH ELIST PHARMA</v>
      </c>
    </row>
    <row r="2457">
      <c r="H2457" s="3" t="str">
        <f>IFERROR(__xludf.DUMMYFUNCTION("""COMPUTED_VALUE"""),"RECKEWEG")</f>
        <v>RECKEWEG</v>
      </c>
    </row>
    <row r="2458">
      <c r="H2458" s="3" t="str">
        <f>IFERROR(__xludf.DUMMYFUNCTION("""COMPUTED_VALUE"""),"Reckitt Benckiser")</f>
        <v>Reckitt Benckiser</v>
      </c>
    </row>
    <row r="2459">
      <c r="H2459" s="3" t="str">
        <f>IFERROR(__xludf.DUMMYFUNCTION("""COMPUTED_VALUE"""),"RECOVER HEALTHCARE")</f>
        <v>RECOVER HEALTHCARE</v>
      </c>
    </row>
    <row r="2460">
      <c r="H2460" s="3" t="str">
        <f>IFERROR(__xludf.DUMMYFUNCTION("""COMPUTED_VALUE"""),"REDVIA PHARMACEUTICALS")</f>
        <v>REDVIA PHARMACEUTICALS</v>
      </c>
    </row>
    <row r="2461">
      <c r="H2461" s="3" t="str">
        <f>IFERROR(__xludf.DUMMYFUNCTION("""COMPUTED_VALUE"""),"REEHEL PHARMACEUTICALS PVT LTD")</f>
        <v>REEHEL PHARMACEUTICALS PVT LTD</v>
      </c>
    </row>
    <row r="2462">
      <c r="H2462" s="3" t="str">
        <f>IFERROR(__xludf.DUMMYFUNCTION("""COMPUTED_VALUE"""),"REGAL CHEMICAL WORKS")</f>
        <v>REGAL CHEMICAL WORKS</v>
      </c>
    </row>
    <row r="2463">
      <c r="H2463" s="3" t="str">
        <f>IFERROR(__xludf.DUMMYFUNCTION("""COMPUTED_VALUE"""),"REGALIZ MEDICARE LTD")</f>
        <v>REGALIZ MEDICARE LTD</v>
      </c>
    </row>
    <row r="2464">
      <c r="H2464" s="3" t="str">
        <f>IFERROR(__xludf.DUMMYFUNCTION("""COMPUTED_VALUE"""),"REGENCY HEALTH CARE")</f>
        <v>REGENCY HEALTH CARE</v>
      </c>
    </row>
    <row r="2465">
      <c r="H2465" s="3" t="str">
        <f>IFERROR(__xludf.DUMMYFUNCTION("""COMPUTED_VALUE"""),"REGENT HEALTHCARE")</f>
        <v>REGENT HEALTHCARE</v>
      </c>
    </row>
    <row r="2466">
      <c r="H2466" s="3" t="str">
        <f>IFERROR(__xludf.DUMMYFUNCTION("""COMPUTED_VALUE"""),"REGENT MARKETING")</f>
        <v>REGENT MARKETING</v>
      </c>
    </row>
    <row r="2467">
      <c r="H2467" s="3" t="str">
        <f>IFERROR(__xludf.DUMMYFUNCTION("""COMPUTED_VALUE"""),"REGRESS LIFESCIENCES")</f>
        <v>REGRESS LIFESCIENCES</v>
      </c>
    </row>
    <row r="2468">
      <c r="H2468" s="3" t="str">
        <f>IFERROR(__xludf.DUMMYFUNCTION("""COMPUTED_VALUE"""),"REGRESS LIFESCIENCES (2)")</f>
        <v>REGRESS LIFESCIENCES (2)</v>
      </c>
    </row>
    <row r="2469">
      <c r="H2469" s="3" t="str">
        <f>IFERROR(__xludf.DUMMYFUNCTION("""COMPUTED_VALUE"""),"REJLI HEALTHCARE")</f>
        <v>REJLI HEALTHCARE</v>
      </c>
    </row>
    <row r="2470">
      <c r="H2470" s="3" t="str">
        <f>IFERROR(__xludf.DUMMYFUNCTION("""COMPUTED_VALUE"""),"Rekvina Laboratories Ltd")</f>
        <v>Rekvina Laboratories Ltd</v>
      </c>
    </row>
    <row r="2471">
      <c r="H2471" s="3" t="str">
        <f>IFERROR(__xludf.DUMMYFUNCTION("""COMPUTED_VALUE"""),"RELAXE REHABILITATION AIDS")</f>
        <v>RELAXE REHABILITATION AIDS</v>
      </c>
    </row>
    <row r="2472">
      <c r="H2472" s="3" t="str">
        <f>IFERROR(__xludf.DUMMYFUNCTION("""COMPUTED_VALUE"""),"RELIANCE FORMULATION PVT LTD")</f>
        <v>RELIANCE FORMULATION PVT LTD</v>
      </c>
    </row>
    <row r="2473">
      <c r="H2473" s="3" t="str">
        <f>IFERROR(__xludf.DUMMYFUNCTION("""COMPUTED_VALUE"""),"Reliance Life Sciences")</f>
        <v>Reliance Life Sciences</v>
      </c>
    </row>
    <row r="2474">
      <c r="H2474" s="3" t="str">
        <f>IFERROR(__xludf.DUMMYFUNCTION("""COMPUTED_VALUE"""),"RELIC BIOTECNOLOGY PVT LTD")</f>
        <v>RELIC BIOTECNOLOGY PVT LTD</v>
      </c>
    </row>
    <row r="2475">
      <c r="H2475" s="3" t="str">
        <f>IFERROR(__xludf.DUMMYFUNCTION("""COMPUTED_VALUE"""),"RELIEF FORMULATIONS")</f>
        <v>RELIEF FORMULATIONS</v>
      </c>
    </row>
    <row r="2476">
      <c r="H2476" s="3" t="str">
        <f>IFERROR(__xludf.DUMMYFUNCTION("""COMPUTED_VALUE"""),"REMEDIAL HEALTHCARE")</f>
        <v>REMEDIAL HEALTHCARE</v>
      </c>
    </row>
    <row r="2477">
      <c r="H2477" s="3" t="str">
        <f>IFERROR(__xludf.DUMMYFUNCTION("""COMPUTED_VALUE"""),"RENA EXPORTS PVT LTD")</f>
        <v>RENA EXPORTS PVT LTD</v>
      </c>
    </row>
    <row r="2478">
      <c r="H2478" s="3" t="str">
        <f>IFERROR(__xludf.DUMMYFUNCTION("""COMPUTED_VALUE"""),"RENCORD LIFE SCIENCES (NEPHRO)")</f>
        <v>RENCORD LIFE SCIENCES (NEPHRO)</v>
      </c>
    </row>
    <row r="2479">
      <c r="H2479" s="3" t="str">
        <f>IFERROR(__xludf.DUMMYFUNCTION("""COMPUTED_VALUE"""),"RENE LIFESCIENCE")</f>
        <v>RENE LIFESCIENCE</v>
      </c>
    </row>
    <row r="2480">
      <c r="H2480" s="3" t="str">
        <f>IFERROR(__xludf.DUMMYFUNCTION("""COMPUTED_VALUE"""),"RENE LIFESCIENCES")</f>
        <v>RENE LIFESCIENCES</v>
      </c>
    </row>
    <row r="2481">
      <c r="H2481" s="3" t="str">
        <f>IFERROR(__xludf.DUMMYFUNCTION("""COMPUTED_VALUE"""),"RENE PHARMACEUTICALS")</f>
        <v>RENE PHARMACEUTICALS</v>
      </c>
    </row>
    <row r="2482">
      <c r="H2482" s="3" t="str">
        <f>IFERROR(__xludf.DUMMYFUNCTION("""COMPUTED_VALUE"""),"RENOVISION EXPORTS PVT")</f>
        <v>RENOVISION EXPORTS PVT</v>
      </c>
    </row>
    <row r="2483">
      <c r="H2483" s="3" t="str">
        <f>IFERROR(__xludf.DUMMYFUNCTION("""COMPUTED_VALUE"""),"REPLICA REMEDIES")</f>
        <v>REPLICA REMEDIES</v>
      </c>
    </row>
    <row r="2484">
      <c r="H2484" s="3" t="str">
        <f>IFERROR(__xludf.DUMMYFUNCTION("""COMPUTED_VALUE"""),"REPLIN PHARMA")</f>
        <v>REPLIN PHARMA</v>
      </c>
    </row>
    <row r="2485">
      <c r="H2485" s="3" t="str">
        <f>IFERROR(__xludf.DUMMYFUNCTION("""COMPUTED_VALUE"""),"RES SANCTA  SOLAN")</f>
        <v>RES SANCTA  SOLAN</v>
      </c>
    </row>
    <row r="2486">
      <c r="H2486" s="3" t="str">
        <f>IFERROR(__xludf.DUMMYFUNCTION("""COMPUTED_VALUE"""),"Resilient Cosmecueticals Pvt Ltd")</f>
        <v>Resilient Cosmecueticals Pvt Ltd</v>
      </c>
    </row>
    <row r="2487">
      <c r="H2487" s="3" t="str">
        <f>IFERROR(__xludf.DUMMYFUNCTION("""COMPUTED_VALUE"""),"REVASTO LABORATORIES")</f>
        <v>REVASTO LABORATORIES</v>
      </c>
    </row>
    <row r="2488">
      <c r="H2488" s="3" t="str">
        <f>IFERROR(__xludf.DUMMYFUNCTION("""COMPUTED_VALUE"""),"REVERIE PHARMACEUTICALS")</f>
        <v>REVERIE PHARMACEUTICALS</v>
      </c>
    </row>
    <row r="2489">
      <c r="H2489" s="3" t="str">
        <f>IFERROR(__xludf.DUMMYFUNCTION("""COMPUTED_VALUE"""),"REVLUK LIFE SCIENCES")</f>
        <v>REVLUK LIFE SCIENCES</v>
      </c>
    </row>
    <row r="2490">
      <c r="H2490" s="3" t="str">
        <f>IFERROR(__xludf.DUMMYFUNCTION("""COMPUTED_VALUE"""),"REVOZIP")</f>
        <v>REVOZIP</v>
      </c>
    </row>
    <row r="2491">
      <c r="H2491" s="3" t="str">
        <f>IFERROR(__xludf.DUMMYFUNCTION("""COMPUTED_VALUE"""),"REVOZIP MD")</f>
        <v>REVOZIP MD</v>
      </c>
    </row>
    <row r="2492">
      <c r="H2492" s="3" t="str">
        <f>IFERROR(__xludf.DUMMYFUNCTION("""COMPUTED_VALUE"""),"RHINE BIOGENICS PVT. LTD.")</f>
        <v>RHINE BIOGENICS PVT. LTD.</v>
      </c>
    </row>
    <row r="2493">
      <c r="H2493" s="3" t="str">
        <f>IFERROR(__xludf.DUMMYFUNCTION("""COMPUTED_VALUE"""),"RHOMBIC LAB")</f>
        <v>RHOMBIC LAB</v>
      </c>
    </row>
    <row r="2494">
      <c r="H2494" s="3" t="str">
        <f>IFERROR(__xludf.DUMMYFUNCTION("""COMPUTED_VALUE"""),"RHONE PHARMACIE PVT LTD")</f>
        <v>RHONE PHARMACIE PVT LTD</v>
      </c>
    </row>
    <row r="2495">
      <c r="H2495" s="3" t="str">
        <f>IFERROR(__xludf.DUMMYFUNCTION("""COMPUTED_VALUE"""),"RHONE POULEN RORER (INDIA) LTD")</f>
        <v>RHONE POULEN RORER (INDIA) LTD</v>
      </c>
    </row>
    <row r="2496">
      <c r="H2496" s="3" t="str">
        <f>IFERROR(__xludf.DUMMYFUNCTION("""COMPUTED_VALUE"""),"RICH FAITH PHARMA")</f>
        <v>RICH FAITH PHARMA</v>
      </c>
    </row>
    <row r="2497">
      <c r="H2497" s="3" t="str">
        <f>IFERROR(__xludf.DUMMYFUNCTION("""COMPUTED_VALUE"""),"RIDLEY LIFE SCIENCE PVT LTD")</f>
        <v>RIDLEY LIFE SCIENCE PVT LTD</v>
      </c>
    </row>
    <row r="2498">
      <c r="H2498" s="3" t="str">
        <f>IFERROR(__xludf.DUMMYFUNCTION("""COMPUTED_VALUE"""),"RIEMANN LAB")</f>
        <v>RIEMANN LAB</v>
      </c>
    </row>
    <row r="2499">
      <c r="H2499" s="3" t="str">
        <f>IFERROR(__xludf.DUMMYFUNCTION("""COMPUTED_VALUE"""),"RISHIT PHARMACEUTICALS")</f>
        <v>RISHIT PHARMACEUTICALS</v>
      </c>
    </row>
    <row r="2500">
      <c r="H2500" s="3" t="str">
        <f>IFERROR(__xludf.DUMMYFUNCTION("""COMPUTED_VALUE"""),"RISTRYL")</f>
        <v>RISTRYL</v>
      </c>
    </row>
    <row r="2501">
      <c r="H2501" s="3" t="str">
        <f>IFERROR(__xludf.DUMMYFUNCTION("""COMPUTED_VALUE"""),"RISTRYL FORTE")</f>
        <v>RISTRYL FORTE</v>
      </c>
    </row>
    <row r="2502">
      <c r="H2502" s="3" t="str">
        <f>IFERROR(__xludf.DUMMYFUNCTION("""COMPUTED_VALUE"""),"RIVAN PHARMACEUTICALS PVT LTD")</f>
        <v>RIVAN PHARMACEUTICALS PVT LTD</v>
      </c>
    </row>
    <row r="2503">
      <c r="H2503" s="3" t="str">
        <f>IFERROR(__xludf.DUMMYFUNCTION("""COMPUTED_VALUE"""),"RKM")</f>
        <v>RKM</v>
      </c>
    </row>
    <row r="2504">
      <c r="H2504" s="3" t="str">
        <f>IFERROR(__xludf.DUMMYFUNCTION("""COMPUTED_VALUE"""),"ROCHE (1)")</f>
        <v>ROCHE (1)</v>
      </c>
    </row>
    <row r="2505">
      <c r="H2505" s="3" t="str">
        <f>IFERROR(__xludf.DUMMYFUNCTION("""COMPUTED_VALUE"""),"ROCHE (NEPHROLOGY)")</f>
        <v>ROCHE (NEPHROLOGY)</v>
      </c>
    </row>
    <row r="2506">
      <c r="H2506" s="3" t="str">
        <f>IFERROR(__xludf.DUMMYFUNCTION("""COMPUTED_VALUE"""),"ROCHE (ONCOLOGY)")</f>
        <v>ROCHE (ONCOLOGY)</v>
      </c>
    </row>
    <row r="2507">
      <c r="H2507" s="3" t="str">
        <f>IFERROR(__xludf.DUMMYFUNCTION("""COMPUTED_VALUE"""),"ROCHE (VIROLOGY)")</f>
        <v>ROCHE (VIROLOGY)</v>
      </c>
    </row>
    <row r="2508">
      <c r="H2508" s="3" t="str">
        <f>IFERROR(__xludf.DUMMYFUNCTION("""COMPUTED_VALUE"""),"Roche Products India Pvt Ltd")</f>
        <v>Roche Products India Pvt Ltd</v>
      </c>
    </row>
    <row r="2509">
      <c r="H2509" s="3" t="str">
        <f>IFERROR(__xludf.DUMMYFUNCTION("""COMPUTED_VALUE"""),"ROCKMED PHARMA P LTD")</f>
        <v>ROCKMED PHARMA P LTD</v>
      </c>
    </row>
    <row r="2510">
      <c r="H2510" s="3" t="str">
        <f>IFERROR(__xludf.DUMMYFUNCTION("""COMPUTED_VALUE"""),"ROHAN HERBAL")</f>
        <v>ROHAN HERBAL</v>
      </c>
    </row>
    <row r="2511">
      <c r="H2511" s="3" t="str">
        <f>IFERROR(__xludf.DUMMYFUNCTION("""COMPUTED_VALUE"""),"ROLLICK HEALTHCARE PVT LTD")</f>
        <v>ROLLICK HEALTHCARE PVT LTD</v>
      </c>
    </row>
    <row r="2512">
      <c r="H2512" s="3" t="str">
        <f>IFERROR(__xludf.DUMMYFUNCTION("""COMPUTED_VALUE"""),"ROMA HEALTHCARE")</f>
        <v>ROMA HEALTHCARE</v>
      </c>
    </row>
    <row r="2513">
      <c r="H2513" s="3" t="str">
        <f>IFERROR(__xludf.DUMMYFUNCTION("""COMPUTED_VALUE"""),"ROMSONS SCIENTIFIC AND SURGICAL P LTD")</f>
        <v>ROMSONS SCIENTIFIC AND SURGICAL P LTD</v>
      </c>
    </row>
    <row r="2514">
      <c r="H2514" s="3" t="str">
        <f>IFERROR(__xludf.DUMMYFUNCTION("""COMPUTED_VALUE"""),"RONALD PHARMACUTICALS")</f>
        <v>RONALD PHARMACUTICALS</v>
      </c>
    </row>
    <row r="2515">
      <c r="H2515" s="3" t="str">
        <f>IFERROR(__xludf.DUMMYFUNCTION("""COMPUTED_VALUE"""),"RONAM HEALTHCARE PVT LTD")</f>
        <v>RONAM HEALTHCARE PVT LTD</v>
      </c>
    </row>
    <row r="2516">
      <c r="H2516" s="3" t="str">
        <f>IFERROR(__xludf.DUMMYFUNCTION("""COMPUTED_VALUE"""),"ROOTS &amp; HERBS")</f>
        <v>ROOTS &amp; HERBS</v>
      </c>
    </row>
    <row r="2517">
      <c r="H2517" s="3" t="str">
        <f>IFERROR(__xludf.DUMMYFUNCTION("""COMPUTED_VALUE"""),"ROSELABS BIOSCIENCE LTD")</f>
        <v>ROSELABS BIOSCIENCE LTD</v>
      </c>
    </row>
    <row r="2518">
      <c r="H2518" s="3" t="str">
        <f>IFERROR(__xludf.DUMMYFUNCTION("""COMPUTED_VALUE"""),"ROSSWELL")</f>
        <v>ROSSWELL</v>
      </c>
    </row>
    <row r="2519">
      <c r="H2519" s="3" t="str">
        <f>IFERROR(__xludf.DUMMYFUNCTION("""COMPUTED_VALUE"""),"ROUSSEL INDIA LIMITED")</f>
        <v>ROUSSEL INDIA LIMITED</v>
      </c>
    </row>
    <row r="2520">
      <c r="H2520" s="3" t="str">
        <f>IFERROR(__xludf.DUMMYFUNCTION("""COMPUTED_VALUE"""),"ROUSSET BIOTECH")</f>
        <v>ROUSSET BIOTECH</v>
      </c>
    </row>
    <row r="2521">
      <c r="H2521" s="3" t="str">
        <f>IFERROR(__xludf.DUMMYFUNCTION("""COMPUTED_VALUE"""),"ROUZEL PHARMA")</f>
        <v>ROUZEL PHARMA</v>
      </c>
    </row>
    <row r="2522">
      <c r="H2522" s="3" t="str">
        <f>IFERROR(__xludf.DUMMYFUNCTION("""COMPUTED_VALUE"""),"ROWLINGES LIFE SCIENCES")</f>
        <v>ROWLINGES LIFE SCIENCES</v>
      </c>
    </row>
    <row r="2523">
      <c r="H2523" s="3" t="str">
        <f>IFERROR(__xludf.DUMMYFUNCTION("""COMPUTED_VALUE"""),"ROYAL BEE NATURAL PRODUCTS")</f>
        <v>ROYAL BEE NATURAL PRODUCTS</v>
      </c>
    </row>
    <row r="2524">
      <c r="H2524" s="3" t="str">
        <f>IFERROR(__xludf.DUMMYFUNCTION("""COMPUTED_VALUE"""),"ROYAL HEALTHCARE")</f>
        <v>ROYAL HEALTHCARE</v>
      </c>
    </row>
    <row r="2525">
      <c r="H2525" s="3" t="str">
        <f>IFERROR(__xludf.DUMMYFUNCTION("""COMPUTED_VALUE"""),"RP")</f>
        <v>RP</v>
      </c>
    </row>
    <row r="2526">
      <c r="H2526" s="3" t="str">
        <f>IFERROR(__xludf.DUMMYFUNCTION("""COMPUTED_VALUE"""),"RPG (SEARLE)")</f>
        <v>RPG (SEARLE)</v>
      </c>
    </row>
    <row r="2527">
      <c r="H2527" s="3" t="str">
        <f>IFERROR(__xludf.DUMMYFUNCTION("""COMPUTED_VALUE"""),"RPG Life Sciences (NEPHRO)")</f>
        <v>RPG Life Sciences (NEPHRO)</v>
      </c>
    </row>
    <row r="2528">
      <c r="H2528" s="3" t="str">
        <f>IFERROR(__xludf.DUMMYFUNCTION("""COMPUTED_VALUE"""),"RPG Life Sciences Ltd")</f>
        <v>RPG Life Sciences Ltd</v>
      </c>
    </row>
    <row r="2529">
      <c r="H2529" s="3" t="str">
        <f>IFERROR(__xludf.DUMMYFUNCTION("""COMPUTED_VALUE"""),"RSBP")</f>
        <v>RSBP</v>
      </c>
    </row>
    <row r="2530">
      <c r="H2530" s="3" t="str">
        <f>IFERROR(__xludf.DUMMYFUNCTION("""COMPUTED_VALUE"""),"RUBRA PHARMACEUTICALS")</f>
        <v>RUBRA PHARMACEUTICALS</v>
      </c>
    </row>
    <row r="2531">
      <c r="H2531" s="3" t="str">
        <f>IFERROR(__xludf.DUMMYFUNCTION("""COMPUTED_VALUE"""),"RUPAK ENTERPRISES PVT LTD")</f>
        <v>RUPAK ENTERPRISES PVT LTD</v>
      </c>
    </row>
    <row r="2532">
      <c r="H2532" s="3" t="str">
        <f>IFERROR(__xludf.DUMMYFUNCTION("""COMPUTED_VALUE"""),"RUSAN HEALTHCARE PVT LTD")</f>
        <v>RUSAN HEALTHCARE PVT LTD</v>
      </c>
    </row>
    <row r="2533">
      <c r="H2533" s="3" t="str">
        <f>IFERROR(__xludf.DUMMYFUNCTION("""COMPUTED_VALUE"""),"RUSAN PHARMA")</f>
        <v>RUSAN PHARMA</v>
      </c>
    </row>
    <row r="2534">
      <c r="H2534" s="3" t="str">
        <f>IFERROR(__xludf.DUMMYFUNCTION("""COMPUTED_VALUE"""),"Rusi Remedies P Ltd")</f>
        <v>Rusi Remedies P Ltd</v>
      </c>
    </row>
    <row r="2535">
      <c r="H2535" s="3" t="str">
        <f>IFERROR(__xludf.DUMMYFUNCTION("""COMPUTED_VALUE"""),"RUSLAN NOVO PHARMACEUTICALS")</f>
        <v>RUSLAN NOVO PHARMACEUTICALS</v>
      </c>
    </row>
    <row r="2536">
      <c r="H2536" s="3" t="str">
        <f>IFERROR(__xludf.DUMMYFUNCTION("""COMPUTED_VALUE"""),"RUSLAN NOVO PHARMACIAUTICALS")</f>
        <v>RUSLAN NOVO PHARMACIAUTICALS</v>
      </c>
    </row>
    <row r="2537">
      <c r="H2537" s="3" t="str">
        <f>IFERROR(__xludf.DUMMYFUNCTION("""COMPUTED_VALUE"""),"RUSOMA LABORATORIES PVT LTD")</f>
        <v>RUSOMA LABORATORIES PVT LTD</v>
      </c>
    </row>
    <row r="2538">
      <c r="H2538" s="3" t="str">
        <f>IFERROR(__xludf.DUMMYFUNCTION("""COMPUTED_VALUE"""),"RUTURAJ AYURVEDIC GRUH UDHYOG")</f>
        <v>RUTURAJ AYURVEDIC GRUH UDHYOG</v>
      </c>
    </row>
    <row r="2539">
      <c r="H2539" s="3" t="str">
        <f>IFERROR(__xludf.DUMMYFUNCTION("""COMPUTED_VALUE"""),"RYAN HEALTHCARE")</f>
        <v>RYAN HEALTHCARE</v>
      </c>
    </row>
    <row r="2540">
      <c r="H2540" s="3" t="str">
        <f>IFERROR(__xludf.DUMMYFUNCTION("""COMPUTED_VALUE"""),"RYZE LIFECARE")</f>
        <v>RYZE LIFECARE</v>
      </c>
    </row>
    <row r="2541">
      <c r="H2541" s="3" t="str">
        <f>IFERROR(__xludf.DUMMYFUNCTION("""COMPUTED_VALUE"""),"S A REMEDIES")</f>
        <v>S A REMEDIES</v>
      </c>
    </row>
    <row r="2542">
      <c r="H2542" s="3" t="str">
        <f>IFERROR(__xludf.DUMMYFUNCTION("""COMPUTED_VALUE"""),"S ABDUR RASHEED")</f>
        <v>S ABDUR RASHEED</v>
      </c>
    </row>
    <row r="2543">
      <c r="H2543" s="3" t="str">
        <f>IFERROR(__xludf.DUMMYFUNCTION("""COMPUTED_VALUE"""),"S R BIOTECH")</f>
        <v>S R BIOTECH</v>
      </c>
    </row>
    <row r="2544">
      <c r="H2544" s="3" t="str">
        <f>IFERROR(__xludf.DUMMYFUNCTION("""COMPUTED_VALUE"""),"S R PHARMACEUTICALS")</f>
        <v>S R PHARMACEUTICALS</v>
      </c>
    </row>
    <row r="2545">
      <c r="H2545" s="3" t="str">
        <f>IFERROR(__xludf.DUMMYFUNCTION("""COMPUTED_VALUE"""),"S V BIOVAC PHARMACEUTICALS")</f>
        <v>S V BIOVAC PHARMACEUTICALS</v>
      </c>
    </row>
    <row r="2546">
      <c r="H2546" s="3" t="str">
        <f>IFERROR(__xludf.DUMMYFUNCTION("""COMPUTED_VALUE"""),"S.K.J.S. PHARMACEUTICALS")</f>
        <v>S.K.J.S. PHARMACEUTICALS</v>
      </c>
    </row>
    <row r="2547">
      <c r="H2547" s="3" t="str">
        <f>IFERROR(__xludf.DUMMYFUNCTION("""COMPUTED_VALUE"""),"SAC PHARMACEUTICAL")</f>
        <v>SAC PHARMACEUTICAL</v>
      </c>
    </row>
    <row r="2548">
      <c r="H2548" s="3" t="str">
        <f>IFERROR(__xludf.DUMMYFUNCTION("""COMPUTED_VALUE"""),"SAF FERMION (NUVO)")</f>
        <v>SAF FERMION (NUVO)</v>
      </c>
    </row>
    <row r="2549">
      <c r="H2549" s="3" t="str">
        <f>IFERROR(__xludf.DUMMYFUNCTION("""COMPUTED_VALUE"""),"SAF Fermion Ltd")</f>
        <v>SAF Fermion Ltd</v>
      </c>
    </row>
    <row r="2550">
      <c r="H2550" s="3" t="str">
        <f>IFERROR(__xludf.DUMMYFUNCTION("""COMPUTED_VALUE"""),"SAFFRON FORMULATION")</f>
        <v>SAFFRON FORMULATION</v>
      </c>
    </row>
    <row r="2551">
      <c r="H2551" s="3" t="str">
        <f>IFERROR(__xludf.DUMMYFUNCTION("""COMPUTED_VALUE"""),"Saffron Therapeutics Pvt Ltd")</f>
        <v>Saffron Therapeutics Pvt Ltd</v>
      </c>
    </row>
    <row r="2552">
      <c r="H2552" s="3" t="str">
        <f>IFERROR(__xludf.DUMMYFUNCTION("""COMPUTED_VALUE"""),"SAGA LABORATORIES")</f>
        <v>SAGA LABORATORIES</v>
      </c>
    </row>
    <row r="2553">
      <c r="H2553" s="3" t="str">
        <f>IFERROR(__xludf.DUMMYFUNCTION("""COMPUTED_VALUE"""),"SAGE NUTRAVEDICS")</f>
        <v>SAGE NUTRAVEDICS</v>
      </c>
    </row>
    <row r="2554">
      <c r="H2554" s="3" t="str">
        <f>IFERROR(__xludf.DUMMYFUNCTION("""COMPUTED_VALUE"""),"SAHAJANAND HEALTH CARE (SHC)")</f>
        <v>SAHAJANAND HEALTH CARE (SHC)</v>
      </c>
    </row>
    <row r="2555">
      <c r="H2555" s="3" t="str">
        <f>IFERROR(__xludf.DUMMYFUNCTION("""COMPUTED_VALUE"""),"SAHAJANAND HERBALS")</f>
        <v>SAHAJANAND HERBALS</v>
      </c>
    </row>
    <row r="2556">
      <c r="H2556" s="3" t="str">
        <f>IFERROR(__xludf.DUMMYFUNCTION("""COMPUTED_VALUE"""),"SAIBOON LIFECARE")</f>
        <v>SAIBOON LIFECARE</v>
      </c>
    </row>
    <row r="2557">
      <c r="H2557" s="3" t="str">
        <f>IFERROR(__xludf.DUMMYFUNCTION("""COMPUTED_VALUE"""),"SAIFA SEVAAASHRAM")</f>
        <v>SAIFA SEVAAASHRAM</v>
      </c>
    </row>
    <row r="2558">
      <c r="H2558" s="3" t="str">
        <f>IFERROR(__xludf.DUMMYFUNCTION("""COMPUTED_VALUE"""),"SAIN MICHEAL BIOTECH")</f>
        <v>SAIN MICHEAL BIOTECH</v>
      </c>
    </row>
    <row r="2559">
      <c r="H2559" s="3" t="str">
        <f>IFERROR(__xludf.DUMMYFUNCTION("""COMPUTED_VALUE"""),"SAINTLIFE PHARMACEUTICALS LTD")</f>
        <v>SAINTLIFE PHARMACEUTICALS LTD</v>
      </c>
    </row>
    <row r="2560">
      <c r="H2560" s="3" t="str">
        <f>IFERROR(__xludf.DUMMYFUNCTION("""COMPUTED_VALUE"""),"SAITECH MEDICARE PVT.LTD.K")</f>
        <v>SAITECH MEDICARE PVT.LTD.K</v>
      </c>
    </row>
    <row r="2561">
      <c r="H2561" s="3" t="str">
        <f>IFERROR(__xludf.DUMMYFUNCTION("""COMPUTED_VALUE"""),"SALASAR BLESSED HERBALS")</f>
        <v>SALASAR BLESSED HERBALS</v>
      </c>
    </row>
    <row r="2562">
      <c r="H2562" s="3" t="str">
        <f>IFERROR(__xludf.DUMMYFUNCTION("""COMPUTED_VALUE"""),"SALASAR PHARMACEUTICALS")</f>
        <v>SALASAR PHARMACEUTICALS</v>
      </c>
    </row>
    <row r="2563">
      <c r="H2563" s="3" t="str">
        <f>IFERROR(__xludf.DUMMYFUNCTION("""COMPUTED_VALUE"""),"SALIUS PHARMA PVT LTD")</f>
        <v>SALIUS PHARMA PVT LTD</v>
      </c>
    </row>
    <row r="2564">
      <c r="H2564" s="3" t="str">
        <f>IFERROR(__xludf.DUMMYFUNCTION("""COMPUTED_VALUE"""),"Salud Care India Pvt Ltd")</f>
        <v>Salud Care India Pvt Ltd</v>
      </c>
    </row>
    <row r="2565">
      <c r="H2565" s="3" t="str">
        <f>IFERROR(__xludf.DUMMYFUNCTION("""COMPUTED_VALUE"""),"SALUTE")</f>
        <v>SALUTE</v>
      </c>
    </row>
    <row r="2566">
      <c r="H2566" s="3" t="str">
        <f>IFERROR(__xludf.DUMMYFUNCTION("""COMPUTED_VALUE"""),"SALVADOR BIOTECH")</f>
        <v>SALVADOR BIOTECH</v>
      </c>
    </row>
    <row r="2567">
      <c r="H2567" s="3" t="str">
        <f>IFERROR(__xludf.DUMMYFUNCTION("""COMPUTED_VALUE"""),"SALVEO LIFE SCIENCES LTD")</f>
        <v>SALVEO LIFE SCIENCES LTD</v>
      </c>
    </row>
    <row r="2568">
      <c r="H2568" s="3" t="str">
        <f>IFERROR(__xludf.DUMMYFUNCTION("""COMPUTED_VALUE"""),"SAMARTH LIFE SCIENCES")</f>
        <v>SAMARTH LIFE SCIENCES</v>
      </c>
    </row>
    <row r="2569">
      <c r="H2569" s="3" t="str">
        <f>IFERROR(__xludf.DUMMYFUNCTION("""COMPUTED_VALUE"""),"SAMARTH PHARMA")</f>
        <v>SAMARTH PHARMA</v>
      </c>
    </row>
    <row r="2570">
      <c r="H2570" s="3" t="str">
        <f>IFERROR(__xludf.DUMMYFUNCTION("""COMPUTED_VALUE"""),"SAMARTH PHARMA (ANCARD)")</f>
        <v>SAMARTH PHARMA (ANCARD)</v>
      </c>
    </row>
    <row r="2571">
      <c r="H2571" s="3" t="str">
        <f>IFERROR(__xludf.DUMMYFUNCTION("""COMPUTED_VALUE"""),"SAMARTH PHARMA (CRITIGEN)")</f>
        <v>SAMARTH PHARMA (CRITIGEN)</v>
      </c>
    </row>
    <row r="2572">
      <c r="H2572" s="3" t="str">
        <f>IFERROR(__xludf.DUMMYFUNCTION("""COMPUTED_VALUE"""),"SAMARTH PHARMA (EUGENIC)")</f>
        <v>SAMARTH PHARMA (EUGENIC)</v>
      </c>
    </row>
    <row r="2573">
      <c r="H2573" s="3" t="str">
        <f>IFERROR(__xludf.DUMMYFUNCTION("""COMPUTED_VALUE"""),"SAMARTH PHARMA (SAMGEN)")</f>
        <v>SAMARTH PHARMA (SAMGEN)</v>
      </c>
    </row>
    <row r="2574">
      <c r="H2574" s="3" t="str">
        <f>IFERROR(__xludf.DUMMYFUNCTION("""COMPUTED_VALUE"""),"SAMAY SURGICALS")</f>
        <v>SAMAY SURGICALS</v>
      </c>
    </row>
    <row r="2575">
      <c r="H2575" s="3" t="str">
        <f>IFERROR(__xludf.DUMMYFUNCTION("""COMPUTED_VALUE"""),"SAMKEM PHARMACEUTICALS PVT LTD")</f>
        <v>SAMKEM PHARMACEUTICALS PVT LTD</v>
      </c>
    </row>
    <row r="2576">
      <c r="H2576" s="3" t="str">
        <f>IFERROR(__xludf.DUMMYFUNCTION("""COMPUTED_VALUE"""),"SAMSON LAB P LTD, SOLAN")</f>
        <v>SAMSON LAB P LTD, SOLAN</v>
      </c>
    </row>
    <row r="2577">
      <c r="H2577" s="3" t="str">
        <f>IFERROR(__xludf.DUMMYFUNCTION("""COMPUTED_VALUE"""),"SAMTECH REMEDIES")</f>
        <v>SAMTECH REMEDIES</v>
      </c>
    </row>
    <row r="2578">
      <c r="H2578" s="3" t="str">
        <f>IFERROR(__xludf.DUMMYFUNCTION("""COMPUTED_VALUE"""),"SANA GENETICA")</f>
        <v>SANA GENETICA</v>
      </c>
    </row>
    <row r="2579">
      <c r="H2579" s="3" t="str">
        <f>IFERROR(__xludf.DUMMYFUNCTION("""COMPUTED_VALUE"""),"Sanat Products Ltd")</f>
        <v>Sanat Products Ltd</v>
      </c>
    </row>
    <row r="2580">
      <c r="H2580" s="3" t="str">
        <f>IFERROR(__xludf.DUMMYFUNCTION("""COMPUTED_VALUE"""),"Sanctus Global")</f>
        <v>Sanctus Global</v>
      </c>
    </row>
    <row r="2581">
      <c r="H2581" s="3" t="str">
        <f>IFERROR(__xludf.DUMMYFUNCTION("""COMPUTED_VALUE"""),"SANDOZ (GENERIC)")</f>
        <v>SANDOZ (GENERIC)</v>
      </c>
    </row>
    <row r="2582">
      <c r="H2582" s="3" t="str">
        <f>IFERROR(__xludf.DUMMYFUNCTION("""COMPUTED_VALUE"""),"SANDU BROTHERS")</f>
        <v>SANDU BROTHERS</v>
      </c>
    </row>
    <row r="2583">
      <c r="H2583" s="3" t="str">
        <f>IFERROR(__xludf.DUMMYFUNCTION("""COMPUTED_VALUE"""),"SANIFY HEALTHCARE")</f>
        <v>SANIFY HEALTHCARE</v>
      </c>
    </row>
    <row r="2584">
      <c r="H2584" s="3" t="str">
        <f>IFERROR(__xludf.DUMMYFUNCTION("""COMPUTED_VALUE"""),"SANIX FORMULATION PVT LTD")</f>
        <v>SANIX FORMULATION PVT LTD</v>
      </c>
    </row>
    <row r="2585">
      <c r="H2585" s="3" t="str">
        <f>IFERROR(__xludf.DUMMYFUNCTION("""COMPUTED_VALUE"""),"SANJIVNI PARENTERAL")</f>
        <v>SANJIVNI PARENTERAL</v>
      </c>
    </row>
    <row r="2586">
      <c r="H2586" s="3" t="str">
        <f>IFERROR(__xludf.DUMMYFUNCTION("""COMPUTED_VALUE"""),"SANMATI UDYOG")</f>
        <v>SANMATI UDYOG</v>
      </c>
    </row>
    <row r="2587">
      <c r="H2587" s="3" t="str">
        <f>IFERROR(__xludf.DUMMYFUNCTION("""COMPUTED_VALUE"""),"SANOFI GENZYME")</f>
        <v>SANOFI GENZYME</v>
      </c>
    </row>
    <row r="2588">
      <c r="H2588" s="3" t="str">
        <f>IFERROR(__xludf.DUMMYFUNCTION("""COMPUTED_VALUE"""),"Sanofi India Ltd")</f>
        <v>Sanofi India Ltd</v>
      </c>
    </row>
    <row r="2589">
      <c r="H2589" s="3" t="str">
        <f>IFERROR(__xludf.DUMMYFUNCTION("""COMPUTED_VALUE"""),"SANOFI PASTEUR")</f>
        <v>SANOFI PASTEUR</v>
      </c>
    </row>
    <row r="2590">
      <c r="H2590" s="3" t="str">
        <f>IFERROR(__xludf.DUMMYFUNCTION("""COMPUTED_VALUE"""),"SANTIAGO LIFE SCIENCES")</f>
        <v>SANTIAGO LIFE SCIENCES</v>
      </c>
    </row>
    <row r="2591">
      <c r="H2591" s="3" t="str">
        <f>IFERROR(__xludf.DUMMYFUNCTION("""COMPUTED_VALUE"""),"SANTO MEDI SCIENCES")</f>
        <v>SANTO MEDI SCIENCES</v>
      </c>
    </row>
    <row r="2592">
      <c r="H2592" s="3" t="str">
        <f>IFERROR(__xludf.DUMMYFUNCTION("""COMPUTED_VALUE"""),"SANZYME (ART)")</f>
        <v>SANZYME (ART)</v>
      </c>
    </row>
    <row r="2593">
      <c r="H2593" s="3" t="str">
        <f>IFERROR(__xludf.DUMMYFUNCTION("""COMPUTED_VALUE"""),"Sanzyme Ltd (NEPHRO URO)")</f>
        <v>Sanzyme Ltd (NEPHRO URO)</v>
      </c>
    </row>
    <row r="2594">
      <c r="H2594" s="3" t="str">
        <f>IFERROR(__xludf.DUMMYFUNCTION("""COMPUTED_VALUE"""),"Sanzyme Ltd (UNI SANKYO)")</f>
        <v>Sanzyme Ltd (UNI SANKYO)</v>
      </c>
    </row>
    <row r="2595">
      <c r="H2595" s="3" t="str">
        <f>IFERROR(__xludf.DUMMYFUNCTION("""COMPUTED_VALUE"""),"Sanzyme Ltd (ZEST)")</f>
        <v>Sanzyme Ltd (ZEST)</v>
      </c>
    </row>
    <row r="2596">
      <c r="H2596" s="3" t="str">
        <f>IFERROR(__xludf.DUMMYFUNCTION("""COMPUTED_VALUE"""),"SAPAT &amp; COMPANY")</f>
        <v>SAPAT &amp; COMPANY</v>
      </c>
    </row>
    <row r="2597">
      <c r="H2597" s="3" t="str">
        <f>IFERROR(__xludf.DUMMYFUNCTION("""COMPUTED_VALUE"""),"SAPHNIX LIFE SCIENCES")</f>
        <v>SAPHNIX LIFE SCIENCES</v>
      </c>
    </row>
    <row r="2598">
      <c r="H2598" s="3" t="str">
        <f>IFERROR(__xludf.DUMMYFUNCTION("""COMPUTED_VALUE"""),"SAPIENT LABORATORIES")</f>
        <v>SAPIENT LABORATORIES</v>
      </c>
    </row>
    <row r="2599">
      <c r="H2599" s="3" t="str">
        <f>IFERROR(__xludf.DUMMYFUNCTION("""COMPUTED_VALUE"""),"SARA LIFE SCIENCE")</f>
        <v>SARA LIFE SCIENCE</v>
      </c>
    </row>
    <row r="2600">
      <c r="H2600" s="3" t="str">
        <f>IFERROR(__xludf.DUMMYFUNCTION("""COMPUTED_VALUE"""),"SARA REMEDIES LTD")</f>
        <v>SARA REMEDIES LTD</v>
      </c>
    </row>
    <row r="2601">
      <c r="H2601" s="3" t="str">
        <f>IFERROR(__xludf.DUMMYFUNCTION("""COMPUTED_VALUE"""),"SARABHAI CHEMICALS")</f>
        <v>SARABHAI CHEMICALS</v>
      </c>
    </row>
    <row r="2602">
      <c r="H2602" s="3" t="str">
        <f>IFERROR(__xludf.DUMMYFUNCTION("""COMPUTED_VALUE"""),"SARANSH PHARMACEUTICALS")</f>
        <v>SARANSH PHARMACEUTICALS</v>
      </c>
    </row>
    <row r="2603">
      <c r="H2603" s="3" t="str">
        <f>IFERROR(__xludf.DUMMYFUNCTION("""COMPUTED_VALUE"""),"SARIAN HEALTHCARE")</f>
        <v>SARIAN HEALTHCARE</v>
      </c>
    </row>
    <row r="2604">
      <c r="H2604" s="3" t="str">
        <f>IFERROR(__xludf.DUMMYFUNCTION("""COMPUTED_VALUE"""),"SARTHAK BIOTECHNICS")</f>
        <v>SARTHAK BIOTECHNICS</v>
      </c>
    </row>
    <row r="2605">
      <c r="H2605" s="3" t="str">
        <f>IFERROR(__xludf.DUMMYFUNCTION("""COMPUTED_VALUE"""),"SAS BIOSYNTH")</f>
        <v>SAS BIOSYNTH</v>
      </c>
    </row>
    <row r="2606">
      <c r="H2606" s="3" t="str">
        <f>IFERROR(__xludf.DUMMYFUNCTION("""COMPUTED_VALUE"""),"SATNAM HERBALS")</f>
        <v>SATNAM HERBALS</v>
      </c>
    </row>
    <row r="2607">
      <c r="H2607" s="3" t="str">
        <f>IFERROR(__xludf.DUMMYFUNCTION("""COMPUTED_VALUE"""),"SATURN LAB")</f>
        <v>SATURN LAB</v>
      </c>
    </row>
    <row r="2608">
      <c r="H2608" s="3" t="str">
        <f>IFERROR(__xludf.DUMMYFUNCTION("""COMPUTED_VALUE"""),"SATYAM HEALTHCARE P.LTD.")</f>
        <v>SATYAM HEALTHCARE P.LTD.</v>
      </c>
    </row>
    <row r="2609">
      <c r="H2609" s="3" t="str">
        <f>IFERROR(__xludf.DUMMYFUNCTION("""COMPUTED_VALUE"""),"SATYAM OPHTHALMICS")</f>
        <v>SATYAM OPHTHALMICS</v>
      </c>
    </row>
    <row r="2610">
      <c r="H2610" s="3" t="str">
        <f>IFERROR(__xludf.DUMMYFUNCTION("""COMPUTED_VALUE"""),"SATYAM REMEDIES")</f>
        <v>SATYAM REMEDIES</v>
      </c>
    </row>
    <row r="2611">
      <c r="H2611" s="3" t="str">
        <f>IFERROR(__xludf.DUMMYFUNCTION("""COMPUTED_VALUE"""),"SAVA MEDICA LTD")</f>
        <v>SAVA MEDICA LTD</v>
      </c>
    </row>
    <row r="2612">
      <c r="H2612" s="3" t="str">
        <f>IFERROR(__xludf.DUMMYFUNCTION("""COMPUTED_VALUE"""),"SAVESOL PHARMA")</f>
        <v>SAVESOL PHARMA</v>
      </c>
    </row>
    <row r="2613">
      <c r="H2613" s="3" t="str">
        <f>IFERROR(__xludf.DUMMYFUNCTION("""COMPUTED_VALUE"""),"SAYRE THERAPEUTICS")</f>
        <v>SAYRE THERAPEUTICS</v>
      </c>
    </row>
    <row r="2614">
      <c r="H2614" s="3" t="str">
        <f>IFERROR(__xludf.DUMMYFUNCTION("""COMPUTED_VALUE"""),"SAYUJYA PHARMACEUTICALS")</f>
        <v>SAYUJYA PHARMACEUTICALS</v>
      </c>
    </row>
    <row r="2615">
      <c r="H2615" s="3" t="str">
        <f>IFERROR(__xludf.DUMMYFUNCTION("""COMPUTED_VALUE"""),"SB LIFESCIENCE")</f>
        <v>SB LIFESCIENCE</v>
      </c>
    </row>
    <row r="2616">
      <c r="H2616" s="3" t="str">
        <f>IFERROR(__xludf.DUMMYFUNCTION("""COMPUTED_VALUE"""),"Sbeed Pharmaceuticals")</f>
        <v>Sbeed Pharmaceuticals</v>
      </c>
    </row>
    <row r="2617">
      <c r="H2617" s="3" t="str">
        <f>IFERROR(__xludf.DUMMYFUNCTION("""COMPUTED_VALUE"""),"SBL")</f>
        <v>SBL</v>
      </c>
    </row>
    <row r="2618">
      <c r="H2618" s="3" t="str">
        <f>IFERROR(__xludf.DUMMYFUNCTION("""COMPUTED_VALUE"""),"SBS BIOTECH")</f>
        <v>SBS BIOTECH</v>
      </c>
    </row>
    <row r="2619">
      <c r="H2619" s="3" t="str">
        <f>IFERROR(__xludf.DUMMYFUNCTION("""COMPUTED_VALUE"""),"SCALA PHARMACEUTICALS")</f>
        <v>SCALA PHARMACEUTICALS</v>
      </c>
    </row>
    <row r="2620">
      <c r="H2620" s="3" t="str">
        <f>IFERROR(__xludf.DUMMYFUNCTION("""COMPUTED_VALUE"""),"SCHNELLER HEATHCARE")</f>
        <v>SCHNELLER HEATHCARE</v>
      </c>
    </row>
    <row r="2621">
      <c r="H2621" s="3" t="str">
        <f>IFERROR(__xludf.DUMMYFUNCTION("""COMPUTED_VALUE"""),"SCHON PHARMACEUTICALS LTD")</f>
        <v>SCHON PHARMACEUTICALS LTD</v>
      </c>
    </row>
    <row r="2622">
      <c r="H2622" s="3" t="str">
        <f>IFERROR(__xludf.DUMMYFUNCTION("""COMPUTED_VALUE"""),"SCORRTIS PHARMA")</f>
        <v>SCORRTIS PHARMA</v>
      </c>
    </row>
    <row r="2623">
      <c r="H2623" s="3" t="str">
        <f>IFERROR(__xludf.DUMMYFUNCTION("""COMPUTED_VALUE"""),"Scott Edil Pharmacia Ltd")</f>
        <v>Scott Edil Pharmacia Ltd</v>
      </c>
    </row>
    <row r="2624">
      <c r="H2624" s="3" t="str">
        <f>IFERROR(__xludf.DUMMYFUNCTION("""COMPUTED_VALUE"""),"SDD TORIC")</f>
        <v>SDD TORIC</v>
      </c>
    </row>
    <row r="2625">
      <c r="H2625" s="3" t="str">
        <f>IFERROR(__xludf.DUMMYFUNCTION("""COMPUTED_VALUE"""),"SDS NUTRACEUTICALS")</f>
        <v>SDS NUTRACEUTICALS</v>
      </c>
    </row>
    <row r="2626">
      <c r="H2626" s="3" t="str">
        <f>IFERROR(__xludf.DUMMYFUNCTION("""COMPUTED_VALUE"""),"SEAGULL PHARMACEUTICALS PVT LTD")</f>
        <v>SEAGULL PHARMACEUTICALS PVT LTD</v>
      </c>
    </row>
    <row r="2627">
      <c r="H2627" s="3" t="str">
        <f>IFERROR(__xludf.DUMMYFUNCTION("""COMPUTED_VALUE"""),"SEARCH CREATION")</f>
        <v>SEARCH CREATION</v>
      </c>
    </row>
    <row r="2628">
      <c r="H2628" s="3" t="str">
        <f>IFERROR(__xludf.DUMMYFUNCTION("""COMPUTED_VALUE"""),"SEARUB")</f>
        <v>SEARUB</v>
      </c>
    </row>
    <row r="2629">
      <c r="H2629" s="3" t="str">
        <f>IFERROR(__xludf.DUMMYFUNCTION("""COMPUTED_VALUE"""),"SEEMA INTERNATIONAL")</f>
        <v>SEEMA INTERNATIONAL</v>
      </c>
    </row>
    <row r="2630">
      <c r="H2630" s="3" t="str">
        <f>IFERROR(__xludf.DUMMYFUNCTION("""COMPUTED_VALUE"""),"SEGMENT CARE")</f>
        <v>SEGMENT CARE</v>
      </c>
    </row>
    <row r="2631">
      <c r="H2631" s="3" t="str">
        <f>IFERROR(__xludf.DUMMYFUNCTION("""COMPUTED_VALUE"""),"SELVADOR LTD")</f>
        <v>SELVADOR LTD</v>
      </c>
    </row>
    <row r="2632">
      <c r="H2632" s="3" t="str">
        <f>IFERROR(__xludf.DUMMYFUNCTION("""COMPUTED_VALUE"""),"SELWAY LIFE SCIENCES PVT LTD")</f>
        <v>SELWAY LIFE SCIENCES PVT LTD</v>
      </c>
    </row>
    <row r="2633">
      <c r="H2633" s="3" t="str">
        <f>IFERROR(__xludf.DUMMYFUNCTION("""COMPUTED_VALUE"""),"SENATE LABORATORIES ROORKE")</f>
        <v>SENATE LABORATORIES ROORKE</v>
      </c>
    </row>
    <row r="2634">
      <c r="H2634" s="3" t="str">
        <f>IFERROR(__xludf.DUMMYFUNCTION("""COMPUTED_VALUE"""),"SENCARE LIFE SCIENCES")</f>
        <v>SENCARE LIFE SCIENCES</v>
      </c>
    </row>
    <row r="2635">
      <c r="H2635" s="3" t="str">
        <f>IFERROR(__xludf.DUMMYFUNCTION("""COMPUTED_VALUE"""),"SENEN BIOTECH")</f>
        <v>SENEN BIOTECH</v>
      </c>
    </row>
    <row r="2636">
      <c r="H2636" s="3" t="str">
        <f>IFERROR(__xludf.DUMMYFUNCTION("""COMPUTED_VALUE"""),"SENERA ESSENTIALS")</f>
        <v>SENERA ESSENTIALS</v>
      </c>
    </row>
    <row r="2637">
      <c r="H2637" s="3" t="str">
        <f>IFERROR(__xludf.DUMMYFUNCTION("""COMPUTED_VALUE"""),"SENERA ETHICAL")</f>
        <v>SENERA ETHICAL</v>
      </c>
    </row>
    <row r="2638">
      <c r="H2638" s="3" t="str">
        <f>IFERROR(__xludf.DUMMYFUNCTION("""COMPUTED_VALUE"""),"SENSES PHARMACEUTICALS")</f>
        <v>SENSES PHARMACEUTICALS</v>
      </c>
    </row>
    <row r="2639">
      <c r="H2639" s="3" t="str">
        <f>IFERROR(__xludf.DUMMYFUNCTION("""COMPUTED_VALUE"""),"SENTISS PHARMA")</f>
        <v>SENTISS PHARMA</v>
      </c>
    </row>
    <row r="2640">
      <c r="H2640" s="3" t="str">
        <f>IFERROR(__xludf.DUMMYFUNCTION("""COMPUTED_VALUE"""),"SEPTALYST LIFESCIENCES (CNS)")</f>
        <v>SEPTALYST LIFESCIENCES (CNS)</v>
      </c>
    </row>
    <row r="2641">
      <c r="H2641" s="3" t="str">
        <f>IFERROR(__xludf.DUMMYFUNCTION("""COMPUTED_VALUE"""),"SEPTALYST LIFESCIENCES (NEPHRO)")</f>
        <v>SEPTALYST LIFESCIENCES (NEPHRO)</v>
      </c>
    </row>
    <row r="2642">
      <c r="H2642" s="3" t="str">
        <f>IFERROR(__xludf.DUMMYFUNCTION("""COMPUTED_VALUE"""),"Septalyst Lifesciences Pvt. Ltd")</f>
        <v>Septalyst Lifesciences Pvt. Ltd</v>
      </c>
    </row>
    <row r="2643">
      <c r="H2643" s="3" t="str">
        <f>IFERROR(__xludf.DUMMYFUNCTION("""COMPUTED_VALUE"""),"Serdia Pharmaceuticals India Pvt Ltd")</f>
        <v>Serdia Pharmaceuticals India Pvt Ltd</v>
      </c>
    </row>
    <row r="2644">
      <c r="H2644" s="3" t="str">
        <f>IFERROR(__xludf.DUMMYFUNCTION("""COMPUTED_VALUE"""),"SERUM BIOTECH LTD")</f>
        <v>SERUM BIOTECH LTD</v>
      </c>
    </row>
    <row r="2645">
      <c r="H2645" s="3" t="str">
        <f>IFERROR(__xludf.DUMMYFUNCTION("""COMPUTED_VALUE"""),"Serum Institute Of India Ltd")</f>
        <v>Serum Institute Of India Ltd</v>
      </c>
    </row>
    <row r="2646">
      <c r="H2646" s="3" t="str">
        <f>IFERROR(__xludf.DUMMYFUNCTION("""COMPUTED_VALUE"""),"SERVETUS")</f>
        <v>SERVETUS</v>
      </c>
    </row>
    <row r="2647">
      <c r="H2647" s="3" t="str">
        <f>IFERROR(__xludf.DUMMYFUNCTION("""COMPUTED_VALUE"""),"SERWINA PHARMACEUTICALS (GENERIC)")</f>
        <v>SERWINA PHARMACEUTICALS (GENERIC)</v>
      </c>
    </row>
    <row r="2648">
      <c r="H2648" s="3" t="str">
        <f>IFERROR(__xludf.DUMMYFUNCTION("""COMPUTED_VALUE"""),"SESDERMA INDIA PVT LTD")</f>
        <v>SESDERMA INDIA PVT LTD</v>
      </c>
    </row>
    <row r="2649">
      <c r="H2649" s="3" t="str">
        <f>IFERROR(__xludf.DUMMYFUNCTION("""COMPUTED_VALUE"""),"SEVA HEALTHCARE(P)LTD")</f>
        <v>SEVA HEALTHCARE(P)LTD</v>
      </c>
    </row>
    <row r="2650">
      <c r="H2650" s="3" t="str">
        <f>IFERROR(__xludf.DUMMYFUNCTION("""COMPUTED_VALUE"""),"SEVEN BIOSCIENCES")</f>
        <v>SEVEN BIOSCIENCES</v>
      </c>
    </row>
    <row r="2651">
      <c r="H2651" s="3" t="str">
        <f>IFERROR(__xludf.DUMMYFUNCTION("""COMPUTED_VALUE"""),"SEVEN SEAS")</f>
        <v>SEVEN SEAS</v>
      </c>
    </row>
    <row r="2652">
      <c r="H2652" s="3" t="str">
        <f>IFERROR(__xludf.DUMMYFUNCTION("""COMPUTED_VALUE"""),"SEVENHILLS LIFESCIENCES")</f>
        <v>SEVENHILLS LIFESCIENCES</v>
      </c>
    </row>
    <row r="2653">
      <c r="H2653" s="3" t="str">
        <f>IFERROR(__xludf.DUMMYFUNCTION("""COMPUTED_VALUE"""),"SG LIFECARE")</f>
        <v>SG LIFECARE</v>
      </c>
    </row>
    <row r="2654">
      <c r="H2654" s="3" t="str">
        <f>IFERROR(__xludf.DUMMYFUNCTION("""COMPUTED_VALUE"""),"SG PHARMA")</f>
        <v>SG PHARMA</v>
      </c>
    </row>
    <row r="2655">
      <c r="H2655" s="3" t="str">
        <f>IFERROR(__xludf.DUMMYFUNCTION("""COMPUTED_VALUE"""),"SG PHYTO PHARMA P LTD")</f>
        <v>SG PHYTO PHARMA P LTD</v>
      </c>
    </row>
    <row r="2656">
      <c r="H2656" s="3" t="str">
        <f>IFERROR(__xludf.DUMMYFUNCTION("""COMPUTED_VALUE"""),"SGS")</f>
        <v>SGS</v>
      </c>
    </row>
    <row r="2657">
      <c r="H2657" s="3" t="str">
        <f>IFERROR(__xludf.DUMMYFUNCTION("""COMPUTED_VALUE"""),"SH PHARMACEUTICALS LTD")</f>
        <v>SH PHARMACEUTICALS LTD</v>
      </c>
    </row>
    <row r="2658">
      <c r="H2658" s="3" t="str">
        <f>IFERROR(__xludf.DUMMYFUNCTION("""COMPUTED_VALUE"""),"SHALMAN PHARMACEUTICAL")</f>
        <v>SHALMAN PHARMACEUTICAL</v>
      </c>
    </row>
    <row r="2659">
      <c r="H2659" s="3" t="str">
        <f>IFERROR(__xludf.DUMMYFUNCTION("""COMPUTED_VALUE"""),"SHAMAC HEALTHCARE")</f>
        <v>SHAMAC HEALTHCARE</v>
      </c>
    </row>
    <row r="2660">
      <c r="H2660" s="3" t="str">
        <f>IFERROR(__xludf.DUMMYFUNCTION("""COMPUTED_VALUE"""),"SHANKHIN HEALTHCARE")</f>
        <v>SHANKHIN HEALTHCARE</v>
      </c>
    </row>
    <row r="2661">
      <c r="H2661" s="3" t="str">
        <f>IFERROR(__xludf.DUMMYFUNCTION("""COMPUTED_VALUE"""),"SHANKUS ACME PHARMA")</f>
        <v>SHANKUS ACME PHARMA</v>
      </c>
    </row>
    <row r="2662">
      <c r="H2662" s="3" t="str">
        <f>IFERROR(__xludf.DUMMYFUNCTION("""COMPUTED_VALUE"""),"SHANTA BIOTECH LTD")</f>
        <v>SHANTA BIOTECH LTD</v>
      </c>
    </row>
    <row r="2663">
      <c r="H2663" s="3" t="str">
        <f>IFERROR(__xludf.DUMMYFUNCTION("""COMPUTED_VALUE"""),"SHARANGDHAR")</f>
        <v>SHARANGDHAR</v>
      </c>
    </row>
    <row r="2664">
      <c r="H2664" s="3" t="str">
        <f>IFERROR(__xludf.DUMMYFUNCTION("""COMPUTED_VALUE"""),"SHARMAYU AYURVED BHAWAN")</f>
        <v>SHARMAYU AYURVED BHAWAN</v>
      </c>
    </row>
    <row r="2665">
      <c r="H2665" s="3" t="str">
        <f>IFERROR(__xludf.DUMMYFUNCTION("""COMPUTED_VALUE"""),"SHE BIOLOGICALS")</f>
        <v>SHE BIOLOGICALS</v>
      </c>
    </row>
    <row r="2666">
      <c r="H2666" s="3" t="str">
        <f>IFERROR(__xludf.DUMMYFUNCTION("""COMPUTED_VALUE"""),"SHEBA INDUSTRIES")</f>
        <v>SHEBA INDUSTRIES</v>
      </c>
    </row>
    <row r="2667">
      <c r="H2667" s="3" t="str">
        <f>IFERROR(__xludf.DUMMYFUNCTION("""COMPUTED_VALUE"""),"SHERINGS")</f>
        <v>SHERINGS</v>
      </c>
    </row>
    <row r="2668">
      <c r="H2668" s="3" t="str">
        <f>IFERROR(__xludf.DUMMYFUNCTION("""COMPUTED_VALUE"""),"SHETH BROS.")</f>
        <v>SHETH BROS.</v>
      </c>
    </row>
    <row r="2669">
      <c r="H2669" s="3" t="str">
        <f>IFERROR(__xludf.DUMMYFUNCTION("""COMPUTED_VALUE"""),"SHILPACHEM INDUSTRIES")</f>
        <v>SHILPACHEM INDUSTRIES</v>
      </c>
    </row>
    <row r="2670">
      <c r="H2670" s="3" t="str">
        <f>IFERROR(__xludf.DUMMYFUNCTION("""COMPUTED_VALUE"""),"Shine Pharmaceuticals Ltd")</f>
        <v>Shine Pharmaceuticals Ltd</v>
      </c>
    </row>
    <row r="2671">
      <c r="H2671" s="3" t="str">
        <f>IFERROR(__xludf.DUMMYFUNCTION("""COMPUTED_VALUE"""),"SHINTO ORGANICS")</f>
        <v>SHINTO ORGANICS</v>
      </c>
    </row>
    <row r="2672">
      <c r="H2672" s="3" t="str">
        <f>IFERROR(__xludf.DUMMYFUNCTION("""COMPUTED_VALUE"""),"SHIVANI COTTON")</f>
        <v>SHIVANI COTTON</v>
      </c>
    </row>
    <row r="2673">
      <c r="H2673" s="3" t="str">
        <f>IFERROR(__xludf.DUMMYFUNCTION("""COMPUTED_VALUE"""),"SHIVAYU HERBAL CARE")</f>
        <v>SHIVAYU HERBAL CARE</v>
      </c>
    </row>
    <row r="2674">
      <c r="H2674" s="3" t="str">
        <f>IFERROR(__xludf.DUMMYFUNCTION("""COMPUTED_VALUE"""),"SHIVAYUR HEALTHCARE (GENERIC)")</f>
        <v>SHIVAYUR HEALTHCARE (GENERIC)</v>
      </c>
    </row>
    <row r="2675">
      <c r="H2675" s="3" t="str">
        <f>IFERROR(__xludf.DUMMYFUNCTION("""COMPUTED_VALUE"""),"SHL")</f>
        <v>SHL</v>
      </c>
    </row>
    <row r="2676">
      <c r="H2676" s="3" t="str">
        <f>IFERROR(__xludf.DUMMYFUNCTION("""COMPUTED_VALUE"""),"Shree Baidyanath Ayurved Bhawan Pvt Ltd")</f>
        <v>Shree Baidyanath Ayurved Bhawan Pvt Ltd</v>
      </c>
    </row>
    <row r="2677">
      <c r="H2677" s="3" t="str">
        <f>IFERROR(__xludf.DUMMYFUNCTION("""COMPUTED_VALUE"""),"SHREE DHANWANTRI HERBALS")</f>
        <v>SHREE DHANWANTRI HERBALS</v>
      </c>
    </row>
    <row r="2678">
      <c r="H2678" s="3" t="str">
        <f>IFERROR(__xludf.DUMMYFUNCTION("""COMPUTED_VALUE"""),"SHREE GANESH PHARMACEUTICALS")</f>
        <v>SHREE GANESH PHARMACEUTICALS</v>
      </c>
    </row>
    <row r="2679">
      <c r="H2679" s="3" t="str">
        <f>IFERROR(__xludf.DUMMYFUNCTION("""COMPUTED_VALUE"""),"SHREE KRISHNA PHARMACEUTICALS")</f>
        <v>SHREE KRISHNA PHARMACEUTICALS</v>
      </c>
    </row>
    <row r="2680">
      <c r="H2680" s="3" t="str">
        <f>IFERROR(__xludf.DUMMYFUNCTION("""COMPUTED_VALUE"""),"SHREE MARUTI HERBAL")</f>
        <v>SHREE MARUTI HERBAL</v>
      </c>
    </row>
    <row r="2681">
      <c r="H2681" s="3" t="str">
        <f>IFERROR(__xludf.DUMMYFUNCTION("""COMPUTED_VALUE"""),"SHREE NATH PHARMACEUTICALS LTD")</f>
        <v>SHREE NATH PHARMACEUTICALS LTD</v>
      </c>
    </row>
    <row r="2682">
      <c r="H2682" s="3" t="str">
        <f>IFERROR(__xludf.DUMMYFUNCTION("""COMPUTED_VALUE"""),"SHREE NUTRITIONS VIDHYAVIH")</f>
        <v>SHREE NUTRITIONS VIDHYAVIH</v>
      </c>
    </row>
    <row r="2683">
      <c r="H2683" s="3" t="str">
        <f>IFERROR(__xludf.DUMMYFUNCTION("""COMPUTED_VALUE"""),"SHREE SHARMA AYURVED MANDIR")</f>
        <v>SHREE SHARMA AYURVED MANDIR</v>
      </c>
    </row>
    <row r="2684">
      <c r="H2684" s="3" t="str">
        <f>IFERROR(__xludf.DUMMYFUNCTION("""COMPUTED_VALUE"""),"SHREE SIDDHA AYURVED &amp; RESEARCH")</f>
        <v>SHREE SIDDHA AYURVED &amp; RESEARCH</v>
      </c>
    </row>
    <row r="2685">
      <c r="H2685" s="3" t="str">
        <f>IFERROR(__xludf.DUMMYFUNCTION("""COMPUTED_VALUE"""),"SHREE SITARAGHAVA VAIDYASALA")</f>
        <v>SHREE SITARAGHAVA VAIDYASALA</v>
      </c>
    </row>
    <row r="2686">
      <c r="H2686" s="3" t="str">
        <f>IFERROR(__xludf.DUMMYFUNCTION("""COMPUTED_VALUE"""),"SHREEJI AGENCY (OMP)")</f>
        <v>SHREEJI AGENCY (OMP)</v>
      </c>
    </row>
    <row r="2687">
      <c r="H2687" s="3" t="str">
        <f>IFERROR(__xludf.DUMMYFUNCTION("""COMPUTED_VALUE"""),"SHREEM DRUGS P LTD")</f>
        <v>SHREEM DRUGS P LTD</v>
      </c>
    </row>
    <row r="2688">
      <c r="H2688" s="3" t="str">
        <f>IFERROR(__xludf.DUMMYFUNCTION("""COMPUTED_VALUE"""),"SHREEYAM HEALTH CARE")</f>
        <v>SHREEYAM HEALTH CARE</v>
      </c>
    </row>
    <row r="2689">
      <c r="H2689" s="3" t="str">
        <f>IFERROR(__xludf.DUMMYFUNCTION("""COMPUTED_VALUE"""),"Shreeyam Healthcare")</f>
        <v>Shreeyam Healthcare</v>
      </c>
    </row>
    <row r="2690">
      <c r="H2690" s="3" t="str">
        <f>IFERROR(__xludf.DUMMYFUNCTION("""COMPUTED_VALUE"""),"Shrey Nutraceuticals &amp; Herbals Pvt Ltd")</f>
        <v>Shrey Nutraceuticals &amp; Herbals Pvt Ltd</v>
      </c>
    </row>
    <row r="2691">
      <c r="H2691" s="3" t="str">
        <f>IFERROR(__xludf.DUMMYFUNCTION("""COMPUTED_VALUE"""),"Shreya Life Sciences Pvt Ltd")</f>
        <v>Shreya Life Sciences Pvt Ltd</v>
      </c>
    </row>
    <row r="2692">
      <c r="H2692" s="3" t="str">
        <f>IFERROR(__xludf.DUMMYFUNCTION("""COMPUTED_VALUE"""),"SHRI AYURVED SEVA SADAN")</f>
        <v>SHRI AYURVED SEVA SADAN</v>
      </c>
    </row>
    <row r="2693">
      <c r="H2693" s="3" t="str">
        <f>IFERROR(__xludf.DUMMYFUNCTION("""COMPUTED_VALUE"""),"SHRINIVAS (ESSENTIAL)")</f>
        <v>SHRINIVAS (ESSENTIAL)</v>
      </c>
    </row>
    <row r="2694">
      <c r="H2694" s="3" t="str">
        <f>IFERROR(__xludf.DUMMYFUNCTION("""COMPUTED_VALUE"""),"SHRINIVAS (GUJRAT) LABORATORIES")</f>
        <v>SHRINIVAS (GUJRAT) LABORATORIES</v>
      </c>
    </row>
    <row r="2695">
      <c r="H2695" s="3" t="str">
        <f>IFERROR(__xludf.DUMMYFUNCTION("""COMPUTED_VALUE"""),"SIDDHAYU")</f>
        <v>SIDDHAYU</v>
      </c>
    </row>
    <row r="2696">
      <c r="H2696" s="3" t="str">
        <f>IFERROR(__xludf.DUMMYFUNCTION("""COMPUTED_VALUE"""),"SIENNA FORMULATIONS")</f>
        <v>SIENNA FORMULATIONS</v>
      </c>
    </row>
    <row r="2697">
      <c r="H2697" s="3" t="str">
        <f>IFERROR(__xludf.DUMMYFUNCTION("""COMPUTED_VALUE"""),"SIESTA PHARMA")</f>
        <v>SIESTA PHARMA</v>
      </c>
    </row>
    <row r="2698">
      <c r="H2698" s="3" t="str">
        <f>IFERROR(__xludf.DUMMYFUNCTION("""COMPUTED_VALUE"""),"SIFCO PHARMA")</f>
        <v>SIFCO PHARMA</v>
      </c>
    </row>
    <row r="2699">
      <c r="H2699" s="3" t="str">
        <f>IFERROR(__xludf.DUMMYFUNCTION("""COMPUTED_VALUE"""),"SIGMA LABORATORIES")</f>
        <v>SIGMA LABORATORIES</v>
      </c>
    </row>
    <row r="2700">
      <c r="H2700" s="3" t="str">
        <f>IFERROR(__xludf.DUMMYFUNCTION("""COMPUTED_VALUE"""),"SIGMAN WELLNESS")</f>
        <v>SIGMAN WELLNESS</v>
      </c>
    </row>
    <row r="2701">
      <c r="H2701" s="3" t="str">
        <f>IFERROR(__xludf.DUMMYFUNCTION("""COMPUTED_VALUE"""),"Sigmund Promedica")</f>
        <v>Sigmund Promedica</v>
      </c>
    </row>
    <row r="2702">
      <c r="H2702" s="3" t="str">
        <f>IFERROR(__xludf.DUMMYFUNCTION("""COMPUTED_VALUE"""),"SIGNITY PHARMACEUTICALS")</f>
        <v>SIGNITY PHARMACEUTICALS</v>
      </c>
    </row>
    <row r="2703">
      <c r="H2703" s="3" t="str">
        <f>IFERROR(__xludf.DUMMYFUNCTION("""COMPUTED_VALUE"""),"Signova Pharma Pvt Ltd")</f>
        <v>Signova Pharma Pvt Ltd</v>
      </c>
    </row>
    <row r="2704">
      <c r="H2704" s="3" t="str">
        <f>IFERROR(__xludf.DUMMYFUNCTION("""COMPUTED_VALUE"""),"SIGNUTRA INC")</f>
        <v>SIGNUTRA INC</v>
      </c>
    </row>
    <row r="2705">
      <c r="H2705" s="3" t="str">
        <f>IFERROR(__xludf.DUMMYFUNCTION("""COMPUTED_VALUE"""),"SIMCO ORGANICS")</f>
        <v>SIMCO ORGANICS</v>
      </c>
    </row>
    <row r="2706">
      <c r="H2706" s="3" t="str">
        <f>IFERROR(__xludf.DUMMYFUNCTION("""COMPUTED_VALUE"""),"SIMPLY SATVIK")</f>
        <v>SIMPLY SATVIK</v>
      </c>
    </row>
    <row r="2707">
      <c r="H2707" s="3" t="str">
        <f>IFERROR(__xludf.DUMMYFUNCTION("""COMPUTED_VALUE"""),"SINGHAL PHARMA")</f>
        <v>SINGHAL PHARMA</v>
      </c>
    </row>
    <row r="2708">
      <c r="H2708" s="3" t="str">
        <f>IFERROR(__xludf.DUMMYFUNCTION("""COMPUTED_VALUE"""),"SINSAN PHARMACEUTICALS")</f>
        <v>SINSAN PHARMACEUTICALS</v>
      </c>
    </row>
    <row r="2709">
      <c r="H2709" s="3" t="str">
        <f>IFERROR(__xludf.DUMMYFUNCTION("""COMPUTED_VALUE"""),"SIXTH SENSE PHARMACEUTICALS")</f>
        <v>SIXTH SENSE PHARMACEUTICALS</v>
      </c>
    </row>
    <row r="2710">
      <c r="H2710" s="3" t="str">
        <f>IFERROR(__xludf.DUMMYFUNCTION("""COMPUTED_VALUE"""),"SKIN SCIENCE")</f>
        <v>SKIN SCIENCE</v>
      </c>
    </row>
    <row r="2711">
      <c r="H2711" s="3" t="str">
        <f>IFERROR(__xludf.DUMMYFUNCTION("""COMPUTED_VALUE"""),"SKINWAVE INDIA")</f>
        <v>SKINWAVE INDIA</v>
      </c>
    </row>
    <row r="2712">
      <c r="H2712" s="3" t="str">
        <f>IFERROR(__xludf.DUMMYFUNCTION("""COMPUTED_VALUE"""),"SKN ORGANICS")</f>
        <v>SKN ORGANICS</v>
      </c>
    </row>
    <row r="2713">
      <c r="H2713" s="3" t="str">
        <f>IFERROR(__xludf.DUMMYFUNCTION("""COMPUTED_VALUE"""),"SL  TORIC")</f>
        <v>SL  TORIC</v>
      </c>
    </row>
    <row r="2714">
      <c r="H2714" s="3" t="str">
        <f>IFERROR(__xludf.DUMMYFUNCTION("""COMPUTED_VALUE"""),"SLANEY HEALTHCARE")</f>
        <v>SLANEY HEALTHCARE</v>
      </c>
    </row>
    <row r="2715">
      <c r="H2715" s="3" t="str">
        <f>IFERROR(__xludf.DUMMYFUNCTION("""COMPUTED_VALUE"""),"SMART LABORATORIES (CONVEX)")</f>
        <v>SMART LABORATORIES (CONVEX)</v>
      </c>
    </row>
    <row r="2716">
      <c r="H2716" s="3" t="str">
        <f>IFERROR(__xludf.DUMMYFUNCTION("""COMPUTED_VALUE"""),"SMITHSONS LIFE SCIENCE")</f>
        <v>SMITHSONS LIFE SCIENCE</v>
      </c>
    </row>
    <row r="2717">
      <c r="H2717" s="3" t="str">
        <f>IFERROR(__xludf.DUMMYFUNCTION("""COMPUTED_VALUE"""),"SNDAR")</f>
        <v>SNDAR</v>
      </c>
    </row>
    <row r="2718">
      <c r="H2718" s="3" t="str">
        <f>IFERROR(__xludf.DUMMYFUNCTION("""COMPUTED_VALUE"""),"SNERVOTEC PHARMACIUTICAL B")</f>
        <v>SNERVOTEC PHARMACIUTICAL B</v>
      </c>
    </row>
    <row r="2719">
      <c r="H2719" s="3" t="str">
        <f>IFERROR(__xludf.DUMMYFUNCTION("""COMPUTED_VALUE"""),"SNERVOTEC PHARMACUTICAL")</f>
        <v>SNERVOTEC PHARMACUTICAL</v>
      </c>
    </row>
    <row r="2720">
      <c r="H2720" s="3" t="str">
        <f>IFERROR(__xludf.DUMMYFUNCTION("""COMPUTED_VALUE"""),"SOCRUS PHARMACUTICAL")</f>
        <v>SOCRUS PHARMACUTICAL</v>
      </c>
    </row>
    <row r="2721">
      <c r="H2721" s="3" t="str">
        <f>IFERROR(__xludf.DUMMYFUNCTION("""COMPUTED_VALUE"""),"SOFLENS DAILY DISP")</f>
        <v>SOFLENS DAILY DISP</v>
      </c>
    </row>
    <row r="2722">
      <c r="H2722" s="3" t="str">
        <f>IFERROR(__xludf.DUMMYFUNCTION("""COMPUTED_VALUE"""),"SOFT MEDICAPS")</f>
        <v>SOFT MEDICAPS</v>
      </c>
    </row>
    <row r="2723">
      <c r="H2723" s="3" t="str">
        <f>IFERROR(__xludf.DUMMYFUNCTION("""COMPUTED_VALUE"""),"Sol Derma")</f>
        <v>Sol Derma</v>
      </c>
    </row>
    <row r="2724">
      <c r="H2724" s="3" t="str">
        <f>IFERROR(__xludf.DUMMYFUNCTION("""COMPUTED_VALUE"""),"SOLACE (CARMENTA)")</f>
        <v>SOLACE (CARMENTA)</v>
      </c>
    </row>
    <row r="2725">
      <c r="H2725" s="3" t="str">
        <f>IFERROR(__xludf.DUMMYFUNCTION("""COMPUTED_VALUE"""),"SOLACE (DENTAL)")</f>
        <v>SOLACE (DENTAL)</v>
      </c>
    </row>
    <row r="2726">
      <c r="H2726" s="3" t="str">
        <f>IFERROR(__xludf.DUMMYFUNCTION("""COMPUTED_VALUE"""),"SOLACE (EOS)")</f>
        <v>SOLACE (EOS)</v>
      </c>
    </row>
    <row r="2727">
      <c r="H2727" s="3" t="str">
        <f>IFERROR(__xludf.DUMMYFUNCTION("""COMPUTED_VALUE"""),"SOLACE (NUTRITION NEXT )")</f>
        <v>SOLACE (NUTRITION NEXT )</v>
      </c>
    </row>
    <row r="2728">
      <c r="H2728" s="3" t="str">
        <f>IFERROR(__xludf.DUMMYFUNCTION("""COMPUTED_VALUE"""),"SOLACE (NUTRITION NEXT)")</f>
        <v>SOLACE (NUTRITION NEXT)</v>
      </c>
    </row>
    <row r="2729">
      <c r="H2729" s="3" t="str">
        <f>IFERROR(__xludf.DUMMYFUNCTION("""COMPUTED_VALUE"""),"SOLACE (OSTEO)")</f>
        <v>SOLACE (OSTEO)</v>
      </c>
    </row>
    <row r="2730">
      <c r="H2730" s="3" t="str">
        <f>IFERROR(__xludf.DUMMYFUNCTION("""COMPUTED_VALUE"""),"SOLACE (PICCOLO)")</f>
        <v>SOLACE (PICCOLO)</v>
      </c>
    </row>
    <row r="2731">
      <c r="H2731" s="3" t="str">
        <f>IFERROR(__xludf.DUMMYFUNCTION("""COMPUTED_VALUE"""),"SOLACE (SOLTECH)")</f>
        <v>SOLACE (SOLTECH)</v>
      </c>
    </row>
    <row r="2732">
      <c r="H2732" s="3" t="str">
        <f>IFERROR(__xludf.DUMMYFUNCTION("""COMPUTED_VALUE"""),"Solace Biotech Ltd")</f>
        <v>Solace Biotech Ltd</v>
      </c>
    </row>
    <row r="2733">
      <c r="H2733" s="3" t="str">
        <f>IFERROR(__xludf.DUMMYFUNCTION("""COMPUTED_VALUE"""),"SOLEIL INTERNATIONAL")</f>
        <v>SOLEIL INTERNATIONAL</v>
      </c>
    </row>
    <row r="2734">
      <c r="H2734" s="3" t="str">
        <f>IFERROR(__xludf.DUMMYFUNCTION("""COMPUTED_VALUE"""),"SOLERA LIFE SCIENCES P LTD")</f>
        <v>SOLERA LIFE SCIENCES P LTD</v>
      </c>
    </row>
    <row r="2735">
      <c r="H2735" s="3" t="str">
        <f>IFERROR(__xludf.DUMMYFUNCTION("""COMPUTED_VALUE"""),"SOLOWIN PHARMA")</f>
        <v>SOLOWIN PHARMA</v>
      </c>
    </row>
    <row r="2736">
      <c r="H2736" s="3" t="str">
        <f>IFERROR(__xludf.DUMMYFUNCTION("""COMPUTED_VALUE"""),"SOLOZEN LIFESCIENCES")</f>
        <v>SOLOZEN LIFESCIENCES</v>
      </c>
    </row>
    <row r="2737">
      <c r="H2737" s="3" t="str">
        <f>IFERROR(__xludf.DUMMYFUNCTION("""COMPUTED_VALUE"""),"Solumiks Piramal Ltd")</f>
        <v>Solumiks Piramal Ltd</v>
      </c>
    </row>
    <row r="2738">
      <c r="H2738" s="3" t="str">
        <f>IFERROR(__xludf.DUMMYFUNCTION("""COMPUTED_VALUE"""),"SOLUTION ENTERPRISES PVT LTD")</f>
        <v>SOLUTION ENTERPRISES PVT LTD</v>
      </c>
    </row>
    <row r="2739">
      <c r="H2739" s="3" t="str">
        <f>IFERROR(__xludf.DUMMYFUNCTION("""COMPUTED_VALUE"""),"Solvate Laboratries Pvt Ltd")</f>
        <v>Solvate Laboratries Pvt Ltd</v>
      </c>
    </row>
    <row r="2740">
      <c r="H2740" s="3" t="str">
        <f>IFERROR(__xludf.DUMMYFUNCTION("""COMPUTED_VALUE"""),"SONAM PHARMA (OTHER PRODUCTS)")</f>
        <v>SONAM PHARMA (OTHER PRODUCTS)</v>
      </c>
    </row>
    <row r="2741">
      <c r="H2741" s="3" t="str">
        <f>IFERROR(__xludf.DUMMYFUNCTION("""COMPUTED_VALUE"""),"SONIKA LIFE SCIENCE")</f>
        <v>SONIKA LIFE SCIENCE</v>
      </c>
    </row>
    <row r="2742">
      <c r="H2742" s="3" t="str">
        <f>IFERROR(__xludf.DUMMYFUNCTION("""COMPUTED_VALUE"""),"SONTEX ROLLED BANDAGE WORKS")</f>
        <v>SONTEX ROLLED BANDAGE WORKS</v>
      </c>
    </row>
    <row r="2743">
      <c r="H2743" s="3" t="str">
        <f>IFERROR(__xludf.DUMMYFUNCTION("""COMPUTED_VALUE"""),"SOUL PHARMA")</f>
        <v>SOUL PHARMA</v>
      </c>
    </row>
    <row r="2744">
      <c r="H2744" s="3" t="str">
        <f>IFERROR(__xludf.DUMMYFUNCTION("""COMPUTED_VALUE"""),"SPA NEWTRACEUTICALS")</f>
        <v>SPA NEWTRACEUTICALS</v>
      </c>
    </row>
    <row r="2745">
      <c r="H2745" s="3" t="str">
        <f>IFERROR(__xludf.DUMMYFUNCTION("""COMPUTED_VALUE"""),"SPARK BLESS PHARMA")</f>
        <v>SPARK BLESS PHARMA</v>
      </c>
    </row>
    <row r="2746">
      <c r="H2746" s="3" t="str">
        <f>IFERROR(__xludf.DUMMYFUNCTION("""COMPUTED_VALUE"""),"SPECTRUM PHARMACEUTICAL")</f>
        <v>SPECTRUM PHARMACEUTICAL</v>
      </c>
    </row>
    <row r="2747">
      <c r="H2747" s="3" t="str">
        <f>IFERROR(__xludf.DUMMYFUNCTION("""COMPUTED_VALUE"""),"SPEY MEDICAL P LTD")</f>
        <v>SPEY MEDICAL P LTD</v>
      </c>
    </row>
    <row r="2748">
      <c r="H2748" s="3" t="str">
        <f>IFERROR(__xludf.DUMMYFUNCTION("""COMPUTED_VALUE"""),"SPLENDID PHARMACEUTICALS")</f>
        <v>SPLENDID PHARMACEUTICALS</v>
      </c>
    </row>
    <row r="2749">
      <c r="H2749" s="3" t="str">
        <f>IFERROR(__xludf.DUMMYFUNCTION("""COMPUTED_VALUE"""),"SR PHARMA")</f>
        <v>SR PHARMA</v>
      </c>
    </row>
    <row r="2750">
      <c r="H2750" s="3" t="str">
        <f>IFERROR(__xludf.DUMMYFUNCTION("""COMPUTED_VALUE"""),"SRESAN")</f>
        <v>SRESAN</v>
      </c>
    </row>
    <row r="2751">
      <c r="H2751" s="3" t="str">
        <f>IFERROR(__xludf.DUMMYFUNCTION("""COMPUTED_VALUE"""),"SRI MAHALAKSHMI TEXTILES")</f>
        <v>SRI MAHALAKSHMI TEXTILES</v>
      </c>
    </row>
    <row r="2752">
      <c r="H2752" s="3" t="str">
        <f>IFERROR(__xludf.DUMMYFUNCTION("""COMPUTED_VALUE"""),"SRI SIDDHDATA FARMLAD PVT LTD")</f>
        <v>SRI SIDDHDATA FARMLAD PVT LTD</v>
      </c>
    </row>
    <row r="2753">
      <c r="H2753" s="3" t="str">
        <f>IFERROR(__xludf.DUMMYFUNCTION("""COMPUTED_VALUE"""),"ST GABERIEL PHARMACEUTICALS")</f>
        <v>ST GABERIEL PHARMACEUTICALS</v>
      </c>
    </row>
    <row r="2754">
      <c r="H2754" s="3" t="str">
        <f>IFERROR(__xludf.DUMMYFUNCTION("""COMPUTED_VALUE"""),"Stadchem Of India")</f>
        <v>Stadchem Of India</v>
      </c>
    </row>
    <row r="2755">
      <c r="H2755" s="3" t="str">
        <f>IFERROR(__xludf.DUMMYFUNCTION("""COMPUTED_VALUE"""),"STADIA BIOTECH")</f>
        <v>STADIA BIOTECH</v>
      </c>
    </row>
    <row r="2756">
      <c r="H2756" s="3" t="str">
        <f>IFERROR(__xludf.DUMMYFUNCTION("""COMPUTED_VALUE"""),"Stadmed Pvt Ltd")</f>
        <v>Stadmed Pvt Ltd</v>
      </c>
    </row>
    <row r="2757">
      <c r="H2757" s="3" t="str">
        <f>IFERROR(__xludf.DUMMYFUNCTION("""COMPUTED_VALUE"""),"Stallion Laboratories Pvt Ltd")</f>
        <v>Stallion Laboratories Pvt Ltd</v>
      </c>
    </row>
    <row r="2758">
      <c r="H2758" s="3" t="str">
        <f>IFERROR(__xludf.DUMMYFUNCTION("""COMPUTED_VALUE"""),"STALWART REMEDIES")</f>
        <v>STALWART REMEDIES</v>
      </c>
    </row>
    <row r="2759">
      <c r="H2759" s="3" t="str">
        <f>IFERROR(__xludf.DUMMYFUNCTION("""COMPUTED_VALUE"""),"STAMINE")</f>
        <v>STAMINE</v>
      </c>
    </row>
    <row r="2760">
      <c r="H2760" s="3" t="str">
        <f>IFERROR(__xludf.DUMMYFUNCTION("""COMPUTED_VALUE"""),"STANMARK PHARMA")</f>
        <v>STANMARK PHARMA</v>
      </c>
    </row>
    <row r="2761">
      <c r="H2761" s="3" t="str">
        <f>IFERROR(__xludf.DUMMYFUNCTION("""COMPUTED_VALUE"""),"STARELL BIOCEUTICALS PVT LTD")</f>
        <v>STARELL BIOCEUTICALS PVT LTD</v>
      </c>
    </row>
    <row r="2762">
      <c r="H2762" s="3" t="str">
        <f>IFERROR(__xludf.DUMMYFUNCTION("""COMPUTED_VALUE"""),"STARUS PHARMACEUTICALS P LTD")</f>
        <v>STARUS PHARMACEUTICALS P LTD</v>
      </c>
    </row>
    <row r="2763">
      <c r="H2763" s="3" t="str">
        <f>IFERROR(__xludf.DUMMYFUNCTION("""COMPUTED_VALUE"""),"STAUNCH HEALTH CARE")</f>
        <v>STAUNCH HEALTH CARE</v>
      </c>
    </row>
    <row r="2764">
      <c r="H2764" s="3" t="str">
        <f>IFERROR(__xludf.DUMMYFUNCTION("""COMPUTED_VALUE"""),"Staunch Health Care Pvt Ltd")</f>
        <v>Staunch Health Care Pvt Ltd</v>
      </c>
    </row>
    <row r="2765">
      <c r="H2765" s="3" t="str">
        <f>IFERROR(__xludf.DUMMYFUNCTION("""COMPUTED_VALUE"""),"STAYWELL FORMULATION P LTD")</f>
        <v>STAYWELL FORMULATION P LTD</v>
      </c>
    </row>
    <row r="2766">
      <c r="H2766" s="3" t="str">
        <f>IFERROR(__xludf.DUMMYFUNCTION("""COMPUTED_VALUE"""),"STEADFAST MEDISHIELD PVT LTD")</f>
        <v>STEADFAST MEDISHIELD PVT LTD</v>
      </c>
    </row>
    <row r="2767">
      <c r="H2767" s="3" t="str">
        <f>IFERROR(__xludf.DUMMYFUNCTION("""COMPUTED_VALUE"""),"Stedman Pharmaceuticals Pvt Ltd")</f>
        <v>Stedman Pharmaceuticals Pvt Ltd</v>
      </c>
    </row>
    <row r="2768">
      <c r="H2768" s="3" t="str">
        <f>IFERROR(__xludf.DUMMYFUNCTION("""COMPUTED_VALUE"""),"STEIGEN PHARMA")</f>
        <v>STEIGEN PHARMA</v>
      </c>
    </row>
    <row r="2769">
      <c r="H2769" s="3" t="str">
        <f>IFERROR(__xludf.DUMMYFUNCTION("""COMPUTED_VALUE"""),"STELLAR BIO LABS")</f>
        <v>STELLAR BIO LABS</v>
      </c>
    </row>
    <row r="2770">
      <c r="H2770" s="3" t="str">
        <f>IFERROR(__xludf.DUMMYFUNCTION("""COMPUTED_VALUE"""),"STENHIL LABS")</f>
        <v>STENHIL LABS</v>
      </c>
    </row>
    <row r="2771">
      <c r="H2771" s="3" t="str">
        <f>IFERROR(__xludf.DUMMYFUNCTION("""COMPUTED_VALUE"""),"STENROZ BIOTECH")</f>
        <v>STENROZ BIOTECH</v>
      </c>
    </row>
    <row r="2772">
      <c r="H2772" s="3" t="str">
        <f>IFERROR(__xludf.DUMMYFUNCTION("""COMPUTED_VALUE"""),"STEPAN LABORATORIES P LTD")</f>
        <v>STEPAN LABORATORIES P LTD</v>
      </c>
    </row>
    <row r="2773">
      <c r="H2773" s="3" t="str">
        <f>IFERROR(__xludf.DUMMYFUNCTION("""COMPUTED_VALUE"""),"STERANCO HEALTHCARE PVT LTD")</f>
        <v>STERANCO HEALTHCARE PVT LTD</v>
      </c>
    </row>
    <row r="2774">
      <c r="H2774" s="3" t="str">
        <f>IFERROR(__xludf.DUMMYFUNCTION("""COMPUTED_VALUE"""),"STERIS HEALTHCARE PVT LTD")</f>
        <v>STERIS HEALTHCARE PVT LTD</v>
      </c>
    </row>
    <row r="2775">
      <c r="H2775" s="3" t="str">
        <f>IFERROR(__xludf.DUMMYFUNCTION("""COMPUTED_VALUE"""),"Stiefel India Pvt Ltd")</f>
        <v>Stiefel India Pvt Ltd</v>
      </c>
    </row>
    <row r="2776">
      <c r="H2776" s="3" t="str">
        <f>IFERROR(__xludf.DUMMYFUNCTION("""COMPUTED_VALUE"""),"STIM BRUSHES")</f>
        <v>STIM BRUSHES</v>
      </c>
    </row>
    <row r="2777">
      <c r="H2777" s="3" t="str">
        <f>IFERROR(__xludf.DUMMYFUNCTION("""COMPUTED_VALUE"""),"Strassenburg Pharmaceuticals.Ltd")</f>
        <v>Strassenburg Pharmaceuticals.Ltd</v>
      </c>
    </row>
    <row r="2778">
      <c r="H2778" s="3" t="str">
        <f>IFERROR(__xludf.DUMMYFUNCTION("""COMPUTED_VALUE"""),"STRENGTHEN PHARMA")</f>
        <v>STRENGTHEN PHARMA</v>
      </c>
    </row>
    <row r="2779">
      <c r="H2779" s="3" t="str">
        <f>IFERROR(__xludf.DUMMYFUNCTION("""COMPUTED_VALUE"""),"STRIDES SHASUN")</f>
        <v>STRIDES SHASUN</v>
      </c>
    </row>
    <row r="2780">
      <c r="H2780" s="3" t="str">
        <f>IFERROR(__xludf.DUMMYFUNCTION("""COMPUTED_VALUE"""),"STRIDES SHASUN (AVETO)")</f>
        <v>STRIDES SHASUN (AVETO)</v>
      </c>
    </row>
    <row r="2781">
      <c r="H2781" s="3" t="str">
        <f>IFERROR(__xludf.DUMMYFUNCTION("""COMPUTED_VALUE"""),"STRIDES SHASUN (EXCEDO)")</f>
        <v>STRIDES SHASUN (EXCEDO)</v>
      </c>
    </row>
    <row r="2782">
      <c r="H2782" s="3" t="str">
        <f>IFERROR(__xludf.DUMMYFUNCTION("""COMPUTED_VALUE"""),"SUBLIME THERAPEUTICS PVT LTD")</f>
        <v>SUBLIME THERAPEUTICS PVT LTD</v>
      </c>
    </row>
    <row r="2783">
      <c r="H2783" s="3" t="str">
        <f>IFERROR(__xludf.DUMMYFUNCTION("""COMPUTED_VALUE"""),"SUBSIST PHARMA")</f>
        <v>SUBSIST PHARMA</v>
      </c>
    </row>
    <row r="2784">
      <c r="H2784" s="3" t="str">
        <f>IFERROR(__xludf.DUMMYFUNCTION("""COMPUTED_VALUE"""),"SUDHA")</f>
        <v>SUDHA</v>
      </c>
    </row>
    <row r="2785">
      <c r="H2785" s="3" t="str">
        <f>IFERROR(__xludf.DUMMYFUNCTION("""COMPUTED_VALUE"""),"SUFFUSE PHARMA")</f>
        <v>SUFFUSE PHARMA</v>
      </c>
    </row>
    <row r="2786">
      <c r="H2786" s="3" t="str">
        <f>IFERROR(__xludf.DUMMYFUNCTION("""COMPUTED_VALUE"""),"SUGANDHA LABOROTRIES")</f>
        <v>SUGANDHA LABOROTRIES</v>
      </c>
    </row>
    <row r="2787">
      <c r="H2787" s="3" t="str">
        <f>IFERROR(__xludf.DUMMYFUNCTION("""COMPUTED_VALUE"""),"SUJANIL CHEMO INDUSTRIES")</f>
        <v>SUJANIL CHEMO INDUSTRIES</v>
      </c>
    </row>
    <row r="2788">
      <c r="H2788" s="3" t="str">
        <f>IFERROR(__xludf.DUMMYFUNCTION("""COMPUTED_VALUE"""),"SUJATA MEDICOSE (OTHER PRODUCTS)")</f>
        <v>SUJATA MEDICOSE (OTHER PRODUCTS)</v>
      </c>
    </row>
    <row r="2789">
      <c r="H2789" s="3" t="str">
        <f>IFERROR(__xludf.DUMMYFUNCTION("""COMPUTED_VALUE"""),"SULZDERM PHARMA")</f>
        <v>SULZDERM PHARMA</v>
      </c>
    </row>
    <row r="2790">
      <c r="H2790" s="3" t="str">
        <f>IFERROR(__xludf.DUMMYFUNCTION("""COMPUTED_VALUE"""),"SUMANDEEP LIFE SCIENCES LLP")</f>
        <v>SUMANDEEP LIFE SCIENCES LLP</v>
      </c>
    </row>
    <row r="2791">
      <c r="H2791" s="3" t="str">
        <f>IFERROR(__xludf.DUMMYFUNCTION("""COMPUTED_VALUE"""),"SUMER HEALTHCARE")</f>
        <v>SUMER HEALTHCARE</v>
      </c>
    </row>
    <row r="2792">
      <c r="H2792" s="3" t="str">
        <f>IFERROR(__xludf.DUMMYFUNCTION("""COMPUTED_VALUE"""),"SUN (ONCOLOGY)")</f>
        <v>SUN (ONCOLOGY)</v>
      </c>
    </row>
    <row r="2793">
      <c r="H2793" s="3" t="str">
        <f>IFERROR(__xludf.DUMMYFUNCTION("""COMPUTED_VALUE"""),"SUN AJ PHARMA")</f>
        <v>SUN AJ PHARMA</v>
      </c>
    </row>
    <row r="2794">
      <c r="H2794" s="3" t="str">
        <f>IFERROR(__xludf.DUMMYFUNCTION("""COMPUTED_VALUE"""),"SUN HERITAGE PHARMA")</f>
        <v>SUN HERITAGE PHARMA</v>
      </c>
    </row>
    <row r="2795">
      <c r="H2795" s="3" t="str">
        <f>IFERROR(__xludf.DUMMYFUNCTION("""COMPUTED_VALUE"""),"SUN INDIA LABORATORIES")</f>
        <v>SUN INDIA LABORATORIES</v>
      </c>
    </row>
    <row r="2796">
      <c r="H2796" s="3" t="str">
        <f>IFERROR(__xludf.DUMMYFUNCTION("""COMPUTED_VALUE"""),"SUN LIFE SCIENCES PVT LTD")</f>
        <v>SUN LIFE SCIENCES PVT LTD</v>
      </c>
    </row>
    <row r="2797">
      <c r="H2797" s="3" t="str">
        <f>IFERROR(__xludf.DUMMYFUNCTION("""COMPUTED_VALUE"""),"SUN PHARMA (AKUNA AV)")</f>
        <v>SUN PHARMA (AKUNA AV)</v>
      </c>
    </row>
    <row r="2798">
      <c r="H2798" s="3" t="str">
        <f>IFERROR(__xludf.DUMMYFUNCTION("""COMPUTED_VALUE"""),"SUN PHARMA (AKUNA)")</f>
        <v>SUN PHARMA (AKUNA)</v>
      </c>
    </row>
    <row r="2799">
      <c r="H2799" s="3" t="str">
        <f>IFERROR(__xludf.DUMMYFUNCTION("""COMPUTED_VALUE"""),"SUN PHARMA (ALTAN)")</f>
        <v>SUN PHARMA (ALTAN)</v>
      </c>
    </row>
    <row r="2800">
      <c r="H2800" s="3" t="str">
        <f>IFERROR(__xludf.DUMMYFUNCTION("""COMPUTED_VALUE"""),"SUN PHARMA (ARIAN)")</f>
        <v>SUN PHARMA (ARIAN)</v>
      </c>
    </row>
    <row r="2801">
      <c r="H2801" s="3" t="str">
        <f>IFERROR(__xludf.DUMMYFUNCTION("""COMPUTED_VALUE"""),"SUN PHARMA (AVESTA)")</f>
        <v>SUN PHARMA (AVESTA)</v>
      </c>
    </row>
    <row r="2802">
      <c r="H2802" s="3" t="str">
        <f>IFERROR(__xludf.DUMMYFUNCTION("""COMPUTED_VALUE"""),"SUN PHARMA (AVIOR)")</f>
        <v>SUN PHARMA (AVIOR)</v>
      </c>
    </row>
    <row r="2803">
      <c r="H2803" s="3" t="str">
        <f>IFERROR(__xludf.DUMMYFUNCTION("""COMPUTED_VALUE"""),"SUN PHARMA (AZURA LIFE)")</f>
        <v>SUN PHARMA (AZURA LIFE)</v>
      </c>
    </row>
    <row r="2804">
      <c r="H2804" s="3" t="str">
        <f>IFERROR(__xludf.DUMMYFUNCTION("""COMPUTED_VALUE"""),"SUN PHARMA (AZURA)")</f>
        <v>SUN PHARMA (AZURA)</v>
      </c>
    </row>
    <row r="2805">
      <c r="H2805" s="3" t="str">
        <f>IFERROR(__xludf.DUMMYFUNCTION("""COMPUTED_VALUE"""),"SUN PHARMA (CORONUS)")</f>
        <v>SUN PHARMA (CORONUS)</v>
      </c>
    </row>
    <row r="2806">
      <c r="H2806" s="3" t="str">
        <f>IFERROR(__xludf.DUMMYFUNCTION("""COMPUTED_VALUE"""),"SUN PHARMA (INCA)")</f>
        <v>SUN PHARMA (INCA)</v>
      </c>
    </row>
    <row r="2807">
      <c r="H2807" s="3" t="str">
        <f>IFERROR(__xludf.DUMMYFUNCTION("""COMPUTED_VALUE"""),"SUN PHARMA (MAIN)")</f>
        <v>SUN PHARMA (MAIN)</v>
      </c>
    </row>
    <row r="2808">
      <c r="H2808" s="3" t="str">
        <f>IFERROR(__xludf.DUMMYFUNCTION("""COMPUTED_VALUE"""),"SUN PHARMA (MILMEL)")</f>
        <v>SUN PHARMA (MILMEL)</v>
      </c>
    </row>
    <row r="2809">
      <c r="H2809" s="3" t="str">
        <f>IFERROR(__xludf.DUMMYFUNCTION("""COMPUTED_VALUE"""),"SUN PHARMA (MILMET)")</f>
        <v>SUN PHARMA (MILMET)</v>
      </c>
    </row>
    <row r="2810">
      <c r="H2810" s="3" t="str">
        <f>IFERROR(__xludf.DUMMYFUNCTION("""COMPUTED_VALUE"""),"SUN PHARMA (ORTUS)")</f>
        <v>SUN PHARMA (ORTUS)</v>
      </c>
    </row>
    <row r="2811">
      <c r="H2811" s="3" t="str">
        <f>IFERROR(__xludf.DUMMYFUNCTION("""COMPUTED_VALUE"""),"SUN PHARMA (OTC)")</f>
        <v>SUN PHARMA (OTC)</v>
      </c>
    </row>
    <row r="2812">
      <c r="H2812" s="3" t="str">
        <f>IFERROR(__xludf.DUMMYFUNCTION("""COMPUTED_VALUE"""),"SUN PHARMA (PRIMALENT)")</f>
        <v>SUN PHARMA (PRIMALENT)</v>
      </c>
    </row>
    <row r="2813">
      <c r="H2813" s="3" t="str">
        <f>IFERROR(__xludf.DUMMYFUNCTION("""COMPUTED_VALUE"""),"SUN PHARMA (RADIANT)")</f>
        <v>SUN PHARMA (RADIANT)</v>
      </c>
    </row>
    <row r="2814">
      <c r="H2814" s="3" t="str">
        <f>IFERROR(__xludf.DUMMYFUNCTION("""COMPUTED_VALUE"""),"SUN PHARMA (SELECTA)")</f>
        <v>SUN PHARMA (SELECTA)</v>
      </c>
    </row>
    <row r="2815">
      <c r="H2815" s="3" t="str">
        <f>IFERROR(__xludf.DUMMYFUNCTION("""COMPUTED_VALUE"""),"SUN PHARMA (SENORA)")</f>
        <v>SUN PHARMA (SENORA)</v>
      </c>
    </row>
    <row r="2816">
      <c r="H2816" s="3" t="str">
        <f>IFERROR(__xludf.DUMMYFUNCTION("""COMPUTED_VALUE"""),"SUN PHARMA (SEPHEUS)")</f>
        <v>SUN PHARMA (SEPHEUS)</v>
      </c>
    </row>
    <row r="2817">
      <c r="H2817" s="3" t="str">
        <f>IFERROR(__xludf.DUMMYFUNCTION("""COMPUTED_VALUE"""),"SUN PHARMA (SIRIUS)")</f>
        <v>SUN PHARMA (SIRIUS)</v>
      </c>
    </row>
    <row r="2818">
      <c r="H2818" s="3" t="str">
        <f>IFERROR(__xludf.DUMMYFUNCTION("""COMPUTED_VALUE"""),"SUN PHARMA (SOLARES)")</f>
        <v>SUN PHARMA (SOLARES)</v>
      </c>
    </row>
    <row r="2819">
      <c r="H2819" s="3" t="str">
        <f>IFERROR(__xludf.DUMMYFUNCTION("""COMPUTED_VALUE"""),"SUN PHARMA (SPECTRA)")</f>
        <v>SUN PHARMA (SPECTRA)</v>
      </c>
    </row>
    <row r="2820">
      <c r="H2820" s="3" t="str">
        <f>IFERROR(__xludf.DUMMYFUNCTION("""COMPUTED_VALUE"""),"SUN PHARMA (SUNRION)")</f>
        <v>SUN PHARMA (SUNRION)</v>
      </c>
    </row>
    <row r="2821">
      <c r="H2821" s="3" t="str">
        <f>IFERROR(__xludf.DUMMYFUNCTION("""COMPUTED_VALUE"""),"SUN PHARMA (SYGUNS)")</f>
        <v>SUN PHARMA (SYGUNS)</v>
      </c>
    </row>
    <row r="2822">
      <c r="H2822" s="3" t="str">
        <f>IFERROR(__xludf.DUMMYFUNCTION("""COMPUTED_VALUE"""),"SUN PHARMA (SYMBIOSIS)")</f>
        <v>SUN PHARMA (SYMBIOSIS)</v>
      </c>
    </row>
    <row r="2823">
      <c r="H2823" s="3" t="str">
        <f>IFERROR(__xludf.DUMMYFUNCTION("""COMPUTED_VALUE"""),"SUN PHARMA (SYMENTA)")</f>
        <v>SUN PHARMA (SYMENTA)</v>
      </c>
    </row>
    <row r="2824">
      <c r="H2824" s="3" t="str">
        <f>IFERROR(__xludf.DUMMYFUNCTION("""COMPUTED_VALUE"""),"SUN PHARMA (SYNERGY)")</f>
        <v>SUN PHARMA (SYNERGY)</v>
      </c>
    </row>
    <row r="2825">
      <c r="H2825" s="3" t="str">
        <f>IFERROR(__xludf.DUMMYFUNCTION("""COMPUTED_VALUE"""),"SUN PHARMA (TR)")</f>
        <v>SUN PHARMA (TR)</v>
      </c>
    </row>
    <row r="2826">
      <c r="H2826" s="3" t="str">
        <f>IFERROR(__xludf.DUMMYFUNCTION("""COMPUTED_VALUE"""),"Sun Pharmaceuticals")</f>
        <v>Sun Pharmaceuticals</v>
      </c>
    </row>
    <row r="2827">
      <c r="H2827" s="3" t="str">
        <f>IFERROR(__xludf.DUMMYFUNCTION("""COMPUTED_VALUE"""),"SUN VISION HEALTHCARE")</f>
        <v>SUN VISION HEALTHCARE</v>
      </c>
    </row>
    <row r="2828">
      <c r="H2828" s="3" t="str">
        <f>IFERROR(__xludf.DUMMYFUNCTION("""COMPUTED_VALUE"""),"SUN-AJ PHARMA")</f>
        <v>SUN-AJ PHARMA</v>
      </c>
    </row>
    <row r="2829">
      <c r="H2829" s="3" t="str">
        <f>IFERROR(__xludf.DUMMYFUNCTION("""COMPUTED_VALUE"""),"SUNCARE PHARMACETUCALS")</f>
        <v>SUNCARE PHARMACETUCALS</v>
      </c>
    </row>
    <row r="2830">
      <c r="H2830" s="3" t="str">
        <f>IFERROR(__xludf.DUMMYFUNCTION("""COMPUTED_VALUE"""),"Sundyota Numandis Pharmaceuticals Pvt Ltd")</f>
        <v>Sundyota Numandis Pharmaceuticals Pvt Ltd</v>
      </c>
    </row>
    <row r="2831">
      <c r="H2831" s="3" t="str">
        <f>IFERROR(__xludf.DUMMYFUNCTION("""COMPUTED_VALUE"""),"SUNRISE PHARMACEUTICALS")</f>
        <v>SUNRISE PHARMACEUTICALS</v>
      </c>
    </row>
    <row r="2832">
      <c r="H2832" s="3" t="str">
        <f>IFERROR(__xludf.DUMMYFUNCTION("""COMPUTED_VALUE"""),"SUNUP HUMACARE PVT LTD")</f>
        <v>SUNUP HUMACARE PVT LTD</v>
      </c>
    </row>
    <row r="2833">
      <c r="H2833" s="3" t="str">
        <f>IFERROR(__xludf.DUMMYFUNCTION("""COMPUTED_VALUE"""),"SUNUP PHARMA PVT LTD")</f>
        <v>SUNUP PHARMA PVT LTD</v>
      </c>
    </row>
    <row r="2834">
      <c r="H2834" s="3" t="str">
        <f>IFERROR(__xludf.DUMMYFUNCTION("""COMPUTED_VALUE"""),"SUNVET PHARMA P LTD, SIRMOR")</f>
        <v>SUNVET PHARMA P LTD, SIRMOR</v>
      </c>
    </row>
    <row r="2835">
      <c r="H2835" s="3" t="str">
        <f>IFERROR(__xludf.DUMMYFUNCTION("""COMPUTED_VALUE"""),"SUNVIJ DRUGS")</f>
        <v>SUNVIJ DRUGS</v>
      </c>
    </row>
    <row r="2836">
      <c r="H2836" s="3" t="str">
        <f>IFERROR(__xludf.DUMMYFUNCTION("""COMPUTED_VALUE"""),"Sunways India Pvt Ltd")</f>
        <v>Sunways India Pvt Ltd</v>
      </c>
    </row>
    <row r="2837">
      <c r="H2837" s="3" t="str">
        <f>IFERROR(__xludf.DUMMYFUNCTION("""COMPUTED_VALUE"""),"SUPER PHARMA")</f>
        <v>SUPER PHARMA</v>
      </c>
    </row>
    <row r="2838">
      <c r="H2838" s="3" t="str">
        <f>IFERROR(__xludf.DUMMYFUNCTION("""COMPUTED_VALUE"""),"SUPERB PHARMA")</f>
        <v>SUPERB PHARMA</v>
      </c>
    </row>
    <row r="2839">
      <c r="H2839" s="3" t="str">
        <f>IFERROR(__xludf.DUMMYFUNCTION("""COMPUTED_VALUE"""),"SUPERLATIVE HEALTHCARE")</f>
        <v>SUPERLATIVE HEALTHCARE</v>
      </c>
    </row>
    <row r="2840">
      <c r="H2840" s="3" t="str">
        <f>IFERROR(__xludf.DUMMYFUNCTION("""COMPUTED_VALUE"""),"SUPREME PHARMA")</f>
        <v>SUPREME PHARMA</v>
      </c>
    </row>
    <row r="2841">
      <c r="H2841" s="3" t="str">
        <f>IFERROR(__xludf.DUMMYFUNCTION("""COMPUTED_VALUE"""),"SUPREX LABORATORIES")</f>
        <v>SUPREX LABORATORIES</v>
      </c>
    </row>
    <row r="2842">
      <c r="H2842" s="3" t="str">
        <f>IFERROR(__xludf.DUMMYFUNCTION("""COMPUTED_VALUE"""),"SURE LIFESCIENCE")</f>
        <v>SURE LIFESCIENCE</v>
      </c>
    </row>
    <row r="2843">
      <c r="H2843" s="3" t="str">
        <f>IFERROR(__xludf.DUMMYFUNCTION("""COMPUTED_VALUE"""),"SURGE PHARMACEUTICAL PVT LTD")</f>
        <v>SURGE PHARMACEUTICAL PVT LTD</v>
      </c>
    </row>
    <row r="2844">
      <c r="H2844" s="3" t="str">
        <f>IFERROR(__xludf.DUMMYFUNCTION("""COMPUTED_VALUE"""),"SURGICARE")</f>
        <v>SURGICARE</v>
      </c>
    </row>
    <row r="2845">
      <c r="H2845" s="3" t="str">
        <f>IFERROR(__xludf.DUMMYFUNCTION("""COMPUTED_VALUE"""),"SURJAN AYURVEDIC PHARMACY")</f>
        <v>SURJAN AYURVEDIC PHARMACY</v>
      </c>
    </row>
    <row r="2846">
      <c r="H2846" s="3" t="str">
        <f>IFERROR(__xludf.DUMMYFUNCTION("""COMPUTED_VALUE"""),"SURYA PHARMA AYURVEDIC")</f>
        <v>SURYA PHARMA AYURVEDIC</v>
      </c>
    </row>
    <row r="2847">
      <c r="H2847" s="3" t="str">
        <f>IFERROR(__xludf.DUMMYFUNCTION("""COMPUTED_VALUE"""),"SURYA PHARMA, VARANASI")</f>
        <v>SURYA PHARMA, VARANASI</v>
      </c>
    </row>
    <row r="2848">
      <c r="H2848" s="3" t="str">
        <f>IFERROR(__xludf.DUMMYFUNCTION("""COMPUTED_VALUE"""),"SURYA PHARMACEUTICALS")</f>
        <v>SURYA PHARMACEUTICALS</v>
      </c>
    </row>
    <row r="2849">
      <c r="H2849" s="3" t="str">
        <f>IFERROR(__xludf.DUMMYFUNCTION("""COMPUTED_VALUE"""),"SV LIFECARE")</f>
        <v>SV LIFECARE</v>
      </c>
    </row>
    <row r="2850">
      <c r="H2850" s="3" t="str">
        <f>IFERROR(__xludf.DUMMYFUNCTION("""COMPUTED_VALUE"""),"SVEN GENTECH LTD")</f>
        <v>SVEN GENTECH LTD</v>
      </c>
    </row>
    <row r="2851">
      <c r="H2851" s="3" t="str">
        <f>IFERROR(__xludf.DUMMYFUNCTION("""COMPUTED_VALUE"""),"SVIZERA")</f>
        <v>SVIZERA</v>
      </c>
    </row>
    <row r="2852">
      <c r="H2852" s="3" t="str">
        <f>IFERROR(__xludf.DUMMYFUNCTION("""COMPUTED_VALUE"""),"SWAGDARE LIFESCIENCE")</f>
        <v>SWAGDARE LIFESCIENCE</v>
      </c>
    </row>
    <row r="2853">
      <c r="H2853" s="3" t="str">
        <f>IFERROR(__xludf.DUMMYFUNCTION("""COMPUTED_VALUE"""),"SWAROOP PHARMACEUTICALS PVT LTD")</f>
        <v>SWAROOP PHARMACEUTICALS PVT LTD</v>
      </c>
    </row>
    <row r="2854">
      <c r="H2854" s="3" t="str">
        <f>IFERROR(__xludf.DUMMYFUNCTION("""COMPUTED_VALUE"""),"SWASTH BIOTECH P LTD")</f>
        <v>SWASTH BIOTECH P LTD</v>
      </c>
    </row>
    <row r="2855">
      <c r="H2855" s="3" t="str">
        <f>IFERROR(__xludf.DUMMYFUNCTION("""COMPUTED_VALUE"""),"SWASTIK FORMULATION PVT LTD")</f>
        <v>SWASTIK FORMULATION PVT LTD</v>
      </c>
    </row>
    <row r="2856">
      <c r="H2856" s="3" t="str">
        <f>IFERROR(__xludf.DUMMYFUNCTION("""COMPUTED_VALUE"""),"SWEDISH LIFESCIENCES")</f>
        <v>SWEDISH LIFESCIENCES</v>
      </c>
    </row>
    <row r="2857">
      <c r="H2857" s="3" t="str">
        <f>IFERROR(__xludf.DUMMYFUNCTION("""COMPUTED_VALUE"""),"SWEIZ PHARMACEUTICAL PVT LTD")</f>
        <v>SWEIZ PHARMACEUTICAL PVT LTD</v>
      </c>
    </row>
    <row r="2858">
      <c r="H2858" s="3" t="str">
        <f>IFERROR(__xludf.DUMMYFUNCTION("""COMPUTED_VALUE"""),"SWISS INTERNATIONAL")</f>
        <v>SWISS INTERNATIONAL</v>
      </c>
    </row>
    <row r="2859">
      <c r="H2859" s="3" t="str">
        <f>IFERROR(__xludf.DUMMYFUNCTION("""COMPUTED_VALUE"""),"SYGNUS BIOTECH")</f>
        <v>SYGNUS BIOTECH</v>
      </c>
    </row>
    <row r="2860">
      <c r="H2860" s="3" t="str">
        <f>IFERROR(__xludf.DUMMYFUNCTION("""COMPUTED_VALUE"""),"Symbiosis Lab")</f>
        <v>Symbiosis Lab</v>
      </c>
    </row>
    <row r="2861">
      <c r="H2861" s="3" t="str">
        <f>IFERROR(__xludf.DUMMYFUNCTION("""COMPUTED_VALUE"""),"SYMBIOSIS LIFESCIENCES")</f>
        <v>SYMBIOSIS LIFESCIENCES</v>
      </c>
    </row>
    <row r="2862">
      <c r="H2862" s="3" t="str">
        <f>IFERROR(__xludf.DUMMYFUNCTION("""COMPUTED_VALUE"""),"SYMBIOSIS PHARMA")</f>
        <v>SYMBIOSIS PHARMA</v>
      </c>
    </row>
    <row r="2863">
      <c r="H2863" s="3" t="str">
        <f>IFERROR(__xludf.DUMMYFUNCTION("""COMPUTED_VALUE"""),"Synchem Lab")</f>
        <v>Synchem Lab</v>
      </c>
    </row>
    <row r="2864">
      <c r="H2864" s="3" t="str">
        <f>IFERROR(__xludf.DUMMYFUNCTION("""COMPUTED_VALUE"""),"SYNCOM FORMULATIONS (INDIA) LTD")</f>
        <v>SYNCOM FORMULATIONS (INDIA) LTD</v>
      </c>
    </row>
    <row r="2865">
      <c r="H2865" s="3" t="str">
        <f>IFERROR(__xludf.DUMMYFUNCTION("""COMPUTED_VALUE"""),"SYNCOM FORMULATIONS PVT LTD")</f>
        <v>SYNCOM FORMULATIONS PVT LTD</v>
      </c>
    </row>
    <row r="2866">
      <c r="H2866" s="3" t="str">
        <f>IFERROR(__xludf.DUMMYFUNCTION("""COMPUTED_VALUE"""),"SYNDICATE PHARMA")</f>
        <v>SYNDICATE PHARMA</v>
      </c>
    </row>
    <row r="2867">
      <c r="H2867" s="3" t="str">
        <f>IFERROR(__xludf.DUMMYFUNCTION("""COMPUTED_VALUE"""),"SYNERGY")</f>
        <v>SYNERGY</v>
      </c>
    </row>
    <row r="2868">
      <c r="H2868" s="3" t="str">
        <f>IFERROR(__xludf.DUMMYFUNCTION("""COMPUTED_VALUE"""),"SYNERGY DIAGNOSTICS")</f>
        <v>SYNERGY DIAGNOSTICS</v>
      </c>
    </row>
    <row r="2869">
      <c r="H2869" s="3" t="str">
        <f>IFERROR(__xludf.DUMMYFUNCTION("""COMPUTED_VALUE"""),"SYNERGY VACCINES LLP")</f>
        <v>SYNERGY VACCINES LLP</v>
      </c>
    </row>
    <row r="2870">
      <c r="H2870" s="3" t="str">
        <f>IFERROR(__xludf.DUMMYFUNCTION("""COMPUTED_VALUE"""),"SYNODIC LIFESCIENCES P LTD")</f>
        <v>SYNODIC LIFESCIENCES P LTD</v>
      </c>
    </row>
    <row r="2871">
      <c r="H2871" s="3" t="str">
        <f>IFERROR(__xludf.DUMMYFUNCTION("""COMPUTED_VALUE"""),"SYNOPTIC LIFE SCIENCES")</f>
        <v>SYNOPTIC LIFE SCIENCES</v>
      </c>
    </row>
    <row r="2872">
      <c r="H2872" s="3" t="str">
        <f>IFERROR(__xludf.DUMMYFUNCTION("""COMPUTED_VALUE"""),"SYNOVIA LIFESCIENCES")</f>
        <v>SYNOVIA LIFESCIENCES</v>
      </c>
    </row>
    <row r="2873">
      <c r="H2873" s="3" t="str">
        <f>IFERROR(__xludf.DUMMYFUNCTION("""COMPUTED_VALUE"""),"SYNTHESIS")</f>
        <v>SYNTHESIS</v>
      </c>
    </row>
    <row r="2874">
      <c r="H2874" s="3" t="str">
        <f>IFERROR(__xludf.DUMMYFUNCTION("""COMPUTED_VALUE"""),"SYNTHIKO EXPORTS")</f>
        <v>SYNTHIKO EXPORTS</v>
      </c>
    </row>
    <row r="2875">
      <c r="H2875" s="3" t="str">
        <f>IFERROR(__xludf.DUMMYFUNCTION("""COMPUTED_VALUE"""),"Syntho Pharmaceuticals Pvt Ltd")</f>
        <v>Syntho Pharmaceuticals Pvt Ltd</v>
      </c>
    </row>
    <row r="2876">
      <c r="H2876" s="3" t="str">
        <f>IFERROR(__xludf.DUMMYFUNCTION("""COMPUTED_VALUE"""),"SYNTHOKIND PHARMACEUTICALS PVT LTD")</f>
        <v>SYNTHOKIND PHARMACEUTICALS PVT LTD</v>
      </c>
    </row>
    <row r="2877">
      <c r="H2877" s="3" t="str">
        <f>IFERROR(__xludf.DUMMYFUNCTION("""COMPUTED_VALUE"""),"SYNTONIX BIOFARM")</f>
        <v>SYNTONIX BIOFARM</v>
      </c>
    </row>
    <row r="2878">
      <c r="H2878" s="3" t="str">
        <f>IFERROR(__xludf.DUMMYFUNCTION("""COMPUTED_VALUE"""),"SYSCOM")</f>
        <v>SYSCOM</v>
      </c>
    </row>
    <row r="2879">
      <c r="H2879" s="3" t="str">
        <f>IFERROR(__xludf.DUMMYFUNCTION("""COMPUTED_VALUE"""),"SYSMED LABORATORIES PVT LTD")</f>
        <v>SYSMED LABORATORIES PVT LTD</v>
      </c>
    </row>
    <row r="2880">
      <c r="H2880" s="3" t="str">
        <f>IFERROR(__xludf.DUMMYFUNCTION("""COMPUTED_VALUE"""),"SYSTEMIC HEALTHCARE")</f>
        <v>SYSTEMIC HEALTHCARE</v>
      </c>
    </row>
    <row r="2881">
      <c r="H2881" s="3" t="str">
        <f>IFERROR(__xludf.DUMMYFUNCTION("""COMPUTED_VALUE"""),"SYSTOCHEM")</f>
        <v>SYSTOCHEM</v>
      </c>
    </row>
    <row r="2882">
      <c r="H2882" s="3" t="str">
        <f>IFERROR(__xludf.DUMMYFUNCTION("""COMPUTED_VALUE"""),"Systopic Laboratories Pvt Ltd")</f>
        <v>Systopic Laboratories Pvt Ltd</v>
      </c>
    </row>
    <row r="2883">
      <c r="H2883" s="3" t="str">
        <f>IFERROR(__xludf.DUMMYFUNCTION("""COMPUTED_VALUE"""),"TABLETS INDIA")</f>
        <v>TABLETS INDIA</v>
      </c>
    </row>
    <row r="2884">
      <c r="H2884" s="3" t="str">
        <f>IFERROR(__xludf.DUMMYFUNCTION("""COMPUTED_VALUE"""),"TABLETS INDIA (LUCID)")</f>
        <v>TABLETS INDIA (LUCID)</v>
      </c>
    </row>
    <row r="2885">
      <c r="H2885" s="3" t="str">
        <f>IFERROR(__xludf.DUMMYFUNCTION("""COMPUTED_VALUE"""),"TABLETS INDIA (TABZEN)")</f>
        <v>TABLETS INDIA (TABZEN)</v>
      </c>
    </row>
    <row r="2886">
      <c r="H2886" s="3" t="str">
        <f>IFERROR(__xludf.DUMMYFUNCTION("""COMPUTED_VALUE"""),"TABLETS INDIA (VIBRANZ)")</f>
        <v>TABLETS INDIA (VIBRANZ)</v>
      </c>
    </row>
    <row r="2887">
      <c r="H2887" s="3" t="str">
        <f>IFERROR(__xludf.DUMMYFUNCTION("""COMPUTED_VALUE"""),"Talent Healthcare")</f>
        <v>Talent Healthcare</v>
      </c>
    </row>
    <row r="2888">
      <c r="H2888" s="3" t="str">
        <f>IFERROR(__xludf.DUMMYFUNCTION("""COMPUTED_VALUE"""),"TALENT INDIA")</f>
        <v>TALENT INDIA</v>
      </c>
    </row>
    <row r="2889">
      <c r="H2889" s="3" t="str">
        <f>IFERROR(__xludf.DUMMYFUNCTION("""COMPUTED_VALUE"""),"TALIN REMEDIES")</f>
        <v>TALIN REMEDIES</v>
      </c>
    </row>
    <row r="2890">
      <c r="H2890" s="3" t="str">
        <f>IFERROR(__xludf.DUMMYFUNCTION("""COMPUTED_VALUE"""),"TARAGOD PHARMACALS")</f>
        <v>TARAGOD PHARMACALS</v>
      </c>
    </row>
    <row r="2891">
      <c r="H2891" s="3" t="str">
        <f>IFERROR(__xludf.DUMMYFUNCTION("""COMPUTED_VALUE"""),"taronto")</f>
        <v>taronto</v>
      </c>
    </row>
    <row r="2892">
      <c r="H2892" s="3" t="str">
        <f>IFERROR(__xludf.DUMMYFUNCTION("""COMPUTED_VALUE"""),"TASMED LAB")</f>
        <v>TASMED LAB</v>
      </c>
    </row>
    <row r="2893">
      <c r="H2893" s="3" t="str">
        <f>IFERROR(__xludf.DUMMYFUNCTION("""COMPUTED_VALUE"""),"TASMED LAB (DERMA)")</f>
        <v>TASMED LAB (DERMA)</v>
      </c>
    </row>
    <row r="2894">
      <c r="H2894" s="3" t="str">
        <f>IFERROR(__xludf.DUMMYFUNCTION("""COMPUTED_VALUE"""),"TEBLIK DRUG P LTD")</f>
        <v>TEBLIK DRUG P LTD</v>
      </c>
    </row>
    <row r="2895">
      <c r="H2895" s="3" t="str">
        <f>IFERROR(__xludf.DUMMYFUNCTION("""COMPUTED_VALUE"""),"TECHNOPHARMA PHARMACEUTICALS")</f>
        <v>TECHNOPHARMA PHARMACEUTICALS</v>
      </c>
    </row>
    <row r="2896">
      <c r="H2896" s="3" t="str">
        <f>IFERROR(__xludf.DUMMYFUNCTION("""COMPUTED_VALUE"""),"TEETHYS INC")</f>
        <v>TEETHYS INC</v>
      </c>
    </row>
    <row r="2897">
      <c r="H2897" s="3" t="str">
        <f>IFERROR(__xludf.DUMMYFUNCTION("""COMPUTED_VALUE"""),"TEMOMAPS 100")</f>
        <v>TEMOMAPS 100</v>
      </c>
    </row>
    <row r="2898">
      <c r="H2898" s="3" t="str">
        <f>IFERROR(__xludf.DUMMYFUNCTION("""COMPUTED_VALUE"""),"TEMOMAPS 20")</f>
        <v>TEMOMAPS 20</v>
      </c>
    </row>
    <row r="2899">
      <c r="H2899" s="3" t="str">
        <f>IFERROR(__xludf.DUMMYFUNCTION("""COMPUTED_VALUE"""),"TEMOMAPS 250")</f>
        <v>TEMOMAPS 250</v>
      </c>
    </row>
    <row r="2900">
      <c r="H2900" s="3" t="str">
        <f>IFERROR(__xludf.DUMMYFUNCTION("""COMPUTED_VALUE"""),"TERAPIO PHARMA P LTD")</f>
        <v>TERAPIO PHARMA P LTD</v>
      </c>
    </row>
    <row r="2901">
      <c r="H2901" s="3" t="str">
        <f>IFERROR(__xludf.DUMMYFUNCTION("""COMPUTED_VALUE"""),"TETRAMED BIOTEK PVT LTD")</f>
        <v>TETRAMED BIOTEK PVT LTD</v>
      </c>
    </row>
    <row r="2902">
      <c r="H2902" s="3" t="str">
        <f>IFERROR(__xludf.DUMMYFUNCTION("""COMPUTED_VALUE"""),"THE ARIYANPHARMACEUTICALS")</f>
        <v>THE ARIYANPHARMACEUTICALS</v>
      </c>
    </row>
    <row r="2903">
      <c r="H2903" s="3" t="str">
        <f>IFERROR(__xludf.DUMMYFUNCTION("""COMPUTED_VALUE"""),"THE BIHARI AYURVEDIC PHARMACY")</f>
        <v>THE BIHARI AYURVEDIC PHARMACY</v>
      </c>
    </row>
    <row r="2904">
      <c r="H2904" s="3" t="str">
        <f>IFERROR(__xludf.DUMMYFUNCTION("""COMPUTED_VALUE"""),"THE TAYYEBI DAWAKHANA")</f>
        <v>THE TAYYEBI DAWAKHANA</v>
      </c>
    </row>
    <row r="2905">
      <c r="H2905" s="3" t="str">
        <f>IFERROR(__xludf.DUMMYFUNCTION("""COMPUTED_VALUE"""),"THE ZONE CHEMICAL COMPANY")</f>
        <v>THE ZONE CHEMICAL COMPANY</v>
      </c>
    </row>
    <row r="2906">
      <c r="H2906" s="3" t="str">
        <f>IFERROR(__xludf.DUMMYFUNCTION("""COMPUTED_VALUE"""),"Themis Medicare Ltd")</f>
        <v>Themis Medicare Ltd</v>
      </c>
    </row>
    <row r="2907">
      <c r="H2907" s="3" t="str">
        <f>IFERROR(__xludf.DUMMYFUNCTION("""COMPUTED_VALUE"""),"Themis Medicare Ltd (SPECIALITY)")</f>
        <v>Themis Medicare Ltd (SPECIALITY)</v>
      </c>
    </row>
    <row r="2908">
      <c r="H2908" s="3" t="str">
        <f>IFERROR(__xludf.DUMMYFUNCTION("""COMPUTED_VALUE"""),"THEOGEN P LTD")</f>
        <v>THEOGEN P LTD</v>
      </c>
    </row>
    <row r="2909">
      <c r="H2909" s="3" t="str">
        <f>IFERROR(__xludf.DUMMYFUNCTION("""COMPUTED_VALUE"""),"THERMED LIFESCIENCES")</f>
        <v>THERMED LIFESCIENCES</v>
      </c>
    </row>
    <row r="2910">
      <c r="H2910" s="3" t="str">
        <f>IFERROR(__xludf.DUMMYFUNCTION("""COMPUTED_VALUE"""),"Theta Lab Pvt Ltd")</f>
        <v>Theta Lab Pvt Ltd</v>
      </c>
    </row>
    <row r="2911">
      <c r="H2911" s="3" t="str">
        <f>IFERROR(__xludf.DUMMYFUNCTION("""COMPUTED_VALUE"""),"TIARA")</f>
        <v>TIARA</v>
      </c>
    </row>
    <row r="2912">
      <c r="H2912" s="3" t="str">
        <f>IFERROR(__xludf.DUMMYFUNCTION("""COMPUTED_VALUE"""),"Tidal Laboratories Pvt Ltd")</f>
        <v>Tidal Laboratories Pvt Ltd</v>
      </c>
    </row>
    <row r="2913">
      <c r="H2913" s="3" t="str">
        <f>IFERROR(__xludf.DUMMYFUNCTION("""COMPUTED_VALUE"""),"TILLU SOUL PHARMA")</f>
        <v>TILLU SOUL PHARMA</v>
      </c>
    </row>
    <row r="2914">
      <c r="H2914" s="3" t="str">
        <f>IFERROR(__xludf.DUMMYFUNCTION("""COMPUTED_VALUE"""),"TIRUPATI MEDICARE LTD")</f>
        <v>TIRUPATI MEDICARE LTD</v>
      </c>
    </row>
    <row r="2915">
      <c r="H2915" s="3" t="str">
        <f>IFERROR(__xludf.DUMMYFUNCTION("""COMPUTED_VALUE"""),"TISCON")</f>
        <v>TISCON</v>
      </c>
    </row>
    <row r="2916">
      <c r="H2916" s="3" t="str">
        <f>IFERROR(__xludf.DUMMYFUNCTION("""COMPUTED_VALUE"""),"TITAN (BIOSCIENCES)")</f>
        <v>TITAN (BIOSCIENCES)</v>
      </c>
    </row>
    <row r="2917">
      <c r="H2917" s="3" t="str">
        <f>IFERROR(__xludf.DUMMYFUNCTION("""COMPUTED_VALUE"""),"TITAN (FUTURA)")</f>
        <v>TITAN (FUTURA)</v>
      </c>
    </row>
    <row r="2918">
      <c r="H2918" s="3" t="str">
        <f>IFERROR(__xludf.DUMMYFUNCTION("""COMPUTED_VALUE"""),"TJS BEAUTY SECREAT")</f>
        <v>TJS BEAUTY SECREAT</v>
      </c>
    </row>
    <row r="2919">
      <c r="H2919" s="3" t="str">
        <f>IFERROR(__xludf.DUMMYFUNCTION("""COMPUTED_VALUE"""),"TN SYS MERYL PHARMA PVT LTD")</f>
        <v>TN SYS MERYL PHARMA PVT LTD</v>
      </c>
    </row>
    <row r="2920">
      <c r="H2920" s="3" t="str">
        <f>IFERROR(__xludf.DUMMYFUNCTION("""COMPUTED_VALUE"""),"TODAY REMEDIES")</f>
        <v>TODAY REMEDIES</v>
      </c>
    </row>
    <row r="2921">
      <c r="H2921" s="3" t="str">
        <f>IFERROR(__xludf.DUMMYFUNCTION("""COMPUTED_VALUE"""),"TORAINSE LIFECARE")</f>
        <v>TORAINSE LIFECARE</v>
      </c>
    </row>
    <row r="2922">
      <c r="H2922" s="3" t="str">
        <f>IFERROR(__xludf.DUMMYFUNCTION("""COMPUTED_VALUE"""),"TORINO LABOTATORIES PVT LTD")</f>
        <v>TORINO LABOTATORIES PVT LTD</v>
      </c>
    </row>
    <row r="2923">
      <c r="H2923" s="3" t="str">
        <f>IFERROR(__xludf.DUMMYFUNCTION("""COMPUTED_VALUE"""),"Torque Pharmaceuticals Pvt Ltd")</f>
        <v>Torque Pharmaceuticals Pvt Ltd</v>
      </c>
    </row>
    <row r="2924">
      <c r="H2924" s="3" t="str">
        <f>IFERROR(__xludf.DUMMYFUNCTION("""COMPUTED_VALUE"""),"TORQUE PHRAMACUETICAL")</f>
        <v>TORQUE PHRAMACUETICAL</v>
      </c>
    </row>
    <row r="2925">
      <c r="H2925" s="3" t="str">
        <f>IFERROR(__xludf.DUMMYFUNCTION("""COMPUTED_VALUE"""),"TORRENT (AXON)")</f>
        <v>TORRENT (AXON)</v>
      </c>
    </row>
    <row r="2926">
      <c r="H2926" s="3" t="str">
        <f>IFERROR(__xludf.DUMMYFUNCTION("""COMPUTED_VALUE"""),"TORRENT (AZUCA)")</f>
        <v>TORRENT (AZUCA)</v>
      </c>
    </row>
    <row r="2927">
      <c r="H2927" s="3" t="str">
        <f>IFERROR(__xludf.DUMMYFUNCTION("""COMPUTED_VALUE"""),"TORRENT (B WELL)")</f>
        <v>TORRENT (B WELL)</v>
      </c>
    </row>
    <row r="2928">
      <c r="H2928" s="3" t="str">
        <f>IFERROR(__xludf.DUMMYFUNCTION("""COMPUTED_VALUE"""),"TORRENT (B-GYNE)")</f>
        <v>TORRENT (B-GYNE)</v>
      </c>
    </row>
    <row r="2929">
      <c r="H2929" s="3" t="str">
        <f>IFERROR(__xludf.DUMMYFUNCTION("""COMPUTED_VALUE"""),"TORRENT (DELTA)")</f>
        <v>TORRENT (DELTA)</v>
      </c>
    </row>
    <row r="2930">
      <c r="H2930" s="3" t="str">
        <f>IFERROR(__xludf.DUMMYFUNCTION("""COMPUTED_VALUE"""),"TORRENT (MIND)")</f>
        <v>TORRENT (MIND)</v>
      </c>
    </row>
    <row r="2931">
      <c r="H2931" s="3" t="str">
        <f>IFERROR(__xludf.DUMMYFUNCTION("""COMPUTED_VALUE"""),"TORRENT (NEURON)")</f>
        <v>TORRENT (NEURON)</v>
      </c>
    </row>
    <row r="2932">
      <c r="H2932" s="3" t="str">
        <f>IFERROR(__xludf.DUMMYFUNCTION("""COMPUTED_VALUE"""),"TORRENT (PRIMA)")</f>
        <v>TORRENT (PRIMA)</v>
      </c>
    </row>
    <row r="2933">
      <c r="H2933" s="3" t="str">
        <f>IFERROR(__xludf.DUMMYFUNCTION("""COMPUTED_VALUE"""),"TORRENT (PSYCAN-CND)")</f>
        <v>TORRENT (PSYCAN-CND)</v>
      </c>
    </row>
    <row r="2934">
      <c r="H2934" s="3" t="str">
        <f>IFERROR(__xludf.DUMMYFUNCTION("""COMPUTED_VALUE"""),"TORRENT (PSYCAN)")</f>
        <v>TORRENT (PSYCAN)</v>
      </c>
    </row>
    <row r="2935">
      <c r="H2935" s="3" t="str">
        <f>IFERROR(__xludf.DUMMYFUNCTION("""COMPUTED_VALUE"""),"TORRENT (SENSA PV)")</f>
        <v>TORRENT (SENSA PV)</v>
      </c>
    </row>
    <row r="2936">
      <c r="H2936" s="3" t="str">
        <f>IFERROR(__xludf.DUMMYFUNCTION("""COMPUTED_VALUE"""),"TORRENT (SPARSH)")</f>
        <v>TORRENT (SPARSH)</v>
      </c>
    </row>
    <row r="2937">
      <c r="H2937" s="3" t="str">
        <f>IFERROR(__xludf.DUMMYFUNCTION("""COMPUTED_VALUE"""),"TORRENT (SPRRITUS)")</f>
        <v>TORRENT (SPRRITUS)</v>
      </c>
    </row>
    <row r="2938">
      <c r="H2938" s="3" t="str">
        <f>IFERROR(__xludf.DUMMYFUNCTION("""COMPUTED_VALUE"""),"TORRENT (Unichem-UVA)")</f>
        <v>TORRENT (Unichem-UVA)</v>
      </c>
    </row>
    <row r="2939">
      <c r="H2939" s="3" t="str">
        <f>IFERROR(__xludf.DUMMYFUNCTION("""COMPUTED_VALUE"""),"TORRENT (UNO SPRIT)")</f>
        <v>TORRENT (UNO SPRIT)</v>
      </c>
    </row>
    <row r="2940">
      <c r="H2940" s="3" t="str">
        <f>IFERROR(__xludf.DUMMYFUNCTION("""COMPUTED_VALUE"""),"TORRENT (UNO VISTA)")</f>
        <v>TORRENT (UNO VISTA)</v>
      </c>
    </row>
    <row r="2941">
      <c r="H2941" s="3" t="str">
        <f>IFERROR(__xludf.DUMMYFUNCTION("""COMPUTED_VALUE"""),"TORRENT (VISTA)")</f>
        <v>TORRENT (VISTA)</v>
      </c>
    </row>
    <row r="2942">
      <c r="H2942" s="3" t="str">
        <f>IFERROR(__xludf.DUMMYFUNCTION("""COMPUTED_VALUE"""),"TORRENT (VIVA)")</f>
        <v>TORRENT (VIVA)</v>
      </c>
    </row>
    <row r="2943">
      <c r="H2943" s="3" t="str">
        <f>IFERROR(__xludf.DUMMYFUNCTION("""COMPUTED_VALUE"""),"Torrent Pharmaceuticals Ltd")</f>
        <v>Torrent Pharmaceuticals Ltd</v>
      </c>
    </row>
    <row r="2944">
      <c r="H2944" s="3" t="str">
        <f>IFERROR(__xludf.DUMMYFUNCTION("""COMPUTED_VALUE"""),"TREATWELL PHARMA")</f>
        <v>TREATWELL PHARMA</v>
      </c>
    </row>
    <row r="2945">
      <c r="H2945" s="3" t="str">
        <f>IFERROR(__xludf.DUMMYFUNCTION("""COMPUTED_VALUE"""),"TRIBUNE PHARMACEUTICALS")</f>
        <v>TRIBUNE PHARMACEUTICALS</v>
      </c>
    </row>
    <row r="2946">
      <c r="H2946" s="3" t="str">
        <f>IFERROR(__xludf.DUMMYFUNCTION("""COMPUTED_VALUE"""),"TRIFARMA")</f>
        <v>TRIFARMA</v>
      </c>
    </row>
    <row r="2947">
      <c r="H2947" s="3" t="str">
        <f>IFERROR(__xludf.DUMMYFUNCTION("""COMPUTED_VALUE"""),"TRIGLOBAL BIOSCIENCE")</f>
        <v>TRIGLOBAL BIOSCIENCE</v>
      </c>
    </row>
    <row r="2948">
      <c r="H2948" s="3" t="str">
        <f>IFERROR(__xludf.DUMMYFUNCTION("""COMPUTED_VALUE"""),"TRIKONA PHARMACEUTICALS PVT LTD")</f>
        <v>TRIKONA PHARMACEUTICALS PVT LTD</v>
      </c>
    </row>
    <row r="2949">
      <c r="H2949" s="3" t="str">
        <f>IFERROR(__xludf.DUMMYFUNCTION("""COMPUTED_VALUE"""),"TRIO LIFESCIENCE")</f>
        <v>TRIO LIFESCIENCE</v>
      </c>
    </row>
    <row r="2950">
      <c r="H2950" s="3" t="str">
        <f>IFERROR(__xludf.DUMMYFUNCTION("""COMPUTED_VALUE"""),"TRIPADA HEALTHCARE")</f>
        <v>TRIPADA HEALTHCARE</v>
      </c>
    </row>
    <row r="2951">
      <c r="H2951" s="3" t="str">
        <f>IFERROR(__xludf.DUMMYFUNCTION("""COMPUTED_VALUE"""),"TRIPADA LIFECARE")</f>
        <v>TRIPADA LIFECARE</v>
      </c>
    </row>
    <row r="2952">
      <c r="H2952" s="3" t="str">
        <f>IFERROR(__xludf.DUMMYFUNCTION("""COMPUTED_VALUE"""),"TRITON")</f>
        <v>TRITON</v>
      </c>
    </row>
    <row r="2953">
      <c r="H2953" s="3" t="str">
        <f>IFERROR(__xludf.DUMMYFUNCTION("""COMPUTED_VALUE"""),"TRIUMPH")</f>
        <v>TRIUMPH</v>
      </c>
    </row>
    <row r="2954">
      <c r="H2954" s="3" t="str">
        <f>IFERROR(__xludf.DUMMYFUNCTION("""COMPUTED_VALUE"""),"TRIVIGYA BIOSCIENCE")</f>
        <v>TRIVIGYA BIOSCIENCE</v>
      </c>
    </row>
    <row r="2955">
      <c r="H2955" s="3" t="str">
        <f>IFERROR(__xludf.DUMMYFUNCTION("""COMPUTED_VALUE"""),"TROIKAA (ALTIUS)")</f>
        <v>TROIKAA (ALTIUS)</v>
      </c>
    </row>
    <row r="2956">
      <c r="H2956" s="3" t="str">
        <f>IFERROR(__xludf.DUMMYFUNCTION("""COMPUTED_VALUE"""),"TROIKAA (AURA)")</f>
        <v>TROIKAA (AURA)</v>
      </c>
    </row>
    <row r="2957">
      <c r="H2957" s="3" t="str">
        <f>IFERROR(__xludf.DUMMYFUNCTION("""COMPUTED_VALUE"""),"TROIKAA (CITIUS)")</f>
        <v>TROIKAA (CITIUS)</v>
      </c>
    </row>
    <row r="2958">
      <c r="H2958" s="3" t="str">
        <f>IFERROR(__xludf.DUMMYFUNCTION("""COMPUTED_VALUE"""),"TROIKAA (GENERIC)")</f>
        <v>TROIKAA (GENERIC)</v>
      </c>
    </row>
    <row r="2959">
      <c r="H2959" s="3" t="str">
        <f>IFERROR(__xludf.DUMMYFUNCTION("""COMPUTED_VALUE"""),"TROIKAA (HOS)")</f>
        <v>TROIKAA (HOS)</v>
      </c>
    </row>
    <row r="2960">
      <c r="H2960" s="3" t="str">
        <f>IFERROR(__xludf.DUMMYFUNCTION("""COMPUTED_VALUE"""),"TROIKAA (SPECTRA)")</f>
        <v>TROIKAA (SPECTRA)</v>
      </c>
    </row>
    <row r="2961">
      <c r="H2961" s="3" t="str">
        <f>IFERROR(__xludf.DUMMYFUNCTION("""COMPUTED_VALUE"""),"Troikaa Pharmaceuticals Ltd")</f>
        <v>Troikaa Pharmaceuticals Ltd</v>
      </c>
    </row>
    <row r="2962">
      <c r="H2962" s="3" t="str">
        <f>IFERROR(__xludf.DUMMYFUNCTION("""COMPUTED_VALUE"""),"TROPHIC (WELLNESS)")</f>
        <v>TROPHIC (WELLNESS)</v>
      </c>
    </row>
    <row r="2963">
      <c r="H2963" s="3" t="str">
        <f>IFERROR(__xludf.DUMMYFUNCTION("""COMPUTED_VALUE"""),"TRULAM LIFE SCIENCES")</f>
        <v>TRULAM LIFE SCIENCES</v>
      </c>
    </row>
    <row r="2964">
      <c r="H2964" s="3" t="str">
        <f>IFERROR(__xludf.DUMMYFUNCTION("""COMPUTED_VALUE"""),"TRUMAC HEALTHCARE PVT LTD")</f>
        <v>TRUMAC HEALTHCARE PVT LTD</v>
      </c>
    </row>
    <row r="2965">
      <c r="H2965" s="3" t="str">
        <f>IFERROR(__xludf.DUMMYFUNCTION("""COMPUTED_VALUE"""),"TRUWORTH HEALTHCARE")</f>
        <v>TRUWORTH HEALTHCARE</v>
      </c>
    </row>
    <row r="2966">
      <c r="H2966" s="3" t="str">
        <f>IFERROR(__xludf.DUMMYFUNCTION("""COMPUTED_VALUE"""),"TRY BIRD HEALTHCARE PVT LTD")</f>
        <v>TRY BIRD HEALTHCARE PVT LTD</v>
      </c>
    </row>
    <row r="2967">
      <c r="H2967" s="3" t="str">
        <f>IFERROR(__xludf.DUMMYFUNCTION("""COMPUTED_VALUE"""),"TTK HEALTHCARE (ENDURA)")</f>
        <v>TTK HEALTHCARE (ENDURA)</v>
      </c>
    </row>
    <row r="2968">
      <c r="H2968" s="3" t="str">
        <f>IFERROR(__xludf.DUMMYFUNCTION("""COMPUTED_VALUE"""),"TTK HEALTHCARE (NOVA)")</f>
        <v>TTK HEALTHCARE (NOVA)</v>
      </c>
    </row>
    <row r="2969">
      <c r="H2969" s="3" t="str">
        <f>IFERROR(__xludf.DUMMYFUNCTION("""COMPUTED_VALUE"""),"TTK HEALTHCARE (VENTURA GYNIC)")</f>
        <v>TTK HEALTHCARE (VENTURA GYNIC)</v>
      </c>
    </row>
    <row r="2970">
      <c r="H2970" s="3" t="str">
        <f>IFERROR(__xludf.DUMMYFUNCTION("""COMPUTED_VALUE"""),"TTK HEALTHCARE (VENTURA)")</f>
        <v>TTK HEALTHCARE (VENTURA)</v>
      </c>
    </row>
    <row r="2971">
      <c r="H2971" s="3" t="str">
        <f>IFERROR(__xludf.DUMMYFUNCTION("""COMPUTED_VALUE"""),"TTK Healthcare Ltd")</f>
        <v>TTK Healthcare Ltd</v>
      </c>
    </row>
    <row r="2972">
      <c r="H2972" s="3" t="str">
        <f>IFERROR(__xludf.DUMMYFUNCTION("""COMPUTED_VALUE"""),"TUHI LIFE SCIENCES P LTD")</f>
        <v>TUHI LIFE SCIENCES P LTD</v>
      </c>
    </row>
    <row r="2973">
      <c r="H2973" s="3" t="str">
        <f>IFERROR(__xludf.DUMMYFUNCTION("""COMPUTED_VALUE"""),"TULAS PHARMACEUTICALS PVT LTD")</f>
        <v>TULAS PHARMACEUTICALS PVT LTD</v>
      </c>
    </row>
    <row r="2974">
      <c r="H2974" s="3" t="str">
        <f>IFERROR(__xludf.DUMMYFUNCTION("""COMPUTED_VALUE"""),"TULIP LAB PVT LTD")</f>
        <v>TULIP LAB PVT LTD</v>
      </c>
    </row>
    <row r="2975">
      <c r="H2975" s="3" t="str">
        <f>IFERROR(__xludf.DUMMYFUNCTION("""COMPUTED_VALUE"""),"TUTON PHARMACEUTICALS")</f>
        <v>TUTON PHARMACEUTICALS</v>
      </c>
    </row>
    <row r="2976">
      <c r="H2976" s="3" t="str">
        <f>IFERROR(__xludf.DUMMYFUNCTION("""COMPUTED_VALUE"""),"TWEET INDIA")</f>
        <v>TWEET INDIA</v>
      </c>
    </row>
    <row r="2977">
      <c r="H2977" s="3" t="str">
        <f>IFERROR(__xludf.DUMMYFUNCTION("""COMPUTED_VALUE"""),"UA BIOTECH PVT LTD")</f>
        <v>UA BIOTECH PVT LTD</v>
      </c>
    </row>
    <row r="2978">
      <c r="H2978" s="3" t="str">
        <f>IFERROR(__xludf.DUMMYFUNCTION("""COMPUTED_VALUE"""),"UCB India Pvt Ltd")</f>
        <v>UCB India Pvt Ltd</v>
      </c>
    </row>
    <row r="2979">
      <c r="H2979" s="3" t="str">
        <f>IFERROR(__xludf.DUMMYFUNCTION("""COMPUTED_VALUE"""),"ULTRATECH PHARMACEUTICALS")</f>
        <v>ULTRATECH PHARMACEUTICALS</v>
      </c>
    </row>
    <row r="2980">
      <c r="H2980" s="3" t="str">
        <f>IFERROR(__xludf.DUMMYFUNCTION("""COMPUTED_VALUE"""),"ULTRON PHARMA PVT TD")</f>
        <v>ULTRON PHARMA PVT TD</v>
      </c>
    </row>
    <row r="2981">
      <c r="H2981" s="3" t="str">
        <f>IFERROR(__xludf.DUMMYFUNCTION("""COMPUTED_VALUE"""),"UMARK PHARMACEUTICALS")</f>
        <v>UMARK PHARMACEUTICALS</v>
      </c>
    </row>
    <row r="2982">
      <c r="H2982" s="3" t="str">
        <f>IFERROR(__xludf.DUMMYFUNCTION("""COMPUTED_VALUE"""),"UNANI AYUR SEWA ASHRAM")</f>
        <v>UNANI AYUR SEWA ASHRAM</v>
      </c>
    </row>
    <row r="2983">
      <c r="H2983" s="3" t="str">
        <f>IFERROR(__xludf.DUMMYFUNCTION("""COMPUTED_VALUE"""),"UNI PLUS HEALTHCARE INDIA PVT LTD")</f>
        <v>UNI PLUS HEALTHCARE INDIA PVT LTD</v>
      </c>
    </row>
    <row r="2984">
      <c r="H2984" s="3" t="str">
        <f>IFERROR(__xludf.DUMMYFUNCTION("""COMPUTED_VALUE"""),"UNIALL PHARMA")</f>
        <v>UNIALL PHARMA</v>
      </c>
    </row>
    <row r="2985">
      <c r="H2985" s="3" t="str">
        <f>IFERROR(__xludf.DUMMYFUNCTION("""COMPUTED_VALUE"""),"UNIASTHA LIFE SCIENCES,SOLAN")</f>
        <v>UNIASTHA LIFE SCIENCES,SOLAN</v>
      </c>
    </row>
    <row r="2986">
      <c r="H2986" s="3" t="str">
        <f>IFERROR(__xludf.DUMMYFUNCTION("""COMPUTED_VALUE"""),"UNICHEM (GENERIC)")</f>
        <v>UNICHEM (GENERIC)</v>
      </c>
    </row>
    <row r="2987">
      <c r="H2987" s="3" t="str">
        <f>IFERROR(__xludf.DUMMYFUNCTION("""COMPUTED_VALUE"""),"Unichem Laboratories (LIFECARE)")</f>
        <v>Unichem Laboratories (LIFECARE)</v>
      </c>
    </row>
    <row r="2988">
      <c r="H2988" s="3" t="str">
        <f>IFERROR(__xludf.DUMMYFUNCTION("""COMPUTED_VALUE"""),"UNICHEM LABORATORIES LTD")</f>
        <v>UNICHEM LABORATORIES LTD</v>
      </c>
    </row>
    <row r="2989">
      <c r="H2989" s="3" t="str">
        <f>IFERROR(__xludf.DUMMYFUNCTION("""COMPUTED_VALUE"""),"Unicure India Pvt Ltd")</f>
        <v>Unicure India Pvt Ltd</v>
      </c>
    </row>
    <row r="2990">
      <c r="H2990" s="3" t="str">
        <f>IFERROR(__xludf.DUMMYFUNCTION("""COMPUTED_VALUE"""),"Unicure Remedies Pvt Ltd")</f>
        <v>Unicure Remedies Pvt Ltd</v>
      </c>
    </row>
    <row r="2991">
      <c r="H2991" s="3" t="str">
        <f>IFERROR(__xludf.DUMMYFUNCTION("""COMPUTED_VALUE"""),"UNIFAITH  BIOTECH P LTD")</f>
        <v>UNIFAITH  BIOTECH P LTD</v>
      </c>
    </row>
    <row r="2992">
      <c r="H2992" s="3" t="str">
        <f>IFERROR(__xludf.DUMMYFUNCTION("""COMPUTED_VALUE"""),"UNIFARMA HERBALS")</f>
        <v>UNIFARMA HERBALS</v>
      </c>
    </row>
    <row r="2993">
      <c r="H2993" s="3" t="str">
        <f>IFERROR(__xludf.DUMMYFUNCTION("""COMPUTED_VALUE"""),"UNIJULES LIFESCIENCES (UNIVERSAL MEDIKIT)")</f>
        <v>UNIJULES LIFESCIENCES (UNIVERSAL MEDIKIT)</v>
      </c>
    </row>
    <row r="2994">
      <c r="H2994" s="3" t="str">
        <f>IFERROR(__xludf.DUMMYFUNCTION("""COMPUTED_VALUE"""),"UNIKIND PHARMA")</f>
        <v>UNIKIND PHARMA</v>
      </c>
    </row>
    <row r="2995">
      <c r="H2995" s="3" t="str">
        <f>IFERROR(__xludf.DUMMYFUNCTION("""COMPUTED_VALUE"""),"Unimarck Healthcare Ltd")</f>
        <v>Unimarck Healthcare Ltd</v>
      </c>
    </row>
    <row r="2996">
      <c r="H2996" s="3" t="str">
        <f>IFERROR(__xludf.DUMMYFUNCTION("""COMPUTED_VALUE"""),"UNIMARCK PHARMA INDIA LTD")</f>
        <v>UNIMARCK PHARMA INDIA LTD</v>
      </c>
    </row>
    <row r="2997">
      <c r="H2997" s="3" t="str">
        <f>IFERROR(__xludf.DUMMYFUNCTION("""COMPUTED_VALUE"""),"Unimark Remedies Ltd")</f>
        <v>Unimark Remedies Ltd</v>
      </c>
    </row>
    <row r="2998">
      <c r="H2998" s="3" t="str">
        <f>IFERROR(__xludf.DUMMYFUNCTION("""COMPUTED_VALUE"""),"UNINOR BIOTECH")</f>
        <v>UNINOR BIOTECH</v>
      </c>
    </row>
    <row r="2999">
      <c r="H2999" s="3" t="str">
        <f>IFERROR(__xludf.DUMMYFUNCTION("""COMPUTED_VALUE"""),"UNIPEX")</f>
        <v>UNIPEX</v>
      </c>
    </row>
    <row r="3000">
      <c r="H3000" s="3" t="str">
        <f>IFERROR(__xludf.DUMMYFUNCTION("""COMPUTED_VALUE"""),"UNIQUE DRUGS LAB NEEMANVAS")</f>
        <v>UNIQUE DRUGS LAB NEEMANVAS</v>
      </c>
    </row>
    <row r="3001">
      <c r="H3001" s="3" t="str">
        <f>IFERROR(__xludf.DUMMYFUNCTION("""COMPUTED_VALUE"""),"UNIROSE PHARMA PVT LTD")</f>
        <v>UNIROSE PHARMA PVT LTD</v>
      </c>
    </row>
    <row r="3002">
      <c r="H3002" s="3" t="str">
        <f>IFERROR(__xludf.DUMMYFUNCTION("""COMPUTED_VALUE"""),"UNISAFE BIOSCIENCE")</f>
        <v>UNISAFE BIOSCIENCE</v>
      </c>
    </row>
    <row r="3003">
      <c r="H3003" s="3" t="str">
        <f>IFERROR(__xludf.DUMMYFUNCTION("""COMPUTED_VALUE"""),"UNISANKYO")</f>
        <v>UNISANKYO</v>
      </c>
    </row>
    <row r="3004">
      <c r="H3004" s="3" t="str">
        <f>IFERROR(__xludf.DUMMYFUNCTION("""COMPUTED_VALUE"""),"Unison Pharmaceutical (UNICARE)")</f>
        <v>Unison Pharmaceutical (UNICARE)</v>
      </c>
    </row>
    <row r="3005">
      <c r="H3005" s="3" t="str">
        <f>IFERROR(__xludf.DUMMYFUNCTION("""COMPUTED_VALUE"""),"UNISON PHARMACEUTICALS PVT LTD")</f>
        <v>UNISON PHARMACEUTICALS PVT LTD</v>
      </c>
    </row>
    <row r="3006">
      <c r="H3006" s="3" t="str">
        <f>IFERROR(__xludf.DUMMYFUNCTION("""COMPUTED_VALUE"""),"UNISURE BIOTECH")</f>
        <v>UNISURE BIOTECH</v>
      </c>
    </row>
    <row r="3007">
      <c r="H3007" s="3" t="str">
        <f>IFERROR(__xludf.DUMMYFUNCTION("""COMPUTED_VALUE"""),"UNITECH HEALTHCARE")</f>
        <v>UNITECH HEALTHCARE</v>
      </c>
    </row>
    <row r="3008">
      <c r="H3008" s="3" t="str">
        <f>IFERROR(__xludf.DUMMYFUNCTION("""COMPUTED_VALUE"""),"UNITECH HEALTHCARE P LTD")</f>
        <v>UNITECH HEALTHCARE P LTD</v>
      </c>
    </row>
    <row r="3009">
      <c r="H3009" s="3" t="str">
        <f>IFERROR(__xludf.DUMMYFUNCTION("""COMPUTED_VALUE"""),"UNITED BIOTECH")</f>
        <v>UNITED BIOTECH</v>
      </c>
    </row>
    <row r="3010">
      <c r="H3010" s="3" t="str">
        <f>IFERROR(__xludf.DUMMYFUNCTION("""COMPUTED_VALUE"""),"UNITED BIOTECH (CRITICAL CARE)")</f>
        <v>UNITED BIOTECH (CRITICAL CARE)</v>
      </c>
    </row>
    <row r="3011">
      <c r="H3011" s="3" t="str">
        <f>IFERROR(__xludf.DUMMYFUNCTION("""COMPUTED_VALUE"""),"UNITED BIOTECH (HYGEA DIVISION)")</f>
        <v>UNITED BIOTECH (HYGEA DIVISION)</v>
      </c>
    </row>
    <row r="3012">
      <c r="H3012" s="3" t="str">
        <f>IFERROR(__xludf.DUMMYFUNCTION("""COMPUTED_VALUE"""),"UNITED BIOTECH (SPECIALTY DIVISION)")</f>
        <v>UNITED BIOTECH (SPECIALTY DIVISION)</v>
      </c>
    </row>
    <row r="3013">
      <c r="H3013" s="3" t="str">
        <f>IFERROR(__xludf.DUMMYFUNCTION("""COMPUTED_VALUE"""),"UNIVENTIS")</f>
        <v>UNIVENTIS</v>
      </c>
    </row>
    <row r="3014">
      <c r="H3014" s="3" t="str">
        <f>IFERROR(__xludf.DUMMYFUNCTION("""COMPUTED_VALUE"""),"UNIVENTIS MEDICARE LTD")</f>
        <v>UNIVENTIS MEDICARE LTD</v>
      </c>
    </row>
    <row r="3015">
      <c r="H3015" s="3" t="str">
        <f>IFERROR(__xludf.DUMMYFUNCTION("""COMPUTED_VALUE"""),"UNIVERSAL BIOSCIENCES (GENERIC)")</f>
        <v>UNIVERSAL BIOSCIENCES (GENERIC)</v>
      </c>
    </row>
    <row r="3016">
      <c r="H3016" s="3" t="str">
        <f>IFERROR(__xludf.DUMMYFUNCTION("""COMPUTED_VALUE"""),"Universal Drug House Pvt Ltd")</f>
        <v>Universal Drug House Pvt Ltd</v>
      </c>
    </row>
    <row r="3017">
      <c r="H3017" s="3" t="str">
        <f>IFERROR(__xludf.DUMMYFUNCTION("""COMPUTED_VALUE"""),"UNIVERSAL HELTHCARE BADDI")</f>
        <v>UNIVERSAL HELTHCARE BADDI</v>
      </c>
    </row>
    <row r="3018">
      <c r="H3018" s="3" t="str">
        <f>IFERROR(__xludf.DUMMYFUNCTION("""COMPUTED_VALUE"""),"UNIVERSAL LIFE SCIENCES (GENERIC)")</f>
        <v>UNIVERSAL LIFE SCIENCES (GENERIC)</v>
      </c>
    </row>
    <row r="3019">
      <c r="H3019" s="3" t="str">
        <f>IFERROR(__xludf.DUMMYFUNCTION("""COMPUTED_VALUE"""),"UNIVERSAL LTD")</f>
        <v>UNIVERSAL LTD</v>
      </c>
    </row>
    <row r="3020">
      <c r="H3020" s="3" t="str">
        <f>IFERROR(__xludf.DUMMYFUNCTION("""COMPUTED_VALUE"""),"Universal Medikit")</f>
        <v>Universal Medikit</v>
      </c>
    </row>
    <row r="3021">
      <c r="H3021" s="3" t="str">
        <f>IFERROR(__xludf.DUMMYFUNCTION("""COMPUTED_VALUE"""),"Universal Twin Labs (GENERIC)")</f>
        <v>Universal Twin Labs (GENERIC)</v>
      </c>
    </row>
    <row r="3022">
      <c r="H3022" s="3" t="str">
        <f>IFERROR(__xludf.DUMMYFUNCTION("""COMPUTED_VALUE"""),"UNIVICTOR HEALTHCARE")</f>
        <v>UNIVICTOR HEALTHCARE</v>
      </c>
    </row>
    <row r="3023">
      <c r="H3023" s="3" t="str">
        <f>IFERROR(__xludf.DUMMYFUNCTION("""COMPUTED_VALUE"""),"UNIX")</f>
        <v>UNIX</v>
      </c>
    </row>
    <row r="3024">
      <c r="H3024" s="3" t="str">
        <f>IFERROR(__xludf.DUMMYFUNCTION("""COMPUTED_VALUE"""),"UNIZA HEALTHCARE")</f>
        <v>UNIZA HEALTHCARE</v>
      </c>
    </row>
    <row r="3025">
      <c r="H3025" s="3" t="str">
        <f>IFERROR(__xludf.DUMMYFUNCTION("""COMPUTED_VALUE"""),"UNJHA PHARMACY")</f>
        <v>UNJHA PHARMACY</v>
      </c>
    </row>
    <row r="3026">
      <c r="H3026" s="3" t="str">
        <f>IFERROR(__xludf.DUMMYFUNCTION("""COMPUTED_VALUE"""),"UPJONE LAB PVT LTD")</f>
        <v>UPJONE LAB PVT LTD</v>
      </c>
    </row>
    <row r="3027">
      <c r="H3027" s="3" t="str">
        <f>IFERROR(__xludf.DUMMYFUNCTION("""COMPUTED_VALUE"""),"URIHK PHARMACEUTICAL PVT LTD")</f>
        <v>URIHK PHARMACEUTICAL PVT LTD</v>
      </c>
    </row>
    <row r="3028">
      <c r="H3028" s="3" t="str">
        <f>IFERROR(__xludf.DUMMYFUNCTION("""COMPUTED_VALUE"""),"URMED PHARMACEUTICAL")</f>
        <v>URMED PHARMACEUTICAL</v>
      </c>
    </row>
    <row r="3029">
      <c r="H3029" s="3" t="str">
        <f>IFERROR(__xludf.DUMMYFUNCTION("""COMPUTED_VALUE"""),"USV (CENTRA)")</f>
        <v>USV (CENTRA)</v>
      </c>
    </row>
    <row r="3030">
      <c r="H3030" s="3" t="str">
        <f>IFERROR(__xludf.DUMMYFUNCTION("""COMPUTED_VALUE"""),"USV (CHANNEL)")</f>
        <v>USV (CHANNEL)</v>
      </c>
    </row>
    <row r="3031">
      <c r="H3031" s="3" t="str">
        <f>IFERROR(__xludf.DUMMYFUNCTION("""COMPUTED_VALUE"""),"USV (CLASSIC)")</f>
        <v>USV (CLASSIC)</v>
      </c>
    </row>
    <row r="3032">
      <c r="H3032" s="3" t="str">
        <f>IFERROR(__xludf.DUMMYFUNCTION("""COMPUTED_VALUE"""),"USV (CONDOR)")</f>
        <v>USV (CONDOR)</v>
      </c>
    </row>
    <row r="3033">
      <c r="H3033" s="3" t="str">
        <f>IFERROR(__xludf.DUMMYFUNCTION("""COMPUTED_VALUE"""),"USV (CONQUER)")</f>
        <v>USV (CONQUER)</v>
      </c>
    </row>
    <row r="3034">
      <c r="H3034" s="3" t="str">
        <f>IFERROR(__xludf.DUMMYFUNCTION("""COMPUTED_VALUE"""),"USV (CORONA)")</f>
        <v>USV (CORONA)</v>
      </c>
    </row>
    <row r="3035">
      <c r="H3035" s="3" t="str">
        <f>IFERROR(__xludf.DUMMYFUNCTION("""COMPUTED_VALUE"""),"USV (CORVETT)")</f>
        <v>USV (CORVETT)</v>
      </c>
    </row>
    <row r="3036">
      <c r="H3036" s="3" t="str">
        <f>IFERROR(__xludf.DUMMYFUNCTION("""COMPUTED_VALUE"""),"USV (COSMETICS)")</f>
        <v>USV (COSMETICS)</v>
      </c>
    </row>
    <row r="3037">
      <c r="H3037" s="3" t="str">
        <f>IFERROR(__xludf.DUMMYFUNCTION("""COMPUTED_VALUE"""),"USV (CRESCENDO)")</f>
        <v>USV (CRESCENDO)</v>
      </c>
    </row>
    <row r="3038">
      <c r="H3038" s="3" t="str">
        <f>IFERROR(__xludf.DUMMYFUNCTION("""COMPUTED_VALUE"""),"USV (CREST)")</f>
        <v>USV (CREST)</v>
      </c>
    </row>
    <row r="3039">
      <c r="H3039" s="3" t="str">
        <f>IFERROR(__xludf.DUMMYFUNCTION("""COMPUTED_VALUE"""),"USV (GENERAL)")</f>
        <v>USV (GENERAL)</v>
      </c>
    </row>
    <row r="3040">
      <c r="H3040" s="3" t="str">
        <f>IFERROR(__xludf.DUMMYFUNCTION("""COMPUTED_VALUE"""),"USV (LIFEON)")</f>
        <v>USV (LIFEON)</v>
      </c>
    </row>
    <row r="3041">
      <c r="H3041" s="3" t="str">
        <f>IFERROR(__xludf.DUMMYFUNCTION("""COMPUTED_VALUE"""),"USV (MULTI SPECIALITY)")</f>
        <v>USV (MULTI SPECIALITY)</v>
      </c>
    </row>
    <row r="3042">
      <c r="H3042" s="3" t="str">
        <f>IFERROR(__xludf.DUMMYFUNCTION("""COMPUTED_VALUE"""),"USV (TAZLOC TEAM)")</f>
        <v>USV (TAZLOC TEAM)</v>
      </c>
    </row>
    <row r="3043">
      <c r="H3043" s="3" t="str">
        <f>IFERROR(__xludf.DUMMYFUNCTION("""COMPUTED_VALUE"""),"USV Ltd")</f>
        <v>USV Ltd</v>
      </c>
    </row>
    <row r="3044">
      <c r="H3044" s="3" t="str">
        <f>IFERROR(__xludf.DUMMYFUNCTION("""COMPUTED_VALUE"""),"UTH Healthcare")</f>
        <v>UTH Healthcare</v>
      </c>
    </row>
    <row r="3045">
      <c r="H3045" s="3" t="str">
        <f>IFERROR(__xludf.DUMMYFUNCTION("""COMPUTED_VALUE"""),"UTLTRAMED")</f>
        <v>UTLTRAMED</v>
      </c>
    </row>
    <row r="3046">
      <c r="H3046" s="3" t="str">
        <f>IFERROR(__xludf.DUMMYFUNCTION("""COMPUTED_VALUE"""),"VAARDAAN")</f>
        <v>VAARDAAN</v>
      </c>
    </row>
    <row r="3047">
      <c r="H3047" s="3" t="str">
        <f>IFERROR(__xludf.DUMMYFUNCTION("""COMPUTED_VALUE"""),"VADNARE CHEMICAL WORKS")</f>
        <v>VADNARE CHEMICAL WORKS</v>
      </c>
    </row>
    <row r="3048">
      <c r="H3048" s="3" t="str">
        <f>IFERROR(__xludf.DUMMYFUNCTION("""COMPUTED_VALUE"""),"VADNARE CHEMICALS")</f>
        <v>VADNARE CHEMICALS</v>
      </c>
    </row>
    <row r="3049">
      <c r="H3049" s="3" t="str">
        <f>IFERROR(__xludf.DUMMYFUNCTION("""COMPUTED_VALUE"""),"VAIDRISHI LABORATORIES")</f>
        <v>VAIDRISHI LABORATORIES</v>
      </c>
    </row>
    <row r="3050">
      <c r="H3050" s="3" t="str">
        <f>IFERROR(__xludf.DUMMYFUNCTION("""COMPUTED_VALUE"""),"VAIDYA PATANKAR PHARMACY")</f>
        <v>VAIDYA PATANKAR PHARMACY</v>
      </c>
    </row>
    <row r="3051">
      <c r="H3051" s="3" t="str">
        <f>IFERROR(__xludf.DUMMYFUNCTION("""COMPUTED_VALUE"""),"VALCRET")</f>
        <v>VALCRET</v>
      </c>
    </row>
    <row r="3052">
      <c r="H3052" s="3" t="str">
        <f>IFERROR(__xludf.DUMMYFUNCTION("""COMPUTED_VALUE"""),"VALENS PHARMACEUTICALS")</f>
        <v>VALENS PHARMACEUTICALS</v>
      </c>
    </row>
    <row r="3053">
      <c r="H3053" s="3" t="str">
        <f>IFERROR(__xludf.DUMMYFUNCTION("""COMPUTED_VALUE"""),"VALLABH VIJAY COMPANY")</f>
        <v>VALLABH VIJAY COMPANY</v>
      </c>
    </row>
    <row r="3054">
      <c r="H3054" s="3" t="str">
        <f>IFERROR(__xludf.DUMMYFUNCTION("""COMPUTED_VALUE"""),"VALLEY PHARMA")</f>
        <v>VALLEY PHARMA</v>
      </c>
    </row>
    <row r="3055">
      <c r="H3055" s="3" t="str">
        <f>IFERROR(__xludf.DUMMYFUNCTION("""COMPUTED_VALUE"""),"VAMSI")</f>
        <v>VAMSI</v>
      </c>
    </row>
    <row r="3056">
      <c r="H3056" s="3" t="str">
        <f>IFERROR(__xludf.DUMMYFUNCTION("""COMPUTED_VALUE"""),"Vanguard Therapeutics Pvt Ltd")</f>
        <v>Vanguard Therapeutics Pvt Ltd</v>
      </c>
    </row>
    <row r="3057">
      <c r="H3057" s="3" t="str">
        <f>IFERROR(__xludf.DUMMYFUNCTION("""COMPUTED_VALUE"""),"VANMART PHARMACEUTICALS &amp; BIOTECH")</f>
        <v>VANMART PHARMACEUTICALS &amp; BIOTECH</v>
      </c>
    </row>
    <row r="3058">
      <c r="H3058" s="3" t="str">
        <f>IFERROR(__xludf.DUMMYFUNCTION("""COMPUTED_VALUE"""),"VARDHAN HEALTH CARE")</f>
        <v>VARDHAN HEALTH CARE</v>
      </c>
    </row>
    <row r="3059">
      <c r="H3059" s="3" t="str">
        <f>IFERROR(__xludf.DUMMYFUNCTION("""COMPUTED_VALUE"""),"VARENYAM HEALTHCARE")</f>
        <v>VARENYAM HEALTHCARE</v>
      </c>
    </row>
    <row r="3060">
      <c r="H3060" s="3" t="str">
        <f>IFERROR(__xludf.DUMMYFUNCTION("""COMPUTED_VALUE"""),"VARLIN BIOSCIENCE")</f>
        <v>VARLIN BIOSCIENCE</v>
      </c>
    </row>
    <row r="3061">
      <c r="H3061" s="3" t="str">
        <f>IFERROR(__xludf.DUMMYFUNCTION("""COMPUTED_VALUE"""),"Vasu Pharmaceuticals Pvt Ltd")</f>
        <v>Vasu Pharmaceuticals Pvt Ltd</v>
      </c>
    </row>
    <row r="3062">
      <c r="H3062" s="3" t="str">
        <f>IFERROR(__xludf.DUMMYFUNCTION("""COMPUTED_VALUE"""),"VASU SPORTS INTERNATIONAL")</f>
        <v>VASU SPORTS INTERNATIONAL</v>
      </c>
    </row>
    <row r="3063">
      <c r="H3063" s="3" t="str">
        <f>IFERROR(__xludf.DUMMYFUNCTION("""COMPUTED_VALUE"""),"VAZES CO OFFICE PILLS")</f>
        <v>VAZES CO OFFICE PILLS</v>
      </c>
    </row>
    <row r="3064">
      <c r="H3064" s="3" t="str">
        <f>IFERROR(__xludf.DUMMYFUNCTION("""COMPUTED_VALUE"""),"VEANA CR")</f>
        <v>VEANA CR</v>
      </c>
    </row>
    <row r="3065">
      <c r="H3065" s="3" t="str">
        <f>IFERROR(__xludf.DUMMYFUNCTION("""COMPUTED_VALUE"""),"VEE REMEDIES")</f>
        <v>VEE REMEDIES</v>
      </c>
    </row>
    <row r="3066">
      <c r="H3066" s="3" t="str">
        <f>IFERROR(__xludf.DUMMYFUNCTION("""COMPUTED_VALUE"""),"VEEMAL")</f>
        <v>VEEMAL</v>
      </c>
    </row>
    <row r="3067">
      <c r="H3067" s="3" t="str">
        <f>IFERROR(__xludf.DUMMYFUNCTION("""COMPUTED_VALUE"""),"VELGRET HEALTHCARE")</f>
        <v>VELGRET HEALTHCARE</v>
      </c>
    </row>
    <row r="3068">
      <c r="H3068" s="3" t="str">
        <f>IFERROR(__xludf.DUMMYFUNCTION("""COMPUTED_VALUE"""),"VELITE")</f>
        <v>VELITE</v>
      </c>
    </row>
    <row r="3069">
      <c r="H3069" s="3" t="str">
        <f>IFERROR(__xludf.DUMMYFUNCTION("""COMPUTED_VALUE"""),"VELLINTON HEALTHCARE")</f>
        <v>VELLINTON HEALTHCARE</v>
      </c>
    </row>
    <row r="3070">
      <c r="H3070" s="3" t="str">
        <f>IFERROR(__xludf.DUMMYFUNCTION("""COMPUTED_VALUE"""),"VENISTRO BIOTECH")</f>
        <v>VENISTRO BIOTECH</v>
      </c>
    </row>
    <row r="3071">
      <c r="H3071" s="3" t="str">
        <f>IFERROR(__xludf.DUMMYFUNCTION("""COMPUTED_VALUE"""),"VENKY'S NUTRITION")</f>
        <v>VENKY'S NUTRITION</v>
      </c>
    </row>
    <row r="3072">
      <c r="H3072" s="3" t="str">
        <f>IFERROR(__xludf.DUMMYFUNCTION("""COMPUTED_VALUE"""),"VENSAT BIO")</f>
        <v>VENSAT BIO</v>
      </c>
    </row>
    <row r="3073">
      <c r="H3073" s="3" t="str">
        <f>IFERROR(__xludf.DUMMYFUNCTION("""COMPUTED_VALUE"""),"Venus Remedies Ltd")</f>
        <v>Venus Remedies Ltd</v>
      </c>
    </row>
    <row r="3074">
      <c r="H3074" s="3" t="str">
        <f>IFERROR(__xludf.DUMMYFUNCTION("""COMPUTED_VALUE"""),"Veritaz Healthcare Ltd")</f>
        <v>Veritaz Healthcare Ltd</v>
      </c>
    </row>
    <row r="3075">
      <c r="H3075" s="3" t="str">
        <f>IFERROR(__xludf.DUMMYFUNCTION("""COMPUTED_VALUE"""),"VERITAZHEALTHCARE (COSMOCARE)")</f>
        <v>VERITAZHEALTHCARE (COSMOCARE)</v>
      </c>
    </row>
    <row r="3076">
      <c r="H3076" s="3" t="str">
        <f>IFERROR(__xludf.DUMMYFUNCTION("""COMPUTED_VALUE"""),"VERIZON PHARMA")</f>
        <v>VERIZON PHARMA</v>
      </c>
    </row>
    <row r="3077">
      <c r="H3077" s="3" t="str">
        <f>IFERROR(__xludf.DUMMYFUNCTION("""COMPUTED_VALUE"""),"VERNA HEALTHCARE (GENERIC)")</f>
        <v>VERNA HEALTHCARE (GENERIC)</v>
      </c>
    </row>
    <row r="3078">
      <c r="H3078" s="3" t="str">
        <f>IFERROR(__xludf.DUMMYFUNCTION("""COMPUTED_VALUE"""),"VERRILL HEALTHCARE")</f>
        <v>VERRILL HEALTHCARE</v>
      </c>
    </row>
    <row r="3079">
      <c r="H3079" s="3" t="str">
        <f>IFERROR(__xludf.DUMMYFUNCTION("""COMPUTED_VALUE"""),"VERTEX PHARMACEUTICALS")</f>
        <v>VERTEX PHARMACEUTICALS</v>
      </c>
    </row>
    <row r="3080">
      <c r="H3080" s="3" t="str">
        <f>IFERROR(__xludf.DUMMYFUNCTION("""COMPUTED_VALUE"""),"VHB LIFESCIENCES")</f>
        <v>VHB LIFESCIENCES</v>
      </c>
    </row>
    <row r="3081">
      <c r="H3081" s="3" t="str">
        <f>IFERROR(__xludf.DUMMYFUNCTION("""COMPUTED_VALUE"""),"VIBCARE PHARMA PVT LTD")</f>
        <v>VIBCARE PHARMA PVT LTD</v>
      </c>
    </row>
    <row r="3082">
      <c r="H3082" s="3" t="str">
        <f>IFERROR(__xludf.DUMMYFUNCTION("""COMPUTED_VALUE"""),"VIBDRUGS BIOSCIENCES")</f>
        <v>VIBDRUGS BIOSCIENCES</v>
      </c>
    </row>
    <row r="3083">
      <c r="H3083" s="3" t="str">
        <f>IFERROR(__xludf.DUMMYFUNCTION("""COMPUTED_VALUE"""),"VIBGYOR DRUGS PVT LTD")</f>
        <v>VIBGYOR DRUGS PVT LTD</v>
      </c>
    </row>
    <row r="3084">
      <c r="H3084" s="3" t="str">
        <f>IFERROR(__xludf.DUMMYFUNCTION("""COMPUTED_VALUE"""),"VICCO LABS")</f>
        <v>VICCO LABS</v>
      </c>
    </row>
    <row r="3085">
      <c r="H3085" s="3" t="str">
        <f>IFERROR(__xludf.DUMMYFUNCTION("""COMPUTED_VALUE"""),"VICTOR LIFE SCIENCES")</f>
        <v>VICTOR LIFE SCIENCES</v>
      </c>
    </row>
    <row r="3086">
      <c r="H3086" s="3" t="str">
        <f>IFERROR(__xludf.DUMMYFUNCTION("""COMPUTED_VALUE"""),"VIDYA JAGANNATH G. DWIVEDI")</f>
        <v>VIDYA JAGANNATH G. DWIVEDI</v>
      </c>
    </row>
    <row r="3087">
      <c r="H3087" s="3" t="str">
        <f>IFERROR(__xludf.DUMMYFUNCTION("""COMPUTED_VALUE"""),"VIKAS PHARMA")</f>
        <v>VIKAS PHARMA</v>
      </c>
    </row>
    <row r="3088">
      <c r="H3088" s="3" t="str">
        <f>IFERROR(__xludf.DUMMYFUNCTION("""COMPUTED_VALUE"""),"VIKRAM LABORATORIES")</f>
        <v>VIKRAM LABORATORIES</v>
      </c>
    </row>
    <row r="3089">
      <c r="H3089" s="3" t="str">
        <f>IFERROR(__xludf.DUMMYFUNCTION("""COMPUTED_VALUE"""),"Vilberry Healthcare Pvt Ltd")</f>
        <v>Vilberry Healthcare Pvt Ltd</v>
      </c>
    </row>
    <row r="3090">
      <c r="H3090" s="3" t="str">
        <f>IFERROR(__xludf.DUMMYFUNCTION("""COMPUTED_VALUE"""),"VIMAL LABS")</f>
        <v>VIMAL LABS</v>
      </c>
    </row>
    <row r="3091">
      <c r="H3091" s="3" t="str">
        <f>IFERROR(__xludf.DUMMYFUNCTION("""COMPUTED_VALUE"""),"VIMS")</f>
        <v>VIMS</v>
      </c>
    </row>
    <row r="3092">
      <c r="H3092" s="3" t="str">
        <f>IFERROR(__xludf.DUMMYFUNCTION("""COMPUTED_VALUE"""),"VINASIA LIFESCIENCES PVT LTD")</f>
        <v>VINASIA LIFESCIENCES PVT LTD</v>
      </c>
    </row>
    <row r="3093">
      <c r="H3093" s="3" t="str">
        <f>IFERROR(__xludf.DUMMYFUNCTION("""COMPUTED_VALUE"""),"vinayak Care Solution Pvt Ltd")</f>
        <v>vinayak Care Solution Pvt Ltd</v>
      </c>
    </row>
    <row r="3094">
      <c r="H3094" s="3" t="str">
        <f>IFERROR(__xludf.DUMMYFUNCTION("""COMPUTED_VALUE"""),"VINAYAK CARE SOLUTIONS")</f>
        <v>VINAYAK CARE SOLUTIONS</v>
      </c>
    </row>
    <row r="3095">
      <c r="H3095" s="3" t="str">
        <f>IFERROR(__xludf.DUMMYFUNCTION("""COMPUTED_VALUE"""),"VINDAS CHEMICAL INDUSTRIES")</f>
        <v>VINDAS CHEMICAL INDUSTRIES</v>
      </c>
    </row>
    <row r="3096">
      <c r="H3096" s="3" t="str">
        <f>IFERROR(__xludf.DUMMYFUNCTION("""COMPUTED_VALUE"""),"VINKEM LABS LTD")</f>
        <v>VINKEM LABS LTD</v>
      </c>
    </row>
    <row r="3097">
      <c r="H3097" s="3" t="str">
        <f>IFERROR(__xludf.DUMMYFUNCTION("""COMPUTED_VALUE"""),"VINS BIOPRODUCTS LLIMITED")</f>
        <v>VINS BIOPRODUCTS LLIMITED</v>
      </c>
    </row>
    <row r="3098">
      <c r="H3098" s="3" t="str">
        <f>IFERROR(__xludf.DUMMYFUNCTION("""COMPUTED_VALUE"""),"VINTEK PHARMACEUTICALS")</f>
        <v>VINTEK PHARMACEUTICALS</v>
      </c>
    </row>
    <row r="3099">
      <c r="H3099" s="3" t="str">
        <f>IFERROR(__xludf.DUMMYFUNCTION("""COMPUTED_VALUE"""),"VINTOCHEM")</f>
        <v>VINTOCHEM</v>
      </c>
    </row>
    <row r="3100">
      <c r="H3100" s="3" t="str">
        <f>IFERROR(__xludf.DUMMYFUNCTION("""COMPUTED_VALUE"""),"VIP PHARMACEUTICALS PVT LTD")</f>
        <v>VIP PHARMACEUTICALS PVT LTD</v>
      </c>
    </row>
    <row r="3101">
      <c r="H3101" s="3" t="str">
        <f>IFERROR(__xludf.DUMMYFUNCTION("""COMPUTED_VALUE"""),"VIRBAC ANIMAL HEALTHCARE")</f>
        <v>VIRBAC ANIMAL HEALTHCARE</v>
      </c>
    </row>
    <row r="3102">
      <c r="H3102" s="3" t="str">
        <f>IFERROR(__xludf.DUMMYFUNCTION("""COMPUTED_VALUE"""),"VIRCHOW")</f>
        <v>VIRCHOW</v>
      </c>
    </row>
    <row r="3103">
      <c r="H3103" s="3" t="str">
        <f>IFERROR(__xludf.DUMMYFUNCTION("""COMPUTED_VALUE"""),"VIRCHOW BIOTECH")</f>
        <v>VIRCHOW BIOTECH</v>
      </c>
    </row>
    <row r="3104">
      <c r="H3104" s="3" t="str">
        <f>IFERROR(__xludf.DUMMYFUNCTION("""COMPUTED_VALUE"""),"VISCO LABS")</f>
        <v>VISCO LABS</v>
      </c>
    </row>
    <row r="3105">
      <c r="H3105" s="3" t="str">
        <f>IFERROR(__xludf.DUMMYFUNCTION("""COMPUTED_VALUE"""),"VISHAL PHARMA LAB INDORE")</f>
        <v>VISHAL PHARMA LAB INDORE</v>
      </c>
    </row>
    <row r="3106">
      <c r="H3106" s="3" t="str">
        <f>IFERROR(__xludf.DUMMYFUNCTION("""COMPUTED_VALUE"""),"VISHAL PHARMACEUTICAL LAB")</f>
        <v>VISHAL PHARMACEUTICAL LAB</v>
      </c>
    </row>
    <row r="3107">
      <c r="H3107" s="3" t="str">
        <f>IFERROR(__xludf.DUMMYFUNCTION("""COMPUTED_VALUE"""),"VISHNU HEALTHCARE")</f>
        <v>VISHNU HEALTHCARE</v>
      </c>
    </row>
    <row r="3108">
      <c r="H3108" s="3" t="str">
        <f>IFERROR(__xludf.DUMMYFUNCTION("""COMPUTED_VALUE"""),"VISHVA MANGAL UDYOG")</f>
        <v>VISHVA MANGAL UDYOG</v>
      </c>
    </row>
    <row r="3109">
      <c r="H3109" s="3" t="str">
        <f>IFERROR(__xludf.DUMMYFUNCTION("""COMPUTED_VALUE"""),"VISHWAMITRA AYURVEDIC")</f>
        <v>VISHWAMITRA AYURVEDIC</v>
      </c>
    </row>
    <row r="3110">
      <c r="H3110" s="3" t="str">
        <f>IFERROR(__xludf.DUMMYFUNCTION("""COMPUTED_VALUE"""),"VISION PHARMA")</f>
        <v>VISION PHARMA</v>
      </c>
    </row>
    <row r="3111">
      <c r="H3111" s="3" t="str">
        <f>IFERROR(__xludf.DUMMYFUNCTION("""COMPUTED_VALUE"""),"VISMO")</f>
        <v>VISMO</v>
      </c>
    </row>
    <row r="3112">
      <c r="H3112" s="3" t="str">
        <f>IFERROR(__xludf.DUMMYFUNCTION("""COMPUTED_VALUE"""),"VISSCO REHABILITATION AIDS PVT LTD")</f>
        <v>VISSCO REHABILITATION AIDS PVT LTD</v>
      </c>
    </row>
    <row r="3113">
      <c r="H3113" s="3" t="str">
        <f>IFERROR(__xludf.DUMMYFUNCTION("""COMPUTED_VALUE"""),"VITACE REMEDIES")</f>
        <v>VITACE REMEDIES</v>
      </c>
    </row>
    <row r="3114">
      <c r="H3114" s="3" t="str">
        <f>IFERROR(__xludf.DUMMYFUNCTION("""COMPUTED_VALUE"""),"VITALITY HEALTHCARE")</f>
        <v>VITALITY HEALTHCARE</v>
      </c>
    </row>
    <row r="3115">
      <c r="H3115" s="3" t="str">
        <f>IFERROR(__xludf.DUMMYFUNCTION("""COMPUTED_VALUE"""),"VITANE PHARMACEUTICALS")</f>
        <v>VITANE PHARMACEUTICALS</v>
      </c>
    </row>
    <row r="3116">
      <c r="H3116" s="3" t="str">
        <f>IFERROR(__xludf.DUMMYFUNCTION("""COMPUTED_VALUE"""),"VITHOBA INDUSTRIES")</f>
        <v>VITHOBA INDUSTRIES</v>
      </c>
    </row>
    <row r="3117">
      <c r="H3117" s="3" t="str">
        <f>IFERROR(__xludf.DUMMYFUNCTION("""COMPUTED_VALUE"""),"VIVENCY HEALTH CARE PVT LTD")</f>
        <v>VIVENCY HEALTH CARE PVT LTD</v>
      </c>
    </row>
    <row r="3118">
      <c r="H3118" s="3" t="str">
        <f>IFERROR(__xludf.DUMMYFUNCTION("""COMPUTED_VALUE"""),"VIVEZ LIFESCIENCE")</f>
        <v>VIVEZ LIFESCIENCE</v>
      </c>
    </row>
    <row r="3119">
      <c r="H3119" s="3" t="str">
        <f>IFERROR(__xludf.DUMMYFUNCTION("""COMPUTED_VALUE"""),"VIVIA DERMACARE")</f>
        <v>VIVIA DERMACARE</v>
      </c>
    </row>
    <row r="3120">
      <c r="H3120" s="3" t="str">
        <f>IFERROR(__xludf.DUMMYFUNCTION("""COMPUTED_VALUE"""),"VIVO LIFESCIENCES")</f>
        <v>VIVO LIFESCIENCES</v>
      </c>
    </row>
    <row r="3121">
      <c r="H3121" s="3" t="str">
        <f>IFERROR(__xludf.DUMMYFUNCTION("""COMPUTED_VALUE"""),"VK SARANU")</f>
        <v>VK SARANU</v>
      </c>
    </row>
    <row r="3122">
      <c r="H3122" s="3" t="str">
        <f>IFERROR(__xludf.DUMMYFUNCTION("""COMPUTED_VALUE"""),"VMC PHARMACEUTICAL")</f>
        <v>VMC PHARMACEUTICAL</v>
      </c>
    </row>
    <row r="3123">
      <c r="H3123" s="3" t="str">
        <f>IFERROR(__xludf.DUMMYFUNCTION("""COMPUTED_VALUE"""),"VYALI INTERNATIONAL")</f>
        <v>VYALI INTERNATIONAL</v>
      </c>
    </row>
    <row r="3124">
      <c r="H3124" s="3" t="str">
        <f>IFERROR(__xludf.DUMMYFUNCTION("""COMPUTED_VALUE"""),"VYAPITUS SPECIALITIES")</f>
        <v>VYAPITUS SPECIALITIES</v>
      </c>
    </row>
    <row r="3125">
      <c r="H3125" s="3" t="str">
        <f>IFERROR(__xludf.DUMMYFUNCTION("""COMPUTED_VALUE"""),"VYAS PHARMACEUTICALS")</f>
        <v>VYAS PHARMACEUTICALS</v>
      </c>
    </row>
    <row r="3126">
      <c r="H3126" s="3" t="str">
        <f>IFERROR(__xludf.DUMMYFUNCTION("""COMPUTED_VALUE"""),"VYONICS HEALTHCARE")</f>
        <v>VYONICS HEALTHCARE</v>
      </c>
    </row>
    <row r="3127">
      <c r="H3127" s="3" t="str">
        <f>IFERROR(__xludf.DUMMYFUNCTION("""COMPUTED_VALUE"""),"VYSON INDIA")</f>
        <v>VYSON INDIA</v>
      </c>
    </row>
    <row r="3128">
      <c r="H3128" s="3" t="str">
        <f>IFERROR(__xludf.DUMMYFUNCTION("""COMPUTED_VALUE"""),"WAFTURE HEALTHCARE")</f>
        <v>WAFTURE HEALTHCARE</v>
      </c>
    </row>
    <row r="3129">
      <c r="H3129" s="3" t="str">
        <f>IFERROR(__xludf.DUMMYFUNCTION("""COMPUTED_VALUE"""),"WALBERG PHARMACEUTICALS")</f>
        <v>WALBERG PHARMACEUTICALS</v>
      </c>
    </row>
    <row r="3130">
      <c r="H3130" s="3" t="str">
        <f>IFERROR(__xludf.DUMMYFUNCTION("""COMPUTED_VALUE"""),"WALLACE (GASTRO)")</f>
        <v>WALLACE (GASTRO)</v>
      </c>
    </row>
    <row r="3131">
      <c r="H3131" s="3" t="str">
        <f>IFERROR(__xludf.DUMMYFUNCTION("""COMPUTED_VALUE"""),"WALLACE (LIFE STYLE)")</f>
        <v>WALLACE (LIFE STYLE)</v>
      </c>
    </row>
    <row r="3132">
      <c r="H3132" s="3" t="str">
        <f>IFERROR(__xludf.DUMMYFUNCTION("""COMPUTED_VALUE"""),"WALLACE (RIVELA)")</f>
        <v>WALLACE (RIVELA)</v>
      </c>
    </row>
    <row r="3133">
      <c r="H3133" s="3" t="str">
        <f>IFERROR(__xludf.DUMMYFUNCTION("""COMPUTED_VALUE"""),"Wallace Pharmaceuticals Pvt Ltd")</f>
        <v>Wallace Pharmaceuticals Pvt Ltd</v>
      </c>
    </row>
    <row r="3134">
      <c r="H3134" s="3" t="str">
        <f>IFERROR(__xludf.DUMMYFUNCTION("""COMPUTED_VALUE"""),"WALNUT LIFESCIENCES PVT LTD")</f>
        <v>WALNUT LIFESCIENCES PVT LTD</v>
      </c>
    </row>
    <row r="3135">
      <c r="H3135" s="3" t="str">
        <f>IFERROR(__xludf.DUMMYFUNCTION("""COMPUTED_VALUE"""),"WALRON HEALTHCARE P LTD")</f>
        <v>WALRON HEALTHCARE P LTD</v>
      </c>
    </row>
    <row r="3136">
      <c r="H3136" s="3" t="str">
        <f>IFERROR(__xludf.DUMMYFUNCTION("""COMPUTED_VALUE"""),"Walter Bushnell")</f>
        <v>Walter Bushnell</v>
      </c>
    </row>
    <row r="3137">
      <c r="H3137" s="3" t="str">
        <f>IFERROR(__xludf.DUMMYFUNCTION("""COMPUTED_VALUE"""),"WAMA PHARMA")</f>
        <v>WAMA PHARMA</v>
      </c>
    </row>
    <row r="3138">
      <c r="H3138" s="3" t="str">
        <f>IFERROR(__xludf.DUMMYFUNCTION("""COMPUTED_VALUE"""),"Wanbury Ltd")</f>
        <v>Wanbury Ltd</v>
      </c>
    </row>
    <row r="3139">
      <c r="H3139" s="3" t="str">
        <f>IFERROR(__xludf.DUMMYFUNCTION("""COMPUTED_VALUE"""),"WANCURA LIFE SCIENCE")</f>
        <v>WANCURA LIFE SCIENCE</v>
      </c>
    </row>
    <row r="3140">
      <c r="H3140" s="3" t="str">
        <f>IFERROR(__xludf.DUMMYFUNCTION("""COMPUTED_VALUE"""),"WANTURA LABORATORIES")</f>
        <v>WANTURA LABORATORIES</v>
      </c>
    </row>
    <row r="3141">
      <c r="H3141" s="3" t="str">
        <f>IFERROR(__xludf.DUMMYFUNCTION("""COMPUTED_VALUE"""),"WARDEX PHARMACEUTICALS PVT LTD")</f>
        <v>WARDEX PHARMACEUTICALS PVT LTD</v>
      </c>
    </row>
    <row r="3142">
      <c r="H3142" s="3" t="str">
        <f>IFERROR(__xludf.DUMMYFUNCTION("""COMPUTED_VALUE"""),"WARIOX LIFE SCIENCE PVT LTD")</f>
        <v>WARIOX LIFE SCIENCE PVT LTD</v>
      </c>
    </row>
    <row r="3143">
      <c r="H3143" s="3" t="str">
        <f>IFERROR(__xludf.DUMMYFUNCTION("""COMPUTED_VALUE"""),"WELCOME VET PHARMA")</f>
        <v>WELCOME VET PHARMA</v>
      </c>
    </row>
    <row r="3144">
      <c r="H3144" s="3" t="str">
        <f>IFERROR(__xludf.DUMMYFUNCTION("""COMPUTED_VALUE"""),"WELLAR")</f>
        <v>WELLAR</v>
      </c>
    </row>
    <row r="3145">
      <c r="H3145" s="3" t="str">
        <f>IFERROR(__xludf.DUMMYFUNCTION("""COMPUTED_VALUE"""),"WELLCHEM")</f>
        <v>WELLCHEM</v>
      </c>
    </row>
    <row r="3146">
      <c r="H3146" s="3" t="str">
        <f>IFERROR(__xludf.DUMMYFUNCTION("""COMPUTED_VALUE"""),"WELLCHEM PHARMACEUTICALS")</f>
        <v>WELLCHEM PHARMACEUTICALS</v>
      </c>
    </row>
    <row r="3147">
      <c r="H3147" s="3" t="str">
        <f>IFERROR(__xludf.DUMMYFUNCTION("""COMPUTED_VALUE"""),"WELLCON ANIMAL HEALTH PVT LTD")</f>
        <v>WELLCON ANIMAL HEALTH PVT LTD</v>
      </c>
    </row>
    <row r="3148">
      <c r="H3148" s="3" t="str">
        <f>IFERROR(__xludf.DUMMYFUNCTION("""COMPUTED_VALUE"""),"WELLFORD PHARMACEUTICAL PVT LTD")</f>
        <v>WELLFORD PHARMACEUTICAL PVT LTD</v>
      </c>
    </row>
    <row r="3149">
      <c r="H3149" s="3" t="str">
        <f>IFERROR(__xludf.DUMMYFUNCTION("""COMPUTED_VALUE"""),"WELLMOS GLOBAL HEALTHCARE PHARMA")</f>
        <v>WELLMOS GLOBAL HEALTHCARE PHARMA</v>
      </c>
    </row>
    <row r="3150">
      <c r="H3150" s="3" t="str">
        <f>IFERROR(__xludf.DUMMYFUNCTION("""COMPUTED_VALUE"""),"WELRIN PHARMA")</f>
        <v>WELRIN PHARMA</v>
      </c>
    </row>
    <row r="3151">
      <c r="H3151" s="3" t="str">
        <f>IFERROR(__xludf.DUMMYFUNCTION("""COMPUTED_VALUE"""),"Wens Drugs India Pvt Ltd")</f>
        <v>Wens Drugs India Pvt Ltd</v>
      </c>
    </row>
    <row r="3152">
      <c r="H3152" s="3" t="str">
        <f>IFERROR(__xludf.DUMMYFUNCTION("""COMPUTED_VALUE"""),"West-Coast Pharmaceutical Works Ltd")</f>
        <v>West-Coast Pharmaceutical Works Ltd</v>
      </c>
    </row>
    <row r="3153">
      <c r="H3153" s="3" t="str">
        <f>IFERROR(__xludf.DUMMYFUNCTION("""COMPUTED_VALUE"""),"WILBURT (GENERAL)")</f>
        <v>WILBURT (GENERAL)</v>
      </c>
    </row>
    <row r="3154">
      <c r="H3154" s="3" t="str">
        <f>IFERROR(__xludf.DUMMYFUNCTION("""COMPUTED_VALUE"""),"WILBURT (NEXION)")</f>
        <v>WILBURT (NEXION)</v>
      </c>
    </row>
    <row r="3155">
      <c r="H3155" s="3" t="str">
        <f>IFERROR(__xludf.DUMMYFUNCTION("""COMPUTED_VALUE"""),"WILBURT REMEDIES")</f>
        <v>WILBURT REMEDIES</v>
      </c>
    </row>
    <row r="3156">
      <c r="H3156" s="3" t="str">
        <f>IFERROR(__xludf.DUMMYFUNCTION("""COMPUTED_VALUE"""),"Willburt (Lifez Cardio and Diabetes)")</f>
        <v>Willburt (Lifez Cardio and Diabetes)</v>
      </c>
    </row>
    <row r="3157">
      <c r="H3157" s="3" t="str">
        <f>IFERROR(__xludf.DUMMYFUNCTION("""COMPUTED_VALUE"""),"Willcare Lifesciences")</f>
        <v>Willcare Lifesciences</v>
      </c>
    </row>
    <row r="3158">
      <c r="H3158" s="3" t="str">
        <f>IFERROR(__xludf.DUMMYFUNCTION("""COMPUTED_VALUE"""),"WILSHIR HELTH CARE")</f>
        <v>WILSHIR HELTH CARE</v>
      </c>
    </row>
    <row r="3159">
      <c r="H3159" s="3" t="str">
        <f>IFERROR(__xludf.DUMMYFUNCTION("""COMPUTED_VALUE"""),"WILSHIRE PHARMACEUTICALS")</f>
        <v>WILSHIRE PHARMACEUTICALS</v>
      </c>
    </row>
    <row r="3160">
      <c r="H3160" s="3" t="str">
        <f>IFERROR(__xludf.DUMMYFUNCTION("""COMPUTED_VALUE"""),"WILSON")</f>
        <v>WILSON</v>
      </c>
    </row>
    <row r="3161">
      <c r="H3161" s="3" t="str">
        <f>IFERROR(__xludf.DUMMYFUNCTION("""COMPUTED_VALUE"""),"WILSON HEALTHCARE")</f>
        <v>WILSON HEALTHCARE</v>
      </c>
    </row>
    <row r="3162">
      <c r="H3162" s="3" t="str">
        <f>IFERROR(__xludf.DUMMYFUNCTION("""COMPUTED_VALUE"""),"WIN NATURALS")</f>
        <v>WIN NATURALS</v>
      </c>
    </row>
    <row r="3163">
      <c r="H3163" s="3" t="str">
        <f>IFERROR(__xludf.DUMMYFUNCTION("""COMPUTED_VALUE"""),"Win-Medicare Pvt Ltd")</f>
        <v>Win-Medicare Pvt Ltd</v>
      </c>
    </row>
    <row r="3164">
      <c r="H3164" s="3" t="str">
        <f>IFERROR(__xludf.DUMMYFUNCTION("""COMPUTED_VALUE"""),"WINDLAS BIOTECH PVT LTD")</f>
        <v>WINDLAS BIOTECH PVT LTD</v>
      </c>
    </row>
    <row r="3165">
      <c r="H3165" s="3" t="str">
        <f>IFERROR(__xludf.DUMMYFUNCTION("""COMPUTED_VALUE"""),"Wings Biotech Ltd (GENERIC)")</f>
        <v>Wings Biotech Ltd (GENERIC)</v>
      </c>
    </row>
    <row r="3166">
      <c r="H3166" s="3" t="str">
        <f>IFERROR(__xludf.DUMMYFUNCTION("""COMPUTED_VALUE"""),"WINTECH PHARMACEUTICALS (PHARMA)")</f>
        <v>WINTECH PHARMACEUTICALS (PHARMA)</v>
      </c>
    </row>
    <row r="3167">
      <c r="H3167" s="3" t="str">
        <f>IFERROR(__xludf.DUMMYFUNCTION("""COMPUTED_VALUE"""),"WINTECH PHARMACEUTICALS (ZENOVA)")</f>
        <v>WINTECH PHARMACEUTICALS (ZENOVA)</v>
      </c>
    </row>
    <row r="3168">
      <c r="H3168" s="3" t="str">
        <f>IFERROR(__xludf.DUMMYFUNCTION("""COMPUTED_VALUE"""),"WINY HEALTHCARE")</f>
        <v>WINY HEALTHCARE</v>
      </c>
    </row>
    <row r="3169">
      <c r="H3169" s="3" t="str">
        <f>IFERROR(__xludf.DUMMYFUNCTION("""COMPUTED_VALUE"""),"Wiscon Pharmaceuticals Pvt Ltd")</f>
        <v>Wiscon Pharmaceuticals Pvt Ltd</v>
      </c>
    </row>
    <row r="3170">
      <c r="H3170" s="3" t="str">
        <f>IFERROR(__xludf.DUMMYFUNCTION("""COMPUTED_VALUE"""),"WIZ HEALTH CARE")</f>
        <v>WIZ HEALTH CARE</v>
      </c>
    </row>
    <row r="3171">
      <c r="H3171" s="3" t="str">
        <f>IFERROR(__xludf.DUMMYFUNCTION("""COMPUTED_VALUE"""),"WOCCKAHCHARLES PHARMA LTD")</f>
        <v>WOCCKAHCHARLES PHARMA LTD</v>
      </c>
    </row>
    <row r="3172">
      <c r="H3172" s="3" t="str">
        <f>IFERROR(__xludf.DUMMYFUNCTION("""COMPUTED_VALUE"""),"WOCKHARDT (CARDIO)")</f>
        <v>WOCKHARDT (CARDIO)</v>
      </c>
    </row>
    <row r="3173">
      <c r="H3173" s="3" t="str">
        <f>IFERROR(__xludf.DUMMYFUNCTION("""COMPUTED_VALUE"""),"WOCKHARDT (M1)")</f>
        <v>WOCKHARDT (M1)</v>
      </c>
    </row>
    <row r="3174">
      <c r="H3174" s="3" t="str">
        <f>IFERROR(__xludf.DUMMYFUNCTION("""COMPUTED_VALUE"""),"WOCKHARDT (METABOLICS)")</f>
        <v>WOCKHARDT (METABOLICS)</v>
      </c>
    </row>
    <row r="3175">
      <c r="H3175" s="3" t="str">
        <f>IFERROR(__xludf.DUMMYFUNCTION("""COMPUTED_VALUE"""),"WOCKHARDT (NEPHRO)")</f>
        <v>WOCKHARDT (NEPHRO)</v>
      </c>
    </row>
    <row r="3176">
      <c r="H3176" s="3" t="str">
        <f>IFERROR(__xludf.DUMMYFUNCTION("""COMPUTED_VALUE"""),"WOCKHARDT (PHARMA)")</f>
        <v>WOCKHARDT (PHARMA)</v>
      </c>
    </row>
    <row r="3177">
      <c r="H3177" s="3" t="str">
        <f>IFERROR(__xludf.DUMMYFUNCTION("""COMPUTED_VALUE"""),"WOCKHARDT (SPACIEL)")</f>
        <v>WOCKHARDT (SPACIEL)</v>
      </c>
    </row>
    <row r="3178">
      <c r="H3178" s="3" t="str">
        <f>IFERROR(__xludf.DUMMYFUNCTION("""COMPUTED_VALUE"""),"Wockhardt Ltd")</f>
        <v>Wockhardt Ltd</v>
      </c>
    </row>
    <row r="3179">
      <c r="H3179" s="3" t="str">
        <f>IFERROR(__xludf.DUMMYFUNCTION("""COMPUTED_VALUE"""),"Wockhardt Ltd  (SPECTRA)")</f>
        <v>Wockhardt Ltd  (SPECTRA)</v>
      </c>
    </row>
    <row r="3180">
      <c r="H3180" s="3" t="str">
        <f>IFERROR(__xludf.DUMMYFUNCTION("""COMPUTED_VALUE"""),"Wockhardt Ltd (CRITICAL CARE-NTF)")</f>
        <v>Wockhardt Ltd (CRITICAL CARE-NTF)</v>
      </c>
    </row>
    <row r="3181">
      <c r="H3181" s="3" t="str">
        <f>IFERROR(__xludf.DUMMYFUNCTION("""COMPUTED_VALUE"""),"Wockhardt Ltd (CRITICAL CARE)")</f>
        <v>Wockhardt Ltd (CRITICAL CARE)</v>
      </c>
    </row>
    <row r="3182">
      <c r="H3182" s="3" t="str">
        <f>IFERROR(__xludf.DUMMYFUNCTION("""COMPUTED_VALUE"""),"Wockhardt Ltd (DERMA)")</f>
        <v>Wockhardt Ltd (DERMA)</v>
      </c>
    </row>
    <row r="3183">
      <c r="H3183" s="3" t="str">
        <f>IFERROR(__xludf.DUMMYFUNCTION("""COMPUTED_VALUE"""),"Wockhardt Ltd (DIABETIC)")</f>
        <v>Wockhardt Ltd (DIABETIC)</v>
      </c>
    </row>
    <row r="3184">
      <c r="H3184" s="3" t="str">
        <f>IFERROR(__xludf.DUMMYFUNCTION("""COMPUTED_VALUE"""),"Wockhardt Ltd (GENERIC)")</f>
        <v>Wockhardt Ltd (GENERIC)</v>
      </c>
    </row>
    <row r="3185">
      <c r="H3185" s="3" t="str">
        <f>IFERROR(__xludf.DUMMYFUNCTION("""COMPUTED_VALUE"""),"Wockhardt Ltd (MAIN)")</f>
        <v>Wockhardt Ltd (MAIN)</v>
      </c>
    </row>
    <row r="3186">
      <c r="H3186" s="3" t="str">
        <f>IFERROR(__xludf.DUMMYFUNCTION("""COMPUTED_VALUE"""),"Wockhardt Ltd (RESPIRATORY)")</f>
        <v>Wockhardt Ltd (RESPIRATORY)</v>
      </c>
    </row>
    <row r="3187">
      <c r="H3187" s="3" t="str">
        <f>IFERROR(__xludf.DUMMYFUNCTION("""COMPUTED_VALUE"""),"Wockhardt Ltd (SPECTRA)")</f>
        <v>Wockhardt Ltd (SPECTRA)</v>
      </c>
    </row>
    <row r="3188">
      <c r="H3188" s="3" t="str">
        <f>IFERROR(__xludf.DUMMYFUNCTION("""COMPUTED_VALUE"""),"Wockhardt Ltd (SUPER SPECIALITY)")</f>
        <v>Wockhardt Ltd (SUPER SPECIALITY)</v>
      </c>
    </row>
    <row r="3189">
      <c r="H3189" s="3" t="str">
        <f>IFERROR(__xludf.DUMMYFUNCTION("""COMPUTED_VALUE"""),"Wockhardt Ltd (TARUS-2)")</f>
        <v>Wockhardt Ltd (TARUS-2)</v>
      </c>
    </row>
    <row r="3190">
      <c r="H3190" s="3" t="str">
        <f>IFERROR(__xludf.DUMMYFUNCTION("""COMPUTED_VALUE"""),"Wockhardt Ltd (TARUS)")</f>
        <v>Wockhardt Ltd (TARUS)</v>
      </c>
    </row>
    <row r="3191">
      <c r="H3191" s="3" t="str">
        <f>IFERROR(__xludf.DUMMYFUNCTION("""COMPUTED_VALUE"""),"WONSET HEALTHCARE")</f>
        <v>WONSET HEALTHCARE</v>
      </c>
    </row>
    <row r="3192">
      <c r="H3192" s="3" t="str">
        <f>IFERROR(__xludf.DUMMYFUNCTION("""COMPUTED_VALUE"""),"WOOD GERMAN BIOTECH")</f>
        <v>WOOD GERMAN BIOTECH</v>
      </c>
    </row>
    <row r="3193">
      <c r="H3193" s="3" t="str">
        <f>IFERROR(__xludf.DUMMYFUNCTION("""COMPUTED_VALUE"""),"WRIGHT LIFESCIENCES P LTD")</f>
        <v>WRIGHT LIFESCIENCES P LTD</v>
      </c>
    </row>
    <row r="3194">
      <c r="H3194" s="3" t="str">
        <f>IFERROR(__xludf.DUMMYFUNCTION("""COMPUTED_VALUE"""),"WRIGHT LIFESCIENCES PVT LTD")</f>
        <v>WRIGHT LIFESCIENCES PVT LTD</v>
      </c>
    </row>
    <row r="3195">
      <c r="H3195" s="3" t="str">
        <f>IFERROR(__xludf.DUMMYFUNCTION("""COMPUTED_VALUE"""),"WSI")</f>
        <v>WSI</v>
      </c>
    </row>
    <row r="3196">
      <c r="H3196" s="3" t="str">
        <f>IFERROR(__xludf.DUMMYFUNCTION("""COMPUTED_VALUE"""),"Wyeth Limited")</f>
        <v>Wyeth Limited</v>
      </c>
    </row>
    <row r="3197">
      <c r="H3197" s="3" t="str">
        <f>IFERROR(__xludf.DUMMYFUNCTION("""COMPUTED_VALUE"""),"XANOCIA LIFE SCIENCES")</f>
        <v>XANOCIA LIFE SCIENCES</v>
      </c>
    </row>
    <row r="3198">
      <c r="H3198" s="3" t="str">
        <f>IFERROR(__xludf.DUMMYFUNCTION("""COMPUTED_VALUE"""),"XENA CORONUS HEALTH CARE")</f>
        <v>XENA CORONUS HEALTH CARE</v>
      </c>
    </row>
    <row r="3199">
      <c r="H3199" s="3" t="str">
        <f>IFERROR(__xludf.DUMMYFUNCTION("""COMPUTED_VALUE"""),"XIEON LIFE SCIENCES")</f>
        <v>XIEON LIFE SCIENCES</v>
      </c>
    </row>
    <row r="3200">
      <c r="H3200" s="3" t="str">
        <f>IFERROR(__xludf.DUMMYFUNCTION("""COMPUTED_VALUE"""),"Y E HADVAIDYA")</f>
        <v>Y E HADVAIDYA</v>
      </c>
    </row>
    <row r="3201">
      <c r="H3201" s="3" t="str">
        <f>IFERROR(__xludf.DUMMYFUNCTION("""COMPUTED_VALUE"""),"YAJAT LIFE SCIENCES")</f>
        <v>YAJAT LIFE SCIENCES</v>
      </c>
    </row>
    <row r="3202">
      <c r="H3202" s="3" t="str">
        <f>IFERROR(__xludf.DUMMYFUNCTION("""COMPUTED_VALUE"""),"YASH PHARMA (DERMA)")</f>
        <v>YASH PHARMA (DERMA)</v>
      </c>
    </row>
    <row r="3203">
      <c r="H3203" s="3" t="str">
        <f>IFERROR(__xludf.DUMMYFUNCTION("""COMPUTED_VALUE"""),"YASH PHARMA LAB")</f>
        <v>YASH PHARMA LAB</v>
      </c>
    </row>
    <row r="3204">
      <c r="H3204" s="3" t="str">
        <f>IFERROR(__xludf.DUMMYFUNCTION("""COMPUTED_VALUE"""),"YASODAKHYAA REMEDIES")</f>
        <v>YASODAKHYAA REMEDIES</v>
      </c>
    </row>
    <row r="3205">
      <c r="H3205" s="3" t="str">
        <f>IFERROR(__xludf.DUMMYFUNCTION("""COMPUTED_VALUE"""),"YGEIA HEALTH PVT LTD")</f>
        <v>YGEIA HEALTH PVT LTD</v>
      </c>
    </row>
    <row r="3206">
      <c r="H3206" s="3" t="str">
        <f>IFERROR(__xludf.DUMMYFUNCTION("""COMPUTED_VALUE"""),"YOGEE HERBAL INDIA")</f>
        <v>YOGEE HERBAL INDIA</v>
      </c>
    </row>
    <row r="3207">
      <c r="H3207" s="3" t="str">
        <f>IFERROR(__xludf.DUMMYFUNCTION("""COMPUTED_VALUE"""),"YOGI AYURVEDIC PRODUCTS LTD")</f>
        <v>YOGI AYURVEDIC PRODUCTS LTD</v>
      </c>
    </row>
    <row r="3208">
      <c r="H3208" s="3" t="str">
        <f>IFERROR(__xludf.DUMMYFUNCTION("""COMPUTED_VALUE"""),"YOGI HERBALS")</f>
        <v>YOGI HERBALS</v>
      </c>
    </row>
    <row r="3209">
      <c r="H3209" s="3" t="str">
        <f>IFERROR(__xludf.DUMMYFUNCTION("""COMPUTED_VALUE"""),"YOURS PHARMA DISTRIBUTERS PVT LTD")</f>
        <v>YOURS PHARMA DISTRIBUTERS PVT LTD</v>
      </c>
    </row>
    <row r="3210">
      <c r="H3210" s="3" t="str">
        <f>IFERROR(__xludf.DUMMYFUNCTION("""COMPUTED_VALUE"""),"YUDERMA LABORATORIE")</f>
        <v>YUDERMA LABORATORIE</v>
      </c>
    </row>
    <row r="3211">
      <c r="H3211" s="3" t="str">
        <f>IFERROR(__xludf.DUMMYFUNCTION("""COMPUTED_VALUE"""),"YUZDERM PHARMACEUTICALS")</f>
        <v>YUZDERM PHARMACEUTICALS</v>
      </c>
    </row>
    <row r="3212">
      <c r="H3212" s="3" t="str">
        <f>IFERROR(__xludf.DUMMYFUNCTION("""COMPUTED_VALUE"""),"ZADINE RUMBS LIMITED")</f>
        <v>ZADINE RUMBS LIMITED</v>
      </c>
    </row>
    <row r="3213">
      <c r="H3213" s="3" t="str">
        <f>IFERROR(__xludf.DUMMYFUNCTION("""COMPUTED_VALUE"""),"Zandu Pharmaceutical Works Ltd")</f>
        <v>Zandu Pharmaceutical Works Ltd</v>
      </c>
    </row>
    <row r="3214">
      <c r="H3214" s="3" t="str">
        <f>IFERROR(__xludf.DUMMYFUNCTION("""COMPUTED_VALUE"""),"ZEDIP FORMULATIONS")</f>
        <v>ZEDIP FORMULATIONS</v>
      </c>
    </row>
    <row r="3215">
      <c r="H3215" s="3" t="str">
        <f>IFERROR(__xludf.DUMMYFUNCTION("""COMPUTED_VALUE"""),"ZEDON PHARMA")</f>
        <v>ZEDON PHARMA</v>
      </c>
    </row>
    <row r="3216">
      <c r="H3216" s="3" t="str">
        <f>IFERROR(__xludf.DUMMYFUNCTION("""COMPUTED_VALUE"""),"ZEE LABORATORIES LTD")</f>
        <v>ZEE LABORATORIES LTD</v>
      </c>
    </row>
    <row r="3217">
      <c r="H3217" s="3" t="str">
        <f>IFERROR(__xludf.DUMMYFUNCTION("""COMPUTED_VALUE"""),"ZEE LABORATORIES LTD (ELWIN)")</f>
        <v>ZEE LABORATORIES LTD (ELWIN)</v>
      </c>
    </row>
    <row r="3218">
      <c r="H3218" s="3" t="str">
        <f>IFERROR(__xludf.DUMMYFUNCTION("""COMPUTED_VALUE"""),"ZEE LABORATORIS")</f>
        <v>ZEE LABORATORIS</v>
      </c>
    </row>
    <row r="3219">
      <c r="H3219" s="3" t="str">
        <f>IFERROR(__xludf.DUMMYFUNCTION("""COMPUTED_VALUE"""),"ZEE PHARMA")</f>
        <v>ZEE PHARMA</v>
      </c>
    </row>
    <row r="3220">
      <c r="H3220" s="3" t="str">
        <f>IFERROR(__xludf.DUMMYFUNCTION("""COMPUTED_VALUE"""),"ZELKOVA LIFESCIENCES PVT LTD")</f>
        <v>ZELKOVA LIFESCIENCES PVT LTD</v>
      </c>
    </row>
    <row r="3221">
      <c r="H3221" s="3" t="str">
        <f>IFERROR(__xludf.DUMMYFUNCTION("""COMPUTED_VALUE"""),"ZELLEVEN PHARMA PVT LTD")</f>
        <v>ZELLEVEN PHARMA PVT LTD</v>
      </c>
    </row>
    <row r="3222">
      <c r="H3222" s="3" t="str">
        <f>IFERROR(__xludf.DUMMYFUNCTION("""COMPUTED_VALUE"""),"ZEN LABS")</f>
        <v>ZEN LABS</v>
      </c>
    </row>
    <row r="3223">
      <c r="H3223" s="3" t="str">
        <f>IFERROR(__xludf.DUMMYFUNCTION("""COMPUTED_VALUE"""),"ZEN PHARMACEUTICALS")</f>
        <v>ZEN PHARMACEUTICALS</v>
      </c>
    </row>
    <row r="3224">
      <c r="H3224" s="3" t="str">
        <f>IFERROR(__xludf.DUMMYFUNCTION("""COMPUTED_VALUE"""),"Zenacts Pharma P Ltd")</f>
        <v>Zenacts Pharma P Ltd</v>
      </c>
    </row>
    <row r="3225">
      <c r="H3225" s="3" t="str">
        <f>IFERROR(__xludf.DUMMYFUNCTION("""COMPUTED_VALUE"""),"ZENCUS PHARMA")</f>
        <v>ZENCUS PHARMA</v>
      </c>
    </row>
    <row r="3226">
      <c r="H3226" s="3" t="str">
        <f>IFERROR(__xludf.DUMMYFUNCTION("""COMPUTED_VALUE"""),"ZENEX HEALTHCARE")</f>
        <v>ZENEX HEALTHCARE</v>
      </c>
    </row>
    <row r="3227">
      <c r="H3227" s="3" t="str">
        <f>IFERROR(__xludf.DUMMYFUNCTION("""COMPUTED_VALUE"""),"ZENITH DRUGS")</f>
        <v>ZENITH DRUGS</v>
      </c>
    </row>
    <row r="3228">
      <c r="H3228" s="3" t="str">
        <f>IFERROR(__xludf.DUMMYFUNCTION("""COMPUTED_VALUE"""),"Zenith Healthcare Ltd")</f>
        <v>Zenith Healthcare Ltd</v>
      </c>
    </row>
    <row r="3229">
      <c r="H3229" s="3" t="str">
        <f>IFERROR(__xludf.DUMMYFUNCTION("""COMPUTED_VALUE"""),"ZENLABS (GENERIC)")</f>
        <v>ZENLABS (GENERIC)</v>
      </c>
    </row>
    <row r="3230">
      <c r="H3230" s="3" t="str">
        <f>IFERROR(__xludf.DUMMYFUNCTION("""COMPUTED_VALUE"""),"ZENLABS ETHICA LTD")</f>
        <v>ZENLABS ETHICA LTD</v>
      </c>
    </row>
    <row r="3231">
      <c r="H3231" s="3" t="str">
        <f>IFERROR(__xludf.DUMMYFUNCTION("""COMPUTED_VALUE"""),"ZENOBIC LIFE SCIENCES (ZENOBIC)")</f>
        <v>ZENOBIC LIFE SCIENCES (ZENOBIC)</v>
      </c>
    </row>
    <row r="3232">
      <c r="H3232" s="3" t="str">
        <f>IFERROR(__xludf.DUMMYFUNCTION("""COMPUTED_VALUE"""),"ZENON HEALTHCARE LTD")</f>
        <v>ZENON HEALTHCARE LTD</v>
      </c>
    </row>
    <row r="3233">
      <c r="H3233" s="3" t="str">
        <f>IFERROR(__xludf.DUMMYFUNCTION("""COMPUTED_VALUE"""),"ZENONA LIFESCIENCES PVT LTD")</f>
        <v>ZENONA LIFESCIENCES PVT LTD</v>
      </c>
    </row>
    <row r="3234">
      <c r="H3234" s="3" t="str">
        <f>IFERROR(__xludf.DUMMYFUNCTION("""COMPUTED_VALUE"""),"ZENOTECH LOBORATORIES LTD.")</f>
        <v>ZENOTECH LOBORATORIES LTD.</v>
      </c>
    </row>
    <row r="3235">
      <c r="H3235" s="3" t="str">
        <f>IFERROR(__xludf.DUMMYFUNCTION("""COMPUTED_VALUE"""),"ZENOVA BIO NUTRITION")</f>
        <v>ZENOVA BIO NUTRITION</v>
      </c>
    </row>
    <row r="3236">
      <c r="H3236" s="3" t="str">
        <f>IFERROR(__xludf.DUMMYFUNCTION("""COMPUTED_VALUE"""),"ZENSKA LIFE SCIENCE PVT LTD")</f>
        <v>ZENSKA LIFE SCIENCE PVT LTD</v>
      </c>
    </row>
    <row r="3237">
      <c r="H3237" s="3" t="str">
        <f>IFERROR(__xludf.DUMMYFUNCTION("""COMPUTED_VALUE"""),"ZERICO LIFESCIENCE")</f>
        <v>ZERICO LIFESCIENCE</v>
      </c>
    </row>
    <row r="3238">
      <c r="H3238" s="3" t="str">
        <f>IFERROR(__xludf.DUMMYFUNCTION("""COMPUTED_VALUE"""),"ZERICO LIFESCIENCES")</f>
        <v>ZERICO LIFESCIENCES</v>
      </c>
    </row>
    <row r="3239">
      <c r="H3239" s="3" t="str">
        <f>IFERROR(__xludf.DUMMYFUNCTION("""COMPUTED_VALUE"""),"Zest Pharma")</f>
        <v>Zest Pharma</v>
      </c>
    </row>
    <row r="3240">
      <c r="H3240" s="3" t="str">
        <f>IFERROR(__xludf.DUMMYFUNCTION("""COMPUTED_VALUE"""),"ZESTICA PHARMA")</f>
        <v>ZESTICA PHARMA</v>
      </c>
    </row>
    <row r="3241">
      <c r="H3241" s="3" t="str">
        <f>IFERROR(__xludf.DUMMYFUNCTION("""COMPUTED_VALUE"""),"ZETA")</f>
        <v>ZETA</v>
      </c>
    </row>
    <row r="3242">
      <c r="H3242" s="3" t="str">
        <f>IFERROR(__xludf.DUMMYFUNCTION("""COMPUTED_VALUE"""),"ZETACA LIFESCIENCES")</f>
        <v>ZETACA LIFESCIENCES</v>
      </c>
    </row>
    <row r="3243">
      <c r="H3243" s="3" t="str">
        <f>IFERROR(__xludf.DUMMYFUNCTION("""COMPUTED_VALUE"""),"ZEUS DRUG")</f>
        <v>ZEUS DRUG</v>
      </c>
    </row>
    <row r="3244">
      <c r="H3244" s="3" t="str">
        <f>IFERROR(__xludf.DUMMYFUNCTION("""COMPUTED_VALUE"""),"ZEVEN LIFESCIENCES LTD")</f>
        <v>ZEVEN LIFESCIENCES LTD</v>
      </c>
    </row>
    <row r="3245">
      <c r="H3245" s="3" t="str">
        <f>IFERROR(__xludf.DUMMYFUNCTION("""COMPUTED_VALUE"""),"ZICAD LIFE CARE")</f>
        <v>ZICAD LIFE CARE</v>
      </c>
    </row>
    <row r="3246">
      <c r="H3246" s="3" t="str">
        <f>IFERROR(__xludf.DUMMYFUNCTION("""COMPUTED_VALUE"""),"ZIVIRA LABS P LTD")</f>
        <v>ZIVIRA LABS P LTD</v>
      </c>
    </row>
    <row r="3247">
      <c r="H3247" s="3" t="str">
        <f>IFERROR(__xludf.DUMMYFUNCTION("""COMPUTED_VALUE"""),"ZIVOT HEALTHCARE")</f>
        <v>ZIVOT HEALTHCARE</v>
      </c>
    </row>
    <row r="3248">
      <c r="H3248" s="3" t="str">
        <f>IFERROR(__xludf.DUMMYFUNCTION("""COMPUTED_VALUE"""),"ZOETIC AYURVEDICS PVT LTD")</f>
        <v>ZOETIC AYURVEDICS PVT LTD</v>
      </c>
    </row>
    <row r="3249">
      <c r="H3249" s="3" t="str">
        <f>IFERROR(__xludf.DUMMYFUNCTION("""COMPUTED_VALUE"""),"ZORICON PHARMACEUTICALS")</f>
        <v>ZORICON PHARMACEUTICALS</v>
      </c>
    </row>
    <row r="3250">
      <c r="H3250" s="3" t="str">
        <f>IFERROR(__xludf.DUMMYFUNCTION("""COMPUTED_VALUE"""),"ZORILANT PHARMA")</f>
        <v>ZORILANT PHARMA</v>
      </c>
    </row>
    <row r="3251">
      <c r="H3251" s="3" t="str">
        <f>IFERROR(__xludf.DUMMYFUNCTION("""COMPUTED_VALUE"""),"ZOTA HEALTHCARE")</f>
        <v>ZOTA HEALTHCARE</v>
      </c>
    </row>
    <row r="3252">
      <c r="H3252" s="3" t="str">
        <f>IFERROR(__xludf.DUMMYFUNCTION("""COMPUTED_VALUE"""),"Zovaitalia Healthcare Pvt Ltd")</f>
        <v>Zovaitalia Healthcare Pvt Ltd</v>
      </c>
    </row>
    <row r="3253">
      <c r="H3253" s="3" t="str">
        <f>IFERROR(__xludf.DUMMYFUNCTION("""COMPUTED_VALUE"""),"ZUBIT LIFECARE")</f>
        <v>ZUBIT LIFECARE</v>
      </c>
    </row>
    <row r="3254">
      <c r="H3254" s="3" t="str">
        <f>IFERROR(__xludf.DUMMYFUNCTION("""COMPUTED_VALUE"""),"ZURICH HEALTH CARE UJJAIN")</f>
        <v>ZURICH HEALTH CARE UJJAIN</v>
      </c>
    </row>
    <row r="3255">
      <c r="H3255" s="3" t="str">
        <f>IFERROR(__xludf.DUMMYFUNCTION("""COMPUTED_VALUE"""),"ZUVENTUS (GROMAXX)")</f>
        <v>ZUVENTUS (GROMAXX)</v>
      </c>
    </row>
    <row r="3256">
      <c r="H3256" s="3" t="str">
        <f>IFERROR(__xludf.DUMMYFUNCTION("""COMPUTED_VALUE"""),"ZUVENTUS (HEALTHCARE)")</f>
        <v>ZUVENTUS (HEALTHCARE)</v>
      </c>
    </row>
    <row r="3257">
      <c r="H3257" s="3" t="str">
        <f>IFERROR(__xludf.DUMMYFUNCTION("""COMPUTED_VALUE"""),"ZUVENTUS (LASUR)")</f>
        <v>ZUVENTUS (LASUR)</v>
      </c>
    </row>
    <row r="3258">
      <c r="H3258" s="3" t="str">
        <f>IFERROR(__xludf.DUMMYFUNCTION("""COMPUTED_VALUE"""),"ZUVENTUS (ODENEA)")</f>
        <v>ZUVENTUS (ODENEA)</v>
      </c>
    </row>
    <row r="3259">
      <c r="H3259" s="3" t="str">
        <f>IFERROR(__xludf.DUMMYFUNCTION("""COMPUTED_VALUE"""),"ZUVENTUS (ONCO)")</f>
        <v>ZUVENTUS (ONCO)</v>
      </c>
    </row>
    <row r="3260">
      <c r="H3260" s="3" t="str">
        <f>IFERROR(__xludf.DUMMYFUNCTION("""COMPUTED_VALUE"""),"Zuventus Healthcare Ltd")</f>
        <v>Zuventus Healthcare Ltd</v>
      </c>
    </row>
    <row r="3261">
      <c r="H3261" s="3" t="str">
        <f>IFERROR(__xludf.DUMMYFUNCTION("""COMPUTED_VALUE"""),"Zuventus Healthcare Ltd (SPECIALITY)")</f>
        <v>Zuventus Healthcare Ltd (SPECIALITY)</v>
      </c>
    </row>
    <row r="3262">
      <c r="H3262" s="3" t="str">
        <f>IFERROR(__xludf.DUMMYFUNCTION("""COMPUTED_VALUE"""),"ZUVIUS LIFE SCIENSE PVT LTD")</f>
        <v>ZUVIUS LIFE SCIENSE PVT LTD</v>
      </c>
    </row>
    <row r="3263">
      <c r="H3263" s="3" t="str">
        <f>IFERROR(__xludf.DUMMYFUNCTION("""COMPUTED_VALUE"""),"ZYCARE PHARMACEUTICALS")</f>
        <v>ZYCARE PHARMACEUTICALS</v>
      </c>
    </row>
    <row r="3264">
      <c r="H3264" s="3" t="str">
        <f>IFERROR(__xludf.DUMMYFUNCTION("""COMPUTED_VALUE"""),"ZYDAR PHARMACEUTICALS P LTD")</f>
        <v>ZYDAR PHARMACEUTICALS P LTD</v>
      </c>
    </row>
    <row r="3265">
      <c r="H3265" s="3" t="str">
        <f>IFERROR(__xludf.DUMMYFUNCTION("""COMPUTED_VALUE"""),"ZYDUS (ALIDAC)")</f>
        <v>ZYDUS (ALIDAC)</v>
      </c>
    </row>
    <row r="3266">
      <c r="H3266" s="3" t="str">
        <f>IFERROR(__xludf.DUMMYFUNCTION("""COMPUTED_VALUE"""),"ZYDUS (CADILA)")</f>
        <v>ZYDUS (CADILA)</v>
      </c>
    </row>
    <row r="3267">
      <c r="H3267" s="3" t="str">
        <f>IFERROR(__xludf.DUMMYFUNCTION("""COMPUTED_VALUE"""),"ZYDUS (CARDIVA)")</f>
        <v>ZYDUS (CARDIVA)</v>
      </c>
    </row>
    <row r="3268">
      <c r="H3268" s="3" t="str">
        <f>IFERROR(__xludf.DUMMYFUNCTION("""COMPUTED_VALUE"""),"ZYDUS (CND)")</f>
        <v>ZYDUS (CND)</v>
      </c>
    </row>
    <row r="3269">
      <c r="H3269" s="3" t="str">
        <f>IFERROR(__xludf.DUMMYFUNCTION("""COMPUTED_VALUE"""),"ZYDUS (CORZA)")</f>
        <v>ZYDUS (CORZA)</v>
      </c>
    </row>
    <row r="3270">
      <c r="H3270" s="3" t="str">
        <f>IFERROR(__xludf.DUMMYFUNCTION("""COMPUTED_VALUE"""),"ZYDUS (DISCOVERY)")</f>
        <v>ZYDUS (DISCOVERY)</v>
      </c>
    </row>
    <row r="3271">
      <c r="H3271" s="3" t="str">
        <f>IFERROR(__xludf.DUMMYFUNCTION("""COMPUTED_VALUE"""),"ZYDUS (FORTIZA)")</f>
        <v>ZYDUS (FORTIZA)</v>
      </c>
    </row>
    <row r="3272">
      <c r="H3272" s="3" t="str">
        <f>IFERROR(__xludf.DUMMYFUNCTION("""COMPUTED_VALUE"""),"ZYDUS (GEO)")</f>
        <v>ZYDUS (GEO)</v>
      </c>
    </row>
    <row r="3273">
      <c r="H3273" s="3" t="str">
        <f>IFERROR(__xludf.DUMMYFUNCTION("""COMPUTED_VALUE"""),"ZYDUS (HEPTIZA)")</f>
        <v>ZYDUS (HEPTIZA)</v>
      </c>
    </row>
    <row r="3274">
      <c r="H3274" s="3" t="str">
        <f>IFERROR(__xludf.DUMMYFUNCTION("""COMPUTED_VALUE"""),"ZYDUS (MEDICA)")</f>
        <v>ZYDUS (MEDICA)</v>
      </c>
    </row>
    <row r="3275">
      <c r="H3275" s="3" t="str">
        <f>IFERROR(__xludf.DUMMYFUNCTION("""COMPUTED_VALUE"""),"ZYDUS (NEPHRO 1)")</f>
        <v>ZYDUS (NEPHRO 1)</v>
      </c>
    </row>
    <row r="3276">
      <c r="H3276" s="3" t="str">
        <f>IFERROR(__xludf.DUMMYFUNCTION("""COMPUTED_VALUE"""),"ZYDUS (NEPHRO TRANSPLANT)")</f>
        <v>ZYDUS (NEPHRO TRANSPLANT)</v>
      </c>
    </row>
    <row r="3277">
      <c r="H3277" s="3" t="str">
        <f>IFERROR(__xludf.DUMMYFUNCTION("""COMPUTED_VALUE"""),"ZYDUS (NEUROSCIENCES)")</f>
        <v>ZYDUS (NEUROSCIENCES)</v>
      </c>
    </row>
    <row r="3278">
      <c r="H3278" s="3" t="str">
        <f>IFERROR(__xludf.DUMMYFUNCTION("""COMPUTED_VALUE"""),"ZYDUS (NUTRIVA)")</f>
        <v>ZYDUS (NUTRIVA)</v>
      </c>
    </row>
    <row r="3279">
      <c r="H3279" s="3" t="str">
        <f>IFERROR(__xludf.DUMMYFUNCTION("""COMPUTED_VALUE"""),"ZYDUS (OCCURE)")</f>
        <v>ZYDUS (OCCURE)</v>
      </c>
    </row>
    <row r="3280">
      <c r="H3280" s="3" t="str">
        <f>IFERROR(__xludf.DUMMYFUNCTION("""COMPUTED_VALUE"""),"ZYDUS (ONCOSCIENCES)")</f>
        <v>ZYDUS (ONCOSCIENCES)</v>
      </c>
    </row>
    <row r="3281">
      <c r="H3281" s="3" t="str">
        <f>IFERROR(__xludf.DUMMYFUNCTION("""COMPUTED_VALUE"""),"ZYDUS (OSTIVIA)")</f>
        <v>ZYDUS (OSTIVIA)</v>
      </c>
    </row>
    <row r="3282">
      <c r="H3282" s="3" t="str">
        <f>IFERROR(__xludf.DUMMYFUNCTION("""COMPUTED_VALUE"""),"ZYDUS (SYNOVIA)")</f>
        <v>ZYDUS (SYNOVIA)</v>
      </c>
    </row>
    <row r="3283">
      <c r="H3283" s="3" t="str">
        <f>IFERROR(__xludf.DUMMYFUNCTION("""COMPUTED_VALUE"""),"ZYDUS (UROSCIENCES)")</f>
        <v>ZYDUS (UROSCIENCES)</v>
      </c>
    </row>
    <row r="3284">
      <c r="H3284" s="3" t="str">
        <f>IFERROR(__xludf.DUMMYFUNCTION("""COMPUTED_VALUE"""),"ZYDUS ANIMAL HEALTHCARE LIMITED")</f>
        <v>ZYDUS ANIMAL HEALTHCARE LIMITED</v>
      </c>
    </row>
    <row r="3285">
      <c r="H3285" s="3" t="str">
        <f>IFERROR(__xludf.DUMMYFUNCTION("""COMPUTED_VALUE"""),"Zydus Cadila Healthcare")</f>
        <v>Zydus Cadila Healthcare</v>
      </c>
    </row>
    <row r="3286">
      <c r="H3286" s="3" t="str">
        <f>IFERROR(__xludf.DUMMYFUNCTION("""COMPUTED_VALUE"""),"ZYDUS WELLNESS LIMITED")</f>
        <v>ZYDUS WELLNESS LIMITED</v>
      </c>
    </row>
    <row r="3287">
      <c r="H3287" s="3" t="str">
        <f>IFERROR(__xludf.DUMMYFUNCTION("""COMPUTED_VALUE"""),"ZYLIG LIFESCIENCES")</f>
        <v>ZYLIG LIFESCIENCES</v>
      </c>
    </row>
    <row r="3288">
      <c r="H3288" s="3" t="str">
        <f>IFERROR(__xludf.DUMMYFUNCTION("""COMPUTED_VALUE"""),"ZYMES BIOSCIENCE PVT LTD")</f>
        <v>ZYMES BIOSCIENCE PVT LTD</v>
      </c>
    </row>
    <row r="3289">
      <c r="H3289" s="3" t="str">
        <f>IFERROR(__xludf.DUMMYFUNCTION("""COMPUTED_VALUE"""),"ZYNEXT PHARMA")</f>
        <v>ZYNEXT PHARMA</v>
      </c>
    </row>
    <row r="3290">
      <c r="H3290" s="3" t="str">
        <f>IFERROR(__xludf.DUMMYFUNCTION("""COMPUTED_VALUE"""),"ZYPHAR'S PHARMACEUTIC'S PVT LT")</f>
        <v>ZYPHAR'S PHARMACEUTIC'S PVT LT</v>
      </c>
    </row>
    <row r="3291">
      <c r="H3291" s="3"/>
    </row>
    <row r="3292">
      <c r="H3292" s="3"/>
    </row>
    <row r="3293">
      <c r="H3293" s="3"/>
    </row>
    <row r="3294">
      <c r="H3294" s="3"/>
    </row>
    <row r="3295">
      <c r="H3295" s="3"/>
    </row>
    <row r="3296">
      <c r="H3296" s="3"/>
    </row>
    <row r="3297">
      <c r="H3297" s="3"/>
    </row>
    <row r="3298">
      <c r="H3298" s="3"/>
    </row>
    <row r="3299">
      <c r="H3299" s="3"/>
    </row>
    <row r="3300">
      <c r="H3300" s="3"/>
    </row>
    <row r="3301">
      <c r="H3301" s="3"/>
    </row>
    <row r="3302">
      <c r="H3302" s="3"/>
    </row>
    <row r="3303">
      <c r="H3303" s="3"/>
    </row>
    <row r="3304">
      <c r="H3304" s="3"/>
    </row>
    <row r="3305">
      <c r="H3305" s="3"/>
    </row>
    <row r="3306">
      <c r="H3306" s="3"/>
    </row>
    <row r="3307">
      <c r="H3307" s="3"/>
    </row>
    <row r="3308">
      <c r="H3308" s="3"/>
    </row>
    <row r="3309">
      <c r="H3309" s="3"/>
    </row>
    <row r="3310">
      <c r="H3310" s="3"/>
    </row>
    <row r="3311">
      <c r="H3311" s="3"/>
    </row>
    <row r="3312">
      <c r="H3312" s="3"/>
    </row>
    <row r="3313">
      <c r="H3313" s="3"/>
    </row>
    <row r="3314">
      <c r="H3314" s="3"/>
    </row>
    <row r="3315">
      <c r="H3315" s="3"/>
    </row>
    <row r="3316">
      <c r="H3316" s="3"/>
    </row>
    <row r="3317">
      <c r="H3317" s="3"/>
    </row>
    <row r="3318">
      <c r="H3318" s="3"/>
    </row>
    <row r="3319">
      <c r="H3319" s="3"/>
    </row>
    <row r="3320">
      <c r="H3320" s="3"/>
    </row>
    <row r="3321">
      <c r="H3321" s="3"/>
    </row>
    <row r="3322">
      <c r="H3322" s="3"/>
    </row>
    <row r="3323">
      <c r="H3323" s="3"/>
    </row>
    <row r="3324">
      <c r="H3324" s="3"/>
    </row>
    <row r="3325">
      <c r="H3325" s="3"/>
    </row>
    <row r="3326">
      <c r="H3326" s="3"/>
    </row>
    <row r="3327">
      <c r="H3327" s="3"/>
    </row>
    <row r="3328">
      <c r="H3328" s="3"/>
    </row>
    <row r="3329">
      <c r="H3329" s="3"/>
    </row>
    <row r="3330">
      <c r="H3330" s="3"/>
    </row>
    <row r="3331">
      <c r="H3331" s="3"/>
    </row>
    <row r="3332">
      <c r="H3332" s="3"/>
    </row>
    <row r="3333">
      <c r="H3333" s="3"/>
    </row>
    <row r="3334">
      <c r="H3334" s="3"/>
    </row>
    <row r="3335">
      <c r="H3335" s="3"/>
    </row>
    <row r="3336">
      <c r="H3336" s="3"/>
    </row>
    <row r="3337">
      <c r="H3337" s="3"/>
    </row>
    <row r="3338">
      <c r="H3338" s="3"/>
    </row>
    <row r="3339">
      <c r="H3339" s="3"/>
    </row>
    <row r="3340">
      <c r="H3340" s="3"/>
    </row>
    <row r="3341">
      <c r="H3341" s="3"/>
    </row>
    <row r="3342">
      <c r="H3342" s="3"/>
    </row>
    <row r="3343">
      <c r="H3343" s="3"/>
    </row>
    <row r="3344">
      <c r="H3344" s="3"/>
    </row>
    <row r="3345">
      <c r="H3345" s="3"/>
    </row>
    <row r="3346">
      <c r="H3346" s="3"/>
    </row>
    <row r="3347">
      <c r="H3347" s="3"/>
    </row>
    <row r="3348">
      <c r="H3348" s="3"/>
    </row>
    <row r="3349">
      <c r="H3349" s="3"/>
    </row>
    <row r="3350">
      <c r="H3350" s="3"/>
    </row>
    <row r="3351">
      <c r="H3351" s="3"/>
    </row>
    <row r="3352">
      <c r="H3352" s="3"/>
    </row>
    <row r="3353">
      <c r="H3353" s="3"/>
    </row>
    <row r="3354">
      <c r="H3354" s="3"/>
    </row>
    <row r="3355">
      <c r="H3355" s="3"/>
    </row>
    <row r="3356">
      <c r="H3356" s="3"/>
    </row>
    <row r="3357">
      <c r="H3357" s="3"/>
    </row>
    <row r="3358">
      <c r="H3358" s="3"/>
    </row>
    <row r="3359">
      <c r="H3359" s="3"/>
    </row>
    <row r="3360">
      <c r="H3360" s="3"/>
    </row>
    <row r="3361">
      <c r="H3361" s="3"/>
    </row>
    <row r="3362">
      <c r="H3362" s="3"/>
    </row>
    <row r="3363">
      <c r="H3363" s="3"/>
    </row>
    <row r="3364">
      <c r="H3364" s="3"/>
    </row>
    <row r="3365">
      <c r="H3365" s="3"/>
    </row>
    <row r="3366">
      <c r="H3366" s="3"/>
    </row>
    <row r="3367">
      <c r="H3367" s="3"/>
    </row>
    <row r="3368">
      <c r="H3368" s="3"/>
    </row>
    <row r="3369">
      <c r="H3369" s="3"/>
    </row>
    <row r="3370">
      <c r="H3370" s="3"/>
    </row>
    <row r="3371">
      <c r="H3371" s="3"/>
    </row>
    <row r="3372">
      <c r="H3372" s="3"/>
    </row>
    <row r="3373">
      <c r="H3373" s="3"/>
    </row>
    <row r="3374">
      <c r="H3374" s="3"/>
    </row>
    <row r="3375">
      <c r="H3375" s="3"/>
    </row>
    <row r="3376">
      <c r="H3376" s="3"/>
    </row>
    <row r="3377">
      <c r="H3377" s="3"/>
    </row>
    <row r="3378">
      <c r="H3378" s="3"/>
    </row>
    <row r="3379">
      <c r="H3379" s="3"/>
    </row>
    <row r="3380">
      <c r="H3380" s="3"/>
    </row>
    <row r="3381">
      <c r="H3381" s="3"/>
    </row>
    <row r="3382">
      <c r="H3382" s="3"/>
    </row>
    <row r="3383">
      <c r="H3383" s="3"/>
    </row>
    <row r="3384">
      <c r="H3384" s="3"/>
    </row>
    <row r="3385">
      <c r="H3385" s="3"/>
    </row>
    <row r="3386">
      <c r="H3386" s="3"/>
    </row>
    <row r="3387">
      <c r="H3387" s="3"/>
    </row>
    <row r="3388">
      <c r="H3388" s="3"/>
    </row>
    <row r="3389">
      <c r="H3389" s="3"/>
    </row>
    <row r="3390">
      <c r="H3390" s="3"/>
    </row>
    <row r="3391">
      <c r="H3391" s="3"/>
    </row>
    <row r="3392">
      <c r="H3392" s="3"/>
    </row>
    <row r="3393">
      <c r="H3393" s="3"/>
    </row>
    <row r="3394">
      <c r="H3394" s="3"/>
    </row>
    <row r="3395">
      <c r="H3395" s="3"/>
    </row>
    <row r="3396">
      <c r="H3396" s="3"/>
    </row>
    <row r="3397">
      <c r="H3397" s="3"/>
    </row>
    <row r="3398">
      <c r="H3398" s="3"/>
    </row>
    <row r="3399">
      <c r="H3399" s="3"/>
    </row>
    <row r="3400">
      <c r="H3400" s="3"/>
    </row>
    <row r="3401">
      <c r="H3401" s="3"/>
    </row>
    <row r="3402">
      <c r="H3402" s="3"/>
    </row>
    <row r="3403">
      <c r="H3403" s="3"/>
    </row>
    <row r="3404">
      <c r="H3404" s="3"/>
    </row>
    <row r="3405">
      <c r="H3405" s="3"/>
    </row>
    <row r="3406">
      <c r="H3406" s="3"/>
    </row>
    <row r="3407">
      <c r="H3407" s="3"/>
    </row>
    <row r="3408">
      <c r="H3408" s="3"/>
    </row>
    <row r="3409">
      <c r="H3409" s="3"/>
    </row>
    <row r="3410">
      <c r="H3410" s="3"/>
    </row>
    <row r="3411">
      <c r="H3411" s="3"/>
    </row>
    <row r="3412">
      <c r="H3412" s="3"/>
    </row>
    <row r="3413">
      <c r="H3413" s="3"/>
    </row>
    <row r="3414">
      <c r="H3414" s="3"/>
    </row>
    <row r="3415">
      <c r="H3415" s="3"/>
    </row>
    <row r="3416">
      <c r="H3416" s="3"/>
    </row>
    <row r="3417">
      <c r="H3417" s="3"/>
    </row>
    <row r="3418">
      <c r="H3418" s="3"/>
    </row>
    <row r="3419">
      <c r="H3419" s="3"/>
    </row>
    <row r="3420">
      <c r="H3420" s="3"/>
    </row>
    <row r="3421">
      <c r="H3421" s="3"/>
    </row>
    <row r="3422">
      <c r="H3422" s="3"/>
    </row>
    <row r="3423">
      <c r="H3423" s="3"/>
    </row>
    <row r="3424">
      <c r="H3424" s="3"/>
    </row>
    <row r="3425">
      <c r="H3425" s="3"/>
    </row>
    <row r="3426">
      <c r="H3426" s="3"/>
    </row>
    <row r="3427">
      <c r="H3427" s="3"/>
    </row>
    <row r="3428">
      <c r="H3428" s="3"/>
    </row>
    <row r="3429">
      <c r="H3429" s="3"/>
    </row>
    <row r="3430">
      <c r="H3430" s="3"/>
    </row>
    <row r="3431">
      <c r="H3431" s="3"/>
    </row>
    <row r="3432">
      <c r="H3432" s="3"/>
    </row>
    <row r="3433">
      <c r="H3433" s="3"/>
    </row>
    <row r="3434">
      <c r="H3434" s="3"/>
    </row>
    <row r="3435">
      <c r="H3435" s="3"/>
    </row>
    <row r="3436">
      <c r="H3436" s="3"/>
    </row>
    <row r="3437">
      <c r="H3437" s="3"/>
    </row>
    <row r="3438">
      <c r="H3438" s="3"/>
    </row>
    <row r="3439">
      <c r="H3439" s="3"/>
    </row>
    <row r="3440">
      <c r="H3440" s="3"/>
    </row>
    <row r="3441">
      <c r="H3441" s="3"/>
    </row>
    <row r="3442">
      <c r="H3442" s="3"/>
    </row>
    <row r="3443">
      <c r="H3443" s="3"/>
    </row>
    <row r="3444">
      <c r="H3444" s="3"/>
    </row>
    <row r="3445">
      <c r="H3445" s="3"/>
    </row>
    <row r="3446">
      <c r="H3446" s="3"/>
    </row>
    <row r="3447">
      <c r="H3447" s="3"/>
    </row>
    <row r="3448">
      <c r="H3448" s="3"/>
    </row>
    <row r="3449">
      <c r="H3449" s="3"/>
    </row>
    <row r="3450">
      <c r="H3450" s="3"/>
    </row>
    <row r="3451">
      <c r="H3451" s="3"/>
    </row>
    <row r="3452">
      <c r="H3452" s="3"/>
    </row>
    <row r="3453">
      <c r="H3453" s="3"/>
    </row>
    <row r="3454">
      <c r="H3454" s="3"/>
    </row>
    <row r="3455">
      <c r="H3455" s="3"/>
    </row>
    <row r="3456">
      <c r="H3456" s="3"/>
    </row>
    <row r="3457">
      <c r="H3457" s="3"/>
    </row>
    <row r="3458">
      <c r="H3458" s="3"/>
    </row>
    <row r="3459">
      <c r="H3459" s="3"/>
    </row>
    <row r="3460">
      <c r="H3460" s="3"/>
    </row>
    <row r="3461">
      <c r="H3461" s="3"/>
    </row>
    <row r="3462">
      <c r="H3462" s="3"/>
    </row>
    <row r="3463">
      <c r="H3463" s="3"/>
    </row>
    <row r="3464">
      <c r="H3464" s="3"/>
    </row>
    <row r="3465">
      <c r="H3465" s="3"/>
    </row>
    <row r="3466">
      <c r="H3466" s="3"/>
    </row>
    <row r="3467">
      <c r="H3467" s="3"/>
    </row>
    <row r="3468">
      <c r="H3468" s="3"/>
    </row>
    <row r="3469">
      <c r="H3469" s="3"/>
    </row>
    <row r="3470">
      <c r="H3470" s="3"/>
    </row>
    <row r="3471">
      <c r="H3471" s="3"/>
    </row>
    <row r="3472">
      <c r="H3472" s="3"/>
    </row>
    <row r="3473">
      <c r="H3473" s="3"/>
    </row>
    <row r="3474">
      <c r="H3474" s="3"/>
    </row>
    <row r="3475">
      <c r="H3475" s="3"/>
    </row>
    <row r="3476">
      <c r="H3476" s="3"/>
    </row>
    <row r="3477">
      <c r="H3477" s="3"/>
    </row>
    <row r="3478">
      <c r="H3478" s="3"/>
    </row>
    <row r="3479">
      <c r="H3479" s="3"/>
    </row>
    <row r="3480">
      <c r="H3480" s="3"/>
    </row>
    <row r="3481">
      <c r="H3481" s="3"/>
    </row>
    <row r="3482">
      <c r="H3482" s="3"/>
    </row>
    <row r="3483">
      <c r="H3483" s="3"/>
    </row>
    <row r="3484">
      <c r="H3484" s="3"/>
    </row>
    <row r="3485">
      <c r="H3485" s="3"/>
    </row>
    <row r="3486">
      <c r="H3486" s="3"/>
    </row>
    <row r="3487">
      <c r="H3487" s="3"/>
    </row>
    <row r="3488">
      <c r="H3488" s="3"/>
    </row>
    <row r="3489">
      <c r="H3489" s="3"/>
    </row>
    <row r="3490">
      <c r="H3490" s="3"/>
    </row>
    <row r="3491">
      <c r="H3491" s="3"/>
    </row>
    <row r="3492">
      <c r="H3492" s="3"/>
    </row>
    <row r="3493">
      <c r="H3493" s="3"/>
    </row>
    <row r="3494">
      <c r="H3494" s="3"/>
    </row>
    <row r="3495">
      <c r="H3495" s="3"/>
    </row>
    <row r="3496">
      <c r="H3496" s="3"/>
    </row>
    <row r="3497">
      <c r="H3497" s="3"/>
    </row>
    <row r="3498">
      <c r="H3498" s="3"/>
    </row>
    <row r="3499">
      <c r="H3499" s="3"/>
    </row>
    <row r="3500">
      <c r="H3500" s="3"/>
    </row>
    <row r="3501">
      <c r="H3501" s="3"/>
    </row>
    <row r="3502">
      <c r="H3502" s="3"/>
    </row>
    <row r="3503">
      <c r="H3503" s="3"/>
    </row>
    <row r="3504">
      <c r="H3504" s="3"/>
    </row>
    <row r="3505">
      <c r="H3505" s="3"/>
    </row>
    <row r="3506">
      <c r="H3506" s="3"/>
    </row>
    <row r="3507">
      <c r="H3507" s="3"/>
    </row>
    <row r="3508">
      <c r="H3508" s="3"/>
    </row>
    <row r="3509">
      <c r="H3509" s="3"/>
    </row>
    <row r="3510">
      <c r="H3510" s="3"/>
    </row>
    <row r="3511">
      <c r="H3511" s="3"/>
    </row>
    <row r="3512">
      <c r="H3512" s="3"/>
    </row>
    <row r="3513">
      <c r="H3513" s="3"/>
    </row>
    <row r="3514">
      <c r="H3514" s="3"/>
    </row>
    <row r="3515">
      <c r="H3515" s="3"/>
    </row>
    <row r="3516">
      <c r="H3516" s="3"/>
    </row>
    <row r="3517">
      <c r="H3517" s="3"/>
    </row>
    <row r="3518">
      <c r="H3518" s="3"/>
    </row>
    <row r="3519">
      <c r="H3519" s="3"/>
    </row>
    <row r="3520">
      <c r="H3520" s="3"/>
    </row>
    <row r="3521">
      <c r="H3521" s="3"/>
    </row>
    <row r="3522">
      <c r="H3522" s="3"/>
    </row>
    <row r="3523">
      <c r="H3523" s="3"/>
    </row>
    <row r="3524">
      <c r="H3524" s="3"/>
    </row>
    <row r="3525">
      <c r="H3525" s="3"/>
    </row>
    <row r="3526">
      <c r="H3526" s="3"/>
    </row>
    <row r="3527">
      <c r="H3527" s="3"/>
    </row>
    <row r="3528">
      <c r="H3528" s="3"/>
    </row>
    <row r="3529">
      <c r="H3529" s="3"/>
    </row>
    <row r="3530">
      <c r="H3530" s="3"/>
    </row>
    <row r="3531">
      <c r="H3531" s="3"/>
    </row>
    <row r="3532">
      <c r="H3532" s="3"/>
    </row>
    <row r="3533">
      <c r="H3533" s="3"/>
    </row>
    <row r="3534">
      <c r="H3534" s="3"/>
    </row>
    <row r="3535">
      <c r="H3535" s="3"/>
    </row>
    <row r="3536">
      <c r="H3536" s="3"/>
    </row>
    <row r="3537">
      <c r="H3537" s="3"/>
    </row>
    <row r="3538">
      <c r="H3538" s="3"/>
    </row>
    <row r="3539">
      <c r="H3539" s="3"/>
    </row>
    <row r="3540">
      <c r="H3540" s="3"/>
    </row>
    <row r="3541">
      <c r="H3541" s="3"/>
    </row>
    <row r="3542">
      <c r="H3542" s="3"/>
    </row>
    <row r="3543">
      <c r="H3543" s="3"/>
    </row>
    <row r="3544">
      <c r="H3544" s="3"/>
    </row>
    <row r="3545">
      <c r="H3545" s="3"/>
    </row>
    <row r="3546">
      <c r="H3546" s="3"/>
    </row>
    <row r="3547">
      <c r="H3547" s="3"/>
    </row>
    <row r="3548">
      <c r="H3548" s="3"/>
    </row>
    <row r="3549">
      <c r="H3549" s="3"/>
    </row>
    <row r="3550">
      <c r="H3550" s="3"/>
    </row>
    <row r="3551">
      <c r="H3551" s="3"/>
    </row>
    <row r="3552">
      <c r="H3552" s="3"/>
    </row>
    <row r="3553">
      <c r="H3553" s="3"/>
    </row>
    <row r="3554">
      <c r="H3554" s="3"/>
    </row>
    <row r="3555">
      <c r="H3555" s="3"/>
    </row>
    <row r="3556">
      <c r="H3556" s="3"/>
    </row>
    <row r="3557">
      <c r="H3557" s="3"/>
    </row>
    <row r="3558">
      <c r="H3558" s="3"/>
    </row>
    <row r="3559">
      <c r="H3559" s="3"/>
    </row>
    <row r="3560">
      <c r="H3560" s="3"/>
    </row>
    <row r="3561">
      <c r="H3561" s="3"/>
    </row>
    <row r="3562">
      <c r="H3562" s="3"/>
    </row>
    <row r="3563">
      <c r="H3563" s="3"/>
    </row>
    <row r="3564">
      <c r="H3564" s="3"/>
    </row>
    <row r="3565">
      <c r="H3565" s="3"/>
    </row>
    <row r="3566">
      <c r="H3566" s="3"/>
    </row>
    <row r="3567">
      <c r="H3567" s="3"/>
    </row>
    <row r="3568">
      <c r="H3568" s="3"/>
    </row>
    <row r="3569">
      <c r="H3569" s="3"/>
    </row>
    <row r="3570">
      <c r="H3570" s="3"/>
    </row>
    <row r="3571">
      <c r="H3571" s="3"/>
    </row>
    <row r="3572">
      <c r="H3572" s="3"/>
    </row>
    <row r="3573">
      <c r="H3573" s="3"/>
    </row>
    <row r="3574">
      <c r="H3574" s="3"/>
    </row>
    <row r="3575">
      <c r="H3575" s="3"/>
    </row>
    <row r="3576">
      <c r="H3576" s="3"/>
    </row>
    <row r="3577">
      <c r="H3577" s="3"/>
    </row>
    <row r="3578">
      <c r="H3578" s="3"/>
    </row>
    <row r="3579">
      <c r="H3579" s="3"/>
    </row>
    <row r="3580">
      <c r="H3580" s="3"/>
    </row>
    <row r="3581">
      <c r="H3581" s="3"/>
    </row>
    <row r="3582">
      <c r="H3582" s="3"/>
    </row>
    <row r="3583">
      <c r="H3583" s="3"/>
    </row>
    <row r="3584">
      <c r="H3584" s="3"/>
    </row>
    <row r="3585">
      <c r="H3585" s="3"/>
    </row>
    <row r="3586">
      <c r="H3586" s="3"/>
    </row>
    <row r="3587">
      <c r="H3587" s="3"/>
    </row>
    <row r="3588">
      <c r="H3588" s="3"/>
    </row>
    <row r="3589">
      <c r="H3589" s="3"/>
    </row>
    <row r="3590">
      <c r="H3590" s="3"/>
    </row>
    <row r="3591">
      <c r="H3591" s="3"/>
    </row>
    <row r="3592">
      <c r="H3592" s="3"/>
    </row>
    <row r="3593">
      <c r="H3593" s="3"/>
    </row>
    <row r="3594">
      <c r="H3594" s="3"/>
    </row>
    <row r="3595">
      <c r="H3595" s="3"/>
    </row>
    <row r="3596">
      <c r="H3596" s="3"/>
    </row>
    <row r="3597">
      <c r="H3597" s="3"/>
    </row>
    <row r="3598">
      <c r="H3598" s="3"/>
    </row>
    <row r="3599">
      <c r="H3599" s="3"/>
    </row>
    <row r="3600">
      <c r="H3600" s="3"/>
    </row>
    <row r="3601">
      <c r="H3601" s="3"/>
    </row>
    <row r="3602">
      <c r="H3602" s="3"/>
    </row>
    <row r="3603">
      <c r="H3603" s="3"/>
    </row>
    <row r="3604">
      <c r="H3604" s="3"/>
    </row>
    <row r="3605">
      <c r="H3605" s="3"/>
    </row>
    <row r="3606">
      <c r="H3606" s="3"/>
    </row>
    <row r="3607">
      <c r="H3607" s="3"/>
    </row>
    <row r="3608">
      <c r="H3608" s="3"/>
    </row>
    <row r="3609">
      <c r="H3609" s="3"/>
    </row>
    <row r="3610">
      <c r="H3610" s="3"/>
    </row>
    <row r="3611">
      <c r="H3611" s="3"/>
    </row>
    <row r="3612">
      <c r="H3612" s="3"/>
    </row>
    <row r="3613">
      <c r="H3613" s="3"/>
    </row>
    <row r="3614">
      <c r="H3614" s="3"/>
    </row>
    <row r="3615">
      <c r="H3615" s="3"/>
    </row>
    <row r="3616">
      <c r="H3616" s="3"/>
    </row>
    <row r="3617">
      <c r="H3617" s="3"/>
    </row>
    <row r="3618">
      <c r="H3618" s="3"/>
    </row>
    <row r="3619">
      <c r="H3619" s="3"/>
    </row>
    <row r="3620">
      <c r="H3620" s="3"/>
    </row>
    <row r="3621">
      <c r="H3621" s="3"/>
    </row>
    <row r="3622">
      <c r="H3622" s="3"/>
    </row>
    <row r="3623">
      <c r="H3623" s="3"/>
    </row>
    <row r="3624">
      <c r="H3624" s="3"/>
    </row>
    <row r="3625">
      <c r="H3625" s="3"/>
    </row>
    <row r="3626">
      <c r="H3626" s="3"/>
    </row>
    <row r="3627">
      <c r="H3627" s="3"/>
    </row>
    <row r="3628">
      <c r="H3628" s="3"/>
    </row>
    <row r="3629">
      <c r="H3629" s="3"/>
    </row>
    <row r="3630">
      <c r="H3630" s="3"/>
    </row>
    <row r="3631">
      <c r="H3631" s="3"/>
    </row>
    <row r="3632">
      <c r="H3632" s="3"/>
    </row>
    <row r="3633">
      <c r="H3633" s="3"/>
    </row>
    <row r="3634">
      <c r="H3634" s="3"/>
    </row>
    <row r="3635">
      <c r="H3635" s="3"/>
    </row>
    <row r="3636">
      <c r="H3636" s="3"/>
    </row>
    <row r="3637">
      <c r="H3637" s="3"/>
    </row>
    <row r="3638">
      <c r="H3638" s="3"/>
    </row>
    <row r="3639">
      <c r="H3639" s="3"/>
    </row>
    <row r="3640">
      <c r="H3640" s="3"/>
    </row>
    <row r="3641">
      <c r="H3641" s="3"/>
    </row>
    <row r="3642">
      <c r="H3642" s="3"/>
    </row>
    <row r="3643">
      <c r="H3643" s="3"/>
    </row>
    <row r="3644">
      <c r="H3644" s="3"/>
    </row>
    <row r="3645">
      <c r="H3645" s="3"/>
    </row>
    <row r="3646">
      <c r="H3646" s="3"/>
    </row>
    <row r="3647">
      <c r="H3647" s="3"/>
    </row>
    <row r="3648">
      <c r="H3648" s="3"/>
    </row>
    <row r="3649">
      <c r="H3649" s="3"/>
    </row>
    <row r="3650">
      <c r="H3650" s="3"/>
    </row>
    <row r="3651">
      <c r="H3651" s="3"/>
    </row>
    <row r="3652">
      <c r="H3652" s="3"/>
    </row>
    <row r="3653">
      <c r="H3653" s="3"/>
    </row>
    <row r="3654">
      <c r="H3654" s="3"/>
    </row>
    <row r="3655">
      <c r="H3655" s="3"/>
    </row>
    <row r="3656">
      <c r="H3656" s="3"/>
    </row>
    <row r="3657">
      <c r="H3657" s="3"/>
    </row>
    <row r="3658">
      <c r="H3658" s="3"/>
    </row>
    <row r="3659">
      <c r="H3659" s="3"/>
    </row>
    <row r="3660">
      <c r="H3660" s="3"/>
    </row>
    <row r="3661">
      <c r="H3661" s="3"/>
    </row>
    <row r="3662">
      <c r="H3662" s="3"/>
    </row>
    <row r="3663">
      <c r="H3663" s="3"/>
    </row>
    <row r="3664">
      <c r="H3664" s="3"/>
    </row>
    <row r="3665">
      <c r="H3665" s="3"/>
    </row>
    <row r="3666">
      <c r="H3666" s="3"/>
    </row>
    <row r="3667">
      <c r="H3667" s="3"/>
    </row>
    <row r="3668">
      <c r="H3668" s="3"/>
    </row>
    <row r="3669">
      <c r="H3669" s="3"/>
    </row>
    <row r="3670">
      <c r="H3670" s="3"/>
    </row>
    <row r="3671">
      <c r="H3671" s="3"/>
    </row>
    <row r="3672">
      <c r="H3672" s="3"/>
    </row>
    <row r="3673">
      <c r="H3673" s="3"/>
    </row>
    <row r="3674">
      <c r="H3674" s="3"/>
    </row>
    <row r="3675">
      <c r="H3675" s="3"/>
    </row>
    <row r="3676">
      <c r="H3676" s="3"/>
    </row>
    <row r="3677">
      <c r="H3677" s="3"/>
    </row>
    <row r="3678">
      <c r="H3678" s="3"/>
    </row>
    <row r="3679">
      <c r="H3679" s="3"/>
    </row>
    <row r="3680">
      <c r="H3680" s="3"/>
    </row>
    <row r="3681">
      <c r="H3681" s="3"/>
    </row>
    <row r="3682">
      <c r="H3682" s="3"/>
    </row>
    <row r="3683">
      <c r="H3683" s="3"/>
    </row>
    <row r="3684">
      <c r="H3684" s="3"/>
    </row>
    <row r="3685">
      <c r="H3685" s="3"/>
    </row>
    <row r="3686">
      <c r="H3686" s="3"/>
    </row>
    <row r="3687">
      <c r="H3687" s="3"/>
    </row>
    <row r="3688">
      <c r="H3688" s="3"/>
    </row>
    <row r="3689">
      <c r="H3689" s="3"/>
    </row>
    <row r="3690">
      <c r="H3690" s="3"/>
    </row>
    <row r="3691">
      <c r="H3691" s="3"/>
    </row>
    <row r="3692">
      <c r="H3692" s="3"/>
    </row>
    <row r="3693">
      <c r="H3693" s="3"/>
    </row>
    <row r="3694">
      <c r="H3694" s="3"/>
    </row>
    <row r="3695">
      <c r="H3695" s="3"/>
    </row>
    <row r="3696">
      <c r="H3696" s="3"/>
    </row>
    <row r="3697">
      <c r="H3697" s="3"/>
    </row>
    <row r="3698">
      <c r="H3698" s="3"/>
    </row>
    <row r="3699">
      <c r="H3699" s="3"/>
    </row>
    <row r="3700">
      <c r="H3700" s="3"/>
    </row>
    <row r="3701">
      <c r="H3701" s="3"/>
    </row>
    <row r="3702">
      <c r="H3702" s="3"/>
    </row>
    <row r="3703">
      <c r="H3703" s="3"/>
    </row>
    <row r="3704">
      <c r="H3704" s="3"/>
    </row>
    <row r="3705">
      <c r="H3705" s="3"/>
    </row>
    <row r="3706">
      <c r="H3706" s="3"/>
    </row>
    <row r="3707">
      <c r="H3707" s="3"/>
    </row>
    <row r="3708">
      <c r="H3708" s="3"/>
    </row>
    <row r="3709">
      <c r="H3709" s="3"/>
    </row>
    <row r="3710">
      <c r="H3710" s="3"/>
    </row>
    <row r="3711">
      <c r="H3711" s="3"/>
    </row>
    <row r="3712">
      <c r="H3712" s="3"/>
    </row>
    <row r="3713">
      <c r="H3713" s="3"/>
    </row>
    <row r="3714">
      <c r="H3714" s="3"/>
    </row>
    <row r="3715">
      <c r="H3715" s="3"/>
    </row>
    <row r="3716">
      <c r="H3716" s="3"/>
    </row>
    <row r="3717">
      <c r="H3717" s="3"/>
    </row>
    <row r="3718">
      <c r="H3718" s="3"/>
    </row>
    <row r="3719">
      <c r="H3719" s="3"/>
    </row>
    <row r="3720">
      <c r="H3720" s="3"/>
    </row>
    <row r="3721">
      <c r="H3721" s="3"/>
    </row>
    <row r="3722">
      <c r="H3722" s="3"/>
    </row>
    <row r="3723">
      <c r="H3723" s="3"/>
    </row>
    <row r="3724">
      <c r="H3724" s="3"/>
    </row>
    <row r="3725">
      <c r="H3725" s="3"/>
    </row>
    <row r="3726">
      <c r="H3726" s="3"/>
    </row>
    <row r="3727">
      <c r="H3727" s="3"/>
    </row>
    <row r="3728">
      <c r="H3728" s="3"/>
    </row>
    <row r="3729">
      <c r="H3729" s="3"/>
    </row>
    <row r="3730">
      <c r="H3730" s="3"/>
    </row>
    <row r="3731">
      <c r="H3731" s="3"/>
    </row>
    <row r="3732">
      <c r="H3732" s="3"/>
    </row>
    <row r="3733">
      <c r="H3733" s="3"/>
    </row>
    <row r="3734">
      <c r="H3734" s="3"/>
    </row>
    <row r="3735">
      <c r="H3735" s="3"/>
    </row>
    <row r="3736">
      <c r="H3736" s="3"/>
    </row>
    <row r="3737">
      <c r="H3737" s="3"/>
    </row>
    <row r="3738">
      <c r="H3738" s="3"/>
    </row>
    <row r="3739">
      <c r="H3739" s="3"/>
    </row>
    <row r="3740">
      <c r="H3740" s="3"/>
    </row>
    <row r="3741">
      <c r="H3741" s="3"/>
    </row>
    <row r="3742">
      <c r="H3742" s="3"/>
    </row>
    <row r="3743">
      <c r="H3743" s="3"/>
    </row>
    <row r="3744">
      <c r="H3744" s="3"/>
    </row>
    <row r="3745">
      <c r="H3745" s="3"/>
    </row>
    <row r="3746">
      <c r="H3746" s="3"/>
    </row>
    <row r="3747">
      <c r="H3747" s="3"/>
    </row>
    <row r="3748">
      <c r="H3748" s="3"/>
    </row>
    <row r="3749">
      <c r="H3749" s="3"/>
    </row>
    <row r="3750">
      <c r="H3750" s="3"/>
    </row>
    <row r="3751">
      <c r="H3751" s="3"/>
    </row>
    <row r="3752">
      <c r="H3752" s="3"/>
    </row>
    <row r="3753">
      <c r="H3753" s="3"/>
    </row>
    <row r="3754">
      <c r="H3754" s="3"/>
    </row>
    <row r="3755">
      <c r="H3755" s="3"/>
    </row>
    <row r="3756">
      <c r="H3756" s="3"/>
    </row>
    <row r="3757">
      <c r="H3757" s="3"/>
    </row>
    <row r="3758">
      <c r="H3758" s="3"/>
    </row>
    <row r="3759">
      <c r="H3759" s="3"/>
    </row>
    <row r="3760">
      <c r="H3760" s="3"/>
    </row>
    <row r="3761">
      <c r="H3761" s="3"/>
    </row>
    <row r="3762">
      <c r="H3762" s="3"/>
    </row>
    <row r="3763">
      <c r="H3763" s="3"/>
    </row>
    <row r="3764">
      <c r="H3764" s="3"/>
    </row>
    <row r="3765">
      <c r="H3765" s="3"/>
    </row>
    <row r="3766">
      <c r="H3766" s="3"/>
    </row>
    <row r="3767">
      <c r="H3767" s="3"/>
    </row>
    <row r="3768">
      <c r="H3768" s="3"/>
    </row>
    <row r="3769">
      <c r="H3769" s="3"/>
    </row>
    <row r="3770">
      <c r="H3770" s="3"/>
    </row>
    <row r="3771">
      <c r="H3771" s="3"/>
    </row>
    <row r="3772">
      <c r="H3772" s="3"/>
    </row>
    <row r="3773">
      <c r="H3773" s="3"/>
    </row>
    <row r="3774">
      <c r="H3774" s="3"/>
    </row>
    <row r="3775">
      <c r="H3775" s="3"/>
    </row>
    <row r="3776">
      <c r="H3776" s="3"/>
    </row>
    <row r="3777">
      <c r="H3777" s="3"/>
    </row>
    <row r="3778">
      <c r="H3778" s="3"/>
    </row>
    <row r="3779">
      <c r="H3779" s="3"/>
    </row>
    <row r="3780">
      <c r="H3780" s="3"/>
    </row>
    <row r="3781">
      <c r="H3781" s="3"/>
    </row>
    <row r="3782">
      <c r="H3782" s="3"/>
    </row>
    <row r="3783">
      <c r="H3783" s="3"/>
    </row>
    <row r="3784">
      <c r="H3784" s="3"/>
    </row>
    <row r="3785">
      <c r="H3785" s="3"/>
    </row>
    <row r="3786">
      <c r="H3786" s="3"/>
    </row>
    <row r="3787">
      <c r="H3787" s="3"/>
    </row>
    <row r="3788">
      <c r="H3788" s="3"/>
    </row>
    <row r="3789">
      <c r="H3789" s="3"/>
    </row>
    <row r="3790">
      <c r="H3790" s="3"/>
    </row>
  </sheetData>
  <autoFilter ref="$A$1:$X$3790"/>
  <dataValidations>
    <dataValidation type="list" allowBlank="1" showErrorMessage="1" sqref="C2:C29 C31:C116">
      <formula1>'Company Validation'!$H:$H</formula1>
    </dataValidation>
    <dataValidation type="list" allowBlank="1" showErrorMessage="1" sqref="C30">
      <formula1>$H:$H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48.0"/>
    <col customWidth="1" min="3" max="3" width="11.14"/>
    <col customWidth="1" min="4" max="4" width="6.43"/>
    <col customWidth="1" min="5" max="6" width="8.0"/>
  </cols>
  <sheetData>
    <row r="1" ht="15.75" customHeight="1">
      <c r="A1" s="7" t="s">
        <v>4166</v>
      </c>
    </row>
    <row r="2">
      <c r="A2" s="8" t="s">
        <v>4167</v>
      </c>
    </row>
    <row r="3">
      <c r="A3" s="8" t="s">
        <v>4168</v>
      </c>
    </row>
    <row r="4">
      <c r="A4" s="8" t="s">
        <v>4169</v>
      </c>
    </row>
    <row r="5">
      <c r="A5" s="9" t="s">
        <v>4170</v>
      </c>
    </row>
    <row r="6">
      <c r="A6" s="9" t="s">
        <v>4171</v>
      </c>
    </row>
    <row r="7">
      <c r="A7" s="9" t="s">
        <v>4172</v>
      </c>
    </row>
    <row r="8">
      <c r="A8" s="10" t="s">
        <v>4173</v>
      </c>
      <c r="B8" s="10" t="s">
        <v>4174</v>
      </c>
      <c r="C8" s="10" t="s">
        <v>4175</v>
      </c>
      <c r="D8" s="10" t="s">
        <v>4176</v>
      </c>
    </row>
    <row r="9">
      <c r="A9" s="11"/>
      <c r="B9" s="12"/>
      <c r="C9" s="12"/>
      <c r="D9" s="13"/>
    </row>
    <row r="10">
      <c r="A10" s="14" t="s">
        <v>4072</v>
      </c>
      <c r="B10" s="15"/>
      <c r="C10" s="15"/>
      <c r="D10" s="15"/>
    </row>
    <row r="11">
      <c r="A11" s="16">
        <v>1.0</v>
      </c>
      <c r="B11" s="17" t="s">
        <v>4177</v>
      </c>
      <c r="C11" s="16">
        <v>3.0</v>
      </c>
      <c r="D11" s="18" t="s">
        <v>4178</v>
      </c>
    </row>
    <row r="12">
      <c r="A12" s="16">
        <v>2.0</v>
      </c>
      <c r="B12" s="17" t="s">
        <v>4179</v>
      </c>
      <c r="C12" s="16">
        <v>4.0</v>
      </c>
      <c r="D12" s="18" t="s">
        <v>4178</v>
      </c>
    </row>
    <row r="13">
      <c r="A13" s="16">
        <v>3.0</v>
      </c>
      <c r="B13" s="17" t="s">
        <v>4180</v>
      </c>
      <c r="C13" s="16">
        <v>10.0</v>
      </c>
      <c r="D13" s="18" t="s">
        <v>4178</v>
      </c>
    </row>
    <row r="14">
      <c r="A14" s="16">
        <v>4.0</v>
      </c>
      <c r="B14" s="17" t="s">
        <v>4181</v>
      </c>
      <c r="C14" s="16">
        <v>11.0</v>
      </c>
      <c r="D14" s="18" t="s">
        <v>4178</v>
      </c>
    </row>
    <row r="15">
      <c r="A15" s="16">
        <v>5.0</v>
      </c>
      <c r="B15" s="17" t="s">
        <v>4182</v>
      </c>
      <c r="C15" s="16">
        <v>8.0</v>
      </c>
      <c r="D15" s="18" t="s">
        <v>4183</v>
      </c>
    </row>
    <row r="16">
      <c r="A16" s="16">
        <v>6.0</v>
      </c>
      <c r="B16" s="17" t="s">
        <v>4184</v>
      </c>
      <c r="C16" s="16">
        <v>5.0</v>
      </c>
      <c r="D16" s="18" t="s">
        <v>4178</v>
      </c>
    </row>
    <row r="17">
      <c r="A17" s="16">
        <v>7.0</v>
      </c>
      <c r="B17" s="17" t="s">
        <v>4185</v>
      </c>
      <c r="C17" s="16">
        <v>3.0</v>
      </c>
      <c r="D17" s="18" t="s">
        <v>4178</v>
      </c>
    </row>
    <row r="18">
      <c r="A18" s="16">
        <v>8.0</v>
      </c>
      <c r="B18" s="17" t="s">
        <v>4186</v>
      </c>
      <c r="C18" s="16">
        <v>3.0</v>
      </c>
      <c r="D18" s="18" t="s">
        <v>4178</v>
      </c>
    </row>
    <row r="19">
      <c r="A19" s="16">
        <v>9.0</v>
      </c>
      <c r="B19" s="17" t="s">
        <v>4187</v>
      </c>
      <c r="C19" s="16">
        <v>3.0</v>
      </c>
      <c r="D19" s="18" t="s">
        <v>4178</v>
      </c>
    </row>
    <row r="20">
      <c r="A20" s="16">
        <v>10.0</v>
      </c>
      <c r="B20" s="17" t="s">
        <v>4188</v>
      </c>
      <c r="C20" s="16">
        <v>39.0</v>
      </c>
      <c r="D20" s="18" t="s">
        <v>4183</v>
      </c>
    </row>
    <row r="21" ht="15.75" customHeight="1">
      <c r="A21" s="16">
        <v>11.0</v>
      </c>
      <c r="B21" s="17" t="s">
        <v>4189</v>
      </c>
      <c r="C21" s="16">
        <v>68.0</v>
      </c>
      <c r="D21" s="18" t="s">
        <v>4183</v>
      </c>
    </row>
    <row r="22" ht="15.75" customHeight="1">
      <c r="A22" s="16">
        <v>12.0</v>
      </c>
      <c r="B22" s="17" t="s">
        <v>4190</v>
      </c>
      <c r="C22" s="16">
        <v>3.0</v>
      </c>
      <c r="D22" s="18" t="s">
        <v>4178</v>
      </c>
    </row>
    <row r="23" ht="15.75" customHeight="1">
      <c r="A23" s="16">
        <v>13.0</v>
      </c>
      <c r="B23" s="17" t="s">
        <v>4191</v>
      </c>
      <c r="C23" s="16">
        <v>1.0</v>
      </c>
      <c r="D23" s="18" t="s">
        <v>4178</v>
      </c>
    </row>
    <row r="24" ht="15.75" customHeight="1">
      <c r="A24" s="16">
        <v>14.0</v>
      </c>
      <c r="B24" s="17" t="s">
        <v>4192</v>
      </c>
      <c r="C24" s="16">
        <v>3.0</v>
      </c>
      <c r="D24" s="18" t="s">
        <v>4183</v>
      </c>
    </row>
    <row r="25" ht="15.75" customHeight="1">
      <c r="A25" s="16">
        <v>15.0</v>
      </c>
      <c r="B25" s="17" t="s">
        <v>4193</v>
      </c>
      <c r="C25" s="16">
        <v>1.0</v>
      </c>
      <c r="D25" s="18" t="s">
        <v>4183</v>
      </c>
    </row>
    <row r="26" ht="15.75" customHeight="1">
      <c r="A26" s="16">
        <v>16.0</v>
      </c>
      <c r="B26" s="17" t="s">
        <v>4194</v>
      </c>
      <c r="C26" s="16">
        <v>1.0</v>
      </c>
      <c r="D26" s="18" t="s">
        <v>4183</v>
      </c>
    </row>
    <row r="27" ht="15.75" customHeight="1">
      <c r="A27" s="16">
        <v>17.0</v>
      </c>
      <c r="B27" s="17" t="s">
        <v>4195</v>
      </c>
      <c r="C27" s="16">
        <v>18.0</v>
      </c>
      <c r="D27" s="18" t="s">
        <v>4183</v>
      </c>
    </row>
    <row r="28" ht="15.75" customHeight="1">
      <c r="A28" s="16">
        <v>18.0</v>
      </c>
      <c r="B28" s="17" t="s">
        <v>4196</v>
      </c>
      <c r="C28" s="16">
        <v>5.0</v>
      </c>
      <c r="D28" s="18" t="s">
        <v>4183</v>
      </c>
    </row>
    <row r="29" ht="15.75" customHeight="1">
      <c r="A29" s="16">
        <v>19.0</v>
      </c>
      <c r="B29" s="17" t="s">
        <v>4197</v>
      </c>
      <c r="C29" s="16">
        <v>8.0</v>
      </c>
      <c r="D29" s="18" t="s">
        <v>4183</v>
      </c>
    </row>
    <row r="30" ht="15.75" customHeight="1">
      <c r="A30" s="16">
        <v>20.0</v>
      </c>
      <c r="B30" s="17" t="s">
        <v>4198</v>
      </c>
      <c r="C30" s="16">
        <v>1.0</v>
      </c>
      <c r="D30" s="18" t="s">
        <v>4178</v>
      </c>
    </row>
    <row r="31" ht="15.75" customHeight="1">
      <c r="A31" s="16">
        <v>21.0</v>
      </c>
      <c r="B31" s="17" t="s">
        <v>4199</v>
      </c>
      <c r="C31" s="16">
        <v>10.0</v>
      </c>
      <c r="D31" s="18" t="s">
        <v>4183</v>
      </c>
    </row>
    <row r="32" ht="15.75" customHeight="1">
      <c r="A32" s="16">
        <v>22.0</v>
      </c>
      <c r="B32" s="17" t="s">
        <v>4200</v>
      </c>
      <c r="C32" s="16">
        <v>3.0</v>
      </c>
      <c r="D32" s="18" t="s">
        <v>4178</v>
      </c>
    </row>
    <row r="33" ht="15.75" customHeight="1">
      <c r="A33" s="16">
        <v>23.0</v>
      </c>
      <c r="B33" s="17" t="s">
        <v>4201</v>
      </c>
      <c r="C33" s="16">
        <v>3.0</v>
      </c>
      <c r="D33" s="18" t="s">
        <v>4178</v>
      </c>
    </row>
    <row r="34" ht="15.75" customHeight="1">
      <c r="A34" s="16">
        <v>24.0</v>
      </c>
      <c r="B34" s="17" t="s">
        <v>4202</v>
      </c>
      <c r="C34" s="16">
        <v>6.0</v>
      </c>
      <c r="D34" s="18" t="s">
        <v>4178</v>
      </c>
    </row>
    <row r="35" ht="15.75" customHeight="1">
      <c r="A35" s="16">
        <v>25.0</v>
      </c>
      <c r="B35" s="17" t="s">
        <v>4203</v>
      </c>
      <c r="C35" s="16">
        <v>5.0</v>
      </c>
      <c r="D35" s="18" t="s">
        <v>4183</v>
      </c>
    </row>
    <row r="36" ht="15.75" customHeight="1">
      <c r="A36" s="16">
        <v>26.0</v>
      </c>
      <c r="B36" s="17" t="s">
        <v>4204</v>
      </c>
      <c r="C36" s="16">
        <v>3.0</v>
      </c>
      <c r="D36" s="18" t="s">
        <v>4178</v>
      </c>
    </row>
    <row r="37" ht="15.75" customHeight="1">
      <c r="A37" s="16">
        <v>27.0</v>
      </c>
      <c r="B37" s="17" t="s">
        <v>4205</v>
      </c>
      <c r="C37" s="16">
        <v>26.0</v>
      </c>
      <c r="D37" s="18" t="s">
        <v>4183</v>
      </c>
    </row>
    <row r="38" ht="15.75" customHeight="1">
      <c r="A38" s="16">
        <v>28.0</v>
      </c>
      <c r="B38" s="17" t="s">
        <v>4206</v>
      </c>
      <c r="C38" s="16">
        <v>43.0</v>
      </c>
      <c r="D38" s="18" t="s">
        <v>4183</v>
      </c>
    </row>
    <row r="39" ht="15.75" customHeight="1">
      <c r="A39" s="16">
        <v>29.0</v>
      </c>
      <c r="B39" s="17" t="s">
        <v>4207</v>
      </c>
      <c r="C39" s="16">
        <v>71.0</v>
      </c>
      <c r="D39" s="18" t="s">
        <v>4183</v>
      </c>
    </row>
    <row r="40" ht="15.75" customHeight="1">
      <c r="A40" s="16">
        <v>30.0</v>
      </c>
      <c r="B40" s="17" t="s">
        <v>4208</v>
      </c>
      <c r="C40" s="19">
        <v>15.25</v>
      </c>
      <c r="D40" s="18" t="s">
        <v>4183</v>
      </c>
    </row>
    <row r="41" ht="15.75" customHeight="1">
      <c r="A41" s="16">
        <v>31.0</v>
      </c>
      <c r="B41" s="17" t="s">
        <v>4209</v>
      </c>
      <c r="C41" s="16">
        <v>11.0</v>
      </c>
      <c r="D41" s="18" t="s">
        <v>4178</v>
      </c>
    </row>
    <row r="42" ht="15.75" customHeight="1">
      <c r="A42" s="16">
        <v>32.0</v>
      </c>
      <c r="B42" s="17" t="s">
        <v>4210</v>
      </c>
      <c r="C42" s="16">
        <v>1.0</v>
      </c>
      <c r="D42" s="18" t="s">
        <v>4178</v>
      </c>
    </row>
    <row r="43" ht="15.75" customHeight="1">
      <c r="A43" s="16">
        <v>33.0</v>
      </c>
      <c r="B43" s="17" t="s">
        <v>4211</v>
      </c>
      <c r="C43" s="16">
        <v>12.0</v>
      </c>
      <c r="D43" s="18" t="s">
        <v>4183</v>
      </c>
    </row>
    <row r="44" ht="15.75" customHeight="1">
      <c r="A44" s="16">
        <v>34.0</v>
      </c>
      <c r="B44" s="17" t="s">
        <v>4212</v>
      </c>
      <c r="C44" s="18" t="s">
        <v>4213</v>
      </c>
      <c r="D44" s="18" t="s">
        <v>4183</v>
      </c>
    </row>
    <row r="45" ht="15.75" customHeight="1">
      <c r="A45" s="16">
        <v>35.0</v>
      </c>
      <c r="B45" s="17" t="s">
        <v>4214</v>
      </c>
      <c r="C45" s="16">
        <v>8.0</v>
      </c>
      <c r="D45" s="18" t="s">
        <v>4215</v>
      </c>
    </row>
    <row r="46" ht="15.75" customHeight="1">
      <c r="A46" s="16">
        <v>36.0</v>
      </c>
      <c r="B46" s="17" t="s">
        <v>4216</v>
      </c>
      <c r="C46" s="16">
        <v>1.0</v>
      </c>
      <c r="D46" s="18" t="s">
        <v>4178</v>
      </c>
    </row>
    <row r="47" ht="15.75" customHeight="1">
      <c r="A47" s="16">
        <v>37.0</v>
      </c>
      <c r="B47" s="17" t="s">
        <v>4217</v>
      </c>
      <c r="C47" s="18" t="s">
        <v>4218</v>
      </c>
      <c r="D47" s="18" t="s">
        <v>4178</v>
      </c>
    </row>
    <row r="48" ht="15.75" customHeight="1">
      <c r="A48" s="16">
        <v>38.0</v>
      </c>
      <c r="B48" s="17" t="s">
        <v>4219</v>
      </c>
      <c r="C48" s="16">
        <v>8.0</v>
      </c>
      <c r="D48" s="18" t="s">
        <v>4178</v>
      </c>
    </row>
    <row r="49" ht="15.75" customHeight="1">
      <c r="A49" s="16">
        <v>39.0</v>
      </c>
      <c r="B49" s="17" t="s">
        <v>4220</v>
      </c>
      <c r="C49" s="16">
        <v>1.0</v>
      </c>
      <c r="D49" s="18" t="s">
        <v>4178</v>
      </c>
    </row>
    <row r="50" ht="15.75" customHeight="1">
      <c r="A50" s="16">
        <v>40.0</v>
      </c>
      <c r="B50" s="17" t="s">
        <v>4221</v>
      </c>
      <c r="C50" s="16">
        <v>1.0</v>
      </c>
      <c r="D50" s="18" t="s">
        <v>4178</v>
      </c>
    </row>
    <row r="51" ht="15.75" customHeight="1">
      <c r="A51" s="16">
        <v>41.0</v>
      </c>
      <c r="B51" s="17" t="s">
        <v>4222</v>
      </c>
      <c r="C51" s="16">
        <v>3.0</v>
      </c>
      <c r="D51" s="18" t="s">
        <v>4178</v>
      </c>
    </row>
    <row r="52" ht="15.75" customHeight="1">
      <c r="A52" s="16">
        <v>42.0</v>
      </c>
      <c r="B52" s="17" t="s">
        <v>4223</v>
      </c>
      <c r="C52" s="16">
        <v>13.0</v>
      </c>
      <c r="D52" s="18" t="s">
        <v>4183</v>
      </c>
    </row>
    <row r="53" ht="15.75" customHeight="1">
      <c r="A53" s="16">
        <v>43.0</v>
      </c>
      <c r="B53" s="17" t="s">
        <v>4224</v>
      </c>
      <c r="C53" s="16">
        <v>6.0</v>
      </c>
      <c r="D53" s="18" t="s">
        <v>4183</v>
      </c>
    </row>
    <row r="54" ht="15.75" customHeight="1">
      <c r="A54" s="16">
        <v>44.0</v>
      </c>
      <c r="B54" s="17" t="s">
        <v>4225</v>
      </c>
      <c r="C54" s="16">
        <v>1.0</v>
      </c>
      <c r="D54" s="18" t="s">
        <v>4183</v>
      </c>
    </row>
    <row r="55" ht="15.75" customHeight="1">
      <c r="A55" s="16">
        <v>45.0</v>
      </c>
      <c r="B55" s="17" t="s">
        <v>4226</v>
      </c>
      <c r="C55" s="16">
        <v>17.0</v>
      </c>
      <c r="D55" s="18" t="s">
        <v>4183</v>
      </c>
    </row>
    <row r="56" ht="15.75" customHeight="1">
      <c r="A56" s="16">
        <v>46.0</v>
      </c>
      <c r="B56" s="17" t="s">
        <v>4227</v>
      </c>
      <c r="C56" s="16">
        <v>9.0</v>
      </c>
      <c r="D56" s="18" t="s">
        <v>4183</v>
      </c>
    </row>
    <row r="57" ht="15.75" customHeight="1">
      <c r="A57" s="16">
        <v>47.0</v>
      </c>
      <c r="B57" s="17" t="s">
        <v>4228</v>
      </c>
      <c r="C57" s="16">
        <v>2.0</v>
      </c>
      <c r="D57" s="18" t="s">
        <v>4183</v>
      </c>
    </row>
    <row r="58" ht="15.75" customHeight="1">
      <c r="A58" s="16">
        <v>48.0</v>
      </c>
      <c r="B58" s="17" t="s">
        <v>4229</v>
      </c>
      <c r="C58" s="16">
        <v>1.0</v>
      </c>
      <c r="D58" s="18" t="s">
        <v>4183</v>
      </c>
    </row>
    <row r="59" ht="15.75" customHeight="1">
      <c r="A59" s="16">
        <v>49.0</v>
      </c>
      <c r="B59" s="17" t="s">
        <v>4230</v>
      </c>
      <c r="C59" s="16">
        <v>36.0</v>
      </c>
      <c r="D59" s="18" t="s">
        <v>4178</v>
      </c>
    </row>
    <row r="60" ht="15.75" customHeight="1">
      <c r="A60" s="16">
        <v>50.0</v>
      </c>
      <c r="B60" s="17" t="s">
        <v>4231</v>
      </c>
      <c r="C60" s="16">
        <v>7.0</v>
      </c>
      <c r="D60" s="18" t="s">
        <v>4178</v>
      </c>
    </row>
    <row r="61" ht="15.75" customHeight="1">
      <c r="A61" s="16">
        <v>51.0</v>
      </c>
      <c r="B61" s="17" t="s">
        <v>4232</v>
      </c>
      <c r="C61" s="16">
        <v>24.0</v>
      </c>
      <c r="D61" s="18" t="s">
        <v>4215</v>
      </c>
    </row>
    <row r="62" ht="15.75" customHeight="1">
      <c r="A62" s="16">
        <v>52.0</v>
      </c>
      <c r="B62" s="17" t="s">
        <v>4233</v>
      </c>
      <c r="C62" s="16">
        <v>4.0</v>
      </c>
      <c r="D62" s="18" t="s">
        <v>4178</v>
      </c>
    </row>
    <row r="63" ht="15.75" customHeight="1">
      <c r="A63" s="16">
        <v>53.0</v>
      </c>
      <c r="B63" s="17" t="s">
        <v>4234</v>
      </c>
      <c r="C63" s="16">
        <v>18.0</v>
      </c>
      <c r="D63" s="18" t="s">
        <v>4183</v>
      </c>
    </row>
    <row r="64" ht="15.75" customHeight="1">
      <c r="A64" s="16">
        <v>54.0</v>
      </c>
      <c r="B64" s="17" t="s">
        <v>4235</v>
      </c>
      <c r="C64" s="16">
        <v>1.0</v>
      </c>
      <c r="D64" s="18" t="s">
        <v>4178</v>
      </c>
    </row>
    <row r="65" ht="15.75" customHeight="1">
      <c r="A65" s="16">
        <v>55.0</v>
      </c>
      <c r="B65" s="17" t="s">
        <v>4236</v>
      </c>
      <c r="C65" s="16">
        <v>5.0</v>
      </c>
      <c r="D65" s="18" t="s">
        <v>4178</v>
      </c>
    </row>
    <row r="66" ht="15.75" customHeight="1">
      <c r="A66" s="16">
        <v>56.0</v>
      </c>
      <c r="B66" s="17" t="s">
        <v>4237</v>
      </c>
      <c r="C66" s="16">
        <v>2.0</v>
      </c>
      <c r="D66" s="18" t="s">
        <v>4178</v>
      </c>
    </row>
    <row r="67" ht="15.75" customHeight="1">
      <c r="A67" s="16">
        <v>57.0</v>
      </c>
      <c r="B67" s="17" t="s">
        <v>4238</v>
      </c>
      <c r="C67" s="16">
        <v>2.0</v>
      </c>
      <c r="D67" s="18" t="s">
        <v>4183</v>
      </c>
    </row>
    <row r="68" ht="15.75" customHeight="1">
      <c r="A68" s="16">
        <v>58.0</v>
      </c>
      <c r="B68" s="17" t="s">
        <v>4239</v>
      </c>
      <c r="C68" s="16">
        <v>1.0</v>
      </c>
      <c r="D68" s="18" t="s">
        <v>4183</v>
      </c>
    </row>
    <row r="69" ht="15.75" customHeight="1">
      <c r="A69" s="16">
        <v>59.0</v>
      </c>
      <c r="B69" s="17" t="s">
        <v>4240</v>
      </c>
      <c r="C69" s="16">
        <v>3.0</v>
      </c>
      <c r="D69" s="18" t="s">
        <v>4183</v>
      </c>
    </row>
    <row r="70" ht="15.75" customHeight="1">
      <c r="A70" s="16">
        <v>60.0</v>
      </c>
      <c r="B70" s="17" t="s">
        <v>4241</v>
      </c>
      <c r="C70" s="16">
        <v>1.0</v>
      </c>
      <c r="D70" s="18" t="s">
        <v>4183</v>
      </c>
    </row>
    <row r="71" ht="15.75" customHeight="1">
      <c r="A71" s="16">
        <v>61.0</v>
      </c>
      <c r="B71" s="17" t="s">
        <v>4242</v>
      </c>
      <c r="C71" s="16">
        <v>7.0</v>
      </c>
      <c r="D71" s="18" t="s">
        <v>4183</v>
      </c>
    </row>
    <row r="72" ht="15.75" customHeight="1">
      <c r="A72" s="16">
        <v>62.0</v>
      </c>
      <c r="B72" s="17" t="s">
        <v>4243</v>
      </c>
      <c r="C72" s="16">
        <v>2.0</v>
      </c>
      <c r="D72" s="18" t="s">
        <v>4178</v>
      </c>
    </row>
    <row r="73" ht="15.75" customHeight="1">
      <c r="A73" s="16">
        <v>63.0</v>
      </c>
      <c r="B73" s="17" t="s">
        <v>4244</v>
      </c>
      <c r="C73" s="16">
        <v>12.0</v>
      </c>
      <c r="D73" s="18" t="s">
        <v>4183</v>
      </c>
    </row>
    <row r="74" ht="15.75" customHeight="1">
      <c r="A74" s="16">
        <v>64.0</v>
      </c>
      <c r="B74" s="17" t="s">
        <v>4245</v>
      </c>
      <c r="C74" s="16">
        <v>113.0</v>
      </c>
      <c r="D74" s="18" t="s">
        <v>4183</v>
      </c>
    </row>
    <row r="75" ht="15.75" customHeight="1">
      <c r="A75" s="16">
        <v>65.0</v>
      </c>
      <c r="B75" s="17" t="s">
        <v>4246</v>
      </c>
      <c r="C75" s="16">
        <v>50.0</v>
      </c>
      <c r="D75" s="18" t="s">
        <v>4178</v>
      </c>
    </row>
    <row r="76" ht="15.75" customHeight="1">
      <c r="A76" s="16">
        <v>66.0</v>
      </c>
      <c r="B76" s="17" t="s">
        <v>4247</v>
      </c>
      <c r="C76" s="16">
        <v>2.0</v>
      </c>
      <c r="D76" s="18" t="s">
        <v>4178</v>
      </c>
    </row>
    <row r="77" ht="15.75" customHeight="1">
      <c r="A77" s="16">
        <v>67.0</v>
      </c>
      <c r="B77" s="17" t="s">
        <v>4248</v>
      </c>
      <c r="C77" s="18" t="s">
        <v>4213</v>
      </c>
      <c r="D77" s="18" t="s">
        <v>4178</v>
      </c>
    </row>
    <row r="78" ht="15.75" customHeight="1">
      <c r="A78" s="16">
        <v>68.0</v>
      </c>
      <c r="B78" s="17" t="s">
        <v>4249</v>
      </c>
      <c r="C78" s="16">
        <v>1.0</v>
      </c>
      <c r="D78" s="18" t="s">
        <v>4250</v>
      </c>
    </row>
    <row r="79" ht="15.75" customHeight="1">
      <c r="A79" s="16">
        <v>69.0</v>
      </c>
      <c r="B79" s="17" t="s">
        <v>4251</v>
      </c>
      <c r="C79" s="16">
        <v>4.0</v>
      </c>
      <c r="D79" s="18" t="s">
        <v>4178</v>
      </c>
    </row>
    <row r="80" ht="15.75" customHeight="1">
      <c r="A80" s="16">
        <v>70.0</v>
      </c>
      <c r="B80" s="17" t="s">
        <v>4252</v>
      </c>
      <c r="C80" s="16">
        <v>44.0</v>
      </c>
      <c r="D80" s="18" t="s">
        <v>4178</v>
      </c>
    </row>
    <row r="81" ht="15.75" customHeight="1">
      <c r="A81" s="16">
        <v>71.0</v>
      </c>
      <c r="B81" s="17" t="s">
        <v>4253</v>
      </c>
      <c r="C81" s="16">
        <v>6.0</v>
      </c>
      <c r="D81" s="18" t="s">
        <v>4183</v>
      </c>
    </row>
    <row r="82" ht="15.75" customHeight="1">
      <c r="A82" s="16">
        <v>72.0</v>
      </c>
      <c r="B82" s="17" t="s">
        <v>4254</v>
      </c>
      <c r="C82" s="16">
        <v>2.0</v>
      </c>
      <c r="D82" s="18" t="s">
        <v>4178</v>
      </c>
    </row>
    <row r="83" ht="15.75" customHeight="1">
      <c r="A83" s="16">
        <v>73.0</v>
      </c>
      <c r="B83" s="17" t="s">
        <v>4255</v>
      </c>
      <c r="C83" s="16">
        <v>18.0</v>
      </c>
      <c r="D83" s="18" t="s">
        <v>4183</v>
      </c>
    </row>
    <row r="84" ht="15.75" customHeight="1">
      <c r="A84" s="16">
        <v>74.0</v>
      </c>
      <c r="B84" s="17" t="s">
        <v>4256</v>
      </c>
      <c r="C84" s="16">
        <v>1.0</v>
      </c>
      <c r="D84" s="18" t="s">
        <v>4183</v>
      </c>
    </row>
    <row r="85" ht="15.75" customHeight="1">
      <c r="A85" s="16">
        <v>75.0</v>
      </c>
      <c r="B85" s="17" t="s">
        <v>4257</v>
      </c>
      <c r="C85" s="16">
        <v>7.0</v>
      </c>
      <c r="D85" s="18" t="s">
        <v>4183</v>
      </c>
    </row>
    <row r="86" ht="15.75" customHeight="1">
      <c r="A86" s="16">
        <v>76.0</v>
      </c>
      <c r="B86" s="17" t="s">
        <v>4258</v>
      </c>
      <c r="C86" s="16">
        <v>3.0</v>
      </c>
      <c r="D86" s="18" t="s">
        <v>4183</v>
      </c>
    </row>
    <row r="87" ht="15.75" customHeight="1">
      <c r="A87" s="16">
        <v>77.0</v>
      </c>
      <c r="B87" s="17" t="s">
        <v>4259</v>
      </c>
      <c r="C87" s="16">
        <v>30.0</v>
      </c>
      <c r="D87" s="18" t="s">
        <v>4183</v>
      </c>
    </row>
    <row r="88" ht="15.75" customHeight="1">
      <c r="A88" s="16">
        <v>78.0</v>
      </c>
      <c r="B88" s="17" t="s">
        <v>4260</v>
      </c>
      <c r="C88" s="16">
        <v>3.0</v>
      </c>
      <c r="D88" s="18" t="s">
        <v>4183</v>
      </c>
    </row>
    <row r="89" ht="15.75" customHeight="1">
      <c r="A89" s="16">
        <v>79.0</v>
      </c>
      <c r="B89" s="17" t="s">
        <v>4261</v>
      </c>
      <c r="C89" s="16">
        <v>10.0</v>
      </c>
      <c r="D89" s="18" t="s">
        <v>4183</v>
      </c>
    </row>
    <row r="90" ht="15.75" customHeight="1">
      <c r="A90" s="16">
        <v>80.0</v>
      </c>
      <c r="B90" s="17" t="s">
        <v>4262</v>
      </c>
      <c r="C90" s="16">
        <v>5.0</v>
      </c>
      <c r="D90" s="18" t="s">
        <v>4183</v>
      </c>
    </row>
    <row r="91" ht="15.75" customHeight="1">
      <c r="A91" s="16">
        <v>81.0</v>
      </c>
      <c r="B91" s="17" t="s">
        <v>4263</v>
      </c>
      <c r="C91" s="16">
        <v>5.0</v>
      </c>
      <c r="D91" s="18" t="s">
        <v>4183</v>
      </c>
    </row>
    <row r="92" ht="15.75" customHeight="1">
      <c r="A92" s="16">
        <v>82.0</v>
      </c>
      <c r="B92" s="17" t="s">
        <v>4264</v>
      </c>
      <c r="C92" s="16">
        <v>8.0</v>
      </c>
      <c r="D92" s="18" t="s">
        <v>4178</v>
      </c>
    </row>
    <row r="93" ht="15.75" customHeight="1">
      <c r="A93" s="16">
        <v>83.0</v>
      </c>
      <c r="B93" s="17" t="s">
        <v>4265</v>
      </c>
      <c r="C93" s="16">
        <v>8.0</v>
      </c>
      <c r="D93" s="18" t="s">
        <v>4183</v>
      </c>
    </row>
    <row r="94" ht="15.75" customHeight="1">
      <c r="A94" s="16">
        <v>84.0</v>
      </c>
      <c r="B94" s="17" t="s">
        <v>4266</v>
      </c>
      <c r="C94" s="16">
        <v>12.0</v>
      </c>
      <c r="D94" s="18" t="s">
        <v>4183</v>
      </c>
    </row>
    <row r="95" ht="15.75" customHeight="1">
      <c r="A95" s="16">
        <v>85.0</v>
      </c>
      <c r="B95" s="17" t="s">
        <v>4267</v>
      </c>
      <c r="C95" s="16">
        <v>5.0</v>
      </c>
      <c r="D95" s="18" t="s">
        <v>4183</v>
      </c>
    </row>
    <row r="96" ht="15.75" customHeight="1">
      <c r="A96" s="16">
        <v>86.0</v>
      </c>
      <c r="B96" s="17" t="s">
        <v>4268</v>
      </c>
      <c r="C96" s="16">
        <v>1.0</v>
      </c>
      <c r="D96" s="18" t="s">
        <v>4183</v>
      </c>
    </row>
    <row r="97" ht="15.75" customHeight="1">
      <c r="A97" s="16">
        <v>87.0</v>
      </c>
      <c r="B97" s="17" t="s">
        <v>4269</v>
      </c>
      <c r="C97" s="18" t="s">
        <v>4270</v>
      </c>
      <c r="D97" s="18" t="s">
        <v>4250</v>
      </c>
    </row>
    <row r="98" ht="15.75" customHeight="1">
      <c r="A98" s="16">
        <v>88.0</v>
      </c>
      <c r="B98" s="17" t="s">
        <v>4271</v>
      </c>
      <c r="C98" s="16">
        <v>11.0</v>
      </c>
      <c r="D98" s="18" t="s">
        <v>4183</v>
      </c>
    </row>
    <row r="99" ht="15.75" customHeight="1">
      <c r="A99" s="16">
        <v>89.0</v>
      </c>
      <c r="B99" s="17" t="s">
        <v>4272</v>
      </c>
      <c r="C99" s="16">
        <v>20.0</v>
      </c>
      <c r="D99" s="18" t="s">
        <v>4178</v>
      </c>
    </row>
    <row r="100" ht="15.75" customHeight="1">
      <c r="A100" s="20"/>
      <c r="B100" s="21" t="s">
        <v>4273</v>
      </c>
      <c r="C100" s="22">
        <v>954.25</v>
      </c>
      <c r="D100" s="21" t="s">
        <v>4171</v>
      </c>
    </row>
    <row r="101" ht="15.75" customHeight="1">
      <c r="A101" s="11"/>
      <c r="B101" s="12"/>
      <c r="C101" s="12"/>
      <c r="D101" s="13"/>
    </row>
    <row r="102" ht="15.75" customHeight="1">
      <c r="A102" s="14" t="s">
        <v>4079</v>
      </c>
      <c r="B102" s="15"/>
      <c r="C102" s="15"/>
      <c r="D102" s="15"/>
    </row>
    <row r="103" ht="15.75" customHeight="1">
      <c r="A103" s="16">
        <v>1.0</v>
      </c>
      <c r="B103" s="17" t="s">
        <v>4274</v>
      </c>
      <c r="C103" s="16">
        <v>8.0</v>
      </c>
      <c r="D103" s="18" t="s">
        <v>4178</v>
      </c>
    </row>
    <row r="104" ht="15.75" customHeight="1">
      <c r="A104" s="16">
        <v>2.0</v>
      </c>
      <c r="B104" s="17" t="s">
        <v>4275</v>
      </c>
      <c r="C104" s="16">
        <v>1.0</v>
      </c>
      <c r="D104" s="18" t="s">
        <v>4178</v>
      </c>
    </row>
    <row r="105" ht="15.75" customHeight="1">
      <c r="A105" s="16">
        <v>3.0</v>
      </c>
      <c r="B105" s="17" t="s">
        <v>4276</v>
      </c>
      <c r="C105" s="16">
        <v>3.0</v>
      </c>
      <c r="D105" s="18" t="s">
        <v>4178</v>
      </c>
    </row>
    <row r="106" ht="15.75" customHeight="1">
      <c r="A106" s="16">
        <v>4.0</v>
      </c>
      <c r="B106" s="17" t="s">
        <v>4277</v>
      </c>
      <c r="C106" s="16">
        <v>2.0</v>
      </c>
      <c r="D106" s="18" t="s">
        <v>4178</v>
      </c>
    </row>
    <row r="107" ht="15.75" customHeight="1">
      <c r="A107" s="16">
        <v>5.0</v>
      </c>
      <c r="B107" s="17" t="s">
        <v>4278</v>
      </c>
      <c r="C107" s="16">
        <v>1.0</v>
      </c>
      <c r="D107" s="18" t="s">
        <v>4178</v>
      </c>
    </row>
    <row r="108" ht="15.75" customHeight="1">
      <c r="A108" s="16">
        <v>6.0</v>
      </c>
      <c r="B108" s="17" t="s">
        <v>4279</v>
      </c>
      <c r="C108" s="16">
        <v>2.0</v>
      </c>
      <c r="D108" s="18" t="s">
        <v>4178</v>
      </c>
    </row>
    <row r="109" ht="15.75" customHeight="1">
      <c r="A109" s="16">
        <v>7.0</v>
      </c>
      <c r="B109" s="17" t="s">
        <v>4280</v>
      </c>
      <c r="C109" s="16">
        <v>1.0</v>
      </c>
      <c r="D109" s="18" t="s">
        <v>4178</v>
      </c>
    </row>
    <row r="110" ht="15.75" customHeight="1">
      <c r="A110" s="16">
        <v>8.0</v>
      </c>
      <c r="B110" s="17" t="s">
        <v>4281</v>
      </c>
      <c r="C110" s="16">
        <v>9.0</v>
      </c>
      <c r="D110" s="18" t="s">
        <v>4178</v>
      </c>
    </row>
    <row r="111" ht="15.75" customHeight="1">
      <c r="A111" s="16">
        <v>9.0</v>
      </c>
      <c r="B111" s="17" t="s">
        <v>4282</v>
      </c>
      <c r="C111" s="16">
        <v>2.0</v>
      </c>
      <c r="D111" s="18" t="s">
        <v>4178</v>
      </c>
    </row>
    <row r="112" ht="15.75" customHeight="1">
      <c r="A112" s="16">
        <v>10.0</v>
      </c>
      <c r="B112" s="17" t="s">
        <v>4283</v>
      </c>
      <c r="C112" s="16">
        <v>7.0</v>
      </c>
      <c r="D112" s="18" t="s">
        <v>4178</v>
      </c>
    </row>
    <row r="113" ht="15.75" customHeight="1">
      <c r="A113" s="16">
        <v>11.0</v>
      </c>
      <c r="B113" s="17" t="s">
        <v>4284</v>
      </c>
      <c r="C113" s="16">
        <v>9.0</v>
      </c>
      <c r="D113" s="18" t="s">
        <v>4178</v>
      </c>
    </row>
    <row r="114" ht="15.75" customHeight="1">
      <c r="A114" s="16">
        <v>12.0</v>
      </c>
      <c r="B114" s="17" t="s">
        <v>4285</v>
      </c>
      <c r="C114" s="16">
        <v>3.0</v>
      </c>
      <c r="D114" s="18" t="s">
        <v>4178</v>
      </c>
    </row>
    <row r="115" ht="15.75" customHeight="1">
      <c r="A115" s="16">
        <v>13.0</v>
      </c>
      <c r="B115" s="17" t="s">
        <v>4286</v>
      </c>
      <c r="C115" s="16">
        <v>1.0</v>
      </c>
      <c r="D115" s="18" t="s">
        <v>4178</v>
      </c>
    </row>
    <row r="116" ht="15.75" customHeight="1">
      <c r="A116" s="16">
        <v>14.0</v>
      </c>
      <c r="B116" s="17" t="s">
        <v>4287</v>
      </c>
      <c r="C116" s="16">
        <v>9.0</v>
      </c>
      <c r="D116" s="18" t="s">
        <v>4178</v>
      </c>
    </row>
    <row r="117" ht="15.75" customHeight="1">
      <c r="A117" s="16">
        <v>15.0</v>
      </c>
      <c r="B117" s="17" t="s">
        <v>4288</v>
      </c>
      <c r="C117" s="16">
        <v>5.0</v>
      </c>
      <c r="D117" s="18" t="s">
        <v>4178</v>
      </c>
    </row>
    <row r="118" ht="15.75" customHeight="1">
      <c r="A118" s="16">
        <v>16.0</v>
      </c>
      <c r="B118" s="17" t="s">
        <v>4289</v>
      </c>
      <c r="C118" s="16">
        <v>3.0</v>
      </c>
      <c r="D118" s="18" t="s">
        <v>4178</v>
      </c>
    </row>
    <row r="119" ht="15.75" customHeight="1">
      <c r="A119" s="16">
        <v>17.0</v>
      </c>
      <c r="B119" s="17" t="s">
        <v>4290</v>
      </c>
      <c r="C119" s="16">
        <v>2.0</v>
      </c>
      <c r="D119" s="18" t="s">
        <v>4178</v>
      </c>
    </row>
    <row r="120" ht="15.75" customHeight="1">
      <c r="A120" s="16">
        <v>18.0</v>
      </c>
      <c r="B120" s="17" t="s">
        <v>4291</v>
      </c>
      <c r="C120" s="16">
        <v>5.0</v>
      </c>
      <c r="D120" s="18" t="s">
        <v>4178</v>
      </c>
    </row>
    <row r="121" ht="15.75" customHeight="1">
      <c r="A121" s="16">
        <v>19.0</v>
      </c>
      <c r="B121" s="17" t="s">
        <v>4292</v>
      </c>
      <c r="C121" s="16">
        <v>10.0</v>
      </c>
      <c r="D121" s="18" t="s">
        <v>4178</v>
      </c>
    </row>
    <row r="122" ht="15.75" customHeight="1">
      <c r="A122" s="16">
        <v>20.0</v>
      </c>
      <c r="B122" s="17" t="s">
        <v>4293</v>
      </c>
      <c r="C122" s="16">
        <v>5.0</v>
      </c>
      <c r="D122" s="18" t="s">
        <v>4178</v>
      </c>
    </row>
    <row r="123" ht="15.75" customHeight="1">
      <c r="A123" s="16">
        <v>21.0</v>
      </c>
      <c r="B123" s="17" t="s">
        <v>4294</v>
      </c>
      <c r="C123" s="16">
        <v>4.0</v>
      </c>
      <c r="D123" s="18" t="s">
        <v>4178</v>
      </c>
    </row>
    <row r="124" ht="15.75" customHeight="1">
      <c r="A124" s="16">
        <v>22.0</v>
      </c>
      <c r="B124" s="17" t="s">
        <v>4295</v>
      </c>
      <c r="C124" s="16">
        <v>8.0</v>
      </c>
      <c r="D124" s="18" t="s">
        <v>4178</v>
      </c>
    </row>
    <row r="125" ht="15.75" customHeight="1">
      <c r="A125" s="16">
        <v>23.0</v>
      </c>
      <c r="B125" s="17" t="s">
        <v>4296</v>
      </c>
      <c r="C125" s="16">
        <v>6.0</v>
      </c>
      <c r="D125" s="18" t="s">
        <v>4178</v>
      </c>
    </row>
    <row r="126" ht="15.75" customHeight="1">
      <c r="A126" s="16">
        <v>24.0</v>
      </c>
      <c r="B126" s="17" t="s">
        <v>4297</v>
      </c>
      <c r="C126" s="16">
        <v>3.0</v>
      </c>
      <c r="D126" s="18" t="s">
        <v>4178</v>
      </c>
    </row>
    <row r="127" ht="15.75" customHeight="1">
      <c r="A127" s="16">
        <v>25.0</v>
      </c>
      <c r="B127" s="17" t="s">
        <v>4298</v>
      </c>
      <c r="C127" s="16">
        <v>4.0</v>
      </c>
      <c r="D127" s="18" t="s">
        <v>4178</v>
      </c>
    </row>
    <row r="128" ht="15.75" customHeight="1">
      <c r="A128" s="16">
        <v>26.0</v>
      </c>
      <c r="B128" s="17" t="s">
        <v>4299</v>
      </c>
      <c r="C128" s="16">
        <v>2.0</v>
      </c>
      <c r="D128" s="18" t="s">
        <v>4178</v>
      </c>
    </row>
    <row r="129" ht="15.75" customHeight="1">
      <c r="A129" s="16">
        <v>27.0</v>
      </c>
      <c r="B129" s="17" t="s">
        <v>4300</v>
      </c>
      <c r="C129" s="16">
        <v>4.0</v>
      </c>
      <c r="D129" s="18" t="s">
        <v>4178</v>
      </c>
    </row>
    <row r="130" ht="15.75" customHeight="1">
      <c r="A130" s="16">
        <v>28.0</v>
      </c>
      <c r="B130" s="17" t="s">
        <v>4301</v>
      </c>
      <c r="C130" s="16">
        <v>5.0</v>
      </c>
      <c r="D130" s="18" t="s">
        <v>4178</v>
      </c>
    </row>
    <row r="131" ht="15.75" customHeight="1">
      <c r="A131" s="16">
        <v>29.0</v>
      </c>
      <c r="B131" s="17" t="s">
        <v>4302</v>
      </c>
      <c r="C131" s="16">
        <v>4.0</v>
      </c>
      <c r="D131" s="18" t="s">
        <v>4215</v>
      </c>
    </row>
    <row r="132" ht="15.75" customHeight="1">
      <c r="A132" s="16">
        <v>30.0</v>
      </c>
      <c r="B132" s="17" t="s">
        <v>4303</v>
      </c>
      <c r="C132" s="16">
        <v>26.0</v>
      </c>
      <c r="D132" s="18" t="s">
        <v>4215</v>
      </c>
    </row>
    <row r="133" ht="15.75" customHeight="1">
      <c r="A133" s="16">
        <v>31.0</v>
      </c>
      <c r="B133" s="17" t="s">
        <v>4304</v>
      </c>
      <c r="C133" s="16">
        <v>3.0</v>
      </c>
      <c r="D133" s="18" t="s">
        <v>4178</v>
      </c>
    </row>
    <row r="134" ht="15.75" customHeight="1">
      <c r="A134" s="16">
        <v>32.0</v>
      </c>
      <c r="B134" s="17" t="s">
        <v>4305</v>
      </c>
      <c r="C134" s="16">
        <v>2.0</v>
      </c>
      <c r="D134" s="18" t="s">
        <v>4178</v>
      </c>
    </row>
    <row r="135" ht="15.75" customHeight="1">
      <c r="A135" s="16">
        <v>33.0</v>
      </c>
      <c r="B135" s="17" t="s">
        <v>4306</v>
      </c>
      <c r="C135" s="16">
        <v>7.0</v>
      </c>
      <c r="D135" s="18" t="s">
        <v>4178</v>
      </c>
    </row>
    <row r="136" ht="15.75" customHeight="1">
      <c r="A136" s="16">
        <v>34.0</v>
      </c>
      <c r="B136" s="17" t="s">
        <v>4307</v>
      </c>
      <c r="C136" s="16">
        <v>31.0</v>
      </c>
      <c r="D136" s="18" t="s">
        <v>4215</v>
      </c>
    </row>
    <row r="137" ht="15.75" customHeight="1">
      <c r="A137" s="16">
        <v>35.0</v>
      </c>
      <c r="B137" s="17" t="s">
        <v>4308</v>
      </c>
      <c r="C137" s="16">
        <v>9.0</v>
      </c>
      <c r="D137" s="18" t="s">
        <v>4178</v>
      </c>
    </row>
    <row r="138" ht="15.75" customHeight="1">
      <c r="A138" s="16">
        <v>36.0</v>
      </c>
      <c r="B138" s="17" t="s">
        <v>4309</v>
      </c>
      <c r="C138" s="16">
        <v>4.0</v>
      </c>
      <c r="D138" s="18" t="s">
        <v>4178</v>
      </c>
    </row>
    <row r="139" ht="15.75" customHeight="1">
      <c r="A139" s="16">
        <v>37.0</v>
      </c>
      <c r="B139" s="17" t="s">
        <v>4310</v>
      </c>
      <c r="C139" s="16">
        <v>11.0</v>
      </c>
      <c r="D139" s="18" t="s">
        <v>4215</v>
      </c>
    </row>
    <row r="140" ht="15.75" customHeight="1">
      <c r="A140" s="16">
        <v>38.0</v>
      </c>
      <c r="B140" s="17" t="s">
        <v>4311</v>
      </c>
      <c r="C140" s="16">
        <v>6.0</v>
      </c>
      <c r="D140" s="18" t="s">
        <v>4178</v>
      </c>
    </row>
    <row r="141" ht="15.75" customHeight="1">
      <c r="A141" s="16">
        <v>39.0</v>
      </c>
      <c r="B141" s="17" t="s">
        <v>4312</v>
      </c>
      <c r="C141" s="16">
        <v>9.0</v>
      </c>
      <c r="D141" s="18" t="s">
        <v>4178</v>
      </c>
    </row>
    <row r="142" ht="15.75" customHeight="1">
      <c r="A142" s="16">
        <v>40.0</v>
      </c>
      <c r="B142" s="17" t="s">
        <v>4313</v>
      </c>
      <c r="C142" s="16">
        <v>8.0</v>
      </c>
      <c r="D142" s="18" t="s">
        <v>4178</v>
      </c>
    </row>
    <row r="143" ht="15.75" customHeight="1">
      <c r="A143" s="16">
        <v>41.0</v>
      </c>
      <c r="B143" s="17" t="s">
        <v>4314</v>
      </c>
      <c r="C143" s="16">
        <v>10.0</v>
      </c>
      <c r="D143" s="18" t="s">
        <v>4215</v>
      </c>
    </row>
    <row r="144" ht="15.75" customHeight="1">
      <c r="A144" s="16">
        <v>42.0</v>
      </c>
      <c r="B144" s="17" t="s">
        <v>4315</v>
      </c>
      <c r="C144" s="16">
        <v>10.0</v>
      </c>
      <c r="D144" s="18" t="s">
        <v>4178</v>
      </c>
    </row>
    <row r="145" ht="15.75" customHeight="1">
      <c r="A145" s="16">
        <v>43.0</v>
      </c>
      <c r="B145" s="17" t="s">
        <v>4316</v>
      </c>
      <c r="C145" s="16">
        <v>1.0</v>
      </c>
      <c r="D145" s="18" t="s">
        <v>4178</v>
      </c>
    </row>
    <row r="146" ht="15.75" customHeight="1">
      <c r="A146" s="16">
        <v>44.0</v>
      </c>
      <c r="B146" s="17" t="s">
        <v>4317</v>
      </c>
      <c r="C146" s="16">
        <v>11.0</v>
      </c>
      <c r="D146" s="18" t="s">
        <v>4178</v>
      </c>
    </row>
    <row r="147" ht="15.75" customHeight="1">
      <c r="A147" s="16">
        <v>45.0</v>
      </c>
      <c r="B147" s="17" t="s">
        <v>4318</v>
      </c>
      <c r="C147" s="16">
        <v>1.0</v>
      </c>
      <c r="D147" s="18" t="s">
        <v>4178</v>
      </c>
    </row>
    <row r="148" ht="15.75" customHeight="1">
      <c r="A148" s="16">
        <v>46.0</v>
      </c>
      <c r="B148" s="17" t="s">
        <v>4319</v>
      </c>
      <c r="C148" s="16">
        <v>20.0</v>
      </c>
      <c r="D148" s="18" t="s">
        <v>4178</v>
      </c>
    </row>
    <row r="149" ht="15.75" customHeight="1">
      <c r="A149" s="16">
        <v>47.0</v>
      </c>
      <c r="B149" s="17" t="s">
        <v>4320</v>
      </c>
      <c r="C149" s="16">
        <v>1.0</v>
      </c>
      <c r="D149" s="18" t="s">
        <v>4178</v>
      </c>
    </row>
    <row r="150" ht="15.75" customHeight="1">
      <c r="A150" s="16">
        <v>48.0</v>
      </c>
      <c r="B150" s="17" t="s">
        <v>4321</v>
      </c>
      <c r="C150" s="16">
        <v>3.0</v>
      </c>
      <c r="D150" s="18" t="s">
        <v>4178</v>
      </c>
    </row>
    <row r="151" ht="15.75" customHeight="1">
      <c r="A151" s="16">
        <v>49.0</v>
      </c>
      <c r="B151" s="17" t="s">
        <v>4322</v>
      </c>
      <c r="C151" s="16">
        <v>4.0</v>
      </c>
      <c r="D151" s="18" t="s">
        <v>4178</v>
      </c>
    </row>
    <row r="152" ht="15.75" customHeight="1">
      <c r="A152" s="16">
        <v>50.0</v>
      </c>
      <c r="B152" s="17" t="s">
        <v>4323</v>
      </c>
      <c r="C152" s="16">
        <v>2.0</v>
      </c>
      <c r="D152" s="18" t="s">
        <v>4178</v>
      </c>
    </row>
    <row r="153" ht="15.75" customHeight="1">
      <c r="A153" s="16">
        <v>51.0</v>
      </c>
      <c r="B153" s="17" t="s">
        <v>4324</v>
      </c>
      <c r="C153" s="16">
        <v>3.0</v>
      </c>
      <c r="D153" s="18" t="s">
        <v>4178</v>
      </c>
    </row>
    <row r="154" ht="15.75" customHeight="1">
      <c r="A154" s="16">
        <v>52.0</v>
      </c>
      <c r="B154" s="17" t="s">
        <v>4325</v>
      </c>
      <c r="C154" s="16">
        <v>7.0</v>
      </c>
      <c r="D154" s="18" t="s">
        <v>4178</v>
      </c>
    </row>
    <row r="155" ht="15.75" customHeight="1">
      <c r="A155" s="16">
        <v>53.0</v>
      </c>
      <c r="B155" s="18" t="s">
        <v>4326</v>
      </c>
      <c r="C155" s="16">
        <v>3.0</v>
      </c>
      <c r="D155" s="18" t="s">
        <v>4178</v>
      </c>
    </row>
    <row r="156" ht="15.75" customHeight="1">
      <c r="A156" s="16">
        <v>54.0</v>
      </c>
      <c r="B156" s="17" t="s">
        <v>4327</v>
      </c>
      <c r="C156" s="16">
        <v>1.0</v>
      </c>
      <c r="D156" s="18" t="s">
        <v>4178</v>
      </c>
    </row>
    <row r="157" ht="15.75" customHeight="1">
      <c r="A157" s="20"/>
      <c r="B157" s="21" t="s">
        <v>4273</v>
      </c>
      <c r="C157" s="23">
        <v>321.0</v>
      </c>
      <c r="D157" s="21" t="s">
        <v>4171</v>
      </c>
    </row>
    <row r="158" ht="15.75" customHeight="1">
      <c r="A158" s="11"/>
      <c r="B158" s="12"/>
      <c r="C158" s="12"/>
      <c r="D158" s="13"/>
    </row>
    <row r="159" ht="15.75" customHeight="1">
      <c r="A159" s="14" t="s">
        <v>4152</v>
      </c>
      <c r="B159" s="15"/>
      <c r="C159" s="15"/>
      <c r="D159" s="15"/>
    </row>
    <row r="160" ht="15.75" customHeight="1">
      <c r="A160" s="16">
        <v>1.0</v>
      </c>
      <c r="B160" s="17" t="s">
        <v>4328</v>
      </c>
      <c r="C160" s="16">
        <v>1.0</v>
      </c>
      <c r="D160" s="18" t="s">
        <v>4215</v>
      </c>
    </row>
    <row r="161" ht="15.75" customHeight="1">
      <c r="A161" s="16">
        <v>2.0</v>
      </c>
      <c r="B161" s="17" t="s">
        <v>4329</v>
      </c>
      <c r="C161" s="16">
        <v>7.0</v>
      </c>
      <c r="D161" s="18" t="s">
        <v>4183</v>
      </c>
    </row>
    <row r="162" ht="15.75" customHeight="1">
      <c r="A162" s="16">
        <v>3.0</v>
      </c>
      <c r="B162" s="17" t="s">
        <v>4330</v>
      </c>
      <c r="C162" s="16">
        <v>15.0</v>
      </c>
      <c r="D162" s="18" t="s">
        <v>4183</v>
      </c>
    </row>
    <row r="163" ht="15.75" customHeight="1">
      <c r="A163" s="16">
        <v>4.0</v>
      </c>
      <c r="B163" s="17" t="s">
        <v>4331</v>
      </c>
      <c r="C163" s="16">
        <v>6.0</v>
      </c>
      <c r="D163" s="18" t="s">
        <v>4183</v>
      </c>
    </row>
    <row r="164" ht="15.75" customHeight="1">
      <c r="A164" s="20"/>
      <c r="B164" s="21" t="s">
        <v>4273</v>
      </c>
      <c r="C164" s="23">
        <v>29.0</v>
      </c>
      <c r="D164" s="21" t="s">
        <v>4171</v>
      </c>
    </row>
    <row r="165" ht="15.75" customHeight="1">
      <c r="A165" s="11"/>
      <c r="B165" s="12"/>
      <c r="C165" s="12"/>
      <c r="D165" s="13"/>
    </row>
    <row r="166" ht="15.75" customHeight="1">
      <c r="A166" s="14" t="s">
        <v>4153</v>
      </c>
      <c r="B166" s="15"/>
      <c r="C166" s="15"/>
      <c r="D166" s="15"/>
    </row>
    <row r="167" ht="15.75" customHeight="1">
      <c r="A167" s="16">
        <v>1.0</v>
      </c>
      <c r="B167" s="17" t="s">
        <v>4332</v>
      </c>
      <c r="C167" s="16">
        <v>2.0</v>
      </c>
      <c r="D167" s="18" t="s">
        <v>4183</v>
      </c>
    </row>
    <row r="168" ht="15.75" customHeight="1">
      <c r="A168" s="16">
        <v>2.0</v>
      </c>
      <c r="B168" s="17" t="s">
        <v>4333</v>
      </c>
      <c r="C168" s="16">
        <v>1.0</v>
      </c>
      <c r="D168" s="18" t="s">
        <v>4183</v>
      </c>
    </row>
    <row r="169" ht="15.75" customHeight="1">
      <c r="A169" s="16">
        <v>3.0</v>
      </c>
      <c r="B169" s="17" t="s">
        <v>4334</v>
      </c>
      <c r="C169" s="16">
        <v>14.0</v>
      </c>
      <c r="D169" s="18" t="s">
        <v>4183</v>
      </c>
    </row>
    <row r="170" ht="15.75" customHeight="1">
      <c r="A170" s="16">
        <v>4.0</v>
      </c>
      <c r="B170" s="17" t="s">
        <v>4335</v>
      </c>
      <c r="C170" s="16">
        <v>4.0</v>
      </c>
      <c r="D170" s="18" t="s">
        <v>4183</v>
      </c>
    </row>
    <row r="171" ht="15.75" customHeight="1">
      <c r="A171" s="20"/>
      <c r="B171" s="21" t="s">
        <v>4273</v>
      </c>
      <c r="C171" s="23">
        <v>21.0</v>
      </c>
      <c r="D171" s="21" t="s">
        <v>4171</v>
      </c>
    </row>
    <row r="172" ht="15.75" customHeight="1">
      <c r="A172" s="11"/>
      <c r="B172" s="12"/>
      <c r="C172" s="12"/>
      <c r="D172" s="13"/>
    </row>
    <row r="173" ht="15.75" customHeight="1">
      <c r="A173" s="14" t="s">
        <v>4164</v>
      </c>
      <c r="B173" s="15"/>
      <c r="C173" s="15"/>
      <c r="D173" s="15"/>
    </row>
    <row r="174" ht="15.75" customHeight="1">
      <c r="A174" s="16">
        <v>1.0</v>
      </c>
      <c r="B174" s="17" t="s">
        <v>4336</v>
      </c>
      <c r="C174" s="16">
        <v>4.0</v>
      </c>
      <c r="D174" s="18" t="s">
        <v>4183</v>
      </c>
    </row>
    <row r="175" ht="15.75" customHeight="1">
      <c r="A175" s="20"/>
      <c r="B175" s="21" t="s">
        <v>4273</v>
      </c>
      <c r="C175" s="23">
        <v>4.0</v>
      </c>
      <c r="D175" s="21" t="s">
        <v>4171</v>
      </c>
    </row>
    <row r="176" ht="15.75" customHeight="1">
      <c r="A176" s="11"/>
      <c r="B176" s="12"/>
      <c r="C176" s="12"/>
      <c r="D176" s="13"/>
    </row>
    <row r="177" ht="15.75" customHeight="1">
      <c r="A177" s="14" t="s">
        <v>4142</v>
      </c>
      <c r="B177" s="15"/>
      <c r="C177" s="15"/>
      <c r="D177" s="15"/>
    </row>
    <row r="178" ht="15.75" customHeight="1">
      <c r="A178" s="16">
        <v>1.0</v>
      </c>
      <c r="B178" s="17" t="s">
        <v>4337</v>
      </c>
      <c r="C178" s="16">
        <v>8.0</v>
      </c>
      <c r="D178" s="18" t="s">
        <v>4183</v>
      </c>
    </row>
    <row r="179" ht="15.75" customHeight="1">
      <c r="A179" s="16">
        <v>2.0</v>
      </c>
      <c r="B179" s="17" t="s">
        <v>4338</v>
      </c>
      <c r="C179" s="16">
        <v>1.0</v>
      </c>
      <c r="D179" s="18" t="s">
        <v>4339</v>
      </c>
    </row>
    <row r="180" ht="15.75" customHeight="1">
      <c r="A180" s="16">
        <v>3.0</v>
      </c>
      <c r="B180" s="17" t="s">
        <v>4340</v>
      </c>
      <c r="C180" s="16">
        <v>5.0</v>
      </c>
      <c r="D180" s="18" t="s">
        <v>4341</v>
      </c>
    </row>
    <row r="181" ht="15.75" customHeight="1">
      <c r="A181" s="16">
        <v>4.0</v>
      </c>
      <c r="B181" s="17" t="s">
        <v>4342</v>
      </c>
      <c r="C181" s="18" t="s">
        <v>4343</v>
      </c>
      <c r="D181" s="18" t="s">
        <v>4183</v>
      </c>
    </row>
    <row r="182" ht="15.75" customHeight="1">
      <c r="A182" s="16">
        <v>5.0</v>
      </c>
      <c r="B182" s="17" t="s">
        <v>4344</v>
      </c>
      <c r="C182" s="16">
        <v>2.0</v>
      </c>
      <c r="D182" s="18" t="s">
        <v>4183</v>
      </c>
    </row>
    <row r="183" ht="15.75" customHeight="1">
      <c r="A183" s="16">
        <v>6.0</v>
      </c>
      <c r="B183" s="17" t="s">
        <v>4345</v>
      </c>
      <c r="C183" s="16">
        <v>4.0</v>
      </c>
      <c r="D183" s="18" t="s">
        <v>4183</v>
      </c>
    </row>
    <row r="184" ht="15.75" customHeight="1">
      <c r="A184" s="20"/>
      <c r="B184" s="21" t="s">
        <v>4273</v>
      </c>
      <c r="C184" s="22">
        <v>8.7</v>
      </c>
      <c r="D184" s="21" t="s">
        <v>4171</v>
      </c>
    </row>
    <row r="185" ht="15.75" customHeight="1">
      <c r="A185" s="11"/>
      <c r="B185" s="12"/>
      <c r="C185" s="12"/>
      <c r="D185" s="13"/>
    </row>
    <row r="186" ht="15.75" customHeight="1">
      <c r="A186" s="14" t="s">
        <v>4139</v>
      </c>
      <c r="B186" s="15"/>
      <c r="C186" s="15"/>
      <c r="D186" s="15"/>
    </row>
    <row r="187" ht="15.75" customHeight="1">
      <c r="A187" s="16">
        <v>1.0</v>
      </c>
      <c r="B187" s="17" t="s">
        <v>4346</v>
      </c>
      <c r="C187" s="16">
        <v>15.0</v>
      </c>
      <c r="D187" s="18" t="s">
        <v>4183</v>
      </c>
    </row>
    <row r="188" ht="15.75" customHeight="1">
      <c r="A188" s="16">
        <v>2.0</v>
      </c>
      <c r="B188" s="17" t="s">
        <v>4347</v>
      </c>
      <c r="C188" s="16">
        <v>10.0</v>
      </c>
      <c r="D188" s="18" t="s">
        <v>4183</v>
      </c>
    </row>
    <row r="189" ht="15.75" customHeight="1">
      <c r="A189" s="16">
        <v>3.0</v>
      </c>
      <c r="B189" s="17" t="s">
        <v>4348</v>
      </c>
      <c r="C189" s="16">
        <v>2.0</v>
      </c>
      <c r="D189" s="18" t="s">
        <v>4183</v>
      </c>
    </row>
    <row r="190" ht="15.75" customHeight="1">
      <c r="A190" s="16">
        <v>4.0</v>
      </c>
      <c r="B190" s="17" t="s">
        <v>4349</v>
      </c>
      <c r="C190" s="16">
        <v>9.0</v>
      </c>
      <c r="D190" s="18" t="s">
        <v>4183</v>
      </c>
    </row>
    <row r="191" ht="15.75" customHeight="1">
      <c r="A191" s="16">
        <v>5.0</v>
      </c>
      <c r="B191" s="17" t="s">
        <v>4350</v>
      </c>
      <c r="C191" s="16">
        <v>1.0</v>
      </c>
      <c r="D191" s="18" t="s">
        <v>4183</v>
      </c>
    </row>
    <row r="192" ht="15.75" customHeight="1">
      <c r="A192" s="16">
        <v>6.0</v>
      </c>
      <c r="B192" s="17" t="s">
        <v>4351</v>
      </c>
      <c r="C192" s="16">
        <v>12.0</v>
      </c>
      <c r="D192" s="18" t="s">
        <v>4183</v>
      </c>
    </row>
    <row r="193" ht="15.75" customHeight="1">
      <c r="A193" s="16">
        <v>7.0</v>
      </c>
      <c r="B193" s="17" t="s">
        <v>4352</v>
      </c>
      <c r="C193" s="16">
        <v>11.0</v>
      </c>
      <c r="D193" s="18" t="s">
        <v>4183</v>
      </c>
    </row>
    <row r="194" ht="15.75" customHeight="1">
      <c r="A194" s="20"/>
      <c r="B194" s="21" t="s">
        <v>4273</v>
      </c>
      <c r="C194" s="23">
        <v>60.0</v>
      </c>
      <c r="D194" s="21" t="s">
        <v>4171</v>
      </c>
    </row>
    <row r="195" ht="15.75" customHeight="1">
      <c r="A195" s="11"/>
      <c r="B195" s="12"/>
      <c r="C195" s="12"/>
      <c r="D195" s="13"/>
    </row>
    <row r="196" ht="15.75" customHeight="1">
      <c r="A196" s="14" t="s">
        <v>4143</v>
      </c>
      <c r="B196" s="15"/>
      <c r="C196" s="15"/>
      <c r="D196" s="15"/>
    </row>
    <row r="197" ht="15.75" customHeight="1">
      <c r="A197" s="16">
        <v>1.0</v>
      </c>
      <c r="B197" s="17" t="s">
        <v>4353</v>
      </c>
      <c r="C197" s="16">
        <v>2.0</v>
      </c>
      <c r="D197" s="18" t="s">
        <v>4183</v>
      </c>
    </row>
    <row r="198" ht="15.75" customHeight="1">
      <c r="A198" s="16">
        <v>2.0</v>
      </c>
      <c r="B198" s="17" t="s">
        <v>4354</v>
      </c>
      <c r="C198" s="16">
        <v>2.0</v>
      </c>
      <c r="D198" s="18" t="s">
        <v>4355</v>
      </c>
    </row>
    <row r="199" ht="15.75" customHeight="1">
      <c r="A199" s="16">
        <v>3.0</v>
      </c>
      <c r="B199" s="17" t="s">
        <v>4356</v>
      </c>
      <c r="C199" s="16">
        <v>4.0</v>
      </c>
      <c r="D199" s="18" t="s">
        <v>4183</v>
      </c>
    </row>
    <row r="200" ht="15.75" customHeight="1">
      <c r="A200" s="16">
        <v>4.0</v>
      </c>
      <c r="B200" s="17" t="s">
        <v>4357</v>
      </c>
      <c r="C200" s="16">
        <v>1.0</v>
      </c>
      <c r="D200" s="18" t="s">
        <v>4183</v>
      </c>
    </row>
    <row r="201" ht="15.75" customHeight="1">
      <c r="A201" s="16">
        <v>5.0</v>
      </c>
      <c r="B201" s="17" t="s">
        <v>4358</v>
      </c>
      <c r="C201" s="16">
        <v>1.0</v>
      </c>
      <c r="D201" s="18" t="s">
        <v>4178</v>
      </c>
    </row>
    <row r="202" ht="15.75" customHeight="1">
      <c r="A202" s="16">
        <v>6.0</v>
      </c>
      <c r="B202" s="17" t="s">
        <v>4359</v>
      </c>
      <c r="C202" s="16">
        <v>1.0</v>
      </c>
      <c r="D202" s="18" t="s">
        <v>4183</v>
      </c>
    </row>
    <row r="203" ht="15.75" customHeight="1">
      <c r="A203" s="20"/>
      <c r="B203" s="21" t="s">
        <v>4273</v>
      </c>
      <c r="C203" s="23">
        <v>11.0</v>
      </c>
      <c r="D203" s="21" t="s">
        <v>4171</v>
      </c>
    </row>
    <row r="204" ht="15.75" customHeight="1">
      <c r="A204" s="11"/>
      <c r="B204" s="12"/>
      <c r="C204" s="12"/>
      <c r="D204" s="13"/>
    </row>
    <row r="205" ht="15.75" customHeight="1">
      <c r="A205" s="14" t="s">
        <v>4073</v>
      </c>
      <c r="B205" s="15"/>
      <c r="C205" s="15"/>
      <c r="D205" s="15"/>
    </row>
    <row r="206" ht="15.75" customHeight="1">
      <c r="A206" s="16">
        <v>1.0</v>
      </c>
      <c r="B206" s="17" t="s">
        <v>4360</v>
      </c>
      <c r="C206" s="16">
        <v>49.0</v>
      </c>
      <c r="D206" s="18" t="s">
        <v>4183</v>
      </c>
    </row>
    <row r="207" ht="15.75" customHeight="1">
      <c r="A207" s="16">
        <v>2.0</v>
      </c>
      <c r="B207" s="17" t="s">
        <v>4361</v>
      </c>
      <c r="C207" s="16">
        <v>13.0</v>
      </c>
      <c r="D207" s="18" t="s">
        <v>4183</v>
      </c>
    </row>
    <row r="208" ht="15.75" customHeight="1">
      <c r="A208" s="16">
        <v>3.0</v>
      </c>
      <c r="B208" s="17" t="s">
        <v>4362</v>
      </c>
      <c r="C208" s="16">
        <v>21.0</v>
      </c>
      <c r="D208" s="18" t="s">
        <v>4183</v>
      </c>
    </row>
    <row r="209" ht="15.75" customHeight="1">
      <c r="A209" s="16">
        <v>4.0</v>
      </c>
      <c r="B209" s="17" t="s">
        <v>4363</v>
      </c>
      <c r="C209" s="16">
        <v>6.0</v>
      </c>
      <c r="D209" s="18" t="s">
        <v>4183</v>
      </c>
    </row>
    <row r="210" ht="15.75" customHeight="1">
      <c r="A210" s="16">
        <v>5.0</v>
      </c>
      <c r="B210" s="17" t="s">
        <v>4364</v>
      </c>
      <c r="C210" s="16">
        <v>5.0</v>
      </c>
      <c r="D210" s="18" t="s">
        <v>4183</v>
      </c>
    </row>
    <row r="211" ht="15.75" customHeight="1">
      <c r="A211" s="16">
        <v>6.0</v>
      </c>
      <c r="B211" s="17" t="s">
        <v>4365</v>
      </c>
      <c r="C211" s="16">
        <v>13.0</v>
      </c>
      <c r="D211" s="18" t="s">
        <v>4183</v>
      </c>
    </row>
    <row r="212" ht="15.75" customHeight="1">
      <c r="A212" s="16">
        <v>7.0</v>
      </c>
      <c r="B212" s="17" t="s">
        <v>4366</v>
      </c>
      <c r="C212" s="16">
        <v>8.0</v>
      </c>
      <c r="D212" s="18" t="s">
        <v>4183</v>
      </c>
    </row>
    <row r="213" ht="15.75" customHeight="1">
      <c r="A213" s="16">
        <v>8.0</v>
      </c>
      <c r="B213" s="17" t="s">
        <v>4367</v>
      </c>
      <c r="C213" s="16">
        <v>32.0</v>
      </c>
      <c r="D213" s="18" t="s">
        <v>4183</v>
      </c>
    </row>
    <row r="214" ht="15.75" customHeight="1">
      <c r="A214" s="16">
        <v>9.0</v>
      </c>
      <c r="B214" s="17" t="s">
        <v>4368</v>
      </c>
      <c r="C214" s="16">
        <v>10.0</v>
      </c>
      <c r="D214" s="18" t="s">
        <v>4183</v>
      </c>
    </row>
    <row r="215" ht="15.75" customHeight="1">
      <c r="A215" s="16">
        <v>10.0</v>
      </c>
      <c r="B215" s="17" t="s">
        <v>4369</v>
      </c>
      <c r="C215" s="16">
        <v>8.0</v>
      </c>
      <c r="D215" s="18" t="s">
        <v>4178</v>
      </c>
    </row>
    <row r="216" ht="15.75" customHeight="1">
      <c r="A216" s="16">
        <v>11.0</v>
      </c>
      <c r="B216" s="17" t="s">
        <v>4370</v>
      </c>
      <c r="C216" s="16">
        <v>9.0</v>
      </c>
      <c r="D216" s="18" t="s">
        <v>4183</v>
      </c>
    </row>
    <row r="217" ht="15.75" customHeight="1">
      <c r="A217" s="16">
        <v>12.0</v>
      </c>
      <c r="B217" s="17" t="s">
        <v>4371</v>
      </c>
      <c r="C217" s="16">
        <v>5.0</v>
      </c>
      <c r="D217" s="18" t="s">
        <v>4183</v>
      </c>
    </row>
    <row r="218" ht="15.75" customHeight="1">
      <c r="A218" s="16">
        <v>13.0</v>
      </c>
      <c r="B218" s="17" t="s">
        <v>4372</v>
      </c>
      <c r="C218" s="16">
        <v>18.0</v>
      </c>
      <c r="D218" s="18" t="s">
        <v>4183</v>
      </c>
    </row>
    <row r="219" ht="15.75" customHeight="1">
      <c r="A219" s="16">
        <v>14.0</v>
      </c>
      <c r="B219" s="17" t="s">
        <v>4373</v>
      </c>
      <c r="C219" s="16">
        <v>11.0</v>
      </c>
      <c r="D219" s="18" t="s">
        <v>4215</v>
      </c>
    </row>
    <row r="220" ht="15.75" customHeight="1">
      <c r="A220" s="16">
        <v>15.0</v>
      </c>
      <c r="B220" s="17" t="s">
        <v>4374</v>
      </c>
      <c r="C220" s="16">
        <v>15.0</v>
      </c>
      <c r="D220" s="18" t="s">
        <v>4183</v>
      </c>
    </row>
    <row r="221" ht="15.75" customHeight="1">
      <c r="A221" s="16">
        <v>16.0</v>
      </c>
      <c r="B221" s="17" t="s">
        <v>4375</v>
      </c>
      <c r="C221" s="16">
        <v>6.0</v>
      </c>
      <c r="D221" s="18" t="s">
        <v>4178</v>
      </c>
    </row>
    <row r="222" ht="15.75" customHeight="1">
      <c r="A222" s="16">
        <v>17.0</v>
      </c>
      <c r="B222" s="17" t="s">
        <v>4376</v>
      </c>
      <c r="C222" s="16">
        <v>20.0</v>
      </c>
      <c r="D222" s="18" t="s">
        <v>4178</v>
      </c>
    </row>
    <row r="223" ht="15.75" customHeight="1">
      <c r="A223" s="16">
        <v>18.0</v>
      </c>
      <c r="B223" s="17" t="s">
        <v>4377</v>
      </c>
      <c r="C223" s="16">
        <v>8.0</v>
      </c>
      <c r="D223" s="18" t="s">
        <v>4178</v>
      </c>
    </row>
    <row r="224" ht="15.75" customHeight="1">
      <c r="A224" s="16">
        <v>19.0</v>
      </c>
      <c r="B224" s="17" t="s">
        <v>4378</v>
      </c>
      <c r="C224" s="16">
        <v>4.0</v>
      </c>
      <c r="D224" s="18" t="s">
        <v>4178</v>
      </c>
    </row>
    <row r="225" ht="15.75" customHeight="1">
      <c r="A225" s="16">
        <v>20.0</v>
      </c>
      <c r="B225" s="17" t="s">
        <v>4379</v>
      </c>
      <c r="C225" s="16">
        <v>5.0</v>
      </c>
      <c r="D225" s="18" t="s">
        <v>4178</v>
      </c>
    </row>
    <row r="226" ht="15.75" customHeight="1">
      <c r="A226" s="16">
        <v>21.0</v>
      </c>
      <c r="B226" s="17" t="s">
        <v>4380</v>
      </c>
      <c r="C226" s="16">
        <v>4.0</v>
      </c>
      <c r="D226" s="18" t="s">
        <v>4215</v>
      </c>
    </row>
    <row r="227" ht="15.75" customHeight="1">
      <c r="A227" s="16">
        <v>22.0</v>
      </c>
      <c r="B227" s="17" t="s">
        <v>4381</v>
      </c>
      <c r="C227" s="16">
        <v>6.0</v>
      </c>
      <c r="D227" s="18" t="s">
        <v>4183</v>
      </c>
    </row>
    <row r="228" ht="15.75" customHeight="1">
      <c r="A228" s="16">
        <v>23.0</v>
      </c>
      <c r="B228" s="17" t="s">
        <v>4382</v>
      </c>
      <c r="C228" s="16">
        <v>28.0</v>
      </c>
      <c r="D228" s="18" t="s">
        <v>4183</v>
      </c>
    </row>
    <row r="229" ht="15.75" customHeight="1">
      <c r="A229" s="16">
        <v>24.0</v>
      </c>
      <c r="B229" s="17" t="s">
        <v>4383</v>
      </c>
      <c r="C229" s="18" t="s">
        <v>4384</v>
      </c>
      <c r="D229" s="18" t="s">
        <v>4183</v>
      </c>
    </row>
    <row r="230" ht="15.75" customHeight="1">
      <c r="A230" s="16">
        <v>25.0</v>
      </c>
      <c r="B230" s="17" t="s">
        <v>4385</v>
      </c>
      <c r="C230" s="16">
        <v>6.0</v>
      </c>
      <c r="D230" s="18" t="s">
        <v>4183</v>
      </c>
    </row>
    <row r="231" ht="15.75" customHeight="1">
      <c r="A231" s="16">
        <v>26.0</v>
      </c>
      <c r="B231" s="17" t="s">
        <v>4386</v>
      </c>
      <c r="C231" s="16">
        <v>1.0</v>
      </c>
      <c r="D231" s="18" t="s">
        <v>4178</v>
      </c>
    </row>
    <row r="232" ht="15.75" customHeight="1">
      <c r="A232" s="16">
        <v>27.0</v>
      </c>
      <c r="B232" s="17" t="s">
        <v>4387</v>
      </c>
      <c r="C232" s="16">
        <v>1.0</v>
      </c>
      <c r="D232" s="18" t="s">
        <v>4178</v>
      </c>
    </row>
    <row r="233" ht="15.75" customHeight="1">
      <c r="A233" s="16">
        <v>28.0</v>
      </c>
      <c r="B233" s="17" t="s">
        <v>4388</v>
      </c>
      <c r="C233" s="16">
        <v>7.0</v>
      </c>
      <c r="D233" s="18" t="s">
        <v>4183</v>
      </c>
    </row>
    <row r="234" ht="15.75" customHeight="1">
      <c r="A234" s="16">
        <v>29.0</v>
      </c>
      <c r="B234" s="17" t="s">
        <v>4389</v>
      </c>
      <c r="C234" s="16">
        <v>3.0</v>
      </c>
      <c r="D234" s="18" t="s">
        <v>4183</v>
      </c>
    </row>
    <row r="235" ht="15.75" customHeight="1">
      <c r="A235" s="16">
        <v>30.0</v>
      </c>
      <c r="B235" s="17" t="s">
        <v>4390</v>
      </c>
      <c r="C235" s="16">
        <v>3.0</v>
      </c>
      <c r="D235" s="18" t="s">
        <v>4183</v>
      </c>
    </row>
    <row r="236" ht="15.75" customHeight="1">
      <c r="A236" s="16">
        <v>31.0</v>
      </c>
      <c r="B236" s="17" t="s">
        <v>4391</v>
      </c>
      <c r="C236" s="16">
        <v>1.0</v>
      </c>
      <c r="D236" s="18" t="s">
        <v>4183</v>
      </c>
    </row>
    <row r="237" ht="15.75" customHeight="1">
      <c r="A237" s="16">
        <v>32.0</v>
      </c>
      <c r="B237" s="17" t="s">
        <v>4392</v>
      </c>
      <c r="C237" s="16">
        <v>2.0</v>
      </c>
      <c r="D237" s="18" t="s">
        <v>4183</v>
      </c>
    </row>
    <row r="238" ht="15.75" customHeight="1">
      <c r="A238" s="16">
        <v>33.0</v>
      </c>
      <c r="B238" s="17" t="s">
        <v>4393</v>
      </c>
      <c r="C238" s="16">
        <v>7.0</v>
      </c>
      <c r="D238" s="18" t="s">
        <v>4183</v>
      </c>
    </row>
    <row r="239" ht="15.75" customHeight="1">
      <c r="A239" s="16">
        <v>34.0</v>
      </c>
      <c r="B239" s="17" t="s">
        <v>4394</v>
      </c>
      <c r="C239" s="16">
        <v>1.0</v>
      </c>
      <c r="D239" s="18" t="s">
        <v>4183</v>
      </c>
    </row>
    <row r="240" ht="15.75" customHeight="1">
      <c r="A240" s="16">
        <v>35.0</v>
      </c>
      <c r="B240" s="17" t="s">
        <v>4395</v>
      </c>
      <c r="C240" s="18" t="s">
        <v>4396</v>
      </c>
      <c r="D240" s="18" t="s">
        <v>4183</v>
      </c>
    </row>
    <row r="241" ht="15.75" customHeight="1">
      <c r="A241" s="16">
        <v>36.0</v>
      </c>
      <c r="B241" s="17" t="s">
        <v>4397</v>
      </c>
      <c r="C241" s="16">
        <v>4.0</v>
      </c>
      <c r="D241" s="18" t="s">
        <v>4183</v>
      </c>
    </row>
    <row r="242" ht="15.75" customHeight="1">
      <c r="A242" s="16">
        <v>37.0</v>
      </c>
      <c r="B242" s="17" t="s">
        <v>4398</v>
      </c>
      <c r="C242" s="16">
        <v>8.0</v>
      </c>
      <c r="D242" s="18" t="s">
        <v>4178</v>
      </c>
    </row>
    <row r="243" ht="15.75" customHeight="1">
      <c r="A243" s="16">
        <v>38.0</v>
      </c>
      <c r="B243" s="17" t="s">
        <v>4399</v>
      </c>
      <c r="C243" s="16">
        <v>1.0</v>
      </c>
      <c r="D243" s="18" t="s">
        <v>4183</v>
      </c>
    </row>
    <row r="244" ht="15.75" customHeight="1">
      <c r="A244" s="16">
        <v>39.0</v>
      </c>
      <c r="B244" s="17" t="s">
        <v>4400</v>
      </c>
      <c r="C244" s="19">
        <v>5.2</v>
      </c>
      <c r="D244" s="18" t="s">
        <v>4183</v>
      </c>
    </row>
    <row r="245" ht="15.75" customHeight="1">
      <c r="A245" s="16">
        <v>40.0</v>
      </c>
      <c r="B245" s="17" t="s">
        <v>4401</v>
      </c>
      <c r="C245" s="16">
        <v>4.0</v>
      </c>
      <c r="D245" s="18" t="s">
        <v>4183</v>
      </c>
    </row>
    <row r="246" ht="15.75" customHeight="1">
      <c r="A246" s="16">
        <v>41.0</v>
      </c>
      <c r="B246" s="17" t="s">
        <v>4402</v>
      </c>
      <c r="C246" s="16">
        <v>3.0</v>
      </c>
      <c r="D246" s="18" t="s">
        <v>4183</v>
      </c>
    </row>
    <row r="247" ht="15.75" customHeight="1">
      <c r="A247" s="16">
        <v>42.0</v>
      </c>
      <c r="B247" s="17" t="s">
        <v>4403</v>
      </c>
      <c r="C247" s="16">
        <v>7.0</v>
      </c>
      <c r="D247" s="18" t="s">
        <v>4183</v>
      </c>
    </row>
    <row r="248" ht="15.75" customHeight="1">
      <c r="A248" s="16">
        <v>43.0</v>
      </c>
      <c r="B248" s="17" t="s">
        <v>4404</v>
      </c>
      <c r="C248" s="16">
        <v>11.0</v>
      </c>
      <c r="D248" s="18" t="s">
        <v>4183</v>
      </c>
    </row>
    <row r="249" ht="15.75" customHeight="1">
      <c r="A249" s="16">
        <v>44.0</v>
      </c>
      <c r="B249" s="17" t="s">
        <v>4405</v>
      </c>
      <c r="C249" s="16">
        <v>5.0</v>
      </c>
      <c r="D249" s="18" t="s">
        <v>4183</v>
      </c>
    </row>
    <row r="250" ht="15.75" customHeight="1">
      <c r="A250" s="16">
        <v>45.0</v>
      </c>
      <c r="B250" s="17" t="s">
        <v>4406</v>
      </c>
      <c r="C250" s="16">
        <v>5.0</v>
      </c>
      <c r="D250" s="18" t="s">
        <v>4183</v>
      </c>
    </row>
    <row r="251" ht="15.75" customHeight="1">
      <c r="A251" s="16">
        <v>46.0</v>
      </c>
      <c r="B251" s="17" t="s">
        <v>4407</v>
      </c>
      <c r="C251" s="16">
        <v>3.0</v>
      </c>
      <c r="D251" s="18" t="s">
        <v>4183</v>
      </c>
    </row>
    <row r="252" ht="15.75" customHeight="1">
      <c r="A252" s="16">
        <v>47.0</v>
      </c>
      <c r="B252" s="17" t="s">
        <v>4408</v>
      </c>
      <c r="C252" s="16">
        <v>4.0</v>
      </c>
      <c r="D252" s="18" t="s">
        <v>4183</v>
      </c>
    </row>
    <row r="253" ht="15.75" customHeight="1">
      <c r="A253" s="16">
        <v>48.0</v>
      </c>
      <c r="B253" s="17" t="s">
        <v>4409</v>
      </c>
      <c r="C253" s="16">
        <v>12.0</v>
      </c>
      <c r="D253" s="18" t="s">
        <v>4183</v>
      </c>
    </row>
    <row r="254" ht="15.75" customHeight="1">
      <c r="A254" s="16">
        <v>49.0</v>
      </c>
      <c r="B254" s="17" t="s">
        <v>4410</v>
      </c>
      <c r="C254" s="16">
        <v>11.0</v>
      </c>
      <c r="D254" s="18" t="s">
        <v>4183</v>
      </c>
    </row>
    <row r="255" ht="15.75" customHeight="1">
      <c r="A255" s="16">
        <v>50.0</v>
      </c>
      <c r="B255" s="17" t="s">
        <v>4411</v>
      </c>
      <c r="C255" s="16">
        <v>4.0</v>
      </c>
      <c r="D255" s="18" t="s">
        <v>4183</v>
      </c>
    </row>
    <row r="256" ht="15.75" customHeight="1">
      <c r="A256" s="16">
        <v>51.0</v>
      </c>
      <c r="B256" s="17" t="s">
        <v>4412</v>
      </c>
      <c r="C256" s="16">
        <v>15.0</v>
      </c>
      <c r="D256" s="18" t="s">
        <v>4183</v>
      </c>
    </row>
    <row r="257" ht="15.75" customHeight="1">
      <c r="A257" s="16">
        <v>52.0</v>
      </c>
      <c r="B257" s="17" t="s">
        <v>4413</v>
      </c>
      <c r="C257" s="16">
        <v>2.0</v>
      </c>
      <c r="D257" s="18" t="s">
        <v>4339</v>
      </c>
    </row>
    <row r="258" ht="15.75" customHeight="1">
      <c r="A258" s="16">
        <v>53.0</v>
      </c>
      <c r="B258" s="17" t="s">
        <v>4414</v>
      </c>
      <c r="C258" s="16">
        <v>7.0</v>
      </c>
      <c r="D258" s="18" t="s">
        <v>4183</v>
      </c>
    </row>
    <row r="259" ht="15.75" customHeight="1">
      <c r="A259" s="16">
        <v>54.0</v>
      </c>
      <c r="B259" s="17" t="s">
        <v>4415</v>
      </c>
      <c r="C259" s="16">
        <v>10.0</v>
      </c>
      <c r="D259" s="18" t="s">
        <v>4183</v>
      </c>
    </row>
    <row r="260" ht="15.75" customHeight="1">
      <c r="A260" s="16">
        <v>55.0</v>
      </c>
      <c r="B260" s="17" t="s">
        <v>4416</v>
      </c>
      <c r="C260" s="16">
        <v>1.0</v>
      </c>
      <c r="D260" s="18" t="s">
        <v>4215</v>
      </c>
    </row>
    <row r="261" ht="15.75" customHeight="1">
      <c r="A261" s="16">
        <v>56.0</v>
      </c>
      <c r="B261" s="17" t="s">
        <v>4417</v>
      </c>
      <c r="C261" s="16">
        <v>5.0</v>
      </c>
      <c r="D261" s="18" t="s">
        <v>4215</v>
      </c>
    </row>
    <row r="262" ht="15.75" customHeight="1">
      <c r="A262" s="16">
        <v>57.0</v>
      </c>
      <c r="B262" s="17" t="s">
        <v>4418</v>
      </c>
      <c r="C262" s="16">
        <v>3.0</v>
      </c>
      <c r="D262" s="18" t="s">
        <v>4183</v>
      </c>
    </row>
    <row r="263" ht="15.75" customHeight="1">
      <c r="A263" s="16">
        <v>58.0</v>
      </c>
      <c r="B263" s="17" t="s">
        <v>4419</v>
      </c>
      <c r="C263" s="16">
        <v>6.0</v>
      </c>
      <c r="D263" s="18" t="s">
        <v>4183</v>
      </c>
    </row>
    <row r="264" ht="15.75" customHeight="1">
      <c r="A264" s="16">
        <v>59.0</v>
      </c>
      <c r="B264" s="17" t="s">
        <v>4420</v>
      </c>
      <c r="C264" s="16">
        <v>4.0</v>
      </c>
      <c r="D264" s="18" t="s">
        <v>4183</v>
      </c>
    </row>
    <row r="265" ht="15.75" customHeight="1">
      <c r="A265" s="16">
        <v>60.0</v>
      </c>
      <c r="B265" s="17" t="s">
        <v>4421</v>
      </c>
      <c r="C265" s="16">
        <v>9.0</v>
      </c>
      <c r="D265" s="18" t="s">
        <v>4183</v>
      </c>
    </row>
    <row r="266" ht="15.75" customHeight="1">
      <c r="A266" s="16">
        <v>61.0</v>
      </c>
      <c r="B266" s="17" t="s">
        <v>4422</v>
      </c>
      <c r="C266" s="16">
        <v>6.0</v>
      </c>
      <c r="D266" s="18" t="s">
        <v>4183</v>
      </c>
    </row>
    <row r="267" ht="15.75" customHeight="1">
      <c r="A267" s="16">
        <v>62.0</v>
      </c>
      <c r="B267" s="17" t="s">
        <v>4423</v>
      </c>
      <c r="C267" s="16">
        <v>6.0</v>
      </c>
      <c r="D267" s="18" t="s">
        <v>4183</v>
      </c>
    </row>
    <row r="268" ht="15.75" customHeight="1">
      <c r="A268" s="16">
        <v>63.0</v>
      </c>
      <c r="B268" s="17" t="s">
        <v>4424</v>
      </c>
      <c r="C268" s="16">
        <v>12.0</v>
      </c>
      <c r="D268" s="18" t="s">
        <v>4183</v>
      </c>
    </row>
    <row r="269" ht="15.75" customHeight="1">
      <c r="A269" s="16">
        <v>64.0</v>
      </c>
      <c r="B269" s="17" t="s">
        <v>4425</v>
      </c>
      <c r="C269" s="16">
        <v>6.0</v>
      </c>
      <c r="D269" s="18" t="s">
        <v>4183</v>
      </c>
    </row>
    <row r="270" ht="15.75" customHeight="1">
      <c r="A270" s="16">
        <v>65.0</v>
      </c>
      <c r="B270" s="17" t="s">
        <v>4426</v>
      </c>
      <c r="C270" s="16">
        <v>7.0</v>
      </c>
      <c r="D270" s="18" t="s">
        <v>4183</v>
      </c>
    </row>
    <row r="271" ht="15.75" customHeight="1">
      <c r="A271" s="16">
        <v>66.0</v>
      </c>
      <c r="B271" s="17" t="s">
        <v>4427</v>
      </c>
      <c r="C271" s="16">
        <v>6.0</v>
      </c>
      <c r="D271" s="18" t="s">
        <v>4183</v>
      </c>
    </row>
    <row r="272" ht="15.75" customHeight="1">
      <c r="A272" s="16">
        <v>67.0</v>
      </c>
      <c r="B272" s="17" t="s">
        <v>4428</v>
      </c>
      <c r="C272" s="16">
        <v>1.0</v>
      </c>
      <c r="D272" s="18" t="s">
        <v>4183</v>
      </c>
    </row>
    <row r="273" ht="15.75" customHeight="1">
      <c r="A273" s="16">
        <v>68.0</v>
      </c>
      <c r="B273" s="17" t="s">
        <v>4429</v>
      </c>
      <c r="C273" s="16">
        <v>8.0</v>
      </c>
      <c r="D273" s="18" t="s">
        <v>4183</v>
      </c>
    </row>
    <row r="274" ht="15.75" customHeight="1">
      <c r="A274" s="16">
        <v>69.0</v>
      </c>
      <c r="B274" s="17" t="s">
        <v>4430</v>
      </c>
      <c r="C274" s="16">
        <v>3.0</v>
      </c>
      <c r="D274" s="18" t="s">
        <v>4183</v>
      </c>
    </row>
    <row r="275" ht="15.75" customHeight="1">
      <c r="A275" s="16">
        <v>70.0</v>
      </c>
      <c r="B275" s="17" t="s">
        <v>4431</v>
      </c>
      <c r="C275" s="16">
        <v>7.0</v>
      </c>
      <c r="D275" s="18" t="s">
        <v>4183</v>
      </c>
    </row>
    <row r="276" ht="15.75" customHeight="1">
      <c r="A276" s="16">
        <v>71.0</v>
      </c>
      <c r="B276" s="17" t="s">
        <v>4432</v>
      </c>
      <c r="C276" s="16">
        <v>2.0</v>
      </c>
      <c r="D276" s="18" t="s">
        <v>4183</v>
      </c>
    </row>
    <row r="277" ht="15.75" customHeight="1">
      <c r="A277" s="16">
        <v>72.0</v>
      </c>
      <c r="B277" s="17" t="s">
        <v>4433</v>
      </c>
      <c r="C277" s="16">
        <v>3.0</v>
      </c>
      <c r="D277" s="18" t="s">
        <v>4183</v>
      </c>
    </row>
    <row r="278" ht="15.75" customHeight="1">
      <c r="A278" s="16">
        <v>73.0</v>
      </c>
      <c r="B278" s="17" t="s">
        <v>4434</v>
      </c>
      <c r="C278" s="19">
        <v>9.87</v>
      </c>
      <c r="D278" s="18" t="s">
        <v>4183</v>
      </c>
    </row>
    <row r="279" ht="15.75" customHeight="1">
      <c r="A279" s="16">
        <v>74.0</v>
      </c>
      <c r="B279" s="17" t="s">
        <v>4435</v>
      </c>
      <c r="C279" s="19">
        <v>0.42</v>
      </c>
      <c r="D279" s="18" t="s">
        <v>4183</v>
      </c>
    </row>
    <row r="280" ht="15.75" customHeight="1">
      <c r="A280" s="16">
        <v>75.0</v>
      </c>
      <c r="B280" s="17" t="s">
        <v>4436</v>
      </c>
      <c r="C280" s="16">
        <v>5.0</v>
      </c>
      <c r="D280" s="18" t="s">
        <v>4183</v>
      </c>
    </row>
    <row r="281" ht="15.75" customHeight="1">
      <c r="A281" s="16">
        <v>76.0</v>
      </c>
      <c r="B281" s="17" t="s">
        <v>4437</v>
      </c>
      <c r="C281" s="16">
        <v>2.0</v>
      </c>
      <c r="D281" s="18" t="s">
        <v>4178</v>
      </c>
    </row>
    <row r="282" ht="15.75" customHeight="1">
      <c r="A282" s="16">
        <v>77.0</v>
      </c>
      <c r="B282" s="17" t="s">
        <v>4438</v>
      </c>
      <c r="C282" s="16">
        <v>1.0</v>
      </c>
      <c r="D282" s="18" t="s">
        <v>4178</v>
      </c>
    </row>
    <row r="283" ht="15.75" customHeight="1">
      <c r="A283" s="16">
        <v>78.0</v>
      </c>
      <c r="B283" s="17" t="s">
        <v>4439</v>
      </c>
      <c r="C283" s="16">
        <v>2.0</v>
      </c>
      <c r="D283" s="18" t="s">
        <v>4178</v>
      </c>
    </row>
    <row r="284" ht="15.75" customHeight="1">
      <c r="A284" s="16">
        <v>79.0</v>
      </c>
      <c r="B284" s="17" t="s">
        <v>4440</v>
      </c>
      <c r="C284" s="16">
        <v>4.0</v>
      </c>
      <c r="D284" s="18" t="s">
        <v>4178</v>
      </c>
    </row>
    <row r="285" ht="15.75" customHeight="1">
      <c r="A285" s="16">
        <v>80.0</v>
      </c>
      <c r="B285" s="17" t="s">
        <v>4441</v>
      </c>
      <c r="C285" s="16">
        <v>1.0</v>
      </c>
      <c r="D285" s="18" t="s">
        <v>4183</v>
      </c>
    </row>
    <row r="286" ht="15.75" customHeight="1">
      <c r="A286" s="16">
        <v>81.0</v>
      </c>
      <c r="B286" s="17" t="s">
        <v>4442</v>
      </c>
      <c r="C286" s="16">
        <v>3.0</v>
      </c>
      <c r="D286" s="18" t="s">
        <v>4183</v>
      </c>
    </row>
    <row r="287" ht="15.75" customHeight="1">
      <c r="A287" s="16">
        <v>82.0</v>
      </c>
      <c r="B287" s="17" t="s">
        <v>4443</v>
      </c>
      <c r="C287" s="16">
        <v>20.0</v>
      </c>
      <c r="D287" s="18" t="s">
        <v>4178</v>
      </c>
    </row>
    <row r="288" ht="15.75" customHeight="1">
      <c r="A288" s="16">
        <v>83.0</v>
      </c>
      <c r="B288" s="17" t="s">
        <v>4444</v>
      </c>
      <c r="C288" s="16">
        <v>3.0</v>
      </c>
      <c r="D288" s="18" t="s">
        <v>4183</v>
      </c>
    </row>
    <row r="289" ht="15.75" customHeight="1">
      <c r="A289" s="16">
        <v>84.0</v>
      </c>
      <c r="B289" s="17" t="s">
        <v>4445</v>
      </c>
      <c r="C289" s="16">
        <v>2.0</v>
      </c>
      <c r="D289" s="18" t="s">
        <v>4183</v>
      </c>
    </row>
    <row r="290" ht="15.75" customHeight="1">
      <c r="A290" s="16">
        <v>85.0</v>
      </c>
      <c r="B290" s="17" t="s">
        <v>4446</v>
      </c>
      <c r="C290" s="16">
        <v>35.0</v>
      </c>
      <c r="D290" s="18" t="s">
        <v>4183</v>
      </c>
    </row>
    <row r="291" ht="15.75" customHeight="1">
      <c r="A291" s="16">
        <v>86.0</v>
      </c>
      <c r="B291" s="17" t="s">
        <v>4447</v>
      </c>
      <c r="C291" s="16">
        <v>2.0</v>
      </c>
      <c r="D291" s="18" t="s">
        <v>4183</v>
      </c>
    </row>
    <row r="292" ht="15.75" customHeight="1">
      <c r="A292" s="16">
        <v>87.0</v>
      </c>
      <c r="B292" s="17" t="s">
        <v>4448</v>
      </c>
      <c r="C292" s="16">
        <v>5.0</v>
      </c>
      <c r="D292" s="18" t="s">
        <v>4183</v>
      </c>
    </row>
    <row r="293" ht="15.75" customHeight="1">
      <c r="A293" s="20"/>
      <c r="B293" s="21" t="s">
        <v>4273</v>
      </c>
      <c r="C293" s="22">
        <v>639.49</v>
      </c>
      <c r="D293" s="21" t="s">
        <v>4171</v>
      </c>
    </row>
    <row r="294" ht="15.75" customHeight="1">
      <c r="A294" s="11"/>
      <c r="B294" s="12"/>
      <c r="C294" s="12"/>
      <c r="D294" s="13"/>
    </row>
    <row r="295" ht="15.75" customHeight="1">
      <c r="A295" s="14" t="s">
        <v>4074</v>
      </c>
      <c r="B295" s="15"/>
      <c r="C295" s="15"/>
      <c r="D295" s="15"/>
    </row>
    <row r="296" ht="15.75" customHeight="1">
      <c r="A296" s="16">
        <v>1.0</v>
      </c>
      <c r="B296" s="17" t="s">
        <v>4449</v>
      </c>
      <c r="C296" s="16">
        <v>15.0</v>
      </c>
      <c r="D296" s="18" t="s">
        <v>4183</v>
      </c>
    </row>
    <row r="297" ht="15.75" customHeight="1">
      <c r="A297" s="16">
        <v>2.0</v>
      </c>
      <c r="B297" s="17" t="s">
        <v>4450</v>
      </c>
      <c r="C297" s="16">
        <v>15.0</v>
      </c>
      <c r="D297" s="18" t="s">
        <v>4183</v>
      </c>
    </row>
    <row r="298" ht="15.75" customHeight="1">
      <c r="A298" s="16">
        <v>3.0</v>
      </c>
      <c r="B298" s="17" t="s">
        <v>4451</v>
      </c>
      <c r="C298" s="16">
        <v>11.0</v>
      </c>
      <c r="D298" s="18" t="s">
        <v>4183</v>
      </c>
    </row>
    <row r="299" ht="15.75" customHeight="1">
      <c r="A299" s="16">
        <v>4.0</v>
      </c>
      <c r="B299" s="17" t="s">
        <v>4452</v>
      </c>
      <c r="C299" s="16">
        <v>12.0</v>
      </c>
      <c r="D299" s="18" t="s">
        <v>4183</v>
      </c>
    </row>
    <row r="300" ht="15.75" customHeight="1">
      <c r="A300" s="16">
        <v>5.0</v>
      </c>
      <c r="B300" s="17" t="s">
        <v>4453</v>
      </c>
      <c r="C300" s="16">
        <v>13.0</v>
      </c>
      <c r="D300" s="18" t="s">
        <v>4183</v>
      </c>
    </row>
    <row r="301" ht="15.75" customHeight="1">
      <c r="A301" s="16">
        <v>6.0</v>
      </c>
      <c r="B301" s="17" t="s">
        <v>4454</v>
      </c>
      <c r="C301" s="16">
        <v>3.0</v>
      </c>
      <c r="D301" s="18" t="s">
        <v>4183</v>
      </c>
    </row>
    <row r="302" ht="15.75" customHeight="1">
      <c r="A302" s="16">
        <v>7.0</v>
      </c>
      <c r="B302" s="17" t="s">
        <v>4455</v>
      </c>
      <c r="C302" s="16">
        <v>13.0</v>
      </c>
      <c r="D302" s="18" t="s">
        <v>4183</v>
      </c>
    </row>
    <row r="303" ht="15.75" customHeight="1">
      <c r="A303" s="16">
        <v>8.0</v>
      </c>
      <c r="B303" s="17" t="s">
        <v>4456</v>
      </c>
      <c r="C303" s="16">
        <v>1.0</v>
      </c>
      <c r="D303" s="18" t="s">
        <v>4183</v>
      </c>
    </row>
    <row r="304" ht="15.75" customHeight="1">
      <c r="A304" s="16">
        <v>9.0</v>
      </c>
      <c r="B304" s="17" t="s">
        <v>4457</v>
      </c>
      <c r="C304" s="16">
        <v>5.0</v>
      </c>
      <c r="D304" s="18" t="s">
        <v>4183</v>
      </c>
    </row>
    <row r="305" ht="15.75" customHeight="1">
      <c r="A305" s="16">
        <v>10.0</v>
      </c>
      <c r="B305" s="17" t="s">
        <v>4458</v>
      </c>
      <c r="C305" s="16">
        <v>9.0</v>
      </c>
      <c r="D305" s="18" t="s">
        <v>4183</v>
      </c>
    </row>
    <row r="306" ht="15.75" customHeight="1">
      <c r="A306" s="16">
        <v>11.0</v>
      </c>
      <c r="B306" s="17" t="s">
        <v>4459</v>
      </c>
      <c r="C306" s="16">
        <v>5.0</v>
      </c>
      <c r="D306" s="18" t="s">
        <v>4183</v>
      </c>
    </row>
    <row r="307" ht="15.75" customHeight="1">
      <c r="A307" s="16">
        <v>12.0</v>
      </c>
      <c r="B307" s="17" t="s">
        <v>4460</v>
      </c>
      <c r="C307" s="16">
        <v>8.0</v>
      </c>
      <c r="D307" s="18" t="s">
        <v>4183</v>
      </c>
    </row>
    <row r="308" ht="15.75" customHeight="1">
      <c r="A308" s="16">
        <v>13.0</v>
      </c>
      <c r="B308" s="17" t="s">
        <v>4461</v>
      </c>
      <c r="C308" s="16">
        <v>13.0</v>
      </c>
      <c r="D308" s="18" t="s">
        <v>4183</v>
      </c>
    </row>
    <row r="309" ht="15.75" customHeight="1">
      <c r="A309" s="16">
        <v>14.0</v>
      </c>
      <c r="B309" s="17" t="s">
        <v>4462</v>
      </c>
      <c r="C309" s="16">
        <v>17.0</v>
      </c>
      <c r="D309" s="18" t="s">
        <v>4183</v>
      </c>
    </row>
    <row r="310" ht="15.75" customHeight="1">
      <c r="A310" s="16">
        <v>15.0</v>
      </c>
      <c r="B310" s="17" t="s">
        <v>4463</v>
      </c>
      <c r="C310" s="16">
        <v>2.0</v>
      </c>
      <c r="D310" s="18" t="s">
        <v>4178</v>
      </c>
    </row>
    <row r="311" ht="15.75" customHeight="1">
      <c r="A311" s="16">
        <v>16.0</v>
      </c>
      <c r="B311" s="17" t="s">
        <v>4464</v>
      </c>
      <c r="C311" s="18" t="s">
        <v>4270</v>
      </c>
      <c r="D311" s="18" t="s">
        <v>4178</v>
      </c>
    </row>
    <row r="312" ht="15.75" customHeight="1">
      <c r="A312" s="16">
        <v>17.0</v>
      </c>
      <c r="B312" s="17" t="s">
        <v>4465</v>
      </c>
      <c r="C312" s="16">
        <v>2.0</v>
      </c>
      <c r="D312" s="18" t="s">
        <v>4183</v>
      </c>
    </row>
    <row r="313" ht="15.75" customHeight="1">
      <c r="A313" s="16">
        <v>18.0</v>
      </c>
      <c r="B313" s="17" t="s">
        <v>4466</v>
      </c>
      <c r="C313" s="16">
        <v>21.0</v>
      </c>
      <c r="D313" s="18" t="s">
        <v>4183</v>
      </c>
    </row>
    <row r="314" ht="15.75" customHeight="1">
      <c r="A314" s="16">
        <v>19.0</v>
      </c>
      <c r="B314" s="17" t="s">
        <v>4467</v>
      </c>
      <c r="C314" s="16">
        <v>60.0</v>
      </c>
      <c r="D314" s="18" t="s">
        <v>4183</v>
      </c>
    </row>
    <row r="315" ht="15.75" customHeight="1">
      <c r="A315" s="16">
        <v>20.0</v>
      </c>
      <c r="B315" s="17" t="s">
        <v>4468</v>
      </c>
      <c r="C315" s="19">
        <v>39.5</v>
      </c>
      <c r="D315" s="18" t="s">
        <v>4183</v>
      </c>
    </row>
    <row r="316" ht="15.75" customHeight="1">
      <c r="A316" s="16">
        <v>21.0</v>
      </c>
      <c r="B316" s="17" t="s">
        <v>4469</v>
      </c>
      <c r="C316" s="16">
        <v>10.0</v>
      </c>
      <c r="D316" s="18" t="s">
        <v>4183</v>
      </c>
    </row>
    <row r="317" ht="15.75" customHeight="1">
      <c r="A317" s="16">
        <v>22.0</v>
      </c>
      <c r="B317" s="17" t="s">
        <v>4470</v>
      </c>
      <c r="C317" s="16">
        <v>2.0</v>
      </c>
      <c r="D317" s="18" t="s">
        <v>4183</v>
      </c>
    </row>
    <row r="318" ht="15.75" customHeight="1">
      <c r="A318" s="16">
        <v>23.0</v>
      </c>
      <c r="B318" s="17" t="s">
        <v>4471</v>
      </c>
      <c r="C318" s="16">
        <v>2.0</v>
      </c>
      <c r="D318" s="18" t="s">
        <v>4183</v>
      </c>
    </row>
    <row r="319" ht="15.75" customHeight="1">
      <c r="A319" s="16">
        <v>24.0</v>
      </c>
      <c r="B319" s="17" t="s">
        <v>4472</v>
      </c>
      <c r="C319" s="16">
        <v>8.0</v>
      </c>
      <c r="D319" s="18" t="s">
        <v>4473</v>
      </c>
    </row>
    <row r="320" ht="15.75" customHeight="1">
      <c r="A320" s="16">
        <v>25.0</v>
      </c>
      <c r="B320" s="17" t="s">
        <v>4474</v>
      </c>
      <c r="C320" s="16">
        <v>9.0</v>
      </c>
      <c r="D320" s="18" t="s">
        <v>4183</v>
      </c>
    </row>
    <row r="321" ht="15.75" customHeight="1">
      <c r="A321" s="16">
        <v>26.0</v>
      </c>
      <c r="B321" s="17" t="s">
        <v>4475</v>
      </c>
      <c r="C321" s="16">
        <v>1.0</v>
      </c>
      <c r="D321" s="18" t="s">
        <v>4183</v>
      </c>
    </row>
    <row r="322" ht="15.75" customHeight="1">
      <c r="A322" s="16">
        <v>27.0</v>
      </c>
      <c r="B322" s="17" t="s">
        <v>4476</v>
      </c>
      <c r="C322" s="16">
        <v>4.0</v>
      </c>
      <c r="D322" s="18" t="s">
        <v>4183</v>
      </c>
    </row>
    <row r="323" ht="15.75" customHeight="1">
      <c r="A323" s="16">
        <v>28.0</v>
      </c>
      <c r="B323" s="17" t="s">
        <v>4477</v>
      </c>
      <c r="C323" s="16">
        <v>1.0</v>
      </c>
      <c r="D323" s="18" t="s">
        <v>4178</v>
      </c>
    </row>
    <row r="324" ht="15.75" customHeight="1">
      <c r="A324" s="16">
        <v>29.0</v>
      </c>
      <c r="B324" s="17" t="s">
        <v>4478</v>
      </c>
      <c r="C324" s="16">
        <v>5.0</v>
      </c>
      <c r="D324" s="18" t="s">
        <v>4178</v>
      </c>
    </row>
    <row r="325" ht="15.75" customHeight="1">
      <c r="A325" s="16">
        <v>30.0</v>
      </c>
      <c r="B325" s="17" t="s">
        <v>4479</v>
      </c>
      <c r="C325" s="16">
        <v>10.0</v>
      </c>
      <c r="D325" s="18" t="s">
        <v>4183</v>
      </c>
    </row>
    <row r="326" ht="15.75" customHeight="1">
      <c r="A326" s="16">
        <v>31.0</v>
      </c>
      <c r="B326" s="17" t="s">
        <v>4480</v>
      </c>
      <c r="C326" s="16">
        <v>17.0</v>
      </c>
      <c r="D326" s="18" t="s">
        <v>4341</v>
      </c>
    </row>
    <row r="327" ht="15.75" customHeight="1">
      <c r="A327" s="16">
        <v>32.0</v>
      </c>
      <c r="B327" s="17" t="s">
        <v>4481</v>
      </c>
      <c r="C327" s="16">
        <v>10.0</v>
      </c>
      <c r="D327" s="18" t="s">
        <v>4178</v>
      </c>
    </row>
    <row r="328" ht="15.75" customHeight="1">
      <c r="A328" s="16">
        <v>33.0</v>
      </c>
      <c r="B328" s="17" t="s">
        <v>4482</v>
      </c>
      <c r="C328" s="16">
        <v>7.0</v>
      </c>
      <c r="D328" s="18" t="s">
        <v>4178</v>
      </c>
    </row>
    <row r="329" ht="15.75" customHeight="1">
      <c r="A329" s="16">
        <v>34.0</v>
      </c>
      <c r="B329" s="17" t="s">
        <v>4483</v>
      </c>
      <c r="C329" s="16">
        <v>1.0</v>
      </c>
      <c r="D329" s="18" t="s">
        <v>4178</v>
      </c>
    </row>
    <row r="330" ht="15.75" customHeight="1">
      <c r="A330" s="16">
        <v>35.0</v>
      </c>
      <c r="B330" s="17" t="s">
        <v>4484</v>
      </c>
      <c r="C330" s="16">
        <v>9.0</v>
      </c>
      <c r="D330" s="18" t="s">
        <v>4178</v>
      </c>
    </row>
    <row r="331" ht="15.75" customHeight="1">
      <c r="A331" s="16">
        <v>36.0</v>
      </c>
      <c r="B331" s="17" t="s">
        <v>4485</v>
      </c>
      <c r="C331" s="16">
        <v>9.0</v>
      </c>
      <c r="D331" s="18" t="s">
        <v>4178</v>
      </c>
    </row>
    <row r="332" ht="15.75" customHeight="1">
      <c r="A332" s="16">
        <v>37.0</v>
      </c>
      <c r="B332" s="17" t="s">
        <v>4486</v>
      </c>
      <c r="C332" s="16">
        <v>2.0</v>
      </c>
      <c r="D332" s="18" t="s">
        <v>4178</v>
      </c>
    </row>
    <row r="333" ht="15.75" customHeight="1">
      <c r="A333" s="16">
        <v>38.0</v>
      </c>
      <c r="B333" s="17" t="s">
        <v>4487</v>
      </c>
      <c r="C333" s="16">
        <v>1.0</v>
      </c>
      <c r="D333" s="18" t="s">
        <v>4178</v>
      </c>
    </row>
    <row r="334" ht="15.75" customHeight="1">
      <c r="A334" s="16">
        <v>39.0</v>
      </c>
      <c r="B334" s="17" t="s">
        <v>4488</v>
      </c>
      <c r="C334" s="16">
        <v>2.0</v>
      </c>
      <c r="D334" s="18" t="s">
        <v>4178</v>
      </c>
    </row>
    <row r="335" ht="15.75" customHeight="1">
      <c r="A335" s="16">
        <v>40.0</v>
      </c>
      <c r="B335" s="17" t="s">
        <v>4489</v>
      </c>
      <c r="C335" s="16">
        <v>1.0</v>
      </c>
      <c r="D335" s="18" t="s">
        <v>4183</v>
      </c>
    </row>
    <row r="336" ht="15.75" customHeight="1">
      <c r="A336" s="16">
        <v>41.0</v>
      </c>
      <c r="B336" s="17" t="s">
        <v>4490</v>
      </c>
      <c r="C336" s="16">
        <v>4.0</v>
      </c>
      <c r="D336" s="18" t="s">
        <v>4183</v>
      </c>
    </row>
    <row r="337" ht="15.75" customHeight="1">
      <c r="A337" s="16">
        <v>42.0</v>
      </c>
      <c r="B337" s="17" t="s">
        <v>4491</v>
      </c>
      <c r="C337" s="16">
        <v>10.0</v>
      </c>
      <c r="D337" s="18" t="s">
        <v>4183</v>
      </c>
    </row>
    <row r="338" ht="15.75" customHeight="1">
      <c r="A338" s="16">
        <v>43.0</v>
      </c>
      <c r="B338" s="17" t="s">
        <v>4492</v>
      </c>
      <c r="C338" s="16">
        <v>35.0</v>
      </c>
      <c r="D338" s="18" t="s">
        <v>4183</v>
      </c>
    </row>
    <row r="339" ht="15.75" customHeight="1">
      <c r="A339" s="16">
        <v>44.0</v>
      </c>
      <c r="B339" s="17" t="s">
        <v>4493</v>
      </c>
      <c r="C339" s="16">
        <v>65.0</v>
      </c>
      <c r="D339" s="18" t="s">
        <v>4183</v>
      </c>
    </row>
    <row r="340" ht="15.75" customHeight="1">
      <c r="A340" s="16">
        <v>45.0</v>
      </c>
      <c r="B340" s="17" t="s">
        <v>4494</v>
      </c>
      <c r="C340" s="16">
        <v>118.0</v>
      </c>
      <c r="D340" s="18" t="s">
        <v>4183</v>
      </c>
    </row>
    <row r="341" ht="15.75" customHeight="1">
      <c r="A341" s="16">
        <v>46.0</v>
      </c>
      <c r="B341" s="17" t="s">
        <v>4495</v>
      </c>
      <c r="C341" s="16">
        <v>6.0</v>
      </c>
      <c r="D341" s="18" t="s">
        <v>4183</v>
      </c>
    </row>
    <row r="342" ht="15.75" customHeight="1">
      <c r="A342" s="16">
        <v>47.0</v>
      </c>
      <c r="B342" s="17" t="s">
        <v>4496</v>
      </c>
      <c r="C342" s="16">
        <v>6.0</v>
      </c>
      <c r="D342" s="18" t="s">
        <v>4183</v>
      </c>
    </row>
    <row r="343" ht="15.75" customHeight="1">
      <c r="A343" s="16">
        <v>48.0</v>
      </c>
      <c r="B343" s="17" t="s">
        <v>4497</v>
      </c>
      <c r="C343" s="16">
        <v>6.0</v>
      </c>
      <c r="D343" s="18" t="s">
        <v>4183</v>
      </c>
    </row>
    <row r="344" ht="15.75" customHeight="1">
      <c r="A344" s="16">
        <v>49.0</v>
      </c>
      <c r="B344" s="17" t="s">
        <v>4498</v>
      </c>
      <c r="C344" s="16">
        <v>8.0</v>
      </c>
      <c r="D344" s="18" t="s">
        <v>4178</v>
      </c>
    </row>
    <row r="345" ht="15.75" customHeight="1">
      <c r="A345" s="16">
        <v>50.0</v>
      </c>
      <c r="B345" s="17" t="s">
        <v>4499</v>
      </c>
      <c r="C345" s="16">
        <v>9.0</v>
      </c>
      <c r="D345" s="18" t="s">
        <v>4183</v>
      </c>
    </row>
    <row r="346" ht="15.75" customHeight="1">
      <c r="A346" s="16">
        <v>51.0</v>
      </c>
      <c r="B346" s="17" t="s">
        <v>4500</v>
      </c>
      <c r="C346" s="16">
        <v>24.0</v>
      </c>
      <c r="D346" s="18" t="s">
        <v>4183</v>
      </c>
    </row>
    <row r="347" ht="15.75" customHeight="1">
      <c r="A347" s="16">
        <v>52.0</v>
      </c>
      <c r="B347" s="17" t="s">
        <v>4501</v>
      </c>
      <c r="C347" s="16">
        <v>66.0</v>
      </c>
      <c r="D347" s="18" t="s">
        <v>4183</v>
      </c>
    </row>
    <row r="348" ht="15.75" customHeight="1">
      <c r="A348" s="16">
        <v>53.0</v>
      </c>
      <c r="B348" s="17" t="s">
        <v>4502</v>
      </c>
      <c r="C348" s="16">
        <v>32.0</v>
      </c>
      <c r="D348" s="18" t="s">
        <v>4183</v>
      </c>
    </row>
    <row r="349" ht="15.75" customHeight="1">
      <c r="A349" s="16">
        <v>54.0</v>
      </c>
      <c r="B349" s="17" t="s">
        <v>4503</v>
      </c>
      <c r="C349" s="16">
        <v>1.0</v>
      </c>
      <c r="D349" s="18" t="s">
        <v>4178</v>
      </c>
    </row>
    <row r="350" ht="15.75" customHeight="1">
      <c r="A350" s="16">
        <v>55.0</v>
      </c>
      <c r="B350" s="17" t="s">
        <v>4504</v>
      </c>
      <c r="C350" s="16">
        <v>6.0</v>
      </c>
      <c r="D350" s="18" t="s">
        <v>4183</v>
      </c>
    </row>
    <row r="351" ht="15.75" customHeight="1">
      <c r="A351" s="16">
        <v>56.0</v>
      </c>
      <c r="B351" s="17" t="s">
        <v>4505</v>
      </c>
      <c r="C351" s="16">
        <v>6.0</v>
      </c>
      <c r="D351" s="18" t="s">
        <v>4183</v>
      </c>
    </row>
    <row r="352" ht="15.75" customHeight="1">
      <c r="A352" s="16">
        <v>57.0</v>
      </c>
      <c r="B352" s="17" t="s">
        <v>4506</v>
      </c>
      <c r="C352" s="16">
        <v>31.0</v>
      </c>
      <c r="D352" s="18" t="s">
        <v>4183</v>
      </c>
    </row>
    <row r="353" ht="15.75" customHeight="1">
      <c r="A353" s="16">
        <v>58.0</v>
      </c>
      <c r="B353" s="17" t="s">
        <v>4507</v>
      </c>
      <c r="C353" s="16">
        <v>150.0</v>
      </c>
      <c r="D353" s="18" t="s">
        <v>4183</v>
      </c>
    </row>
    <row r="354" ht="15.75" customHeight="1">
      <c r="A354" s="16">
        <v>59.0</v>
      </c>
      <c r="B354" s="17" t="s">
        <v>4508</v>
      </c>
      <c r="C354" s="16">
        <v>43.0</v>
      </c>
      <c r="D354" s="18" t="s">
        <v>4183</v>
      </c>
    </row>
    <row r="355" ht="15.75" customHeight="1">
      <c r="A355" s="16">
        <v>60.0</v>
      </c>
      <c r="B355" s="17" t="s">
        <v>4509</v>
      </c>
      <c r="C355" s="16">
        <v>12.0</v>
      </c>
      <c r="D355" s="18" t="s">
        <v>4183</v>
      </c>
    </row>
    <row r="356" ht="15.75" customHeight="1">
      <c r="A356" s="16">
        <v>61.0</v>
      </c>
      <c r="B356" s="17" t="s">
        <v>4510</v>
      </c>
      <c r="C356" s="16">
        <v>12.0</v>
      </c>
      <c r="D356" s="18" t="s">
        <v>4183</v>
      </c>
    </row>
    <row r="357" ht="15.75" customHeight="1">
      <c r="A357" s="16">
        <v>62.0</v>
      </c>
      <c r="B357" s="17" t="s">
        <v>4511</v>
      </c>
      <c r="C357" s="16">
        <v>12.0</v>
      </c>
      <c r="D357" s="18" t="s">
        <v>4183</v>
      </c>
    </row>
    <row r="358" ht="15.75" customHeight="1">
      <c r="A358" s="16">
        <v>63.0</v>
      </c>
      <c r="B358" s="17" t="s">
        <v>4512</v>
      </c>
      <c r="C358" s="16">
        <v>16.0</v>
      </c>
      <c r="D358" s="18" t="s">
        <v>4183</v>
      </c>
    </row>
    <row r="359" ht="15.75" customHeight="1">
      <c r="A359" s="16">
        <v>64.0</v>
      </c>
      <c r="B359" s="17" t="s">
        <v>4513</v>
      </c>
      <c r="C359" s="16">
        <v>8.0</v>
      </c>
      <c r="D359" s="18" t="s">
        <v>4183</v>
      </c>
    </row>
    <row r="360" ht="15.75" customHeight="1">
      <c r="A360" s="16">
        <v>65.0</v>
      </c>
      <c r="B360" s="17" t="s">
        <v>4514</v>
      </c>
      <c r="C360" s="16">
        <v>7.0</v>
      </c>
      <c r="D360" s="18" t="s">
        <v>4183</v>
      </c>
    </row>
    <row r="361" ht="15.75" customHeight="1">
      <c r="A361" s="16">
        <v>66.0</v>
      </c>
      <c r="B361" s="17" t="s">
        <v>4515</v>
      </c>
      <c r="C361" s="16">
        <v>6.0</v>
      </c>
      <c r="D361" s="18" t="s">
        <v>4183</v>
      </c>
    </row>
    <row r="362" ht="15.75" customHeight="1">
      <c r="A362" s="16">
        <v>67.0</v>
      </c>
      <c r="B362" s="17" t="s">
        <v>4516</v>
      </c>
      <c r="C362" s="16">
        <v>8.0</v>
      </c>
      <c r="D362" s="18" t="s">
        <v>4183</v>
      </c>
    </row>
    <row r="363" ht="15.75" customHeight="1">
      <c r="A363" s="16">
        <v>68.0</v>
      </c>
      <c r="B363" s="17" t="s">
        <v>4517</v>
      </c>
      <c r="C363" s="16">
        <v>3.0</v>
      </c>
      <c r="D363" s="18" t="s">
        <v>4183</v>
      </c>
    </row>
    <row r="364" ht="15.75" customHeight="1">
      <c r="A364" s="16">
        <v>69.0</v>
      </c>
      <c r="B364" s="17" t="s">
        <v>4518</v>
      </c>
      <c r="C364" s="16">
        <v>6.0</v>
      </c>
      <c r="D364" s="18" t="s">
        <v>4178</v>
      </c>
    </row>
    <row r="365" ht="15.75" customHeight="1">
      <c r="A365" s="16">
        <v>70.0</v>
      </c>
      <c r="B365" s="17" t="s">
        <v>4519</v>
      </c>
      <c r="C365" s="16">
        <v>4.0</v>
      </c>
      <c r="D365" s="18" t="s">
        <v>4183</v>
      </c>
    </row>
    <row r="366" ht="15.75" customHeight="1">
      <c r="A366" s="16">
        <v>71.0</v>
      </c>
      <c r="B366" s="17" t="s">
        <v>4520</v>
      </c>
      <c r="C366" s="16">
        <v>175.0</v>
      </c>
      <c r="D366" s="18" t="s">
        <v>4183</v>
      </c>
    </row>
    <row r="367" ht="15.75" customHeight="1">
      <c r="A367" s="16">
        <v>72.0</v>
      </c>
      <c r="B367" s="17" t="s">
        <v>4521</v>
      </c>
      <c r="C367" s="16">
        <v>118.0</v>
      </c>
      <c r="D367" s="18" t="s">
        <v>4183</v>
      </c>
    </row>
    <row r="368" ht="15.75" customHeight="1">
      <c r="A368" s="16">
        <v>73.0</v>
      </c>
      <c r="B368" s="17" t="s">
        <v>4522</v>
      </c>
      <c r="C368" s="16">
        <v>211.0</v>
      </c>
      <c r="D368" s="18" t="s">
        <v>4183</v>
      </c>
    </row>
    <row r="369" ht="15.75" customHeight="1">
      <c r="A369" s="16">
        <v>74.0</v>
      </c>
      <c r="B369" s="17" t="s">
        <v>4523</v>
      </c>
      <c r="C369" s="16">
        <v>6.0</v>
      </c>
      <c r="D369" s="18" t="s">
        <v>4183</v>
      </c>
    </row>
    <row r="370" ht="15.75" customHeight="1">
      <c r="A370" s="16">
        <v>75.0</v>
      </c>
      <c r="B370" s="17" t="s">
        <v>4524</v>
      </c>
      <c r="C370" s="16">
        <v>15.0</v>
      </c>
      <c r="D370" s="18" t="s">
        <v>4183</v>
      </c>
    </row>
    <row r="371" ht="15.75" customHeight="1">
      <c r="A371" s="16">
        <v>76.0</v>
      </c>
      <c r="B371" s="17" t="s">
        <v>4525</v>
      </c>
      <c r="C371" s="16">
        <v>7.0</v>
      </c>
      <c r="D371" s="18" t="s">
        <v>4183</v>
      </c>
    </row>
    <row r="372" ht="15.75" customHeight="1">
      <c r="A372" s="16">
        <v>77.0</v>
      </c>
      <c r="B372" s="17" t="s">
        <v>4526</v>
      </c>
      <c r="C372" s="16">
        <v>29.0</v>
      </c>
      <c r="D372" s="18" t="s">
        <v>4183</v>
      </c>
    </row>
    <row r="373" ht="15.75" customHeight="1">
      <c r="A373" s="16">
        <v>78.0</v>
      </c>
      <c r="B373" s="17" t="s">
        <v>4527</v>
      </c>
      <c r="C373" s="16">
        <v>8.0</v>
      </c>
      <c r="D373" s="18" t="s">
        <v>4183</v>
      </c>
    </row>
    <row r="374" ht="15.75" customHeight="1">
      <c r="A374" s="16">
        <v>79.0</v>
      </c>
      <c r="B374" s="17" t="s">
        <v>4528</v>
      </c>
      <c r="C374" s="16">
        <v>20.0</v>
      </c>
      <c r="D374" s="18" t="s">
        <v>4183</v>
      </c>
    </row>
    <row r="375" ht="15.75" customHeight="1">
      <c r="A375" s="16">
        <v>80.0</v>
      </c>
      <c r="B375" s="17" t="s">
        <v>4529</v>
      </c>
      <c r="C375" s="16">
        <v>5.0</v>
      </c>
      <c r="D375" s="18" t="s">
        <v>4183</v>
      </c>
    </row>
    <row r="376" ht="15.75" customHeight="1">
      <c r="A376" s="16">
        <v>81.0</v>
      </c>
      <c r="B376" s="17" t="s">
        <v>4530</v>
      </c>
      <c r="C376" s="16">
        <v>3.0</v>
      </c>
      <c r="D376" s="18" t="s">
        <v>4183</v>
      </c>
    </row>
    <row r="377" ht="15.75" customHeight="1">
      <c r="A377" s="16">
        <v>82.0</v>
      </c>
      <c r="B377" s="17" t="s">
        <v>4531</v>
      </c>
      <c r="C377" s="16">
        <v>10.0</v>
      </c>
      <c r="D377" s="18" t="s">
        <v>4183</v>
      </c>
    </row>
    <row r="378" ht="15.75" customHeight="1">
      <c r="A378" s="16">
        <v>83.0</v>
      </c>
      <c r="B378" s="17" t="s">
        <v>4532</v>
      </c>
      <c r="C378" s="16">
        <v>11.0</v>
      </c>
      <c r="D378" s="18" t="s">
        <v>4183</v>
      </c>
    </row>
    <row r="379" ht="15.75" customHeight="1">
      <c r="A379" s="16">
        <v>84.0</v>
      </c>
      <c r="B379" s="17" t="s">
        <v>4533</v>
      </c>
      <c r="C379" s="16">
        <v>3.0</v>
      </c>
      <c r="D379" s="18" t="s">
        <v>4183</v>
      </c>
    </row>
    <row r="380" ht="15.75" customHeight="1">
      <c r="A380" s="16">
        <v>85.0</v>
      </c>
      <c r="B380" s="17" t="s">
        <v>4534</v>
      </c>
      <c r="C380" s="16">
        <v>2.0</v>
      </c>
      <c r="D380" s="18" t="s">
        <v>4183</v>
      </c>
    </row>
    <row r="381" ht="15.75" customHeight="1">
      <c r="A381" s="16">
        <v>86.0</v>
      </c>
      <c r="B381" s="17" t="s">
        <v>4535</v>
      </c>
      <c r="C381" s="16">
        <v>3.0</v>
      </c>
      <c r="D381" s="18" t="s">
        <v>4183</v>
      </c>
    </row>
    <row r="382" ht="15.75" customHeight="1">
      <c r="A382" s="20"/>
      <c r="B382" s="21" t="s">
        <v>4273</v>
      </c>
      <c r="C382" s="22">
        <v>1719.5</v>
      </c>
      <c r="D382" s="21" t="s">
        <v>4171</v>
      </c>
    </row>
    <row r="383" ht="15.75" customHeight="1">
      <c r="A383" s="11"/>
      <c r="B383" s="12"/>
      <c r="C383" s="12"/>
      <c r="D383" s="13"/>
    </row>
    <row r="384" ht="15.75" customHeight="1">
      <c r="A384" s="14" t="s">
        <v>4114</v>
      </c>
      <c r="B384" s="15"/>
      <c r="C384" s="15"/>
      <c r="D384" s="15"/>
    </row>
    <row r="385" ht="15.75" customHeight="1">
      <c r="A385" s="16">
        <v>1.0</v>
      </c>
      <c r="B385" s="17" t="s">
        <v>4536</v>
      </c>
      <c r="C385" s="16">
        <v>6.0</v>
      </c>
      <c r="D385" s="18" t="s">
        <v>4183</v>
      </c>
    </row>
    <row r="386" ht="15.75" customHeight="1">
      <c r="A386" s="16">
        <v>2.0</v>
      </c>
      <c r="B386" s="17" t="s">
        <v>4537</v>
      </c>
      <c r="C386" s="16">
        <v>4.0</v>
      </c>
      <c r="D386" s="18" t="s">
        <v>4183</v>
      </c>
    </row>
    <row r="387" ht="15.75" customHeight="1">
      <c r="A387" s="16">
        <v>3.0</v>
      </c>
      <c r="B387" s="17" t="s">
        <v>4538</v>
      </c>
      <c r="C387" s="16">
        <v>3.0</v>
      </c>
      <c r="D387" s="18" t="s">
        <v>4183</v>
      </c>
    </row>
    <row r="388" ht="15.75" customHeight="1">
      <c r="A388" s="16">
        <v>4.0</v>
      </c>
      <c r="B388" s="17" t="s">
        <v>4539</v>
      </c>
      <c r="C388" s="16">
        <v>2.0</v>
      </c>
      <c r="D388" s="18" t="s">
        <v>4183</v>
      </c>
    </row>
    <row r="389" ht="15.75" customHeight="1">
      <c r="A389" s="16">
        <v>5.0</v>
      </c>
      <c r="B389" s="17" t="s">
        <v>4540</v>
      </c>
      <c r="C389" s="16">
        <v>3.0</v>
      </c>
      <c r="D389" s="18" t="s">
        <v>4178</v>
      </c>
    </row>
    <row r="390" ht="15.75" customHeight="1">
      <c r="A390" s="16">
        <v>6.0</v>
      </c>
      <c r="B390" s="17" t="s">
        <v>4541</v>
      </c>
      <c r="C390" s="16">
        <v>1.0</v>
      </c>
      <c r="D390" s="18" t="s">
        <v>4183</v>
      </c>
    </row>
    <row r="391" ht="15.75" customHeight="1">
      <c r="A391" s="16">
        <v>7.0</v>
      </c>
      <c r="B391" s="17" t="s">
        <v>4542</v>
      </c>
      <c r="C391" s="16">
        <v>12.0</v>
      </c>
      <c r="D391" s="18" t="s">
        <v>4183</v>
      </c>
    </row>
    <row r="392" ht="15.75" customHeight="1">
      <c r="A392" s="16">
        <v>8.0</v>
      </c>
      <c r="B392" s="17" t="s">
        <v>4543</v>
      </c>
      <c r="C392" s="16">
        <v>7.0</v>
      </c>
      <c r="D392" s="18" t="s">
        <v>4183</v>
      </c>
    </row>
    <row r="393" ht="15.75" customHeight="1">
      <c r="A393" s="16">
        <v>9.0</v>
      </c>
      <c r="B393" s="17" t="s">
        <v>4544</v>
      </c>
      <c r="C393" s="16">
        <v>4.0</v>
      </c>
      <c r="D393" s="18" t="s">
        <v>4183</v>
      </c>
    </row>
    <row r="394" ht="15.75" customHeight="1">
      <c r="A394" s="16">
        <v>10.0</v>
      </c>
      <c r="B394" s="17" t="s">
        <v>4545</v>
      </c>
      <c r="C394" s="16">
        <v>2.0</v>
      </c>
      <c r="D394" s="18" t="s">
        <v>4183</v>
      </c>
    </row>
    <row r="395" ht="15.75" customHeight="1">
      <c r="A395" s="16">
        <v>11.0</v>
      </c>
      <c r="B395" s="17" t="s">
        <v>4546</v>
      </c>
      <c r="C395" s="16">
        <v>4.0</v>
      </c>
      <c r="D395" s="18" t="s">
        <v>4183</v>
      </c>
    </row>
    <row r="396" ht="15.75" customHeight="1">
      <c r="A396" s="16">
        <v>12.0</v>
      </c>
      <c r="B396" s="17" t="s">
        <v>4547</v>
      </c>
      <c r="C396" s="16">
        <v>3.0</v>
      </c>
      <c r="D396" s="18" t="s">
        <v>4183</v>
      </c>
    </row>
    <row r="397" ht="15.75" customHeight="1">
      <c r="A397" s="16">
        <v>13.0</v>
      </c>
      <c r="B397" s="17" t="s">
        <v>4548</v>
      </c>
      <c r="C397" s="16">
        <v>2.0</v>
      </c>
      <c r="D397" s="18" t="s">
        <v>4183</v>
      </c>
    </row>
    <row r="398" ht="15.75" customHeight="1">
      <c r="A398" s="16">
        <v>14.0</v>
      </c>
      <c r="B398" s="17" t="s">
        <v>4549</v>
      </c>
      <c r="C398" s="16">
        <v>7.0</v>
      </c>
      <c r="D398" s="18" t="s">
        <v>4183</v>
      </c>
    </row>
    <row r="399" ht="15.75" customHeight="1">
      <c r="A399" s="16">
        <v>15.0</v>
      </c>
      <c r="B399" s="17" t="s">
        <v>4550</v>
      </c>
      <c r="C399" s="16">
        <v>3.0</v>
      </c>
      <c r="D399" s="18" t="s">
        <v>4183</v>
      </c>
    </row>
    <row r="400" ht="15.75" customHeight="1">
      <c r="A400" s="16">
        <v>16.0</v>
      </c>
      <c r="B400" s="17" t="s">
        <v>4551</v>
      </c>
      <c r="C400" s="16">
        <v>10.0</v>
      </c>
      <c r="D400" s="18" t="s">
        <v>4183</v>
      </c>
    </row>
    <row r="401" ht="15.75" customHeight="1">
      <c r="A401" s="16">
        <v>17.0</v>
      </c>
      <c r="B401" s="17" t="s">
        <v>4552</v>
      </c>
      <c r="C401" s="16">
        <v>11.0</v>
      </c>
      <c r="D401" s="18" t="s">
        <v>4183</v>
      </c>
    </row>
    <row r="402" ht="15.75" customHeight="1">
      <c r="A402" s="16">
        <v>18.0</v>
      </c>
      <c r="B402" s="17" t="s">
        <v>4553</v>
      </c>
      <c r="C402" s="16">
        <v>3.0</v>
      </c>
      <c r="D402" s="18" t="s">
        <v>4183</v>
      </c>
    </row>
    <row r="403" ht="15.75" customHeight="1">
      <c r="A403" s="20"/>
      <c r="B403" s="21" t="s">
        <v>4273</v>
      </c>
      <c r="C403" s="23">
        <v>87.0</v>
      </c>
      <c r="D403" s="21" t="s">
        <v>4171</v>
      </c>
    </row>
    <row r="404" ht="15.75" customHeight="1">
      <c r="A404" s="11"/>
      <c r="B404" s="12"/>
      <c r="C404" s="12"/>
      <c r="D404" s="13"/>
    </row>
    <row r="405" ht="15.75" customHeight="1">
      <c r="A405" s="14" t="s">
        <v>4100</v>
      </c>
      <c r="B405" s="15"/>
      <c r="C405" s="15"/>
      <c r="D405" s="15"/>
    </row>
    <row r="406" ht="15.75" customHeight="1">
      <c r="A406" s="16">
        <v>1.0</v>
      </c>
      <c r="B406" s="17" t="s">
        <v>4554</v>
      </c>
      <c r="C406" s="16">
        <v>12.0</v>
      </c>
      <c r="D406" s="18" t="s">
        <v>4183</v>
      </c>
    </row>
    <row r="407" ht="15.75" customHeight="1">
      <c r="A407" s="16">
        <v>2.0</v>
      </c>
      <c r="B407" s="17" t="s">
        <v>4555</v>
      </c>
      <c r="C407" s="16">
        <v>6.0</v>
      </c>
      <c r="D407" s="18" t="s">
        <v>4183</v>
      </c>
    </row>
    <row r="408" ht="15.75" customHeight="1">
      <c r="A408" s="16">
        <v>3.0</v>
      </c>
      <c r="B408" s="17" t="s">
        <v>4556</v>
      </c>
      <c r="C408" s="16">
        <v>4.0</v>
      </c>
      <c r="D408" s="18" t="s">
        <v>4183</v>
      </c>
    </row>
    <row r="409" ht="15.75" customHeight="1">
      <c r="A409" s="16">
        <v>4.0</v>
      </c>
      <c r="B409" s="17" t="s">
        <v>4557</v>
      </c>
      <c r="C409" s="16">
        <v>7.0</v>
      </c>
      <c r="D409" s="18" t="s">
        <v>4183</v>
      </c>
    </row>
    <row r="410" ht="15.75" customHeight="1">
      <c r="A410" s="16">
        <v>5.0</v>
      </c>
      <c r="B410" s="17" t="s">
        <v>4558</v>
      </c>
      <c r="C410" s="16">
        <v>6.0</v>
      </c>
      <c r="D410" s="18" t="s">
        <v>4183</v>
      </c>
    </row>
    <row r="411" ht="15.75" customHeight="1">
      <c r="A411" s="16">
        <v>6.0</v>
      </c>
      <c r="B411" s="17" t="s">
        <v>4559</v>
      </c>
      <c r="C411" s="16">
        <v>10.0</v>
      </c>
      <c r="D411" s="18" t="s">
        <v>4178</v>
      </c>
    </row>
    <row r="412" ht="15.75" customHeight="1">
      <c r="A412" s="16">
        <v>7.0</v>
      </c>
      <c r="B412" s="17" t="s">
        <v>4560</v>
      </c>
      <c r="C412" s="16">
        <v>12.0</v>
      </c>
      <c r="D412" s="18" t="s">
        <v>4183</v>
      </c>
    </row>
    <row r="413" ht="15.75" customHeight="1">
      <c r="A413" s="16">
        <v>8.0</v>
      </c>
      <c r="B413" s="17" t="s">
        <v>4561</v>
      </c>
      <c r="C413" s="16">
        <v>2.0</v>
      </c>
      <c r="D413" s="18" t="s">
        <v>4178</v>
      </c>
    </row>
    <row r="414" ht="15.75" customHeight="1">
      <c r="A414" s="16">
        <v>9.0</v>
      </c>
      <c r="B414" s="17" t="s">
        <v>4562</v>
      </c>
      <c r="C414" s="18" t="s">
        <v>4213</v>
      </c>
      <c r="D414" s="18" t="s">
        <v>4183</v>
      </c>
    </row>
    <row r="415" ht="15.75" customHeight="1">
      <c r="A415" s="16">
        <v>10.0</v>
      </c>
      <c r="B415" s="17" t="s">
        <v>4563</v>
      </c>
      <c r="C415" s="16">
        <v>7.0</v>
      </c>
      <c r="D415" s="18" t="s">
        <v>4215</v>
      </c>
    </row>
    <row r="416" ht="15.75" customHeight="1">
      <c r="A416" s="16">
        <v>11.0</v>
      </c>
      <c r="B416" s="17" t="s">
        <v>4564</v>
      </c>
      <c r="C416" s="16">
        <v>1.0</v>
      </c>
      <c r="D416" s="18" t="s">
        <v>4183</v>
      </c>
    </row>
    <row r="417" ht="15.75" customHeight="1">
      <c r="A417" s="16">
        <v>12.0</v>
      </c>
      <c r="B417" s="17" t="s">
        <v>4565</v>
      </c>
      <c r="C417" s="16">
        <v>10.0</v>
      </c>
      <c r="D417" s="18" t="s">
        <v>4178</v>
      </c>
    </row>
    <row r="418" ht="15.75" customHeight="1">
      <c r="A418" s="16">
        <v>13.0</v>
      </c>
      <c r="B418" s="17" t="s">
        <v>4566</v>
      </c>
      <c r="C418" s="16">
        <v>4.0</v>
      </c>
      <c r="D418" s="18" t="s">
        <v>4178</v>
      </c>
    </row>
    <row r="419" ht="15.75" customHeight="1">
      <c r="A419" s="16">
        <v>14.0</v>
      </c>
      <c r="B419" s="17" t="s">
        <v>4567</v>
      </c>
      <c r="C419" s="16">
        <v>3.0</v>
      </c>
      <c r="D419" s="18" t="s">
        <v>4178</v>
      </c>
    </row>
    <row r="420" ht="15.75" customHeight="1">
      <c r="A420" s="16">
        <v>15.0</v>
      </c>
      <c r="B420" s="17" t="s">
        <v>4568</v>
      </c>
      <c r="C420" s="16">
        <v>10.0</v>
      </c>
      <c r="D420" s="18" t="s">
        <v>4183</v>
      </c>
    </row>
    <row r="421" ht="15.75" customHeight="1">
      <c r="A421" s="16">
        <v>16.0</v>
      </c>
      <c r="B421" s="17" t="s">
        <v>4569</v>
      </c>
      <c r="C421" s="16">
        <v>11.0</v>
      </c>
      <c r="D421" s="18" t="s">
        <v>4183</v>
      </c>
    </row>
    <row r="422" ht="15.75" customHeight="1">
      <c r="A422" s="16">
        <v>17.0</v>
      </c>
      <c r="B422" s="17" t="s">
        <v>4570</v>
      </c>
      <c r="C422" s="16">
        <v>29.0</v>
      </c>
      <c r="D422" s="18" t="s">
        <v>4183</v>
      </c>
    </row>
    <row r="423" ht="15.75" customHeight="1">
      <c r="A423" s="16">
        <v>18.0</v>
      </c>
      <c r="B423" s="17" t="s">
        <v>4571</v>
      </c>
      <c r="C423" s="16">
        <v>2.0</v>
      </c>
      <c r="D423" s="18" t="s">
        <v>4183</v>
      </c>
    </row>
    <row r="424" ht="15.75" customHeight="1">
      <c r="A424" s="16">
        <v>19.0</v>
      </c>
      <c r="B424" s="17" t="s">
        <v>4572</v>
      </c>
      <c r="C424" s="16">
        <v>2.0</v>
      </c>
      <c r="D424" s="18" t="s">
        <v>4183</v>
      </c>
    </row>
    <row r="425" ht="15.75" customHeight="1">
      <c r="A425" s="16">
        <v>20.0</v>
      </c>
      <c r="B425" s="17" t="s">
        <v>4573</v>
      </c>
      <c r="C425" s="16">
        <v>1.0</v>
      </c>
      <c r="D425" s="18" t="s">
        <v>4183</v>
      </c>
    </row>
    <row r="426" ht="15.75" customHeight="1">
      <c r="A426" s="16">
        <v>21.0</v>
      </c>
      <c r="B426" s="17" t="s">
        <v>4574</v>
      </c>
      <c r="C426" s="16">
        <v>5.0</v>
      </c>
      <c r="D426" s="18" t="s">
        <v>4183</v>
      </c>
    </row>
    <row r="427" ht="15.75" customHeight="1">
      <c r="A427" s="20"/>
      <c r="B427" s="21" t="s">
        <v>4273</v>
      </c>
      <c r="C427" s="23">
        <v>141.0</v>
      </c>
      <c r="D427" s="21" t="s">
        <v>4171</v>
      </c>
    </row>
    <row r="428" ht="15.75" customHeight="1">
      <c r="A428" s="11"/>
      <c r="B428" s="12"/>
      <c r="C428" s="12"/>
      <c r="D428" s="13"/>
    </row>
    <row r="429" ht="15.75" customHeight="1">
      <c r="A429" s="14" t="s">
        <v>4107</v>
      </c>
      <c r="B429" s="15"/>
      <c r="C429" s="15"/>
      <c r="D429" s="15"/>
    </row>
    <row r="430" ht="15.75" customHeight="1">
      <c r="A430" s="16">
        <v>1.0</v>
      </c>
      <c r="B430" s="17" t="s">
        <v>4575</v>
      </c>
      <c r="C430" s="16">
        <v>30.0</v>
      </c>
      <c r="D430" s="18" t="s">
        <v>4178</v>
      </c>
    </row>
    <row r="431" ht="15.75" customHeight="1">
      <c r="A431" s="16">
        <v>2.0</v>
      </c>
      <c r="B431" s="17" t="s">
        <v>4576</v>
      </c>
      <c r="C431" s="16">
        <v>19.0</v>
      </c>
      <c r="D431" s="18" t="s">
        <v>4178</v>
      </c>
    </row>
    <row r="432" ht="15.75" customHeight="1">
      <c r="A432" s="16">
        <v>3.0</v>
      </c>
      <c r="B432" s="17" t="s">
        <v>4577</v>
      </c>
      <c r="C432" s="16">
        <v>54.0</v>
      </c>
      <c r="D432" s="18" t="s">
        <v>4178</v>
      </c>
    </row>
    <row r="433" ht="15.75" customHeight="1">
      <c r="A433" s="16">
        <v>4.0</v>
      </c>
      <c r="B433" s="17" t="s">
        <v>4578</v>
      </c>
      <c r="C433" s="16">
        <v>19.0</v>
      </c>
      <c r="D433" s="18" t="s">
        <v>4215</v>
      </c>
    </row>
    <row r="434" ht="15.75" customHeight="1">
      <c r="A434" s="16">
        <v>5.0</v>
      </c>
      <c r="B434" s="17" t="s">
        <v>4579</v>
      </c>
      <c r="C434" s="16">
        <v>12.0</v>
      </c>
      <c r="D434" s="18" t="s">
        <v>4215</v>
      </c>
    </row>
    <row r="435" ht="15.75" customHeight="1">
      <c r="A435" s="16">
        <v>6.0</v>
      </c>
      <c r="B435" s="17" t="s">
        <v>4580</v>
      </c>
      <c r="C435" s="16">
        <v>91.0</v>
      </c>
      <c r="D435" s="18" t="s">
        <v>4178</v>
      </c>
    </row>
    <row r="436" ht="15.75" customHeight="1">
      <c r="A436" s="16">
        <v>7.0</v>
      </c>
      <c r="B436" s="17" t="s">
        <v>4581</v>
      </c>
      <c r="C436" s="16">
        <v>17.0</v>
      </c>
      <c r="D436" s="18" t="s">
        <v>4178</v>
      </c>
    </row>
    <row r="437" ht="15.75" customHeight="1">
      <c r="A437" s="16">
        <v>8.0</v>
      </c>
      <c r="B437" s="17" t="s">
        <v>4582</v>
      </c>
      <c r="C437" s="16">
        <v>42.0</v>
      </c>
      <c r="D437" s="18" t="s">
        <v>4178</v>
      </c>
    </row>
    <row r="438" ht="15.75" customHeight="1">
      <c r="A438" s="16">
        <v>9.0</v>
      </c>
      <c r="B438" s="17" t="s">
        <v>4583</v>
      </c>
      <c r="C438" s="16">
        <v>49.0</v>
      </c>
      <c r="D438" s="18" t="s">
        <v>4178</v>
      </c>
    </row>
    <row r="439" ht="15.75" customHeight="1">
      <c r="A439" s="16">
        <v>10.0</v>
      </c>
      <c r="B439" s="17" t="s">
        <v>4584</v>
      </c>
      <c r="C439" s="16">
        <v>17.0</v>
      </c>
      <c r="D439" s="18" t="s">
        <v>4178</v>
      </c>
    </row>
    <row r="440" ht="15.75" customHeight="1">
      <c r="A440" s="16">
        <v>11.0</v>
      </c>
      <c r="B440" s="17" t="s">
        <v>4585</v>
      </c>
      <c r="C440" s="16">
        <v>58.0</v>
      </c>
      <c r="D440" s="18" t="s">
        <v>4178</v>
      </c>
    </row>
    <row r="441" ht="15.75" customHeight="1">
      <c r="A441" s="16">
        <v>12.0</v>
      </c>
      <c r="B441" s="17" t="s">
        <v>4586</v>
      </c>
      <c r="C441" s="16">
        <v>31.0</v>
      </c>
      <c r="D441" s="18" t="s">
        <v>4183</v>
      </c>
    </row>
    <row r="442" ht="15.75" customHeight="1">
      <c r="A442" s="16">
        <v>13.0</v>
      </c>
      <c r="B442" s="17" t="s">
        <v>4587</v>
      </c>
      <c r="C442" s="16">
        <v>21.0</v>
      </c>
      <c r="D442" s="18" t="s">
        <v>4183</v>
      </c>
    </row>
    <row r="443" ht="15.75" customHeight="1">
      <c r="A443" s="16">
        <v>14.0</v>
      </c>
      <c r="B443" s="17" t="s">
        <v>4588</v>
      </c>
      <c r="C443" s="16">
        <v>315.0</v>
      </c>
      <c r="D443" s="18" t="s">
        <v>4215</v>
      </c>
    </row>
    <row r="444" ht="15.75" customHeight="1">
      <c r="A444" s="16">
        <v>15.0</v>
      </c>
      <c r="B444" s="17" t="s">
        <v>4589</v>
      </c>
      <c r="C444" s="16">
        <v>100.0</v>
      </c>
      <c r="D444" s="18" t="s">
        <v>4183</v>
      </c>
    </row>
    <row r="445" ht="15.75" customHeight="1">
      <c r="A445" s="16">
        <v>16.0</v>
      </c>
      <c r="B445" s="17" t="s">
        <v>4590</v>
      </c>
      <c r="C445" s="16">
        <v>9.0</v>
      </c>
      <c r="D445" s="18" t="s">
        <v>4178</v>
      </c>
    </row>
    <row r="446" ht="15.75" customHeight="1">
      <c r="A446" s="16">
        <v>17.0</v>
      </c>
      <c r="B446" s="17" t="s">
        <v>4591</v>
      </c>
      <c r="C446" s="16">
        <v>33.0</v>
      </c>
      <c r="D446" s="18" t="s">
        <v>4183</v>
      </c>
    </row>
    <row r="447" ht="15.75" customHeight="1">
      <c r="A447" s="16">
        <v>18.0</v>
      </c>
      <c r="B447" s="17" t="s">
        <v>4592</v>
      </c>
      <c r="C447" s="16">
        <v>9.0</v>
      </c>
      <c r="D447" s="18" t="s">
        <v>4183</v>
      </c>
    </row>
    <row r="448" ht="15.75" customHeight="1">
      <c r="A448" s="16">
        <v>19.0</v>
      </c>
      <c r="B448" s="17" t="s">
        <v>4593</v>
      </c>
      <c r="C448" s="16">
        <v>38.0</v>
      </c>
      <c r="D448" s="18" t="s">
        <v>4215</v>
      </c>
    </row>
    <row r="449" ht="15.75" customHeight="1">
      <c r="A449" s="16">
        <v>20.0</v>
      </c>
      <c r="B449" s="17" t="s">
        <v>4594</v>
      </c>
      <c r="C449" s="16">
        <v>15.0</v>
      </c>
      <c r="D449" s="18" t="s">
        <v>4215</v>
      </c>
    </row>
    <row r="450" ht="15.75" customHeight="1">
      <c r="A450" s="20"/>
      <c r="B450" s="21" t="s">
        <v>4273</v>
      </c>
      <c r="C450" s="23">
        <v>979.0</v>
      </c>
      <c r="D450" s="21" t="s">
        <v>4171</v>
      </c>
    </row>
    <row r="451" ht="15.75" customHeight="1">
      <c r="A451" s="11"/>
      <c r="B451" s="12"/>
      <c r="C451" s="12"/>
      <c r="D451" s="13"/>
    </row>
    <row r="452" ht="15.75" customHeight="1">
      <c r="A452" s="14" t="s">
        <v>4159</v>
      </c>
      <c r="B452" s="15"/>
      <c r="C452" s="15"/>
      <c r="D452" s="15"/>
    </row>
    <row r="453" ht="15.75" customHeight="1">
      <c r="A453" s="16">
        <v>1.0</v>
      </c>
      <c r="B453" s="17" t="s">
        <v>4595</v>
      </c>
      <c r="C453" s="16">
        <v>1.0</v>
      </c>
      <c r="D453" s="18" t="s">
        <v>4183</v>
      </c>
    </row>
    <row r="454" ht="15.75" customHeight="1">
      <c r="A454" s="16">
        <v>2.0</v>
      </c>
      <c r="B454" s="17" t="s">
        <v>4596</v>
      </c>
      <c r="C454" s="16">
        <v>23.0</v>
      </c>
      <c r="D454" s="18" t="s">
        <v>4183</v>
      </c>
    </row>
    <row r="455" ht="15.75" customHeight="1">
      <c r="A455" s="16">
        <v>3.0</v>
      </c>
      <c r="B455" s="17" t="s">
        <v>4597</v>
      </c>
      <c r="C455" s="16">
        <v>1.0</v>
      </c>
      <c r="D455" s="18" t="s">
        <v>4183</v>
      </c>
    </row>
    <row r="456" ht="15.75" customHeight="1">
      <c r="A456" s="20"/>
      <c r="B456" s="21" t="s">
        <v>4273</v>
      </c>
      <c r="C456" s="23">
        <v>25.0</v>
      </c>
      <c r="D456" s="21" t="s">
        <v>4171</v>
      </c>
    </row>
    <row r="457" ht="15.75" customHeight="1">
      <c r="A457" s="11"/>
      <c r="B457" s="12"/>
      <c r="C457" s="12"/>
      <c r="D457" s="13"/>
    </row>
    <row r="458" ht="15.75" customHeight="1">
      <c r="A458" s="14" t="s">
        <v>4116</v>
      </c>
      <c r="B458" s="15"/>
      <c r="C458" s="15"/>
      <c r="D458" s="15"/>
    </row>
    <row r="459" ht="15.75" customHeight="1">
      <c r="A459" s="16">
        <v>1.0</v>
      </c>
      <c r="B459" s="17" t="s">
        <v>4598</v>
      </c>
      <c r="C459" s="16">
        <v>177.0</v>
      </c>
      <c r="D459" s="18" t="s">
        <v>4178</v>
      </c>
    </row>
    <row r="460" ht="15.75" customHeight="1">
      <c r="A460" s="16">
        <v>2.0</v>
      </c>
      <c r="B460" s="17" t="s">
        <v>4599</v>
      </c>
      <c r="C460" s="16">
        <v>435.0</v>
      </c>
      <c r="D460" s="18" t="s">
        <v>4178</v>
      </c>
    </row>
    <row r="461" ht="15.75" customHeight="1">
      <c r="A461" s="16">
        <v>3.0</v>
      </c>
      <c r="B461" s="17" t="s">
        <v>4600</v>
      </c>
      <c r="C461" s="16">
        <v>192.0</v>
      </c>
      <c r="D461" s="18" t="s">
        <v>4178</v>
      </c>
    </row>
    <row r="462" ht="15.75" customHeight="1">
      <c r="A462" s="16">
        <v>4.0</v>
      </c>
      <c r="B462" s="17" t="s">
        <v>4601</v>
      </c>
      <c r="C462" s="16">
        <v>411.0</v>
      </c>
      <c r="D462" s="18" t="s">
        <v>4178</v>
      </c>
    </row>
    <row r="463" ht="15.75" customHeight="1">
      <c r="A463" s="16">
        <v>5.0</v>
      </c>
      <c r="B463" s="17" t="s">
        <v>4602</v>
      </c>
      <c r="C463" s="16">
        <v>34.0</v>
      </c>
      <c r="D463" s="18" t="s">
        <v>4178</v>
      </c>
    </row>
    <row r="464" ht="15.75" customHeight="1">
      <c r="A464" s="16">
        <v>6.0</v>
      </c>
      <c r="B464" s="17" t="s">
        <v>4603</v>
      </c>
      <c r="C464" s="16">
        <v>79.0</v>
      </c>
      <c r="D464" s="18" t="s">
        <v>4178</v>
      </c>
    </row>
    <row r="465" ht="15.75" customHeight="1">
      <c r="A465" s="16">
        <v>7.0</v>
      </c>
      <c r="B465" s="17" t="s">
        <v>4604</v>
      </c>
      <c r="C465" s="16">
        <v>103.0</v>
      </c>
      <c r="D465" s="18" t="s">
        <v>4178</v>
      </c>
    </row>
    <row r="466" ht="15.75" customHeight="1">
      <c r="A466" s="16">
        <v>8.0</v>
      </c>
      <c r="B466" s="17" t="s">
        <v>4605</v>
      </c>
      <c r="C466" s="16">
        <v>60.0</v>
      </c>
      <c r="D466" s="18" t="s">
        <v>4178</v>
      </c>
    </row>
    <row r="467" ht="15.75" customHeight="1">
      <c r="A467" s="16">
        <v>9.0</v>
      </c>
      <c r="B467" s="17" t="s">
        <v>4606</v>
      </c>
      <c r="C467" s="16">
        <v>156.0</v>
      </c>
      <c r="D467" s="18" t="s">
        <v>4178</v>
      </c>
    </row>
    <row r="468" ht="15.75" customHeight="1">
      <c r="A468" s="16">
        <v>10.0</v>
      </c>
      <c r="B468" s="17" t="s">
        <v>4607</v>
      </c>
      <c r="C468" s="16">
        <v>127.0</v>
      </c>
      <c r="D468" s="18" t="s">
        <v>4178</v>
      </c>
    </row>
    <row r="469" ht="15.75" customHeight="1">
      <c r="A469" s="16">
        <v>11.0</v>
      </c>
      <c r="B469" s="17" t="s">
        <v>4608</v>
      </c>
      <c r="C469" s="16">
        <v>120.0</v>
      </c>
      <c r="D469" s="18" t="s">
        <v>4178</v>
      </c>
    </row>
    <row r="470" ht="15.75" customHeight="1">
      <c r="A470" s="16">
        <v>12.0</v>
      </c>
      <c r="B470" s="17" t="s">
        <v>4609</v>
      </c>
      <c r="C470" s="16">
        <v>78.0</v>
      </c>
      <c r="D470" s="18" t="s">
        <v>4178</v>
      </c>
    </row>
    <row r="471" ht="15.75" customHeight="1">
      <c r="A471" s="16">
        <v>13.0</v>
      </c>
      <c r="B471" s="17" t="s">
        <v>4610</v>
      </c>
      <c r="C471" s="16">
        <v>20.0</v>
      </c>
      <c r="D471" s="18" t="s">
        <v>4178</v>
      </c>
    </row>
    <row r="472" ht="15.75" customHeight="1">
      <c r="A472" s="16">
        <v>14.0</v>
      </c>
      <c r="B472" s="17" t="s">
        <v>4611</v>
      </c>
      <c r="C472" s="16">
        <v>47.0</v>
      </c>
      <c r="D472" s="18" t="s">
        <v>4178</v>
      </c>
    </row>
    <row r="473" ht="15.75" customHeight="1">
      <c r="A473" s="16">
        <v>15.0</v>
      </c>
      <c r="B473" s="17" t="s">
        <v>4612</v>
      </c>
      <c r="C473" s="16">
        <v>228.0</v>
      </c>
      <c r="D473" s="18" t="s">
        <v>4178</v>
      </c>
    </row>
    <row r="474" ht="15.75" customHeight="1">
      <c r="A474" s="16">
        <v>16.0</v>
      </c>
      <c r="B474" s="17" t="s">
        <v>4613</v>
      </c>
      <c r="C474" s="16">
        <v>144.0</v>
      </c>
      <c r="D474" s="18" t="s">
        <v>4178</v>
      </c>
    </row>
    <row r="475" ht="15.75" customHeight="1">
      <c r="A475" s="16">
        <v>17.0</v>
      </c>
      <c r="B475" s="17" t="s">
        <v>4614</v>
      </c>
      <c r="C475" s="16">
        <v>173.0</v>
      </c>
      <c r="D475" s="18" t="s">
        <v>4178</v>
      </c>
    </row>
    <row r="476" ht="15.75" customHeight="1">
      <c r="A476" s="20"/>
      <c r="B476" s="21" t="s">
        <v>4273</v>
      </c>
      <c r="C476" s="23">
        <v>2584.0</v>
      </c>
      <c r="D476" s="21" t="s">
        <v>4171</v>
      </c>
    </row>
    <row r="477" ht="15.75" customHeight="1">
      <c r="A477" s="11"/>
      <c r="B477" s="12"/>
      <c r="C477" s="12"/>
      <c r="D477" s="13"/>
    </row>
    <row r="478" ht="15.75" customHeight="1">
      <c r="A478" s="14" t="s">
        <v>4150</v>
      </c>
      <c r="B478" s="15"/>
      <c r="C478" s="15"/>
      <c r="D478" s="15"/>
    </row>
    <row r="479" ht="15.75" customHeight="1">
      <c r="A479" s="16">
        <v>1.0</v>
      </c>
      <c r="B479" s="17" t="s">
        <v>4615</v>
      </c>
      <c r="C479" s="16">
        <v>5.0</v>
      </c>
      <c r="D479" s="18" t="s">
        <v>4183</v>
      </c>
    </row>
    <row r="480" ht="15.75" customHeight="1">
      <c r="A480" s="16">
        <v>2.0</v>
      </c>
      <c r="B480" s="17" t="s">
        <v>4616</v>
      </c>
      <c r="C480" s="16">
        <v>52.0</v>
      </c>
      <c r="D480" s="18" t="s">
        <v>4178</v>
      </c>
    </row>
    <row r="481" ht="15.75" customHeight="1">
      <c r="A481" s="16">
        <v>3.0</v>
      </c>
      <c r="B481" s="17" t="s">
        <v>4617</v>
      </c>
      <c r="C481" s="16">
        <v>25.0</v>
      </c>
      <c r="D481" s="18" t="s">
        <v>4183</v>
      </c>
    </row>
    <row r="482" ht="15.75" customHeight="1">
      <c r="A482" s="16">
        <v>4.0</v>
      </c>
      <c r="B482" s="17" t="s">
        <v>4618</v>
      </c>
      <c r="C482" s="16">
        <v>2.0</v>
      </c>
      <c r="D482" s="18" t="s">
        <v>4178</v>
      </c>
    </row>
    <row r="483" ht="15.75" customHeight="1">
      <c r="A483" s="16">
        <v>5.0</v>
      </c>
      <c r="B483" s="17" t="s">
        <v>4619</v>
      </c>
      <c r="C483" s="16">
        <v>12.0</v>
      </c>
      <c r="D483" s="18" t="s">
        <v>4178</v>
      </c>
    </row>
    <row r="484" ht="15.75" customHeight="1">
      <c r="A484" s="20"/>
      <c r="B484" s="21" t="s">
        <v>4273</v>
      </c>
      <c r="C484" s="23">
        <v>96.0</v>
      </c>
      <c r="D484" s="21" t="s">
        <v>4171</v>
      </c>
    </row>
    <row r="485" ht="15.75" customHeight="1">
      <c r="A485" s="11"/>
      <c r="B485" s="12"/>
      <c r="C485" s="12"/>
      <c r="D485" s="13"/>
    </row>
    <row r="486" ht="15.75" customHeight="1">
      <c r="A486" s="11"/>
      <c r="B486" s="12"/>
      <c r="C486" s="12"/>
      <c r="D486" s="13"/>
    </row>
    <row r="487" ht="15.75" customHeight="1">
      <c r="A487" s="14" t="s">
        <v>4063</v>
      </c>
      <c r="B487" s="15"/>
      <c r="C487" s="15"/>
      <c r="D487" s="15"/>
    </row>
    <row r="488" ht="15.75" customHeight="1">
      <c r="A488" s="16">
        <v>1.0</v>
      </c>
      <c r="B488" s="17" t="s">
        <v>4620</v>
      </c>
      <c r="C488" s="16">
        <v>9.0</v>
      </c>
      <c r="D488" s="18" t="s">
        <v>4183</v>
      </c>
    </row>
    <row r="489" ht="15.75" customHeight="1">
      <c r="A489" s="16">
        <v>2.0</v>
      </c>
      <c r="B489" s="17" t="s">
        <v>4621</v>
      </c>
      <c r="C489" s="16">
        <v>1.0</v>
      </c>
      <c r="D489" s="18" t="s">
        <v>4183</v>
      </c>
    </row>
    <row r="490" ht="15.75" customHeight="1">
      <c r="A490" s="16">
        <v>3.0</v>
      </c>
      <c r="B490" s="17" t="s">
        <v>4622</v>
      </c>
      <c r="C490" s="16">
        <v>1.0</v>
      </c>
      <c r="D490" s="18" t="s">
        <v>4183</v>
      </c>
    </row>
    <row r="491" ht="15.75" customHeight="1">
      <c r="A491" s="16">
        <v>4.0</v>
      </c>
      <c r="B491" s="17" t="s">
        <v>4623</v>
      </c>
      <c r="C491" s="16">
        <v>3.0</v>
      </c>
      <c r="D491" s="18" t="s">
        <v>4178</v>
      </c>
    </row>
    <row r="492" ht="15.75" customHeight="1">
      <c r="A492" s="16">
        <v>5.0</v>
      </c>
      <c r="B492" s="17" t="s">
        <v>4624</v>
      </c>
      <c r="C492" s="16">
        <v>2.0</v>
      </c>
      <c r="D492" s="18" t="s">
        <v>4183</v>
      </c>
    </row>
    <row r="493" ht="15.75" customHeight="1">
      <c r="A493" s="16">
        <v>6.0</v>
      </c>
      <c r="B493" s="17" t="s">
        <v>4625</v>
      </c>
      <c r="C493" s="16">
        <v>7.0</v>
      </c>
      <c r="D493" s="18" t="s">
        <v>4183</v>
      </c>
    </row>
    <row r="494" ht="15.75" customHeight="1">
      <c r="A494" s="16">
        <v>7.0</v>
      </c>
      <c r="B494" s="17" t="s">
        <v>4626</v>
      </c>
      <c r="C494" s="16">
        <v>18.0</v>
      </c>
      <c r="D494" s="18" t="s">
        <v>4183</v>
      </c>
    </row>
    <row r="495" ht="15.75" customHeight="1">
      <c r="A495" s="16">
        <v>8.0</v>
      </c>
      <c r="B495" s="17" t="s">
        <v>4627</v>
      </c>
      <c r="C495" s="16">
        <v>14.0</v>
      </c>
      <c r="D495" s="18" t="s">
        <v>4183</v>
      </c>
    </row>
    <row r="496" ht="15.75" customHeight="1">
      <c r="A496" s="16">
        <v>9.0</v>
      </c>
      <c r="B496" s="17" t="s">
        <v>4628</v>
      </c>
      <c r="C496" s="16">
        <v>4.0</v>
      </c>
      <c r="D496" s="18" t="s">
        <v>4183</v>
      </c>
    </row>
    <row r="497" ht="15.75" customHeight="1">
      <c r="A497" s="16">
        <v>10.0</v>
      </c>
      <c r="B497" s="17" t="s">
        <v>4629</v>
      </c>
      <c r="C497" s="16">
        <v>17.0</v>
      </c>
      <c r="D497" s="18" t="s">
        <v>4183</v>
      </c>
    </row>
    <row r="498" ht="15.75" customHeight="1">
      <c r="A498" s="16">
        <v>11.0</v>
      </c>
      <c r="B498" s="17" t="s">
        <v>4630</v>
      </c>
      <c r="C498" s="16">
        <v>10.0</v>
      </c>
      <c r="D498" s="18" t="s">
        <v>4183</v>
      </c>
    </row>
    <row r="499" ht="15.75" customHeight="1">
      <c r="A499" s="16">
        <v>12.0</v>
      </c>
      <c r="B499" s="17" t="s">
        <v>4631</v>
      </c>
      <c r="C499" s="16">
        <v>10.0</v>
      </c>
      <c r="D499" s="18" t="s">
        <v>4183</v>
      </c>
    </row>
    <row r="500" ht="15.75" customHeight="1">
      <c r="A500" s="16">
        <v>13.0</v>
      </c>
      <c r="B500" s="17" t="s">
        <v>4632</v>
      </c>
      <c r="C500" s="16">
        <v>47.0</v>
      </c>
      <c r="D500" s="18" t="s">
        <v>4183</v>
      </c>
    </row>
    <row r="501" ht="15.75" customHeight="1">
      <c r="A501" s="16">
        <v>14.0</v>
      </c>
      <c r="B501" s="17" t="s">
        <v>4633</v>
      </c>
      <c r="C501" s="16">
        <v>6.0</v>
      </c>
      <c r="D501" s="18" t="s">
        <v>4183</v>
      </c>
    </row>
    <row r="502" ht="15.75" customHeight="1">
      <c r="A502" s="16">
        <v>15.0</v>
      </c>
      <c r="B502" s="17" t="s">
        <v>4634</v>
      </c>
      <c r="C502" s="18" t="s">
        <v>4635</v>
      </c>
      <c r="D502" s="18" t="s">
        <v>4183</v>
      </c>
    </row>
    <row r="503" ht="15.75" customHeight="1">
      <c r="A503" s="16">
        <v>16.0</v>
      </c>
      <c r="B503" s="17" t="s">
        <v>4636</v>
      </c>
      <c r="C503" s="16">
        <v>10.0</v>
      </c>
      <c r="D503" s="18" t="s">
        <v>4183</v>
      </c>
    </row>
    <row r="504" ht="15.75" customHeight="1">
      <c r="A504" s="16">
        <v>17.0</v>
      </c>
      <c r="B504" s="17" t="s">
        <v>4637</v>
      </c>
      <c r="C504" s="16">
        <v>8.0</v>
      </c>
      <c r="D504" s="18" t="s">
        <v>4183</v>
      </c>
    </row>
    <row r="505" ht="15.75" customHeight="1">
      <c r="A505" s="16">
        <v>18.0</v>
      </c>
      <c r="B505" s="17" t="s">
        <v>4638</v>
      </c>
      <c r="C505" s="16">
        <v>10.0</v>
      </c>
      <c r="D505" s="18" t="s">
        <v>4183</v>
      </c>
    </row>
    <row r="506" ht="15.75" customHeight="1">
      <c r="A506" s="16">
        <v>19.0</v>
      </c>
      <c r="B506" s="17" t="s">
        <v>4639</v>
      </c>
      <c r="C506" s="16">
        <v>8.0</v>
      </c>
      <c r="D506" s="18" t="s">
        <v>4178</v>
      </c>
    </row>
    <row r="507" ht="15.75" customHeight="1">
      <c r="A507" s="16">
        <v>20.0</v>
      </c>
      <c r="B507" s="17" t="s">
        <v>4640</v>
      </c>
      <c r="C507" s="16">
        <v>11.0</v>
      </c>
      <c r="D507" s="18" t="s">
        <v>4183</v>
      </c>
    </row>
    <row r="508" ht="15.75" customHeight="1">
      <c r="A508" s="16">
        <v>21.0</v>
      </c>
      <c r="B508" s="17" t="s">
        <v>4641</v>
      </c>
      <c r="C508" s="16">
        <v>10.0</v>
      </c>
      <c r="D508" s="18" t="s">
        <v>4178</v>
      </c>
    </row>
    <row r="509" ht="15.75" customHeight="1">
      <c r="A509" s="16">
        <v>22.0</v>
      </c>
      <c r="B509" s="17" t="s">
        <v>4642</v>
      </c>
      <c r="C509" s="16">
        <v>4.0</v>
      </c>
      <c r="D509" s="18" t="s">
        <v>4183</v>
      </c>
    </row>
    <row r="510" ht="15.75" customHeight="1">
      <c r="A510" s="16">
        <v>23.0</v>
      </c>
      <c r="B510" s="17" t="s">
        <v>4643</v>
      </c>
      <c r="C510" s="16">
        <v>3.0</v>
      </c>
      <c r="D510" s="18" t="s">
        <v>4183</v>
      </c>
    </row>
    <row r="511" ht="15.75" customHeight="1">
      <c r="A511" s="16">
        <v>24.0</v>
      </c>
      <c r="B511" s="17" t="s">
        <v>4644</v>
      </c>
      <c r="C511" s="16">
        <v>5.0</v>
      </c>
      <c r="D511" s="18" t="s">
        <v>4183</v>
      </c>
    </row>
    <row r="512" ht="15.75" customHeight="1">
      <c r="A512" s="16">
        <v>25.0</v>
      </c>
      <c r="B512" s="17" t="s">
        <v>4645</v>
      </c>
      <c r="C512" s="16">
        <v>7.0</v>
      </c>
      <c r="D512" s="18" t="s">
        <v>4183</v>
      </c>
    </row>
    <row r="513" ht="15.75" customHeight="1">
      <c r="A513" s="16">
        <v>26.0</v>
      </c>
      <c r="B513" s="17" t="s">
        <v>4646</v>
      </c>
      <c r="C513" s="16">
        <v>12.0</v>
      </c>
      <c r="D513" s="18" t="s">
        <v>4183</v>
      </c>
    </row>
    <row r="514" ht="15.75" customHeight="1">
      <c r="A514" s="16">
        <v>27.0</v>
      </c>
      <c r="B514" s="17" t="s">
        <v>4647</v>
      </c>
      <c r="C514" s="16">
        <v>3.0</v>
      </c>
      <c r="D514" s="18" t="s">
        <v>4178</v>
      </c>
    </row>
    <row r="515" ht="15.75" customHeight="1">
      <c r="A515" s="16">
        <v>28.0</v>
      </c>
      <c r="B515" s="17" t="s">
        <v>4648</v>
      </c>
      <c r="C515" s="16">
        <v>2.0</v>
      </c>
      <c r="D515" s="18" t="s">
        <v>4183</v>
      </c>
    </row>
    <row r="516" ht="15.75" customHeight="1">
      <c r="A516" s="16">
        <v>29.0</v>
      </c>
      <c r="B516" s="17" t="s">
        <v>4649</v>
      </c>
      <c r="C516" s="16">
        <v>1.0</v>
      </c>
      <c r="D516" s="18" t="s">
        <v>4183</v>
      </c>
    </row>
    <row r="517" ht="15.75" customHeight="1">
      <c r="A517" s="16">
        <v>30.0</v>
      </c>
      <c r="B517" s="17" t="s">
        <v>4650</v>
      </c>
      <c r="C517" s="16">
        <v>7.0</v>
      </c>
      <c r="D517" s="18" t="s">
        <v>4183</v>
      </c>
    </row>
    <row r="518" ht="15.75" customHeight="1">
      <c r="A518" s="16">
        <v>31.0</v>
      </c>
      <c r="B518" s="17" t="s">
        <v>4651</v>
      </c>
      <c r="C518" s="16">
        <v>2.0</v>
      </c>
      <c r="D518" s="18" t="s">
        <v>4183</v>
      </c>
    </row>
    <row r="519" ht="15.75" customHeight="1">
      <c r="A519" s="16">
        <v>32.0</v>
      </c>
      <c r="B519" s="17" t="s">
        <v>4652</v>
      </c>
      <c r="C519" s="16">
        <v>2.0</v>
      </c>
      <c r="D519" s="18" t="s">
        <v>4653</v>
      </c>
    </row>
    <row r="520" ht="15.75" customHeight="1">
      <c r="A520" s="16">
        <v>33.0</v>
      </c>
      <c r="B520" s="17" t="s">
        <v>4654</v>
      </c>
      <c r="C520" s="16">
        <v>40.0</v>
      </c>
      <c r="D520" s="18" t="s">
        <v>4183</v>
      </c>
    </row>
    <row r="521" ht="15.75" customHeight="1">
      <c r="A521" s="16">
        <v>34.0</v>
      </c>
      <c r="B521" s="17" t="s">
        <v>4655</v>
      </c>
      <c r="C521" s="16">
        <v>32.0</v>
      </c>
      <c r="D521" s="18" t="s">
        <v>4183</v>
      </c>
    </row>
    <row r="522" ht="15.75" customHeight="1">
      <c r="A522" s="16">
        <v>35.0</v>
      </c>
      <c r="B522" s="17" t="s">
        <v>4656</v>
      </c>
      <c r="C522" s="16">
        <v>4.0</v>
      </c>
      <c r="D522" s="18" t="s">
        <v>4473</v>
      </c>
    </row>
    <row r="523" ht="15.75" customHeight="1">
      <c r="A523" s="16">
        <v>36.0</v>
      </c>
      <c r="B523" s="17" t="s">
        <v>4657</v>
      </c>
      <c r="C523" s="16">
        <v>6.0</v>
      </c>
      <c r="D523" s="18" t="s">
        <v>4183</v>
      </c>
    </row>
    <row r="524" ht="15.75" customHeight="1">
      <c r="A524" s="16">
        <v>37.0</v>
      </c>
      <c r="B524" s="17" t="s">
        <v>4658</v>
      </c>
      <c r="C524" s="16">
        <v>9.0</v>
      </c>
      <c r="D524" s="18" t="s">
        <v>4183</v>
      </c>
    </row>
    <row r="525" ht="15.75" customHeight="1">
      <c r="A525" s="16">
        <v>38.0</v>
      </c>
      <c r="B525" s="17" t="s">
        <v>4659</v>
      </c>
      <c r="C525" s="16">
        <v>191.0</v>
      </c>
      <c r="D525" s="18" t="s">
        <v>4183</v>
      </c>
    </row>
    <row r="526" ht="15.75" customHeight="1">
      <c r="A526" s="16">
        <v>39.0</v>
      </c>
      <c r="B526" s="17" t="s">
        <v>4660</v>
      </c>
      <c r="C526" s="16">
        <v>295.0</v>
      </c>
      <c r="D526" s="18" t="s">
        <v>4183</v>
      </c>
    </row>
    <row r="527" ht="15.75" customHeight="1">
      <c r="A527" s="16">
        <v>40.0</v>
      </c>
      <c r="B527" s="17" t="s">
        <v>4661</v>
      </c>
      <c r="C527" s="16">
        <v>80.0</v>
      </c>
      <c r="D527" s="18" t="s">
        <v>4183</v>
      </c>
    </row>
    <row r="528" ht="15.75" customHeight="1">
      <c r="A528" s="16">
        <v>41.0</v>
      </c>
      <c r="B528" s="17" t="s">
        <v>4662</v>
      </c>
      <c r="C528" s="16">
        <v>7.0</v>
      </c>
      <c r="D528" s="18" t="s">
        <v>4183</v>
      </c>
    </row>
    <row r="529" ht="15.75" customHeight="1">
      <c r="A529" s="16">
        <v>42.0</v>
      </c>
      <c r="B529" s="17" t="s">
        <v>4663</v>
      </c>
      <c r="C529" s="16">
        <v>3.0</v>
      </c>
      <c r="D529" s="18" t="s">
        <v>4183</v>
      </c>
    </row>
    <row r="530" ht="15.75" customHeight="1">
      <c r="A530" s="16">
        <v>43.0</v>
      </c>
      <c r="B530" s="17" t="s">
        <v>4664</v>
      </c>
      <c r="C530" s="16">
        <v>5.0</v>
      </c>
      <c r="D530" s="18" t="s">
        <v>4183</v>
      </c>
    </row>
    <row r="531" ht="15.75" customHeight="1">
      <c r="A531" s="16">
        <v>44.0</v>
      </c>
      <c r="B531" s="17" t="s">
        <v>4665</v>
      </c>
      <c r="C531" s="16">
        <v>4.0</v>
      </c>
      <c r="D531" s="18" t="s">
        <v>4183</v>
      </c>
    </row>
    <row r="532" ht="15.75" customHeight="1">
      <c r="A532" s="16">
        <v>45.0</v>
      </c>
      <c r="B532" s="17" t="s">
        <v>4666</v>
      </c>
      <c r="C532" s="16">
        <v>3.0</v>
      </c>
      <c r="D532" s="18" t="s">
        <v>4183</v>
      </c>
    </row>
    <row r="533" ht="15.75" customHeight="1">
      <c r="A533" s="16">
        <v>46.0</v>
      </c>
      <c r="B533" s="17" t="s">
        <v>4667</v>
      </c>
      <c r="C533" s="16">
        <v>9.0</v>
      </c>
      <c r="D533" s="18" t="s">
        <v>4178</v>
      </c>
    </row>
    <row r="534" ht="15.75" customHeight="1">
      <c r="A534" s="16">
        <v>47.0</v>
      </c>
      <c r="B534" s="17" t="s">
        <v>4668</v>
      </c>
      <c r="C534" s="16">
        <v>4.0</v>
      </c>
      <c r="D534" s="18" t="s">
        <v>4178</v>
      </c>
    </row>
    <row r="535" ht="15.75" customHeight="1">
      <c r="A535" s="16">
        <v>48.0</v>
      </c>
      <c r="B535" s="17" t="s">
        <v>4669</v>
      </c>
      <c r="C535" s="16">
        <v>6.0</v>
      </c>
      <c r="D535" s="18" t="s">
        <v>4183</v>
      </c>
    </row>
    <row r="536" ht="15.75" customHeight="1">
      <c r="A536" s="16">
        <v>49.0</v>
      </c>
      <c r="B536" s="17" t="s">
        <v>4670</v>
      </c>
      <c r="C536" s="16">
        <v>3.0</v>
      </c>
      <c r="D536" s="18" t="s">
        <v>4183</v>
      </c>
    </row>
    <row r="537" ht="15.75" customHeight="1">
      <c r="A537" s="16">
        <v>50.0</v>
      </c>
      <c r="B537" s="17" t="s">
        <v>4671</v>
      </c>
      <c r="C537" s="16">
        <v>8.0</v>
      </c>
      <c r="D537" s="18" t="s">
        <v>4183</v>
      </c>
    </row>
    <row r="538" ht="15.75" customHeight="1">
      <c r="A538" s="16">
        <v>51.0</v>
      </c>
      <c r="B538" s="17" t="s">
        <v>4672</v>
      </c>
      <c r="C538" s="16">
        <v>5.0</v>
      </c>
      <c r="D538" s="18" t="s">
        <v>4183</v>
      </c>
    </row>
    <row r="539" ht="15.75" customHeight="1">
      <c r="A539" s="16">
        <v>52.0</v>
      </c>
      <c r="B539" s="17" t="s">
        <v>4673</v>
      </c>
      <c r="C539" s="16">
        <v>17.0</v>
      </c>
      <c r="D539" s="18" t="s">
        <v>4183</v>
      </c>
    </row>
    <row r="540" ht="15.75" customHeight="1">
      <c r="A540" s="16">
        <v>53.0</v>
      </c>
      <c r="B540" s="17" t="s">
        <v>4674</v>
      </c>
      <c r="C540" s="16">
        <v>5.0</v>
      </c>
      <c r="D540" s="18" t="s">
        <v>4215</v>
      </c>
    </row>
    <row r="541" ht="15.75" customHeight="1">
      <c r="A541" s="16">
        <v>54.0</v>
      </c>
      <c r="B541" s="17" t="s">
        <v>4675</v>
      </c>
      <c r="C541" s="16">
        <v>5.0</v>
      </c>
      <c r="D541" s="18" t="s">
        <v>4183</v>
      </c>
    </row>
    <row r="542" ht="15.75" customHeight="1">
      <c r="A542" s="16">
        <v>55.0</v>
      </c>
      <c r="B542" s="17" t="s">
        <v>4676</v>
      </c>
      <c r="C542" s="16">
        <v>10.0</v>
      </c>
      <c r="D542" s="18" t="s">
        <v>4183</v>
      </c>
    </row>
    <row r="543" ht="15.75" customHeight="1">
      <c r="A543" s="16">
        <v>56.0</v>
      </c>
      <c r="B543" s="17" t="s">
        <v>4677</v>
      </c>
      <c r="C543" s="16">
        <v>2.0</v>
      </c>
      <c r="D543" s="18" t="s">
        <v>4183</v>
      </c>
    </row>
    <row r="544" ht="15.75" customHeight="1">
      <c r="A544" s="16">
        <v>57.0</v>
      </c>
      <c r="B544" s="17" t="s">
        <v>4678</v>
      </c>
      <c r="C544" s="16">
        <v>3.0</v>
      </c>
      <c r="D544" s="18" t="s">
        <v>4183</v>
      </c>
    </row>
    <row r="545" ht="15.75" customHeight="1">
      <c r="A545" s="16">
        <v>58.0</v>
      </c>
      <c r="B545" s="17" t="s">
        <v>4679</v>
      </c>
      <c r="C545" s="16">
        <v>3.0</v>
      </c>
      <c r="D545" s="18" t="s">
        <v>4183</v>
      </c>
    </row>
    <row r="546" ht="15.75" customHeight="1">
      <c r="A546" s="16">
        <v>59.0</v>
      </c>
      <c r="B546" s="17" t="s">
        <v>4680</v>
      </c>
      <c r="C546" s="18" t="s">
        <v>4681</v>
      </c>
      <c r="D546" s="18" t="s">
        <v>4178</v>
      </c>
    </row>
    <row r="547" ht="15.75" customHeight="1">
      <c r="A547" s="16">
        <v>60.0</v>
      </c>
      <c r="B547" s="17" t="s">
        <v>4680</v>
      </c>
      <c r="C547" s="16">
        <v>5.0</v>
      </c>
      <c r="D547" s="18" t="s">
        <v>4178</v>
      </c>
    </row>
    <row r="548" ht="15.75" customHeight="1">
      <c r="A548" s="16">
        <v>61.0</v>
      </c>
      <c r="B548" s="17" t="s">
        <v>4682</v>
      </c>
      <c r="C548" s="18" t="s">
        <v>4270</v>
      </c>
      <c r="D548" s="18" t="s">
        <v>4183</v>
      </c>
    </row>
    <row r="549" ht="15.75" customHeight="1">
      <c r="A549" s="16">
        <v>62.0</v>
      </c>
      <c r="B549" s="17" t="s">
        <v>4683</v>
      </c>
      <c r="C549" s="16">
        <v>6.0</v>
      </c>
      <c r="D549" s="18" t="s">
        <v>4183</v>
      </c>
    </row>
    <row r="550" ht="15.75" customHeight="1">
      <c r="A550" s="16">
        <v>63.0</v>
      </c>
      <c r="B550" s="17" t="s">
        <v>4684</v>
      </c>
      <c r="C550" s="16">
        <v>2.0</v>
      </c>
      <c r="D550" s="18" t="s">
        <v>4183</v>
      </c>
    </row>
    <row r="551" ht="15.75" customHeight="1">
      <c r="A551" s="16">
        <v>64.0</v>
      </c>
      <c r="B551" s="17" t="s">
        <v>4685</v>
      </c>
      <c r="C551" s="16">
        <v>1.0</v>
      </c>
      <c r="D551" s="18" t="s">
        <v>4183</v>
      </c>
    </row>
    <row r="552" ht="15.75" customHeight="1">
      <c r="A552" s="16">
        <v>65.0</v>
      </c>
      <c r="B552" s="17" t="s">
        <v>4686</v>
      </c>
      <c r="C552" s="16">
        <v>5.0</v>
      </c>
      <c r="D552" s="18" t="s">
        <v>4178</v>
      </c>
    </row>
    <row r="553" ht="15.75" customHeight="1">
      <c r="A553" s="16">
        <v>66.0</v>
      </c>
      <c r="B553" s="17" t="s">
        <v>4687</v>
      </c>
      <c r="C553" s="16">
        <v>6.0</v>
      </c>
      <c r="D553" s="18" t="s">
        <v>4183</v>
      </c>
    </row>
    <row r="554" ht="15.75" customHeight="1">
      <c r="A554" s="16">
        <v>67.0</v>
      </c>
      <c r="B554" s="17" t="s">
        <v>4688</v>
      </c>
      <c r="C554" s="16">
        <v>3.0</v>
      </c>
      <c r="D554" s="18" t="s">
        <v>4183</v>
      </c>
    </row>
    <row r="555" ht="15.75" customHeight="1">
      <c r="A555" s="16">
        <v>68.0</v>
      </c>
      <c r="B555" s="17" t="s">
        <v>4689</v>
      </c>
      <c r="C555" s="16">
        <v>4.0</v>
      </c>
      <c r="D555" s="18" t="s">
        <v>4183</v>
      </c>
    </row>
    <row r="556" ht="15.75" customHeight="1">
      <c r="A556" s="16">
        <v>69.0</v>
      </c>
      <c r="B556" s="17" t="s">
        <v>4690</v>
      </c>
      <c r="C556" s="16">
        <v>11.0</v>
      </c>
      <c r="D556" s="18" t="s">
        <v>4183</v>
      </c>
    </row>
    <row r="557" ht="15.75" customHeight="1">
      <c r="A557" s="16">
        <v>70.0</v>
      </c>
      <c r="B557" s="17" t="s">
        <v>4691</v>
      </c>
      <c r="C557" s="16">
        <v>6.0</v>
      </c>
      <c r="D557" s="18" t="s">
        <v>4183</v>
      </c>
    </row>
    <row r="558" ht="15.75" customHeight="1">
      <c r="A558" s="16">
        <v>71.0</v>
      </c>
      <c r="B558" s="17" t="s">
        <v>4692</v>
      </c>
      <c r="C558" s="16">
        <v>14.0</v>
      </c>
      <c r="D558" s="18" t="s">
        <v>4183</v>
      </c>
    </row>
    <row r="559" ht="15.75" customHeight="1">
      <c r="A559" s="16">
        <v>72.0</v>
      </c>
      <c r="B559" s="17" t="s">
        <v>4693</v>
      </c>
      <c r="C559" s="16">
        <v>11.0</v>
      </c>
      <c r="D559" s="18" t="s">
        <v>4215</v>
      </c>
    </row>
    <row r="560" ht="15.75" customHeight="1">
      <c r="A560" s="16">
        <v>73.0</v>
      </c>
      <c r="B560" s="17" t="s">
        <v>4694</v>
      </c>
      <c r="C560" s="16">
        <v>16.0</v>
      </c>
      <c r="D560" s="18" t="s">
        <v>4215</v>
      </c>
    </row>
    <row r="561" ht="15.75" customHeight="1">
      <c r="A561" s="16">
        <v>74.0</v>
      </c>
      <c r="B561" s="17" t="s">
        <v>4695</v>
      </c>
      <c r="C561" s="16">
        <v>15.0</v>
      </c>
      <c r="D561" s="18" t="s">
        <v>4183</v>
      </c>
    </row>
    <row r="562" ht="15.75" customHeight="1">
      <c r="A562" s="16">
        <v>75.0</v>
      </c>
      <c r="B562" s="17" t="s">
        <v>4696</v>
      </c>
      <c r="C562" s="16">
        <v>3.0</v>
      </c>
      <c r="D562" s="18" t="s">
        <v>4215</v>
      </c>
    </row>
    <row r="563" ht="15.75" customHeight="1">
      <c r="A563" s="16">
        <v>76.0</v>
      </c>
      <c r="B563" s="17" t="s">
        <v>4697</v>
      </c>
      <c r="C563" s="16">
        <v>26.0</v>
      </c>
      <c r="D563" s="18" t="s">
        <v>4183</v>
      </c>
    </row>
    <row r="564" ht="15.75" customHeight="1">
      <c r="A564" s="16">
        <v>77.0</v>
      </c>
      <c r="B564" s="17" t="s">
        <v>4698</v>
      </c>
      <c r="C564" s="16">
        <v>2.0</v>
      </c>
      <c r="D564" s="18" t="s">
        <v>4183</v>
      </c>
    </row>
    <row r="565" ht="15.75" customHeight="1">
      <c r="A565" s="16">
        <v>78.0</v>
      </c>
      <c r="B565" s="17" t="s">
        <v>4699</v>
      </c>
      <c r="C565" s="16">
        <v>5.0</v>
      </c>
      <c r="D565" s="18" t="s">
        <v>4183</v>
      </c>
    </row>
    <row r="566" ht="15.75" customHeight="1">
      <c r="A566" s="16">
        <v>79.0</v>
      </c>
      <c r="B566" s="17" t="s">
        <v>4700</v>
      </c>
      <c r="C566" s="16">
        <v>2.0</v>
      </c>
      <c r="D566" s="18" t="s">
        <v>4178</v>
      </c>
    </row>
    <row r="567" ht="15.75" customHeight="1">
      <c r="A567" s="16">
        <v>80.0</v>
      </c>
      <c r="B567" s="17" t="s">
        <v>4701</v>
      </c>
      <c r="C567" s="16">
        <v>9.0</v>
      </c>
      <c r="D567" s="18" t="s">
        <v>4178</v>
      </c>
    </row>
    <row r="568" ht="15.75" customHeight="1">
      <c r="A568" s="16">
        <v>81.0</v>
      </c>
      <c r="B568" s="17" t="s">
        <v>4702</v>
      </c>
      <c r="C568" s="16">
        <v>13.0</v>
      </c>
      <c r="D568" s="18" t="s">
        <v>4183</v>
      </c>
    </row>
    <row r="569" ht="15.75" customHeight="1">
      <c r="A569" s="16">
        <v>82.0</v>
      </c>
      <c r="B569" s="17" t="s">
        <v>4703</v>
      </c>
      <c r="C569" s="16">
        <v>3.0</v>
      </c>
      <c r="D569" s="18" t="s">
        <v>4183</v>
      </c>
    </row>
    <row r="570" ht="15.75" customHeight="1">
      <c r="A570" s="16">
        <v>83.0</v>
      </c>
      <c r="B570" s="17" t="s">
        <v>4704</v>
      </c>
      <c r="C570" s="16">
        <v>20.0</v>
      </c>
      <c r="D570" s="18" t="s">
        <v>4183</v>
      </c>
    </row>
    <row r="571" ht="15.75" customHeight="1">
      <c r="A571" s="16">
        <v>84.0</v>
      </c>
      <c r="B571" s="17" t="s">
        <v>4705</v>
      </c>
      <c r="C571" s="16">
        <v>4.0</v>
      </c>
      <c r="D571" s="18" t="s">
        <v>4183</v>
      </c>
    </row>
    <row r="572" ht="15.75" customHeight="1">
      <c r="A572" s="16">
        <v>85.0</v>
      </c>
      <c r="B572" s="17" t="s">
        <v>4706</v>
      </c>
      <c r="C572" s="16">
        <v>9.0</v>
      </c>
      <c r="D572" s="18" t="s">
        <v>4178</v>
      </c>
    </row>
    <row r="573" ht="15.75" customHeight="1">
      <c r="A573" s="16">
        <v>86.0</v>
      </c>
      <c r="B573" s="17" t="s">
        <v>4707</v>
      </c>
      <c r="C573" s="16">
        <v>15.0</v>
      </c>
      <c r="D573" s="18" t="s">
        <v>4183</v>
      </c>
    </row>
    <row r="574" ht="15.75" customHeight="1">
      <c r="A574" s="16">
        <v>87.0</v>
      </c>
      <c r="B574" s="17" t="s">
        <v>4708</v>
      </c>
      <c r="C574" s="16">
        <v>1.0</v>
      </c>
      <c r="D574" s="18" t="s">
        <v>4183</v>
      </c>
    </row>
    <row r="575" ht="15.75" customHeight="1">
      <c r="A575" s="16">
        <v>88.0</v>
      </c>
      <c r="B575" s="17" t="s">
        <v>4709</v>
      </c>
      <c r="C575" s="16">
        <v>24.0</v>
      </c>
      <c r="D575" s="18" t="s">
        <v>4183</v>
      </c>
    </row>
    <row r="576" ht="15.75" customHeight="1">
      <c r="A576" s="16">
        <v>89.0</v>
      </c>
      <c r="B576" s="17" t="s">
        <v>4710</v>
      </c>
      <c r="C576" s="16">
        <v>1.0</v>
      </c>
      <c r="D576" s="18" t="s">
        <v>4183</v>
      </c>
    </row>
    <row r="577" ht="15.75" customHeight="1">
      <c r="A577" s="16">
        <v>90.0</v>
      </c>
      <c r="B577" s="17" t="s">
        <v>4711</v>
      </c>
      <c r="C577" s="16">
        <v>66.0</v>
      </c>
      <c r="D577" s="18" t="s">
        <v>4183</v>
      </c>
    </row>
    <row r="578" ht="15.75" customHeight="1">
      <c r="A578" s="16">
        <v>91.0</v>
      </c>
      <c r="B578" s="17" t="s">
        <v>4712</v>
      </c>
      <c r="C578" s="16">
        <v>7.0</v>
      </c>
      <c r="D578" s="18" t="s">
        <v>4183</v>
      </c>
    </row>
    <row r="579" ht="15.75" customHeight="1">
      <c r="A579" s="16">
        <v>92.0</v>
      </c>
      <c r="B579" s="17" t="s">
        <v>4713</v>
      </c>
      <c r="C579" s="16">
        <v>754.0</v>
      </c>
      <c r="D579" s="18" t="s">
        <v>4183</v>
      </c>
    </row>
    <row r="580" ht="15.75" customHeight="1">
      <c r="A580" s="16">
        <v>93.0</v>
      </c>
      <c r="B580" s="17" t="s">
        <v>4714</v>
      </c>
      <c r="C580" s="16">
        <v>44.0</v>
      </c>
      <c r="D580" s="18" t="s">
        <v>4183</v>
      </c>
    </row>
    <row r="581" ht="15.75" customHeight="1">
      <c r="A581" s="16">
        <v>94.0</v>
      </c>
      <c r="B581" s="17" t="s">
        <v>4715</v>
      </c>
      <c r="C581" s="16">
        <v>12.0</v>
      </c>
      <c r="D581" s="18" t="s">
        <v>4183</v>
      </c>
    </row>
    <row r="582" ht="15.75" customHeight="1">
      <c r="A582" s="16">
        <v>95.0</v>
      </c>
      <c r="B582" s="17" t="s">
        <v>4716</v>
      </c>
      <c r="C582" s="16">
        <v>43.0</v>
      </c>
      <c r="D582" s="18" t="s">
        <v>4183</v>
      </c>
    </row>
    <row r="583" ht="15.75" customHeight="1">
      <c r="A583" s="16">
        <v>96.0</v>
      </c>
      <c r="B583" s="17" t="s">
        <v>4717</v>
      </c>
      <c r="C583" s="16">
        <v>11.0</v>
      </c>
      <c r="D583" s="18" t="s">
        <v>4183</v>
      </c>
    </row>
    <row r="584" ht="15.75" customHeight="1">
      <c r="A584" s="16">
        <v>97.0</v>
      </c>
      <c r="B584" s="17" t="s">
        <v>4718</v>
      </c>
      <c r="C584" s="16">
        <v>5.0</v>
      </c>
      <c r="D584" s="18" t="s">
        <v>4183</v>
      </c>
    </row>
    <row r="585" ht="15.75" customHeight="1">
      <c r="A585" s="16">
        <v>98.0</v>
      </c>
      <c r="B585" s="17" t="s">
        <v>4719</v>
      </c>
      <c r="C585" s="16">
        <v>14.0</v>
      </c>
      <c r="D585" s="18" t="s">
        <v>4183</v>
      </c>
    </row>
    <row r="586" ht="15.75" customHeight="1">
      <c r="A586" s="16">
        <v>99.0</v>
      </c>
      <c r="B586" s="17" t="s">
        <v>4720</v>
      </c>
      <c r="C586" s="16">
        <v>5.0</v>
      </c>
      <c r="D586" s="18" t="s">
        <v>4183</v>
      </c>
    </row>
    <row r="587" ht="15.75" customHeight="1">
      <c r="A587" s="16">
        <v>100.0</v>
      </c>
      <c r="B587" s="17" t="s">
        <v>4721</v>
      </c>
      <c r="C587" s="16">
        <v>10.0</v>
      </c>
      <c r="D587" s="18" t="s">
        <v>4183</v>
      </c>
    </row>
    <row r="588" ht="15.75" customHeight="1">
      <c r="A588" s="16">
        <v>101.0</v>
      </c>
      <c r="B588" s="17" t="s">
        <v>4722</v>
      </c>
      <c r="C588" s="16">
        <v>6.0</v>
      </c>
      <c r="D588" s="18" t="s">
        <v>4183</v>
      </c>
    </row>
    <row r="589" ht="15.75" customHeight="1">
      <c r="A589" s="16">
        <v>102.0</v>
      </c>
      <c r="B589" s="17" t="s">
        <v>4723</v>
      </c>
      <c r="C589" s="16">
        <v>16.0</v>
      </c>
      <c r="D589" s="18" t="s">
        <v>4183</v>
      </c>
    </row>
    <row r="590" ht="15.75" customHeight="1">
      <c r="A590" s="16">
        <v>103.0</v>
      </c>
      <c r="B590" s="17" t="s">
        <v>4724</v>
      </c>
      <c r="C590" s="16">
        <v>3.0</v>
      </c>
      <c r="D590" s="18" t="s">
        <v>4183</v>
      </c>
    </row>
    <row r="591" ht="15.75" customHeight="1">
      <c r="A591" s="16">
        <v>104.0</v>
      </c>
      <c r="B591" s="17" t="s">
        <v>4725</v>
      </c>
      <c r="C591" s="16">
        <v>10.0</v>
      </c>
      <c r="D591" s="18" t="s">
        <v>4183</v>
      </c>
    </row>
    <row r="592" ht="15.75" customHeight="1">
      <c r="A592" s="16">
        <v>105.0</v>
      </c>
      <c r="B592" s="17" t="s">
        <v>4726</v>
      </c>
      <c r="C592" s="16">
        <v>4.0</v>
      </c>
      <c r="D592" s="18" t="s">
        <v>4183</v>
      </c>
    </row>
    <row r="593" ht="15.75" customHeight="1">
      <c r="A593" s="16">
        <v>106.0</v>
      </c>
      <c r="B593" s="17" t="s">
        <v>4727</v>
      </c>
      <c r="C593" s="16">
        <v>12.0</v>
      </c>
      <c r="D593" s="18" t="s">
        <v>4183</v>
      </c>
    </row>
    <row r="594" ht="15.75" customHeight="1">
      <c r="A594" s="16">
        <v>107.0</v>
      </c>
      <c r="B594" s="17" t="s">
        <v>4728</v>
      </c>
      <c r="C594" s="16">
        <v>3.0</v>
      </c>
      <c r="D594" s="18" t="s">
        <v>4183</v>
      </c>
    </row>
    <row r="595" ht="15.75" customHeight="1">
      <c r="A595" s="16">
        <v>108.0</v>
      </c>
      <c r="B595" s="17" t="s">
        <v>4729</v>
      </c>
      <c r="C595" s="16">
        <v>6.0</v>
      </c>
      <c r="D595" s="18" t="s">
        <v>4183</v>
      </c>
    </row>
    <row r="596" ht="15.75" customHeight="1">
      <c r="A596" s="16">
        <v>109.0</v>
      </c>
      <c r="B596" s="17" t="s">
        <v>4730</v>
      </c>
      <c r="C596" s="16">
        <v>13.0</v>
      </c>
      <c r="D596" s="18" t="s">
        <v>4183</v>
      </c>
    </row>
    <row r="597" ht="15.75" customHeight="1">
      <c r="A597" s="16">
        <v>110.0</v>
      </c>
      <c r="B597" s="17" t="s">
        <v>4731</v>
      </c>
      <c r="C597" s="16">
        <v>11.0</v>
      </c>
      <c r="D597" s="18" t="s">
        <v>4215</v>
      </c>
    </row>
    <row r="598" ht="15.75" customHeight="1">
      <c r="A598" s="16">
        <v>111.0</v>
      </c>
      <c r="B598" s="17" t="s">
        <v>4732</v>
      </c>
      <c r="C598" s="16">
        <v>4.0</v>
      </c>
      <c r="D598" s="18" t="s">
        <v>4183</v>
      </c>
    </row>
    <row r="599" ht="15.75" customHeight="1">
      <c r="A599" s="16">
        <v>112.0</v>
      </c>
      <c r="B599" s="17" t="s">
        <v>4733</v>
      </c>
      <c r="C599" s="16">
        <v>8.0</v>
      </c>
      <c r="D599" s="18" t="s">
        <v>4183</v>
      </c>
    </row>
    <row r="600" ht="15.75" customHeight="1">
      <c r="A600" s="16">
        <v>113.0</v>
      </c>
      <c r="B600" s="17" t="s">
        <v>4734</v>
      </c>
      <c r="C600" s="16">
        <v>21.0</v>
      </c>
      <c r="D600" s="18" t="s">
        <v>4183</v>
      </c>
    </row>
    <row r="601" ht="15.75" customHeight="1">
      <c r="A601" s="16">
        <v>114.0</v>
      </c>
      <c r="B601" s="17" t="s">
        <v>4735</v>
      </c>
      <c r="C601" s="18" t="s">
        <v>4736</v>
      </c>
      <c r="D601" s="18" t="s">
        <v>4183</v>
      </c>
    </row>
    <row r="602" ht="15.75" customHeight="1">
      <c r="A602" s="16">
        <v>115.0</v>
      </c>
      <c r="B602" s="17" t="s">
        <v>4737</v>
      </c>
      <c r="C602" s="16">
        <v>23.0</v>
      </c>
      <c r="D602" s="18" t="s">
        <v>4183</v>
      </c>
    </row>
    <row r="603" ht="15.75" customHeight="1">
      <c r="A603" s="16">
        <v>116.0</v>
      </c>
      <c r="B603" s="17" t="s">
        <v>4738</v>
      </c>
      <c r="C603" s="16">
        <v>6.0</v>
      </c>
      <c r="D603" s="18" t="s">
        <v>4183</v>
      </c>
    </row>
    <row r="604" ht="15.75" customHeight="1">
      <c r="A604" s="16">
        <v>117.0</v>
      </c>
      <c r="B604" s="17" t="s">
        <v>4739</v>
      </c>
      <c r="C604" s="16">
        <v>8.0</v>
      </c>
      <c r="D604" s="18" t="s">
        <v>4183</v>
      </c>
    </row>
    <row r="605" ht="15.75" customHeight="1">
      <c r="A605" s="16">
        <v>118.0</v>
      </c>
      <c r="B605" s="17" t="s">
        <v>4740</v>
      </c>
      <c r="C605" s="16">
        <v>19.0</v>
      </c>
      <c r="D605" s="18" t="s">
        <v>4183</v>
      </c>
    </row>
    <row r="606" ht="15.75" customHeight="1">
      <c r="A606" s="16">
        <v>119.0</v>
      </c>
      <c r="B606" s="17" t="s">
        <v>4741</v>
      </c>
      <c r="C606" s="16">
        <v>30.0</v>
      </c>
      <c r="D606" s="18" t="s">
        <v>4183</v>
      </c>
    </row>
    <row r="607" ht="15.75" customHeight="1">
      <c r="A607" s="16">
        <v>120.0</v>
      </c>
      <c r="B607" s="17" t="s">
        <v>4742</v>
      </c>
      <c r="C607" s="16">
        <v>20.0</v>
      </c>
      <c r="D607" s="18" t="s">
        <v>4183</v>
      </c>
    </row>
    <row r="608" ht="15.75" customHeight="1">
      <c r="A608" s="16">
        <v>121.0</v>
      </c>
      <c r="B608" s="17" t="s">
        <v>4743</v>
      </c>
      <c r="C608" s="16">
        <v>8.0</v>
      </c>
      <c r="D608" s="18" t="s">
        <v>4183</v>
      </c>
    </row>
    <row r="609" ht="15.75" customHeight="1">
      <c r="A609" s="16">
        <v>122.0</v>
      </c>
      <c r="B609" s="18" t="s">
        <v>573</v>
      </c>
      <c r="C609" s="16">
        <v>5.0</v>
      </c>
      <c r="D609" s="18" t="s">
        <v>4178</v>
      </c>
    </row>
    <row r="610" ht="15.75" customHeight="1">
      <c r="A610" s="16">
        <v>123.0</v>
      </c>
      <c r="B610" s="17" t="s">
        <v>4744</v>
      </c>
      <c r="C610" s="16">
        <v>5.0</v>
      </c>
      <c r="D610" s="18" t="s">
        <v>4178</v>
      </c>
    </row>
    <row r="611" ht="15.75" customHeight="1">
      <c r="A611" s="16">
        <v>124.0</v>
      </c>
      <c r="B611" s="17" t="s">
        <v>4745</v>
      </c>
      <c r="C611" s="16">
        <v>1.0</v>
      </c>
      <c r="D611" s="18" t="s">
        <v>4178</v>
      </c>
    </row>
    <row r="612" ht="15.75" customHeight="1">
      <c r="A612" s="16">
        <v>125.0</v>
      </c>
      <c r="B612" s="17" t="s">
        <v>4746</v>
      </c>
      <c r="C612" s="16">
        <v>3.0</v>
      </c>
      <c r="D612" s="18" t="s">
        <v>4178</v>
      </c>
    </row>
    <row r="613" ht="15.75" customHeight="1">
      <c r="A613" s="16">
        <v>126.0</v>
      </c>
      <c r="B613" s="17" t="s">
        <v>4747</v>
      </c>
      <c r="C613" s="16">
        <v>8.0</v>
      </c>
      <c r="D613" s="18" t="s">
        <v>4178</v>
      </c>
    </row>
    <row r="614" ht="15.75" customHeight="1">
      <c r="A614" s="16">
        <v>127.0</v>
      </c>
      <c r="B614" s="17" t="s">
        <v>4748</v>
      </c>
      <c r="C614" s="16">
        <v>9.0</v>
      </c>
      <c r="D614" s="18" t="s">
        <v>4183</v>
      </c>
    </row>
    <row r="615" ht="15.75" customHeight="1">
      <c r="A615" s="16">
        <v>128.0</v>
      </c>
      <c r="B615" s="17" t="s">
        <v>4749</v>
      </c>
      <c r="C615" s="16">
        <v>1.0</v>
      </c>
      <c r="D615" s="18" t="s">
        <v>4183</v>
      </c>
    </row>
    <row r="616" ht="15.75" customHeight="1">
      <c r="A616" s="16">
        <v>129.0</v>
      </c>
      <c r="B616" s="17" t="s">
        <v>4750</v>
      </c>
      <c r="C616" s="16">
        <v>2.0</v>
      </c>
      <c r="D616" s="18" t="s">
        <v>4178</v>
      </c>
    </row>
    <row r="617" ht="15.75" customHeight="1">
      <c r="A617" s="16">
        <v>130.0</v>
      </c>
      <c r="B617" s="17" t="s">
        <v>4751</v>
      </c>
      <c r="C617" s="16">
        <v>7.0</v>
      </c>
      <c r="D617" s="18" t="s">
        <v>4183</v>
      </c>
    </row>
    <row r="618" ht="15.75" customHeight="1">
      <c r="A618" s="16">
        <v>131.0</v>
      </c>
      <c r="B618" s="17" t="s">
        <v>4752</v>
      </c>
      <c r="C618" s="16">
        <v>44.0</v>
      </c>
      <c r="D618" s="18" t="s">
        <v>4178</v>
      </c>
    </row>
    <row r="619" ht="15.75" customHeight="1">
      <c r="A619" s="16">
        <v>132.0</v>
      </c>
      <c r="B619" s="17" t="s">
        <v>4753</v>
      </c>
      <c r="C619" s="16">
        <v>1.0</v>
      </c>
      <c r="D619" s="18" t="s">
        <v>4183</v>
      </c>
    </row>
    <row r="620" ht="15.75" customHeight="1">
      <c r="A620" s="16">
        <v>133.0</v>
      </c>
      <c r="B620" s="17" t="s">
        <v>4754</v>
      </c>
      <c r="C620" s="16">
        <v>6.0</v>
      </c>
      <c r="D620" s="18" t="s">
        <v>4183</v>
      </c>
    </row>
    <row r="621" ht="15.75" customHeight="1">
      <c r="A621" s="16">
        <v>134.0</v>
      </c>
      <c r="B621" s="17" t="s">
        <v>4755</v>
      </c>
      <c r="C621" s="16">
        <v>13.0</v>
      </c>
      <c r="D621" s="18" t="s">
        <v>4183</v>
      </c>
    </row>
    <row r="622" ht="15.75" customHeight="1">
      <c r="A622" s="16">
        <v>135.0</v>
      </c>
      <c r="B622" s="17" t="s">
        <v>4756</v>
      </c>
      <c r="C622" s="16">
        <v>1.0</v>
      </c>
      <c r="D622" s="18" t="s">
        <v>4183</v>
      </c>
    </row>
    <row r="623" ht="15.75" customHeight="1">
      <c r="A623" s="16">
        <v>136.0</v>
      </c>
      <c r="B623" s="17" t="s">
        <v>4757</v>
      </c>
      <c r="C623" s="16">
        <v>13.0</v>
      </c>
      <c r="D623" s="18" t="s">
        <v>4183</v>
      </c>
    </row>
    <row r="624" ht="15.75" customHeight="1">
      <c r="A624" s="16">
        <v>137.0</v>
      </c>
      <c r="B624" s="17" t="s">
        <v>4758</v>
      </c>
      <c r="C624" s="16">
        <v>9.0</v>
      </c>
      <c r="D624" s="18" t="s">
        <v>4183</v>
      </c>
    </row>
    <row r="625" ht="15.75" customHeight="1">
      <c r="A625" s="16">
        <v>138.0</v>
      </c>
      <c r="B625" s="17" t="s">
        <v>4759</v>
      </c>
      <c r="C625" s="16">
        <v>12.0</v>
      </c>
      <c r="D625" s="18" t="s">
        <v>4183</v>
      </c>
    </row>
    <row r="626" ht="15.75" customHeight="1">
      <c r="A626" s="16">
        <v>139.0</v>
      </c>
      <c r="B626" s="17" t="s">
        <v>4760</v>
      </c>
      <c r="C626" s="16">
        <v>9.0</v>
      </c>
      <c r="D626" s="18" t="s">
        <v>4183</v>
      </c>
    </row>
    <row r="627" ht="15.75" customHeight="1">
      <c r="A627" s="16">
        <v>140.0</v>
      </c>
      <c r="B627" s="17" t="s">
        <v>4761</v>
      </c>
      <c r="C627" s="16">
        <v>4.0</v>
      </c>
      <c r="D627" s="18" t="s">
        <v>4183</v>
      </c>
    </row>
    <row r="628" ht="15.75" customHeight="1">
      <c r="A628" s="16">
        <v>141.0</v>
      </c>
      <c r="B628" s="17" t="s">
        <v>4762</v>
      </c>
      <c r="C628" s="16">
        <v>9.0</v>
      </c>
      <c r="D628" s="18" t="s">
        <v>4183</v>
      </c>
    </row>
    <row r="629" ht="15.75" customHeight="1">
      <c r="A629" s="16">
        <v>142.0</v>
      </c>
      <c r="B629" s="17" t="s">
        <v>4763</v>
      </c>
      <c r="C629" s="16">
        <v>9.0</v>
      </c>
      <c r="D629" s="18" t="s">
        <v>4183</v>
      </c>
    </row>
    <row r="630" ht="15.75" customHeight="1">
      <c r="A630" s="16">
        <v>143.0</v>
      </c>
      <c r="B630" s="17" t="s">
        <v>4764</v>
      </c>
      <c r="C630" s="16">
        <v>6.0</v>
      </c>
      <c r="D630" s="18" t="s">
        <v>4183</v>
      </c>
    </row>
    <row r="631" ht="15.75" customHeight="1">
      <c r="A631" s="16">
        <v>144.0</v>
      </c>
      <c r="B631" s="17" t="s">
        <v>4765</v>
      </c>
      <c r="C631" s="16">
        <v>11.0</v>
      </c>
      <c r="D631" s="18" t="s">
        <v>4183</v>
      </c>
    </row>
    <row r="632" ht="15.75" customHeight="1">
      <c r="A632" s="16">
        <v>145.0</v>
      </c>
      <c r="B632" s="17" t="s">
        <v>4766</v>
      </c>
      <c r="C632" s="16">
        <v>6.0</v>
      </c>
      <c r="D632" s="18" t="s">
        <v>4183</v>
      </c>
    </row>
    <row r="633" ht="15.75" customHeight="1">
      <c r="A633" s="16">
        <v>146.0</v>
      </c>
      <c r="B633" s="17" t="s">
        <v>4767</v>
      </c>
      <c r="C633" s="16">
        <v>4.0</v>
      </c>
      <c r="D633" s="18" t="s">
        <v>4178</v>
      </c>
    </row>
    <row r="634" ht="15.75" customHeight="1">
      <c r="A634" s="16">
        <v>147.0</v>
      </c>
      <c r="B634" s="17" t="s">
        <v>4768</v>
      </c>
      <c r="C634" s="16">
        <v>5.0</v>
      </c>
      <c r="D634" s="18" t="s">
        <v>4178</v>
      </c>
    </row>
    <row r="635" ht="15.75" customHeight="1">
      <c r="A635" s="16">
        <v>148.0</v>
      </c>
      <c r="B635" s="17" t="s">
        <v>4769</v>
      </c>
      <c r="C635" s="16">
        <v>9.0</v>
      </c>
      <c r="D635" s="18" t="s">
        <v>4183</v>
      </c>
    </row>
    <row r="636" ht="15.75" customHeight="1">
      <c r="A636" s="16">
        <v>149.0</v>
      </c>
      <c r="B636" s="17" t="s">
        <v>4770</v>
      </c>
      <c r="C636" s="16">
        <v>7.0</v>
      </c>
      <c r="D636" s="18" t="s">
        <v>4183</v>
      </c>
    </row>
    <row r="637" ht="15.75" customHeight="1">
      <c r="A637" s="16">
        <v>150.0</v>
      </c>
      <c r="B637" s="17" t="s">
        <v>4771</v>
      </c>
      <c r="C637" s="16">
        <v>4.0</v>
      </c>
      <c r="D637" s="18" t="s">
        <v>4183</v>
      </c>
    </row>
    <row r="638" ht="15.75" customHeight="1">
      <c r="A638" s="20"/>
      <c r="B638" s="21" t="s">
        <v>4273</v>
      </c>
      <c r="C638" s="23">
        <v>2663.0</v>
      </c>
      <c r="D638" s="21" t="s">
        <v>4171</v>
      </c>
    </row>
    <row r="639" ht="15.75" customHeight="1">
      <c r="A639" s="11"/>
      <c r="B639" s="12"/>
      <c r="C639" s="12"/>
      <c r="D639" s="13"/>
    </row>
    <row r="640" ht="15.75" customHeight="1">
      <c r="A640" s="14" t="s">
        <v>4092</v>
      </c>
      <c r="B640" s="15"/>
      <c r="C640" s="15"/>
      <c r="D640" s="15"/>
    </row>
    <row r="641" ht="15.75" customHeight="1">
      <c r="A641" s="16">
        <v>1.0</v>
      </c>
      <c r="B641" s="17" t="s">
        <v>4772</v>
      </c>
      <c r="C641" s="16">
        <v>13.0</v>
      </c>
      <c r="D641" s="18" t="s">
        <v>4183</v>
      </c>
    </row>
    <row r="642" ht="15.75" customHeight="1">
      <c r="A642" s="16">
        <v>2.0</v>
      </c>
      <c r="B642" s="17" t="s">
        <v>4773</v>
      </c>
      <c r="C642" s="16">
        <v>19.0</v>
      </c>
      <c r="D642" s="18" t="s">
        <v>4183</v>
      </c>
    </row>
    <row r="643" ht="15.75" customHeight="1">
      <c r="A643" s="16">
        <v>3.0</v>
      </c>
      <c r="B643" s="17" t="s">
        <v>4774</v>
      </c>
      <c r="C643" s="16">
        <v>2.0</v>
      </c>
      <c r="D643" s="18" t="s">
        <v>4178</v>
      </c>
    </row>
    <row r="644" ht="15.75" customHeight="1">
      <c r="A644" s="16">
        <v>4.0</v>
      </c>
      <c r="B644" s="17" t="s">
        <v>4775</v>
      </c>
      <c r="C644" s="16">
        <v>17.0</v>
      </c>
      <c r="D644" s="18" t="s">
        <v>4183</v>
      </c>
    </row>
    <row r="645" ht="15.75" customHeight="1">
      <c r="A645" s="16">
        <v>5.0</v>
      </c>
      <c r="B645" s="17" t="s">
        <v>4776</v>
      </c>
      <c r="C645" s="16">
        <v>8.0</v>
      </c>
      <c r="D645" s="18" t="s">
        <v>4183</v>
      </c>
    </row>
    <row r="646" ht="15.75" customHeight="1">
      <c r="A646" s="16">
        <v>6.0</v>
      </c>
      <c r="B646" s="17" t="s">
        <v>4777</v>
      </c>
      <c r="C646" s="16">
        <v>2.0</v>
      </c>
      <c r="D646" s="18" t="s">
        <v>4183</v>
      </c>
    </row>
    <row r="647" ht="15.75" customHeight="1">
      <c r="A647" s="16">
        <v>7.0</v>
      </c>
      <c r="B647" s="17" t="s">
        <v>4778</v>
      </c>
      <c r="C647" s="16">
        <v>1.0</v>
      </c>
      <c r="D647" s="18" t="s">
        <v>4183</v>
      </c>
    </row>
    <row r="648" ht="15.75" customHeight="1">
      <c r="A648" s="16">
        <v>8.0</v>
      </c>
      <c r="B648" s="17" t="s">
        <v>4779</v>
      </c>
      <c r="C648" s="16">
        <v>16.0</v>
      </c>
      <c r="D648" s="18" t="s">
        <v>4183</v>
      </c>
    </row>
    <row r="649" ht="15.75" customHeight="1">
      <c r="A649" s="16">
        <v>9.0</v>
      </c>
      <c r="B649" s="17" t="s">
        <v>4780</v>
      </c>
      <c r="C649" s="16">
        <v>3.0</v>
      </c>
      <c r="D649" s="18" t="s">
        <v>4183</v>
      </c>
    </row>
    <row r="650" ht="15.75" customHeight="1">
      <c r="A650" s="16">
        <v>10.0</v>
      </c>
      <c r="B650" s="17" t="s">
        <v>4781</v>
      </c>
      <c r="C650" s="16">
        <v>18.0</v>
      </c>
      <c r="D650" s="18" t="s">
        <v>4183</v>
      </c>
    </row>
    <row r="651" ht="15.75" customHeight="1">
      <c r="A651" s="16">
        <v>11.0</v>
      </c>
      <c r="B651" s="17" t="s">
        <v>4782</v>
      </c>
      <c r="C651" s="16">
        <v>5.0</v>
      </c>
      <c r="D651" s="18" t="s">
        <v>4183</v>
      </c>
    </row>
    <row r="652" ht="15.75" customHeight="1">
      <c r="A652" s="16">
        <v>12.0</v>
      </c>
      <c r="B652" s="17" t="s">
        <v>4783</v>
      </c>
      <c r="C652" s="16">
        <v>4.0</v>
      </c>
      <c r="D652" s="18" t="s">
        <v>4183</v>
      </c>
    </row>
    <row r="653" ht="15.75" customHeight="1">
      <c r="A653" s="16">
        <v>13.0</v>
      </c>
      <c r="B653" s="17" t="s">
        <v>4784</v>
      </c>
      <c r="C653" s="16">
        <v>1.0</v>
      </c>
      <c r="D653" s="18" t="s">
        <v>4183</v>
      </c>
    </row>
    <row r="654" ht="15.75" customHeight="1">
      <c r="A654" s="16">
        <v>14.0</v>
      </c>
      <c r="B654" s="17" t="s">
        <v>4785</v>
      </c>
      <c r="C654" s="16">
        <v>2.0</v>
      </c>
      <c r="D654" s="18" t="s">
        <v>4183</v>
      </c>
    </row>
    <row r="655" ht="15.75" customHeight="1">
      <c r="A655" s="16">
        <v>15.0</v>
      </c>
      <c r="B655" s="17" t="s">
        <v>4786</v>
      </c>
      <c r="C655" s="16">
        <v>1.0</v>
      </c>
      <c r="D655" s="18" t="s">
        <v>4183</v>
      </c>
    </row>
    <row r="656" ht="15.75" customHeight="1">
      <c r="A656" s="16">
        <v>16.0</v>
      </c>
      <c r="B656" s="17" t="s">
        <v>4787</v>
      </c>
      <c r="C656" s="18" t="s">
        <v>4681</v>
      </c>
      <c r="D656" s="18" t="s">
        <v>4183</v>
      </c>
    </row>
    <row r="657" ht="15.75" customHeight="1">
      <c r="A657" s="16">
        <v>17.0</v>
      </c>
      <c r="B657" s="17" t="s">
        <v>4788</v>
      </c>
      <c r="C657" s="16">
        <v>5.0</v>
      </c>
      <c r="D657" s="18" t="s">
        <v>4183</v>
      </c>
    </row>
    <row r="658" ht="15.75" customHeight="1">
      <c r="A658" s="16">
        <v>18.0</v>
      </c>
      <c r="B658" s="17" t="s">
        <v>4789</v>
      </c>
      <c r="C658" s="16">
        <v>11.0</v>
      </c>
      <c r="D658" s="18" t="s">
        <v>4183</v>
      </c>
    </row>
    <row r="659" ht="15.75" customHeight="1">
      <c r="A659" s="16">
        <v>19.0</v>
      </c>
      <c r="B659" s="17" t="s">
        <v>4790</v>
      </c>
      <c r="C659" s="16">
        <v>13.0</v>
      </c>
      <c r="D659" s="18" t="s">
        <v>4183</v>
      </c>
    </row>
    <row r="660" ht="15.75" customHeight="1">
      <c r="A660" s="16">
        <v>20.0</v>
      </c>
      <c r="B660" s="17" t="s">
        <v>4791</v>
      </c>
      <c r="C660" s="16">
        <v>9.0</v>
      </c>
      <c r="D660" s="18" t="s">
        <v>4183</v>
      </c>
    </row>
    <row r="661" ht="15.75" customHeight="1">
      <c r="A661" s="16">
        <v>21.0</v>
      </c>
      <c r="B661" s="17" t="s">
        <v>4792</v>
      </c>
      <c r="C661" s="16">
        <v>1.0</v>
      </c>
      <c r="D661" s="18" t="s">
        <v>4183</v>
      </c>
    </row>
    <row r="662" ht="15.75" customHeight="1">
      <c r="A662" s="16">
        <v>22.0</v>
      </c>
      <c r="B662" s="17" t="s">
        <v>4793</v>
      </c>
      <c r="C662" s="16">
        <v>2.0</v>
      </c>
      <c r="D662" s="18" t="s">
        <v>4178</v>
      </c>
    </row>
    <row r="663" ht="15.75" customHeight="1">
      <c r="A663" s="16">
        <v>23.0</v>
      </c>
      <c r="B663" s="17" t="s">
        <v>4794</v>
      </c>
      <c r="C663" s="16">
        <v>5.0</v>
      </c>
      <c r="D663" s="18" t="s">
        <v>4171</v>
      </c>
    </row>
    <row r="664" ht="15.75" customHeight="1">
      <c r="A664" s="16">
        <v>24.0</v>
      </c>
      <c r="B664" s="17" t="s">
        <v>4795</v>
      </c>
      <c r="C664" s="16">
        <v>4.0</v>
      </c>
      <c r="D664" s="18" t="s">
        <v>4183</v>
      </c>
    </row>
    <row r="665" ht="15.75" customHeight="1">
      <c r="A665" s="16">
        <v>25.0</v>
      </c>
      <c r="B665" s="17" t="s">
        <v>4796</v>
      </c>
      <c r="C665" s="16">
        <v>27.0</v>
      </c>
      <c r="D665" s="18" t="s">
        <v>4178</v>
      </c>
    </row>
    <row r="666" ht="15.75" customHeight="1">
      <c r="A666" s="16">
        <v>26.0</v>
      </c>
      <c r="B666" s="17" t="s">
        <v>4797</v>
      </c>
      <c r="C666" s="16">
        <v>24.0</v>
      </c>
      <c r="D666" s="18" t="s">
        <v>4183</v>
      </c>
    </row>
    <row r="667" ht="15.75" customHeight="1">
      <c r="A667" s="16">
        <v>27.0</v>
      </c>
      <c r="B667" s="17" t="s">
        <v>4798</v>
      </c>
      <c r="C667" s="16">
        <v>13.0</v>
      </c>
      <c r="D667" s="18" t="s">
        <v>4183</v>
      </c>
    </row>
    <row r="668" ht="15.75" customHeight="1">
      <c r="A668" s="20"/>
      <c r="B668" s="21" t="s">
        <v>4273</v>
      </c>
      <c r="C668" s="23">
        <v>221.0</v>
      </c>
      <c r="D668" s="21" t="s">
        <v>4171</v>
      </c>
    </row>
    <row r="669" ht="15.75" customHeight="1">
      <c r="A669" s="11"/>
      <c r="B669" s="12"/>
      <c r="C669" s="12"/>
      <c r="D669" s="13"/>
    </row>
    <row r="670" ht="15.75" customHeight="1">
      <c r="A670" s="11"/>
      <c r="B670" s="12"/>
      <c r="C670" s="12"/>
      <c r="D670" s="13"/>
    </row>
    <row r="671" ht="15.75" customHeight="1">
      <c r="A671" s="14" t="s">
        <v>4071</v>
      </c>
      <c r="B671" s="15"/>
      <c r="C671" s="15"/>
      <c r="D671" s="15"/>
    </row>
    <row r="672" ht="15.75" customHeight="1">
      <c r="A672" s="16">
        <v>1.0</v>
      </c>
      <c r="B672" s="17" t="s">
        <v>4799</v>
      </c>
      <c r="C672" s="16">
        <v>15.0</v>
      </c>
      <c r="D672" s="18" t="s">
        <v>4183</v>
      </c>
    </row>
    <row r="673" ht="15.75" customHeight="1">
      <c r="A673" s="16">
        <v>2.0</v>
      </c>
      <c r="B673" s="17" t="s">
        <v>4800</v>
      </c>
      <c r="C673" s="16">
        <v>9.0</v>
      </c>
      <c r="D673" s="18" t="s">
        <v>4183</v>
      </c>
    </row>
    <row r="674" ht="15.75" customHeight="1">
      <c r="A674" s="16">
        <v>3.0</v>
      </c>
      <c r="B674" s="17" t="s">
        <v>4801</v>
      </c>
      <c r="C674" s="16">
        <v>1.0</v>
      </c>
      <c r="D674" s="18" t="s">
        <v>4178</v>
      </c>
    </row>
    <row r="675" ht="15.75" customHeight="1">
      <c r="A675" s="16">
        <v>4.0</v>
      </c>
      <c r="B675" s="17" t="s">
        <v>4802</v>
      </c>
      <c r="C675" s="16">
        <v>20.0</v>
      </c>
      <c r="D675" s="18" t="s">
        <v>4183</v>
      </c>
    </row>
    <row r="676" ht="15.75" customHeight="1">
      <c r="A676" s="16">
        <v>5.0</v>
      </c>
      <c r="B676" s="17" t="s">
        <v>4803</v>
      </c>
      <c r="C676" s="16">
        <v>5.0</v>
      </c>
      <c r="D676" s="18" t="s">
        <v>4183</v>
      </c>
    </row>
    <row r="677" ht="15.75" customHeight="1">
      <c r="A677" s="16">
        <v>6.0</v>
      </c>
      <c r="B677" s="17" t="s">
        <v>4804</v>
      </c>
      <c r="C677" s="16">
        <v>1.0</v>
      </c>
      <c r="D677" s="18" t="s">
        <v>4183</v>
      </c>
    </row>
    <row r="678" ht="15.75" customHeight="1">
      <c r="A678" s="16">
        <v>7.0</v>
      </c>
      <c r="B678" s="17" t="s">
        <v>4805</v>
      </c>
      <c r="C678" s="16">
        <v>8.0</v>
      </c>
      <c r="D678" s="18" t="s">
        <v>4183</v>
      </c>
    </row>
    <row r="679" ht="15.75" customHeight="1">
      <c r="A679" s="16">
        <v>8.0</v>
      </c>
      <c r="B679" s="17" t="s">
        <v>4806</v>
      </c>
      <c r="C679" s="16">
        <v>8.0</v>
      </c>
      <c r="D679" s="18" t="s">
        <v>4183</v>
      </c>
    </row>
    <row r="680" ht="15.75" customHeight="1">
      <c r="A680" s="16">
        <v>9.0</v>
      </c>
      <c r="B680" s="17" t="s">
        <v>4807</v>
      </c>
      <c r="C680" s="16">
        <v>4.0</v>
      </c>
      <c r="D680" s="18" t="s">
        <v>4183</v>
      </c>
    </row>
    <row r="681" ht="15.75" customHeight="1">
      <c r="A681" s="16">
        <v>10.0</v>
      </c>
      <c r="B681" s="17" t="s">
        <v>4808</v>
      </c>
      <c r="C681" s="16">
        <v>12.0</v>
      </c>
      <c r="D681" s="18" t="s">
        <v>4183</v>
      </c>
    </row>
    <row r="682" ht="15.75" customHeight="1">
      <c r="A682" s="16">
        <v>11.0</v>
      </c>
      <c r="B682" s="17" t="s">
        <v>4809</v>
      </c>
      <c r="C682" s="16">
        <v>10.0</v>
      </c>
      <c r="D682" s="18" t="s">
        <v>4183</v>
      </c>
    </row>
    <row r="683" ht="15.75" customHeight="1">
      <c r="A683" s="16">
        <v>12.0</v>
      </c>
      <c r="B683" s="17" t="s">
        <v>4810</v>
      </c>
      <c r="C683" s="16">
        <v>3.0</v>
      </c>
      <c r="D683" s="18" t="s">
        <v>4183</v>
      </c>
    </row>
    <row r="684" ht="15.75" customHeight="1">
      <c r="A684" s="16">
        <v>13.0</v>
      </c>
      <c r="B684" s="17" t="s">
        <v>4811</v>
      </c>
      <c r="C684" s="16">
        <v>25.0</v>
      </c>
      <c r="D684" s="18" t="s">
        <v>4183</v>
      </c>
    </row>
    <row r="685" ht="15.75" customHeight="1">
      <c r="A685" s="16">
        <v>14.0</v>
      </c>
      <c r="B685" s="17" t="s">
        <v>4812</v>
      </c>
      <c r="C685" s="16">
        <v>7.0</v>
      </c>
      <c r="D685" s="18" t="s">
        <v>4183</v>
      </c>
    </row>
    <row r="686" ht="15.75" customHeight="1">
      <c r="A686" s="16">
        <v>15.0</v>
      </c>
      <c r="B686" s="17" t="s">
        <v>4813</v>
      </c>
      <c r="C686" s="16">
        <v>15.0</v>
      </c>
      <c r="D686" s="18" t="s">
        <v>4183</v>
      </c>
    </row>
    <row r="687" ht="15.75" customHeight="1">
      <c r="A687" s="16">
        <v>16.0</v>
      </c>
      <c r="B687" s="17" t="s">
        <v>4814</v>
      </c>
      <c r="C687" s="16">
        <v>9.0</v>
      </c>
      <c r="D687" s="18" t="s">
        <v>4183</v>
      </c>
    </row>
    <row r="688" ht="15.75" customHeight="1">
      <c r="A688" s="16">
        <v>17.0</v>
      </c>
      <c r="B688" s="17" t="s">
        <v>4815</v>
      </c>
      <c r="C688" s="16">
        <v>7.0</v>
      </c>
      <c r="D688" s="18" t="s">
        <v>4183</v>
      </c>
    </row>
    <row r="689" ht="15.75" customHeight="1">
      <c r="A689" s="16">
        <v>18.0</v>
      </c>
      <c r="B689" s="17" t="s">
        <v>4816</v>
      </c>
      <c r="C689" s="16">
        <v>56.0</v>
      </c>
      <c r="D689" s="18" t="s">
        <v>4183</v>
      </c>
    </row>
    <row r="690" ht="15.75" customHeight="1">
      <c r="A690" s="16">
        <v>19.0</v>
      </c>
      <c r="B690" s="17" t="s">
        <v>4817</v>
      </c>
      <c r="C690" s="16">
        <v>38.0</v>
      </c>
      <c r="D690" s="18" t="s">
        <v>4183</v>
      </c>
    </row>
    <row r="691" ht="15.75" customHeight="1">
      <c r="A691" s="16">
        <v>20.0</v>
      </c>
      <c r="B691" s="17" t="s">
        <v>4818</v>
      </c>
      <c r="C691" s="19">
        <v>0.05</v>
      </c>
      <c r="D691" s="18" t="s">
        <v>4183</v>
      </c>
    </row>
    <row r="692" ht="15.75" customHeight="1">
      <c r="A692" s="16">
        <v>21.0</v>
      </c>
      <c r="B692" s="17" t="s">
        <v>4819</v>
      </c>
      <c r="C692" s="16">
        <v>3.0</v>
      </c>
      <c r="D692" s="18" t="s">
        <v>4183</v>
      </c>
    </row>
    <row r="693" ht="15.75" customHeight="1">
      <c r="A693" s="16">
        <v>22.0</v>
      </c>
      <c r="B693" s="17" t="s">
        <v>4820</v>
      </c>
      <c r="C693" s="16">
        <v>12.0</v>
      </c>
      <c r="D693" s="18" t="s">
        <v>4183</v>
      </c>
    </row>
    <row r="694" ht="15.75" customHeight="1">
      <c r="A694" s="16">
        <v>23.0</v>
      </c>
      <c r="B694" s="17" t="s">
        <v>4821</v>
      </c>
      <c r="C694" s="16">
        <v>21.0</v>
      </c>
      <c r="D694" s="18" t="s">
        <v>4183</v>
      </c>
    </row>
    <row r="695" ht="15.75" customHeight="1">
      <c r="A695" s="16">
        <v>24.0</v>
      </c>
      <c r="B695" s="17" t="s">
        <v>4822</v>
      </c>
      <c r="C695" s="16">
        <v>11.0</v>
      </c>
      <c r="D695" s="18" t="s">
        <v>4183</v>
      </c>
    </row>
    <row r="696" ht="15.75" customHeight="1">
      <c r="A696" s="16">
        <v>25.0</v>
      </c>
      <c r="B696" s="17" t="s">
        <v>4823</v>
      </c>
      <c r="C696" s="16">
        <v>7.0</v>
      </c>
      <c r="D696" s="18" t="s">
        <v>4183</v>
      </c>
    </row>
    <row r="697" ht="15.75" customHeight="1">
      <c r="A697" s="16">
        <v>26.0</v>
      </c>
      <c r="B697" s="17" t="s">
        <v>4824</v>
      </c>
      <c r="C697" s="16">
        <v>11.0</v>
      </c>
      <c r="D697" s="18" t="s">
        <v>4183</v>
      </c>
    </row>
    <row r="698" ht="15.75" customHeight="1">
      <c r="A698" s="16">
        <v>27.0</v>
      </c>
      <c r="B698" s="17" t="s">
        <v>4825</v>
      </c>
      <c r="C698" s="16">
        <v>4.0</v>
      </c>
      <c r="D698" s="18" t="s">
        <v>4183</v>
      </c>
    </row>
    <row r="699" ht="15.75" customHeight="1">
      <c r="A699" s="16">
        <v>28.0</v>
      </c>
      <c r="B699" s="17" t="s">
        <v>4826</v>
      </c>
      <c r="C699" s="16">
        <v>6.0</v>
      </c>
      <c r="D699" s="18" t="s">
        <v>4183</v>
      </c>
    </row>
    <row r="700" ht="15.75" customHeight="1">
      <c r="A700" s="16">
        <v>29.0</v>
      </c>
      <c r="B700" s="17" t="s">
        <v>4827</v>
      </c>
      <c r="C700" s="16">
        <v>10.0</v>
      </c>
      <c r="D700" s="18" t="s">
        <v>4183</v>
      </c>
    </row>
    <row r="701" ht="15.75" customHeight="1">
      <c r="A701" s="16">
        <v>30.0</v>
      </c>
      <c r="B701" s="17" t="s">
        <v>4828</v>
      </c>
      <c r="C701" s="16">
        <v>4.0</v>
      </c>
      <c r="D701" s="18" t="s">
        <v>4183</v>
      </c>
    </row>
    <row r="702" ht="15.75" customHeight="1">
      <c r="A702" s="16">
        <v>31.0</v>
      </c>
      <c r="B702" s="17" t="s">
        <v>4829</v>
      </c>
      <c r="C702" s="16">
        <v>15.0</v>
      </c>
      <c r="D702" s="18" t="s">
        <v>4183</v>
      </c>
    </row>
    <row r="703" ht="15.75" customHeight="1">
      <c r="A703" s="16">
        <v>32.0</v>
      </c>
      <c r="B703" s="17" t="s">
        <v>4830</v>
      </c>
      <c r="C703" s="16">
        <v>26.0</v>
      </c>
      <c r="D703" s="18" t="s">
        <v>4183</v>
      </c>
    </row>
    <row r="704" ht="15.75" customHeight="1">
      <c r="A704" s="16">
        <v>33.0</v>
      </c>
      <c r="B704" s="17" t="s">
        <v>4831</v>
      </c>
      <c r="C704" s="16">
        <v>10.0</v>
      </c>
      <c r="D704" s="18" t="s">
        <v>4183</v>
      </c>
    </row>
    <row r="705" ht="15.75" customHeight="1">
      <c r="A705" s="16">
        <v>34.0</v>
      </c>
      <c r="B705" s="17" t="s">
        <v>4832</v>
      </c>
      <c r="C705" s="16">
        <v>11.0</v>
      </c>
      <c r="D705" s="18" t="s">
        <v>4183</v>
      </c>
    </row>
    <row r="706" ht="15.75" customHeight="1">
      <c r="A706" s="16">
        <v>35.0</v>
      </c>
      <c r="B706" s="17" t="s">
        <v>4833</v>
      </c>
      <c r="C706" s="16">
        <v>1.0</v>
      </c>
      <c r="D706" s="18" t="s">
        <v>4183</v>
      </c>
    </row>
    <row r="707" ht="15.75" customHeight="1">
      <c r="A707" s="16">
        <v>36.0</v>
      </c>
      <c r="B707" s="17" t="s">
        <v>4834</v>
      </c>
      <c r="C707" s="16">
        <v>9.0</v>
      </c>
      <c r="D707" s="18" t="s">
        <v>4183</v>
      </c>
    </row>
    <row r="708" ht="15.75" customHeight="1">
      <c r="A708" s="16">
        <v>37.0</v>
      </c>
      <c r="B708" s="17" t="s">
        <v>4835</v>
      </c>
      <c r="C708" s="16">
        <v>3.0</v>
      </c>
      <c r="D708" s="18" t="s">
        <v>4183</v>
      </c>
    </row>
    <row r="709" ht="15.75" customHeight="1">
      <c r="A709" s="16">
        <v>38.0</v>
      </c>
      <c r="B709" s="17" t="s">
        <v>4836</v>
      </c>
      <c r="C709" s="16">
        <v>20.0</v>
      </c>
      <c r="D709" s="18" t="s">
        <v>4183</v>
      </c>
    </row>
    <row r="710" ht="15.75" customHeight="1">
      <c r="A710" s="16">
        <v>39.0</v>
      </c>
      <c r="B710" s="17" t="s">
        <v>4837</v>
      </c>
      <c r="C710" s="16">
        <v>24.0</v>
      </c>
      <c r="D710" s="18" t="s">
        <v>4183</v>
      </c>
    </row>
    <row r="711" ht="15.75" customHeight="1">
      <c r="A711" s="16">
        <v>40.0</v>
      </c>
      <c r="B711" s="17" t="s">
        <v>4838</v>
      </c>
      <c r="C711" s="19">
        <v>0.5</v>
      </c>
      <c r="D711" s="18" t="s">
        <v>4183</v>
      </c>
    </row>
    <row r="712" ht="15.75" customHeight="1">
      <c r="A712" s="16">
        <v>41.0</v>
      </c>
      <c r="B712" s="17" t="s">
        <v>4839</v>
      </c>
      <c r="C712" s="16">
        <v>1.0</v>
      </c>
      <c r="D712" s="18" t="s">
        <v>4183</v>
      </c>
    </row>
    <row r="713" ht="15.75" customHeight="1">
      <c r="A713" s="16">
        <v>42.0</v>
      </c>
      <c r="B713" s="17" t="s">
        <v>4840</v>
      </c>
      <c r="C713" s="16">
        <v>26.0</v>
      </c>
      <c r="D713" s="18" t="s">
        <v>4183</v>
      </c>
    </row>
    <row r="714" ht="15.75" customHeight="1">
      <c r="A714" s="16">
        <v>43.0</v>
      </c>
      <c r="B714" s="17" t="s">
        <v>4841</v>
      </c>
      <c r="C714" s="16">
        <v>201.0</v>
      </c>
      <c r="D714" s="18" t="s">
        <v>4183</v>
      </c>
    </row>
    <row r="715" ht="15.75" customHeight="1">
      <c r="A715" s="16">
        <v>44.0</v>
      </c>
      <c r="B715" s="17" t="s">
        <v>4842</v>
      </c>
      <c r="C715" s="16">
        <v>3.0</v>
      </c>
      <c r="D715" s="18" t="s">
        <v>4178</v>
      </c>
    </row>
    <row r="716" ht="15.75" customHeight="1">
      <c r="A716" s="16">
        <v>45.0</v>
      </c>
      <c r="B716" s="17" t="s">
        <v>4843</v>
      </c>
      <c r="C716" s="16">
        <v>9.0</v>
      </c>
      <c r="D716" s="18" t="s">
        <v>4183</v>
      </c>
    </row>
    <row r="717" ht="15.75" customHeight="1">
      <c r="A717" s="16">
        <v>46.0</v>
      </c>
      <c r="B717" s="17" t="s">
        <v>4844</v>
      </c>
      <c r="C717" s="16">
        <v>14.0</v>
      </c>
      <c r="D717" s="18" t="s">
        <v>4183</v>
      </c>
    </row>
    <row r="718" ht="15.75" customHeight="1">
      <c r="A718" s="16">
        <v>47.0</v>
      </c>
      <c r="B718" s="17" t="s">
        <v>4845</v>
      </c>
      <c r="C718" s="16">
        <v>47.0</v>
      </c>
      <c r="D718" s="18" t="s">
        <v>4183</v>
      </c>
    </row>
    <row r="719" ht="15.75" customHeight="1">
      <c r="A719" s="16">
        <v>48.0</v>
      </c>
      <c r="B719" s="17" t="s">
        <v>4846</v>
      </c>
      <c r="C719" s="16">
        <v>7.0</v>
      </c>
      <c r="D719" s="18" t="s">
        <v>4183</v>
      </c>
    </row>
    <row r="720" ht="15.75" customHeight="1">
      <c r="A720" s="16">
        <v>49.0</v>
      </c>
      <c r="B720" s="17" t="s">
        <v>4847</v>
      </c>
      <c r="C720" s="16">
        <v>5.0</v>
      </c>
      <c r="D720" s="18" t="s">
        <v>4473</v>
      </c>
    </row>
    <row r="721" ht="15.75" customHeight="1">
      <c r="A721" s="16">
        <v>50.0</v>
      </c>
      <c r="B721" s="17" t="s">
        <v>4848</v>
      </c>
      <c r="C721" s="16">
        <v>13.0</v>
      </c>
      <c r="D721" s="18" t="s">
        <v>4183</v>
      </c>
    </row>
    <row r="722" ht="15.75" customHeight="1">
      <c r="A722" s="16">
        <v>51.0</v>
      </c>
      <c r="B722" s="17" t="s">
        <v>4849</v>
      </c>
      <c r="C722" s="16">
        <v>27.0</v>
      </c>
      <c r="D722" s="18" t="s">
        <v>4183</v>
      </c>
    </row>
    <row r="723" ht="15.75" customHeight="1">
      <c r="A723" s="16">
        <v>52.0</v>
      </c>
      <c r="B723" s="17" t="s">
        <v>4850</v>
      </c>
      <c r="C723" s="16">
        <v>756.0</v>
      </c>
      <c r="D723" s="18" t="s">
        <v>4183</v>
      </c>
    </row>
    <row r="724" ht="15.75" customHeight="1">
      <c r="A724" s="16">
        <v>53.0</v>
      </c>
      <c r="B724" s="17" t="s">
        <v>4851</v>
      </c>
      <c r="C724" s="16">
        <v>390.0</v>
      </c>
      <c r="D724" s="18" t="s">
        <v>4183</v>
      </c>
    </row>
    <row r="725" ht="15.75" customHeight="1">
      <c r="A725" s="16">
        <v>54.0</v>
      </c>
      <c r="B725" s="17" t="s">
        <v>4852</v>
      </c>
      <c r="C725" s="16">
        <v>1.0</v>
      </c>
      <c r="D725" s="18" t="s">
        <v>4183</v>
      </c>
    </row>
    <row r="726" ht="15.75" customHeight="1">
      <c r="A726" s="16">
        <v>55.0</v>
      </c>
      <c r="B726" s="17" t="s">
        <v>4853</v>
      </c>
      <c r="C726" s="16">
        <v>43.0</v>
      </c>
      <c r="D726" s="18" t="s">
        <v>4183</v>
      </c>
    </row>
    <row r="727" ht="15.75" customHeight="1">
      <c r="A727" s="16">
        <v>56.0</v>
      </c>
      <c r="B727" s="17" t="s">
        <v>4854</v>
      </c>
      <c r="C727" s="16">
        <v>40.0</v>
      </c>
      <c r="D727" s="18" t="s">
        <v>4183</v>
      </c>
    </row>
    <row r="728" ht="15.75" customHeight="1">
      <c r="A728" s="16">
        <v>57.0</v>
      </c>
      <c r="B728" s="17" t="s">
        <v>4855</v>
      </c>
      <c r="C728" s="16">
        <v>20.0</v>
      </c>
      <c r="D728" s="18" t="s">
        <v>4183</v>
      </c>
    </row>
    <row r="729" ht="15.75" customHeight="1">
      <c r="A729" s="16">
        <v>58.0</v>
      </c>
      <c r="B729" s="17" t="s">
        <v>4856</v>
      </c>
      <c r="C729" s="16">
        <v>7.0</v>
      </c>
      <c r="D729" s="18" t="s">
        <v>4183</v>
      </c>
    </row>
    <row r="730" ht="15.75" customHeight="1">
      <c r="A730" s="16">
        <v>59.0</v>
      </c>
      <c r="B730" s="17" t="s">
        <v>4857</v>
      </c>
      <c r="C730" s="16">
        <v>2.0</v>
      </c>
      <c r="D730" s="18" t="s">
        <v>4183</v>
      </c>
    </row>
    <row r="731" ht="15.75" customHeight="1">
      <c r="A731" s="16">
        <v>60.0</v>
      </c>
      <c r="B731" s="17" t="s">
        <v>4858</v>
      </c>
      <c r="C731" s="16">
        <v>1.0</v>
      </c>
      <c r="D731" s="18" t="s">
        <v>4183</v>
      </c>
    </row>
    <row r="732" ht="15.75" customHeight="1">
      <c r="A732" s="16">
        <v>61.0</v>
      </c>
      <c r="B732" s="17" t="s">
        <v>4859</v>
      </c>
      <c r="C732" s="16">
        <v>29.0</v>
      </c>
      <c r="D732" s="18" t="s">
        <v>4183</v>
      </c>
    </row>
    <row r="733" ht="15.75" customHeight="1">
      <c r="A733" s="16">
        <v>62.0</v>
      </c>
      <c r="B733" s="17" t="s">
        <v>4860</v>
      </c>
      <c r="C733" s="16">
        <v>2.0</v>
      </c>
      <c r="D733" s="18" t="s">
        <v>4183</v>
      </c>
    </row>
    <row r="734" ht="15.75" customHeight="1">
      <c r="A734" s="16">
        <v>63.0</v>
      </c>
      <c r="B734" s="17" t="s">
        <v>4861</v>
      </c>
      <c r="C734" s="16">
        <v>21.0</v>
      </c>
      <c r="D734" s="18" t="s">
        <v>4183</v>
      </c>
    </row>
    <row r="735" ht="15.75" customHeight="1">
      <c r="A735" s="16">
        <v>64.0</v>
      </c>
      <c r="B735" s="17" t="s">
        <v>4862</v>
      </c>
      <c r="C735" s="16">
        <v>15.0</v>
      </c>
      <c r="D735" s="18" t="s">
        <v>4183</v>
      </c>
    </row>
    <row r="736" ht="15.75" customHeight="1">
      <c r="A736" s="16">
        <v>65.0</v>
      </c>
      <c r="B736" s="17" t="s">
        <v>4863</v>
      </c>
      <c r="C736" s="16">
        <v>65.0</v>
      </c>
      <c r="D736" s="18" t="s">
        <v>4183</v>
      </c>
    </row>
    <row r="737" ht="15.75" customHeight="1">
      <c r="A737" s="16">
        <v>66.0</v>
      </c>
      <c r="B737" s="17" t="s">
        <v>4864</v>
      </c>
      <c r="C737" s="16">
        <v>5.0</v>
      </c>
      <c r="D737" s="18" t="s">
        <v>4183</v>
      </c>
    </row>
    <row r="738" ht="15.75" customHeight="1">
      <c r="A738" s="16">
        <v>67.0</v>
      </c>
      <c r="B738" s="17" t="s">
        <v>4865</v>
      </c>
      <c r="C738" s="16">
        <v>1.0</v>
      </c>
      <c r="D738" s="18" t="s">
        <v>4183</v>
      </c>
    </row>
    <row r="739" ht="15.75" customHeight="1">
      <c r="A739" s="16">
        <v>68.0</v>
      </c>
      <c r="B739" s="17" t="s">
        <v>4866</v>
      </c>
      <c r="C739" s="16">
        <v>6.0</v>
      </c>
      <c r="D739" s="18" t="s">
        <v>4183</v>
      </c>
    </row>
    <row r="740" ht="15.75" customHeight="1">
      <c r="A740" s="16">
        <v>69.0</v>
      </c>
      <c r="B740" s="17" t="s">
        <v>4867</v>
      </c>
      <c r="C740" s="16">
        <v>6.0</v>
      </c>
      <c r="D740" s="18" t="s">
        <v>4868</v>
      </c>
    </row>
    <row r="741" ht="15.75" customHeight="1">
      <c r="A741" s="16">
        <v>70.0</v>
      </c>
      <c r="B741" s="17" t="s">
        <v>4869</v>
      </c>
      <c r="C741" s="16">
        <v>12.0</v>
      </c>
      <c r="D741" s="18" t="s">
        <v>4178</v>
      </c>
    </row>
    <row r="742" ht="15.75" customHeight="1">
      <c r="A742" s="16">
        <v>71.0</v>
      </c>
      <c r="B742" s="17" t="s">
        <v>4870</v>
      </c>
      <c r="C742" s="16">
        <v>37.0</v>
      </c>
      <c r="D742" s="18" t="s">
        <v>4183</v>
      </c>
    </row>
    <row r="743" ht="15.75" customHeight="1">
      <c r="A743" s="16">
        <v>72.0</v>
      </c>
      <c r="B743" s="17" t="s">
        <v>4871</v>
      </c>
      <c r="C743" s="16">
        <v>3.0</v>
      </c>
      <c r="D743" s="18" t="s">
        <v>4183</v>
      </c>
    </row>
    <row r="744" ht="15.75" customHeight="1">
      <c r="A744" s="16">
        <v>73.0</v>
      </c>
      <c r="B744" s="17" t="s">
        <v>4872</v>
      </c>
      <c r="C744" s="16">
        <v>1.0</v>
      </c>
      <c r="D744" s="18" t="s">
        <v>4183</v>
      </c>
    </row>
    <row r="745" ht="15.75" customHeight="1">
      <c r="A745" s="16">
        <v>74.0</v>
      </c>
      <c r="B745" s="17" t="s">
        <v>4873</v>
      </c>
      <c r="C745" s="16">
        <v>1.0</v>
      </c>
      <c r="D745" s="18" t="s">
        <v>4183</v>
      </c>
    </row>
    <row r="746" ht="15.75" customHeight="1">
      <c r="A746" s="16">
        <v>75.0</v>
      </c>
      <c r="B746" s="17" t="s">
        <v>4874</v>
      </c>
      <c r="C746" s="16">
        <v>1.0</v>
      </c>
      <c r="D746" s="18" t="s">
        <v>4183</v>
      </c>
    </row>
    <row r="747" ht="15.75" customHeight="1">
      <c r="A747" s="16">
        <v>76.0</v>
      </c>
      <c r="B747" s="17" t="s">
        <v>4875</v>
      </c>
      <c r="C747" s="16">
        <v>8.0</v>
      </c>
      <c r="D747" s="18" t="s">
        <v>4183</v>
      </c>
    </row>
    <row r="748" ht="15.75" customHeight="1">
      <c r="A748" s="16">
        <v>77.0</v>
      </c>
      <c r="B748" s="17" t="s">
        <v>4876</v>
      </c>
      <c r="C748" s="16">
        <v>4.0</v>
      </c>
      <c r="D748" s="18" t="s">
        <v>4183</v>
      </c>
    </row>
    <row r="749" ht="15.75" customHeight="1">
      <c r="A749" s="16">
        <v>78.0</v>
      </c>
      <c r="B749" s="17" t="s">
        <v>4877</v>
      </c>
      <c r="C749" s="16">
        <v>8.0</v>
      </c>
      <c r="D749" s="18" t="s">
        <v>4183</v>
      </c>
    </row>
    <row r="750" ht="15.75" customHeight="1">
      <c r="A750" s="16">
        <v>79.0</v>
      </c>
      <c r="B750" s="17" t="s">
        <v>4878</v>
      </c>
      <c r="C750" s="16">
        <v>1.0</v>
      </c>
      <c r="D750" s="18" t="s">
        <v>4178</v>
      </c>
    </row>
    <row r="751" ht="15.75" customHeight="1">
      <c r="A751" s="16">
        <v>80.0</v>
      </c>
      <c r="B751" s="17" t="s">
        <v>4879</v>
      </c>
      <c r="C751" s="16">
        <v>2.0</v>
      </c>
      <c r="D751" s="18" t="s">
        <v>4880</v>
      </c>
    </row>
    <row r="752" ht="15.75" customHeight="1">
      <c r="A752" s="16">
        <v>81.0</v>
      </c>
      <c r="B752" s="17" t="s">
        <v>4881</v>
      </c>
      <c r="C752" s="16">
        <v>1.0</v>
      </c>
      <c r="D752" s="18" t="s">
        <v>4178</v>
      </c>
    </row>
    <row r="753" ht="15.75" customHeight="1">
      <c r="A753" s="16">
        <v>82.0</v>
      </c>
      <c r="B753" s="17" t="s">
        <v>4882</v>
      </c>
      <c r="C753" s="16">
        <v>6.0</v>
      </c>
      <c r="D753" s="18" t="s">
        <v>4183</v>
      </c>
    </row>
    <row r="754" ht="15.75" customHeight="1">
      <c r="A754" s="16">
        <v>83.0</v>
      </c>
      <c r="B754" s="17" t="s">
        <v>4883</v>
      </c>
      <c r="C754" s="16">
        <v>8.0</v>
      </c>
      <c r="D754" s="18" t="s">
        <v>4183</v>
      </c>
    </row>
    <row r="755" ht="15.75" customHeight="1">
      <c r="A755" s="16">
        <v>84.0</v>
      </c>
      <c r="B755" s="17" t="s">
        <v>4884</v>
      </c>
      <c r="C755" s="16">
        <v>11.0</v>
      </c>
      <c r="D755" s="18" t="s">
        <v>4183</v>
      </c>
    </row>
    <row r="756" ht="15.75" customHeight="1">
      <c r="A756" s="16">
        <v>85.0</v>
      </c>
      <c r="B756" s="17" t="s">
        <v>4885</v>
      </c>
      <c r="C756" s="16">
        <v>13.0</v>
      </c>
      <c r="D756" s="18" t="s">
        <v>4183</v>
      </c>
    </row>
    <row r="757" ht="15.75" customHeight="1">
      <c r="A757" s="16">
        <v>86.0</v>
      </c>
      <c r="B757" s="17" t="s">
        <v>4886</v>
      </c>
      <c r="C757" s="16">
        <v>11.0</v>
      </c>
      <c r="D757" s="18" t="s">
        <v>4183</v>
      </c>
    </row>
    <row r="758" ht="15.75" customHeight="1">
      <c r="A758" s="16">
        <v>87.0</v>
      </c>
      <c r="B758" s="17" t="s">
        <v>4887</v>
      </c>
      <c r="C758" s="16">
        <v>8.0</v>
      </c>
      <c r="D758" s="18" t="s">
        <v>4183</v>
      </c>
    </row>
    <row r="759" ht="15.75" customHeight="1">
      <c r="A759" s="16">
        <v>88.0</v>
      </c>
      <c r="B759" s="17" t="s">
        <v>4888</v>
      </c>
      <c r="C759" s="16">
        <v>8.0</v>
      </c>
      <c r="D759" s="18" t="s">
        <v>4183</v>
      </c>
    </row>
    <row r="760" ht="15.75" customHeight="1">
      <c r="A760" s="16">
        <v>89.0</v>
      </c>
      <c r="B760" s="17" t="s">
        <v>4889</v>
      </c>
      <c r="C760" s="16">
        <v>5.0</v>
      </c>
      <c r="D760" s="18" t="s">
        <v>4183</v>
      </c>
    </row>
    <row r="761" ht="15.75" customHeight="1">
      <c r="A761" s="16">
        <v>90.0</v>
      </c>
      <c r="B761" s="17" t="s">
        <v>4890</v>
      </c>
      <c r="C761" s="16">
        <v>8.0</v>
      </c>
      <c r="D761" s="18" t="s">
        <v>4178</v>
      </c>
    </row>
    <row r="762" ht="15.75" customHeight="1">
      <c r="A762" s="20"/>
      <c r="B762" s="21" t="s">
        <v>4273</v>
      </c>
      <c r="C762" s="22">
        <v>2381.55</v>
      </c>
      <c r="D762" s="21" t="s">
        <v>4171</v>
      </c>
    </row>
    <row r="763" ht="15.75" customHeight="1">
      <c r="A763" s="11"/>
      <c r="B763" s="12"/>
      <c r="C763" s="12"/>
      <c r="D763" s="13"/>
    </row>
    <row r="764" ht="15.75" customHeight="1">
      <c r="A764" s="14" t="s">
        <v>4123</v>
      </c>
      <c r="B764" s="15"/>
      <c r="C764" s="15"/>
      <c r="D764" s="15"/>
    </row>
    <row r="765" ht="15.75" customHeight="1">
      <c r="A765" s="16">
        <v>1.0</v>
      </c>
      <c r="B765" s="17" t="s">
        <v>4891</v>
      </c>
      <c r="C765" s="16">
        <v>49.0</v>
      </c>
      <c r="D765" s="18" t="s">
        <v>4178</v>
      </c>
    </row>
    <row r="766" ht="15.75" customHeight="1">
      <c r="A766" s="16">
        <v>2.0</v>
      </c>
      <c r="B766" s="17" t="s">
        <v>4892</v>
      </c>
      <c r="C766" s="16">
        <v>27.0</v>
      </c>
      <c r="D766" s="18" t="s">
        <v>4178</v>
      </c>
    </row>
    <row r="767" ht="15.75" customHeight="1">
      <c r="A767" s="16">
        <v>3.0</v>
      </c>
      <c r="B767" s="17" t="s">
        <v>4893</v>
      </c>
      <c r="C767" s="16">
        <v>7.0</v>
      </c>
      <c r="D767" s="18" t="s">
        <v>4178</v>
      </c>
    </row>
    <row r="768" ht="15.75" customHeight="1">
      <c r="A768" s="16">
        <v>4.0</v>
      </c>
      <c r="B768" s="17" t="s">
        <v>4894</v>
      </c>
      <c r="C768" s="16">
        <v>1.0</v>
      </c>
      <c r="D768" s="18" t="s">
        <v>4178</v>
      </c>
    </row>
    <row r="769" ht="15.75" customHeight="1">
      <c r="A769" s="16">
        <v>5.0</v>
      </c>
      <c r="B769" s="17" t="s">
        <v>4895</v>
      </c>
      <c r="C769" s="16">
        <v>20.0</v>
      </c>
      <c r="D769" s="18" t="s">
        <v>4178</v>
      </c>
    </row>
    <row r="770" ht="15.75" customHeight="1">
      <c r="A770" s="16">
        <v>6.0</v>
      </c>
      <c r="B770" s="17" t="s">
        <v>4896</v>
      </c>
      <c r="C770" s="16">
        <v>5.0</v>
      </c>
      <c r="D770" s="18" t="s">
        <v>4178</v>
      </c>
    </row>
    <row r="771" ht="15.75" customHeight="1">
      <c r="A771" s="16">
        <v>7.0</v>
      </c>
      <c r="B771" s="17" t="s">
        <v>4897</v>
      </c>
      <c r="C771" s="16">
        <v>10.0</v>
      </c>
      <c r="D771" s="18" t="s">
        <v>4178</v>
      </c>
    </row>
    <row r="772" ht="15.75" customHeight="1">
      <c r="A772" s="16">
        <v>8.0</v>
      </c>
      <c r="B772" s="17" t="s">
        <v>4898</v>
      </c>
      <c r="C772" s="16">
        <v>7.0</v>
      </c>
      <c r="D772" s="18" t="s">
        <v>4178</v>
      </c>
    </row>
    <row r="773" ht="15.75" customHeight="1">
      <c r="A773" s="16">
        <v>9.0</v>
      </c>
      <c r="B773" s="17" t="s">
        <v>4899</v>
      </c>
      <c r="C773" s="16">
        <v>117.0</v>
      </c>
      <c r="D773" s="18" t="s">
        <v>4178</v>
      </c>
    </row>
    <row r="774" ht="15.75" customHeight="1">
      <c r="A774" s="16">
        <v>10.0</v>
      </c>
      <c r="B774" s="17" t="s">
        <v>4900</v>
      </c>
      <c r="C774" s="16">
        <v>8.0</v>
      </c>
      <c r="D774" s="18" t="s">
        <v>4178</v>
      </c>
    </row>
    <row r="775" ht="15.75" customHeight="1">
      <c r="A775" s="16">
        <v>11.0</v>
      </c>
      <c r="B775" s="17" t="s">
        <v>4901</v>
      </c>
      <c r="C775" s="16">
        <v>10.0</v>
      </c>
      <c r="D775" s="18" t="s">
        <v>4178</v>
      </c>
    </row>
    <row r="776" ht="15.75" customHeight="1">
      <c r="A776" s="16">
        <v>12.0</v>
      </c>
      <c r="B776" s="17" t="s">
        <v>4902</v>
      </c>
      <c r="C776" s="16">
        <v>6.0</v>
      </c>
      <c r="D776" s="18" t="s">
        <v>4178</v>
      </c>
    </row>
    <row r="777" ht="15.75" customHeight="1">
      <c r="A777" s="16">
        <v>13.0</v>
      </c>
      <c r="B777" s="17" t="s">
        <v>4903</v>
      </c>
      <c r="C777" s="18" t="s">
        <v>4213</v>
      </c>
      <c r="D777" s="18" t="s">
        <v>4178</v>
      </c>
    </row>
    <row r="778" ht="15.75" customHeight="1">
      <c r="A778" s="20"/>
      <c r="B778" s="21" t="s">
        <v>4273</v>
      </c>
      <c r="C778" s="23">
        <v>264.0</v>
      </c>
      <c r="D778" s="21" t="s">
        <v>4171</v>
      </c>
    </row>
    <row r="779" ht="15.75" customHeight="1">
      <c r="A779" s="11"/>
      <c r="B779" s="12"/>
      <c r="C779" s="12"/>
      <c r="D779" s="13"/>
    </row>
    <row r="780" ht="15.75" customHeight="1">
      <c r="A780" s="14" t="s">
        <v>4133</v>
      </c>
      <c r="B780" s="15"/>
      <c r="C780" s="15"/>
      <c r="D780" s="15"/>
    </row>
    <row r="781" ht="15.75" customHeight="1">
      <c r="A781" s="16">
        <v>1.0</v>
      </c>
      <c r="B781" s="17" t="s">
        <v>4904</v>
      </c>
      <c r="C781" s="16">
        <v>3.0</v>
      </c>
      <c r="D781" s="18" t="s">
        <v>4178</v>
      </c>
    </row>
    <row r="782" ht="15.75" customHeight="1">
      <c r="A782" s="16">
        <v>2.0</v>
      </c>
      <c r="B782" s="17" t="s">
        <v>4905</v>
      </c>
      <c r="C782" s="16">
        <v>10.0</v>
      </c>
      <c r="D782" s="18" t="s">
        <v>4183</v>
      </c>
    </row>
    <row r="783" ht="15.75" customHeight="1">
      <c r="A783" s="16">
        <v>3.0</v>
      </c>
      <c r="B783" s="17" t="s">
        <v>4906</v>
      </c>
      <c r="C783" s="16">
        <v>1.0</v>
      </c>
      <c r="D783" s="18" t="s">
        <v>4183</v>
      </c>
    </row>
    <row r="784" ht="15.75" customHeight="1">
      <c r="A784" s="16">
        <v>4.0</v>
      </c>
      <c r="B784" s="17" t="s">
        <v>4907</v>
      </c>
      <c r="C784" s="16">
        <v>3.0</v>
      </c>
      <c r="D784" s="18" t="s">
        <v>4183</v>
      </c>
    </row>
    <row r="785" ht="15.75" customHeight="1">
      <c r="A785" s="16">
        <v>5.0</v>
      </c>
      <c r="B785" s="17" t="s">
        <v>4908</v>
      </c>
      <c r="C785" s="18" t="s">
        <v>4384</v>
      </c>
      <c r="D785" s="18" t="s">
        <v>4183</v>
      </c>
    </row>
    <row r="786" ht="15.75" customHeight="1">
      <c r="A786" s="16">
        <v>6.0</v>
      </c>
      <c r="B786" s="17" t="s">
        <v>4909</v>
      </c>
      <c r="C786" s="16">
        <v>6.0</v>
      </c>
      <c r="D786" s="18" t="s">
        <v>4183</v>
      </c>
    </row>
    <row r="787" ht="15.75" customHeight="1">
      <c r="A787" s="16">
        <v>7.0</v>
      </c>
      <c r="B787" s="17" t="s">
        <v>4910</v>
      </c>
      <c r="C787" s="16">
        <v>4.0</v>
      </c>
      <c r="D787" s="18" t="s">
        <v>4183</v>
      </c>
    </row>
    <row r="788" ht="15.75" customHeight="1">
      <c r="A788" s="16">
        <v>8.0</v>
      </c>
      <c r="B788" s="17" t="s">
        <v>4911</v>
      </c>
      <c r="C788" s="16">
        <v>1.0</v>
      </c>
      <c r="D788" s="18" t="s">
        <v>4178</v>
      </c>
    </row>
    <row r="789" ht="15.75" customHeight="1">
      <c r="A789" s="16">
        <v>9.0</v>
      </c>
      <c r="B789" s="17" t="s">
        <v>4912</v>
      </c>
      <c r="C789" s="16">
        <v>5.0</v>
      </c>
      <c r="D789" s="18" t="s">
        <v>4178</v>
      </c>
    </row>
    <row r="790" ht="15.75" customHeight="1">
      <c r="A790" s="16">
        <v>10.0</v>
      </c>
      <c r="B790" s="17" t="s">
        <v>4913</v>
      </c>
      <c r="C790" s="16">
        <v>7.0</v>
      </c>
      <c r="D790" s="18" t="s">
        <v>4183</v>
      </c>
    </row>
    <row r="791" ht="15.75" customHeight="1">
      <c r="A791" s="20"/>
      <c r="B791" s="21" t="s">
        <v>4273</v>
      </c>
      <c r="C791" s="23">
        <v>39.0</v>
      </c>
      <c r="D791" s="21" t="s">
        <v>4171</v>
      </c>
    </row>
    <row r="792" ht="15.75" customHeight="1">
      <c r="A792" s="11"/>
      <c r="B792" s="12"/>
      <c r="C792" s="12"/>
      <c r="D792" s="13"/>
    </row>
    <row r="793" ht="15.75" customHeight="1">
      <c r="A793" s="14" t="s">
        <v>4095</v>
      </c>
      <c r="B793" s="15"/>
      <c r="C793" s="15"/>
      <c r="D793" s="15"/>
    </row>
    <row r="794" ht="15.75" customHeight="1">
      <c r="A794" s="16">
        <v>1.0</v>
      </c>
      <c r="B794" s="17" t="s">
        <v>4914</v>
      </c>
      <c r="C794" s="16">
        <v>18.0</v>
      </c>
      <c r="D794" s="18" t="s">
        <v>4183</v>
      </c>
    </row>
    <row r="795" ht="15.75" customHeight="1">
      <c r="A795" s="16">
        <v>2.0</v>
      </c>
      <c r="B795" s="17" t="s">
        <v>4915</v>
      </c>
      <c r="C795" s="16">
        <v>13.0</v>
      </c>
      <c r="D795" s="18" t="s">
        <v>4183</v>
      </c>
    </row>
    <row r="796" ht="15.75" customHeight="1">
      <c r="A796" s="16">
        <v>3.0</v>
      </c>
      <c r="B796" s="17" t="s">
        <v>4916</v>
      </c>
      <c r="C796" s="16">
        <v>8.0</v>
      </c>
      <c r="D796" s="18" t="s">
        <v>4183</v>
      </c>
    </row>
    <row r="797" ht="15.75" customHeight="1">
      <c r="A797" s="16">
        <v>4.0</v>
      </c>
      <c r="B797" s="17" t="s">
        <v>4917</v>
      </c>
      <c r="C797" s="16">
        <v>1.0</v>
      </c>
      <c r="D797" s="18" t="s">
        <v>4183</v>
      </c>
    </row>
    <row r="798" ht="15.75" customHeight="1">
      <c r="A798" s="16">
        <v>5.0</v>
      </c>
      <c r="B798" s="17" t="s">
        <v>4918</v>
      </c>
      <c r="C798" s="16">
        <v>51.0</v>
      </c>
      <c r="D798" s="18" t="s">
        <v>4183</v>
      </c>
    </row>
    <row r="799" ht="15.75" customHeight="1">
      <c r="A799" s="16">
        <v>6.0</v>
      </c>
      <c r="B799" s="17" t="s">
        <v>4919</v>
      </c>
      <c r="C799" s="16">
        <v>36.0</v>
      </c>
      <c r="D799" s="18" t="s">
        <v>4183</v>
      </c>
    </row>
    <row r="800" ht="15.75" customHeight="1">
      <c r="A800" s="16">
        <v>7.0</v>
      </c>
      <c r="B800" s="17" t="s">
        <v>4920</v>
      </c>
      <c r="C800" s="16">
        <v>2.0</v>
      </c>
      <c r="D800" s="18" t="s">
        <v>4183</v>
      </c>
    </row>
    <row r="801" ht="15.75" customHeight="1">
      <c r="A801" s="16">
        <v>8.0</v>
      </c>
      <c r="B801" s="17" t="s">
        <v>4921</v>
      </c>
      <c r="C801" s="16">
        <v>36.0</v>
      </c>
      <c r="D801" s="18" t="s">
        <v>4183</v>
      </c>
    </row>
    <row r="802" ht="15.75" customHeight="1">
      <c r="A802" s="16">
        <v>9.0</v>
      </c>
      <c r="B802" s="17" t="s">
        <v>4922</v>
      </c>
      <c r="C802" s="16">
        <v>10.0</v>
      </c>
      <c r="D802" s="18" t="s">
        <v>4183</v>
      </c>
    </row>
    <row r="803" ht="15.75" customHeight="1">
      <c r="A803" s="16">
        <v>10.0</v>
      </c>
      <c r="B803" s="17" t="s">
        <v>4923</v>
      </c>
      <c r="C803" s="16">
        <v>6.0</v>
      </c>
      <c r="D803" s="18" t="s">
        <v>4183</v>
      </c>
    </row>
    <row r="804" ht="15.75" customHeight="1">
      <c r="A804" s="16">
        <v>11.0</v>
      </c>
      <c r="B804" s="17" t="s">
        <v>4924</v>
      </c>
      <c r="C804" s="16">
        <v>11.0</v>
      </c>
      <c r="D804" s="18" t="s">
        <v>4183</v>
      </c>
    </row>
    <row r="805" ht="15.75" customHeight="1">
      <c r="A805" s="16">
        <v>12.0</v>
      </c>
      <c r="B805" s="17" t="s">
        <v>4925</v>
      </c>
      <c r="C805" s="16">
        <v>15.0</v>
      </c>
      <c r="D805" s="18" t="s">
        <v>4183</v>
      </c>
    </row>
    <row r="806" ht="15.75" customHeight="1">
      <c r="A806" s="16">
        <v>13.0</v>
      </c>
      <c r="B806" s="17" t="s">
        <v>4926</v>
      </c>
      <c r="C806" s="16">
        <v>34.0</v>
      </c>
      <c r="D806" s="18" t="s">
        <v>4183</v>
      </c>
    </row>
    <row r="807" ht="15.75" customHeight="1">
      <c r="A807" s="16">
        <v>14.0</v>
      </c>
      <c r="B807" s="17" t="s">
        <v>4927</v>
      </c>
      <c r="C807" s="16">
        <v>26.0</v>
      </c>
      <c r="D807" s="18" t="s">
        <v>4183</v>
      </c>
    </row>
    <row r="808" ht="15.75" customHeight="1">
      <c r="A808" s="16">
        <v>15.0</v>
      </c>
      <c r="B808" s="17" t="s">
        <v>4928</v>
      </c>
      <c r="C808" s="16">
        <v>182.0</v>
      </c>
      <c r="D808" s="18" t="s">
        <v>4183</v>
      </c>
    </row>
    <row r="809" ht="15.75" customHeight="1">
      <c r="A809" s="16">
        <v>16.0</v>
      </c>
      <c r="B809" s="17" t="s">
        <v>4929</v>
      </c>
      <c r="C809" s="16">
        <v>3.0</v>
      </c>
      <c r="D809" s="18" t="s">
        <v>4178</v>
      </c>
    </row>
    <row r="810" ht="15.75" customHeight="1">
      <c r="A810" s="16">
        <v>17.0</v>
      </c>
      <c r="B810" s="17" t="s">
        <v>4930</v>
      </c>
      <c r="C810" s="16">
        <v>7.0</v>
      </c>
      <c r="D810" s="18" t="s">
        <v>4178</v>
      </c>
    </row>
    <row r="811" ht="15.75" customHeight="1">
      <c r="A811" s="16">
        <v>18.0</v>
      </c>
      <c r="B811" s="17" t="s">
        <v>4931</v>
      </c>
      <c r="C811" s="16">
        <v>10.0</v>
      </c>
      <c r="D811" s="18" t="s">
        <v>4178</v>
      </c>
    </row>
    <row r="812" ht="15.75" customHeight="1">
      <c r="A812" s="16">
        <v>19.0</v>
      </c>
      <c r="B812" s="17" t="s">
        <v>4932</v>
      </c>
      <c r="C812" s="16">
        <v>18.0</v>
      </c>
      <c r="D812" s="18" t="s">
        <v>4183</v>
      </c>
    </row>
    <row r="813" ht="15.75" customHeight="1">
      <c r="A813" s="16">
        <v>20.0</v>
      </c>
      <c r="B813" s="17" t="s">
        <v>4933</v>
      </c>
      <c r="C813" s="16">
        <v>27.0</v>
      </c>
      <c r="D813" s="18" t="s">
        <v>4183</v>
      </c>
    </row>
    <row r="814" ht="15.75" customHeight="1">
      <c r="A814" s="16">
        <v>21.0</v>
      </c>
      <c r="B814" s="17" t="s">
        <v>4934</v>
      </c>
      <c r="C814" s="16">
        <v>173.0</v>
      </c>
      <c r="D814" s="18" t="s">
        <v>4183</v>
      </c>
    </row>
    <row r="815" ht="15.75" customHeight="1">
      <c r="A815" s="16">
        <v>22.0</v>
      </c>
      <c r="B815" s="17" t="s">
        <v>4935</v>
      </c>
      <c r="C815" s="16">
        <v>21.0</v>
      </c>
      <c r="D815" s="18" t="s">
        <v>4183</v>
      </c>
    </row>
    <row r="816" ht="15.75" customHeight="1">
      <c r="A816" s="16">
        <v>23.0</v>
      </c>
      <c r="B816" s="17" t="s">
        <v>4936</v>
      </c>
      <c r="C816" s="16">
        <v>14.0</v>
      </c>
      <c r="D816" s="18" t="s">
        <v>4183</v>
      </c>
    </row>
    <row r="817" ht="15.75" customHeight="1">
      <c r="A817" s="20"/>
      <c r="B817" s="21" t="s">
        <v>4273</v>
      </c>
      <c r="C817" s="23">
        <v>722.0</v>
      </c>
      <c r="D817" s="21" t="s">
        <v>4171</v>
      </c>
    </row>
    <row r="818" ht="15.75" customHeight="1">
      <c r="A818" s="11"/>
      <c r="B818" s="12"/>
      <c r="C818" s="12"/>
      <c r="D818" s="13"/>
    </row>
    <row r="819" ht="15.75" customHeight="1">
      <c r="A819" s="14" t="s">
        <v>4134</v>
      </c>
      <c r="B819" s="15"/>
      <c r="C819" s="15"/>
      <c r="D819" s="15"/>
    </row>
    <row r="820" ht="15.75" customHeight="1">
      <c r="A820" s="16">
        <v>1.0</v>
      </c>
      <c r="B820" s="17" t="s">
        <v>4937</v>
      </c>
      <c r="C820" s="16">
        <v>1.0</v>
      </c>
      <c r="D820" s="18" t="s">
        <v>4183</v>
      </c>
    </row>
    <row r="821" ht="15.75" customHeight="1">
      <c r="A821" s="16">
        <v>2.0</v>
      </c>
      <c r="B821" s="17" t="s">
        <v>4938</v>
      </c>
      <c r="C821" s="16">
        <v>5.0</v>
      </c>
      <c r="D821" s="18" t="s">
        <v>4183</v>
      </c>
    </row>
    <row r="822" ht="15.75" customHeight="1">
      <c r="A822" s="16">
        <v>3.0</v>
      </c>
      <c r="B822" s="17" t="s">
        <v>4939</v>
      </c>
      <c r="C822" s="16">
        <v>1.0</v>
      </c>
      <c r="D822" s="18" t="s">
        <v>4183</v>
      </c>
    </row>
    <row r="823" ht="15.75" customHeight="1">
      <c r="A823" s="16">
        <v>4.0</v>
      </c>
      <c r="B823" s="17" t="s">
        <v>4940</v>
      </c>
      <c r="C823" s="16">
        <v>4.0</v>
      </c>
      <c r="D823" s="18" t="s">
        <v>4183</v>
      </c>
    </row>
    <row r="824" ht="15.75" customHeight="1">
      <c r="A824" s="16">
        <v>5.0</v>
      </c>
      <c r="B824" s="17" t="s">
        <v>4941</v>
      </c>
      <c r="C824" s="16">
        <v>4.0</v>
      </c>
      <c r="D824" s="18" t="s">
        <v>4183</v>
      </c>
    </row>
    <row r="825" ht="15.75" customHeight="1">
      <c r="A825" s="16">
        <v>6.0</v>
      </c>
      <c r="B825" s="17" t="s">
        <v>4942</v>
      </c>
      <c r="C825" s="16">
        <v>1.0</v>
      </c>
      <c r="D825" s="18" t="s">
        <v>4183</v>
      </c>
    </row>
    <row r="826" ht="15.75" customHeight="1">
      <c r="A826" s="16">
        <v>7.0</v>
      </c>
      <c r="B826" s="17" t="s">
        <v>4943</v>
      </c>
      <c r="C826" s="16">
        <v>1.0</v>
      </c>
      <c r="D826" s="18" t="s">
        <v>4183</v>
      </c>
    </row>
    <row r="827" ht="15.75" customHeight="1">
      <c r="A827" s="16">
        <v>8.0</v>
      </c>
      <c r="B827" s="17" t="s">
        <v>4944</v>
      </c>
      <c r="C827" s="16">
        <v>1.0</v>
      </c>
      <c r="D827" s="18" t="s">
        <v>4183</v>
      </c>
    </row>
    <row r="828" ht="15.75" customHeight="1">
      <c r="A828" s="16">
        <v>9.0</v>
      </c>
      <c r="B828" s="17" t="s">
        <v>4945</v>
      </c>
      <c r="C828" s="16">
        <v>4.0</v>
      </c>
      <c r="D828" s="18" t="s">
        <v>4183</v>
      </c>
    </row>
    <row r="829" ht="15.75" customHeight="1">
      <c r="A829" s="16">
        <v>10.0</v>
      </c>
      <c r="B829" s="17" t="s">
        <v>4946</v>
      </c>
      <c r="C829" s="16">
        <v>1.0</v>
      </c>
      <c r="D829" s="18" t="s">
        <v>4183</v>
      </c>
    </row>
    <row r="830" ht="15.75" customHeight="1">
      <c r="A830" s="20"/>
      <c r="B830" s="21" t="s">
        <v>4273</v>
      </c>
      <c r="C830" s="23">
        <v>23.0</v>
      </c>
      <c r="D830" s="21" t="s">
        <v>4171</v>
      </c>
    </row>
    <row r="831" ht="15.75" customHeight="1">
      <c r="A831" s="11"/>
      <c r="B831" s="12"/>
      <c r="C831" s="12"/>
      <c r="D831" s="13"/>
    </row>
    <row r="832" ht="15.75" customHeight="1">
      <c r="A832" s="14" t="s">
        <v>4124</v>
      </c>
      <c r="B832" s="15"/>
      <c r="C832" s="15"/>
      <c r="D832" s="15"/>
    </row>
    <row r="833" ht="15.75" customHeight="1">
      <c r="A833" s="16">
        <v>1.0</v>
      </c>
      <c r="B833" s="17" t="s">
        <v>4947</v>
      </c>
      <c r="C833" s="16">
        <v>19.0</v>
      </c>
      <c r="D833" s="18" t="s">
        <v>4178</v>
      </c>
    </row>
    <row r="834" ht="15.75" customHeight="1">
      <c r="A834" s="16">
        <v>2.0</v>
      </c>
      <c r="B834" s="17" t="s">
        <v>4948</v>
      </c>
      <c r="C834" s="16">
        <v>20.0</v>
      </c>
      <c r="D834" s="18" t="s">
        <v>4178</v>
      </c>
    </row>
    <row r="835" ht="15.75" customHeight="1">
      <c r="A835" s="16">
        <v>3.0</v>
      </c>
      <c r="B835" s="17" t="s">
        <v>4949</v>
      </c>
      <c r="C835" s="16">
        <v>15.0</v>
      </c>
      <c r="D835" s="18" t="s">
        <v>4178</v>
      </c>
    </row>
    <row r="836" ht="15.75" customHeight="1">
      <c r="A836" s="16">
        <v>4.0</v>
      </c>
      <c r="B836" s="17" t="s">
        <v>4950</v>
      </c>
      <c r="C836" s="16">
        <v>6.0</v>
      </c>
      <c r="D836" s="18" t="s">
        <v>4178</v>
      </c>
    </row>
    <row r="837" ht="15.75" customHeight="1">
      <c r="A837" s="16">
        <v>5.0</v>
      </c>
      <c r="B837" s="17" t="s">
        <v>4951</v>
      </c>
      <c r="C837" s="16">
        <v>1.0</v>
      </c>
      <c r="D837" s="18" t="s">
        <v>4178</v>
      </c>
    </row>
    <row r="838" ht="15.75" customHeight="1">
      <c r="A838" s="16">
        <v>6.0</v>
      </c>
      <c r="B838" s="17" t="s">
        <v>4952</v>
      </c>
      <c r="C838" s="16">
        <v>166.0</v>
      </c>
      <c r="D838" s="18" t="s">
        <v>4178</v>
      </c>
    </row>
    <row r="839" ht="15.75" customHeight="1">
      <c r="A839" s="16">
        <v>7.0</v>
      </c>
      <c r="B839" s="17" t="s">
        <v>4953</v>
      </c>
      <c r="C839" s="16">
        <v>6.0</v>
      </c>
      <c r="D839" s="18" t="s">
        <v>4178</v>
      </c>
    </row>
    <row r="840" ht="15.75" customHeight="1">
      <c r="A840" s="16">
        <v>8.0</v>
      </c>
      <c r="B840" s="17" t="s">
        <v>4954</v>
      </c>
      <c r="C840" s="16">
        <v>41.0</v>
      </c>
      <c r="D840" s="18" t="s">
        <v>4178</v>
      </c>
    </row>
    <row r="841" ht="15.75" customHeight="1">
      <c r="A841" s="16">
        <v>9.0</v>
      </c>
      <c r="B841" s="17" t="s">
        <v>4955</v>
      </c>
      <c r="C841" s="16">
        <v>8.0</v>
      </c>
      <c r="D841" s="18" t="s">
        <v>4178</v>
      </c>
    </row>
    <row r="842" ht="15.75" customHeight="1">
      <c r="A842" s="16">
        <v>10.0</v>
      </c>
      <c r="B842" s="17" t="s">
        <v>4956</v>
      </c>
      <c r="C842" s="16">
        <v>1.0</v>
      </c>
      <c r="D842" s="18" t="s">
        <v>4178</v>
      </c>
    </row>
    <row r="843" ht="15.75" customHeight="1">
      <c r="A843" s="16">
        <v>11.0</v>
      </c>
      <c r="B843" s="17" t="s">
        <v>4957</v>
      </c>
      <c r="C843" s="16">
        <v>10.0</v>
      </c>
      <c r="D843" s="18" t="s">
        <v>4178</v>
      </c>
    </row>
    <row r="844" ht="15.75" customHeight="1">
      <c r="A844" s="16">
        <v>12.0</v>
      </c>
      <c r="B844" s="17" t="s">
        <v>4958</v>
      </c>
      <c r="C844" s="16">
        <v>7.0</v>
      </c>
      <c r="D844" s="18" t="s">
        <v>4178</v>
      </c>
    </row>
    <row r="845" ht="15.75" customHeight="1">
      <c r="A845" s="16">
        <v>13.0</v>
      </c>
      <c r="B845" s="17" t="s">
        <v>4959</v>
      </c>
      <c r="C845" s="16">
        <v>218.0</v>
      </c>
      <c r="D845" s="18" t="s">
        <v>4178</v>
      </c>
    </row>
    <row r="846" ht="15.75" customHeight="1">
      <c r="A846" s="20"/>
      <c r="B846" s="21" t="s">
        <v>4273</v>
      </c>
      <c r="C846" s="23">
        <v>518.0</v>
      </c>
      <c r="D846" s="21" t="s">
        <v>4171</v>
      </c>
    </row>
    <row r="847" ht="15.75" customHeight="1">
      <c r="A847" s="11"/>
      <c r="B847" s="12"/>
      <c r="C847" s="12"/>
      <c r="D847" s="13"/>
    </row>
    <row r="848" ht="15.75" customHeight="1">
      <c r="A848" s="14" t="s">
        <v>4144</v>
      </c>
      <c r="B848" s="15"/>
      <c r="C848" s="15"/>
      <c r="D848" s="15"/>
    </row>
    <row r="849" ht="15.75" customHeight="1">
      <c r="A849" s="16">
        <v>1.0</v>
      </c>
      <c r="B849" s="17" t="s">
        <v>4960</v>
      </c>
      <c r="C849" s="16">
        <v>13.0</v>
      </c>
      <c r="D849" s="18" t="s">
        <v>4178</v>
      </c>
    </row>
    <row r="850" ht="15.75" customHeight="1">
      <c r="A850" s="16">
        <v>2.0</v>
      </c>
      <c r="B850" s="17" t="s">
        <v>4961</v>
      </c>
      <c r="C850" s="16">
        <v>15.0</v>
      </c>
      <c r="D850" s="18" t="s">
        <v>4183</v>
      </c>
    </row>
    <row r="851" ht="15.75" customHeight="1">
      <c r="A851" s="16">
        <v>3.0</v>
      </c>
      <c r="B851" s="17" t="s">
        <v>4962</v>
      </c>
      <c r="C851" s="16">
        <v>5.0</v>
      </c>
      <c r="D851" s="18" t="s">
        <v>4183</v>
      </c>
    </row>
    <row r="852" ht="15.75" customHeight="1">
      <c r="A852" s="16">
        <v>4.0</v>
      </c>
      <c r="B852" s="17" t="s">
        <v>4963</v>
      </c>
      <c r="C852" s="16">
        <v>10.0</v>
      </c>
      <c r="D852" s="18" t="s">
        <v>4178</v>
      </c>
    </row>
    <row r="853" ht="15.75" customHeight="1">
      <c r="A853" s="16">
        <v>5.0</v>
      </c>
      <c r="B853" s="17" t="s">
        <v>4964</v>
      </c>
      <c r="C853" s="16">
        <v>30.0</v>
      </c>
      <c r="D853" s="18" t="s">
        <v>4183</v>
      </c>
    </row>
    <row r="854" ht="15.75" customHeight="1">
      <c r="A854" s="16">
        <v>6.0</v>
      </c>
      <c r="B854" s="17" t="s">
        <v>4965</v>
      </c>
      <c r="C854" s="16">
        <v>9.0</v>
      </c>
      <c r="D854" s="18" t="s">
        <v>4183</v>
      </c>
    </row>
    <row r="855" ht="15.75" customHeight="1">
      <c r="A855" s="20"/>
      <c r="B855" s="21" t="s">
        <v>4273</v>
      </c>
      <c r="C855" s="23">
        <v>82.0</v>
      </c>
      <c r="D855" s="21" t="s">
        <v>4171</v>
      </c>
    </row>
    <row r="856" ht="15.75" customHeight="1">
      <c r="A856" s="11"/>
      <c r="B856" s="12"/>
      <c r="C856" s="12"/>
      <c r="D856" s="13"/>
    </row>
    <row r="857" ht="15.75" customHeight="1">
      <c r="A857" s="14" t="s">
        <v>4119</v>
      </c>
      <c r="B857" s="15"/>
      <c r="C857" s="15"/>
      <c r="D857" s="15"/>
    </row>
    <row r="858" ht="15.75" customHeight="1">
      <c r="A858" s="16">
        <v>1.0</v>
      </c>
      <c r="B858" s="17" t="s">
        <v>4966</v>
      </c>
      <c r="C858" s="16">
        <v>4.0</v>
      </c>
      <c r="D858" s="18" t="s">
        <v>4183</v>
      </c>
    </row>
    <row r="859" ht="15.75" customHeight="1">
      <c r="A859" s="16">
        <v>2.0</v>
      </c>
      <c r="B859" s="17" t="s">
        <v>4967</v>
      </c>
      <c r="C859" s="16">
        <v>1.0</v>
      </c>
      <c r="D859" s="18" t="s">
        <v>4183</v>
      </c>
    </row>
    <row r="860" ht="15.75" customHeight="1">
      <c r="A860" s="16">
        <v>3.0</v>
      </c>
      <c r="B860" s="17" t="s">
        <v>4968</v>
      </c>
      <c r="C860" s="16">
        <v>7.0</v>
      </c>
      <c r="D860" s="18" t="s">
        <v>4183</v>
      </c>
    </row>
    <row r="861" ht="15.75" customHeight="1">
      <c r="A861" s="16">
        <v>4.0</v>
      </c>
      <c r="B861" s="17" t="s">
        <v>4969</v>
      </c>
      <c r="C861" s="16">
        <v>9.0</v>
      </c>
      <c r="D861" s="18" t="s">
        <v>4183</v>
      </c>
    </row>
    <row r="862" ht="15.75" customHeight="1">
      <c r="A862" s="16">
        <v>5.0</v>
      </c>
      <c r="B862" s="17" t="s">
        <v>4970</v>
      </c>
      <c r="C862" s="16">
        <v>3.0</v>
      </c>
      <c r="D862" s="18" t="s">
        <v>4183</v>
      </c>
    </row>
    <row r="863" ht="15.75" customHeight="1">
      <c r="A863" s="16">
        <v>6.0</v>
      </c>
      <c r="B863" s="17" t="s">
        <v>4971</v>
      </c>
      <c r="C863" s="16">
        <v>9.0</v>
      </c>
      <c r="D863" s="18" t="s">
        <v>4183</v>
      </c>
    </row>
    <row r="864" ht="15.75" customHeight="1">
      <c r="A864" s="16">
        <v>7.0</v>
      </c>
      <c r="B864" s="17" t="s">
        <v>4972</v>
      </c>
      <c r="C864" s="16">
        <v>13.0</v>
      </c>
      <c r="D864" s="18" t="s">
        <v>4183</v>
      </c>
    </row>
    <row r="865" ht="15.75" customHeight="1">
      <c r="A865" s="16">
        <v>8.0</v>
      </c>
      <c r="B865" s="17" t="s">
        <v>4973</v>
      </c>
      <c r="C865" s="16">
        <v>9.0</v>
      </c>
      <c r="D865" s="18" t="s">
        <v>4183</v>
      </c>
    </row>
    <row r="866" ht="15.75" customHeight="1">
      <c r="A866" s="16">
        <v>9.0</v>
      </c>
      <c r="B866" s="17" t="s">
        <v>4974</v>
      </c>
      <c r="C866" s="16">
        <v>1.0</v>
      </c>
      <c r="D866" s="18" t="s">
        <v>4183</v>
      </c>
    </row>
    <row r="867" ht="15.75" customHeight="1">
      <c r="A867" s="16">
        <v>10.0</v>
      </c>
      <c r="B867" s="17" t="s">
        <v>4975</v>
      </c>
      <c r="C867" s="16">
        <v>33.0</v>
      </c>
      <c r="D867" s="18" t="s">
        <v>4183</v>
      </c>
    </row>
    <row r="868" ht="15.75" customHeight="1">
      <c r="A868" s="16">
        <v>11.0</v>
      </c>
      <c r="B868" s="17" t="s">
        <v>4976</v>
      </c>
      <c r="C868" s="16">
        <v>2.0</v>
      </c>
      <c r="D868" s="18" t="s">
        <v>4183</v>
      </c>
    </row>
    <row r="869" ht="15.75" customHeight="1">
      <c r="A869" s="16">
        <v>12.0</v>
      </c>
      <c r="B869" s="17" t="s">
        <v>4977</v>
      </c>
      <c r="C869" s="16">
        <v>4.0</v>
      </c>
      <c r="D869" s="18" t="s">
        <v>4183</v>
      </c>
    </row>
    <row r="870" ht="15.75" customHeight="1">
      <c r="A870" s="16">
        <v>13.0</v>
      </c>
      <c r="B870" s="17" t="s">
        <v>4978</v>
      </c>
      <c r="C870" s="16">
        <v>12.0</v>
      </c>
      <c r="D870" s="18" t="s">
        <v>4183</v>
      </c>
    </row>
    <row r="871" ht="15.75" customHeight="1">
      <c r="A871" s="16">
        <v>14.0</v>
      </c>
      <c r="B871" s="17" t="s">
        <v>4979</v>
      </c>
      <c r="C871" s="16">
        <v>4.0</v>
      </c>
      <c r="D871" s="18" t="s">
        <v>4183</v>
      </c>
    </row>
    <row r="872" ht="15.75" customHeight="1">
      <c r="A872" s="16">
        <v>15.0</v>
      </c>
      <c r="B872" s="17" t="s">
        <v>4980</v>
      </c>
      <c r="C872" s="16">
        <v>3.0</v>
      </c>
      <c r="D872" s="18" t="s">
        <v>4183</v>
      </c>
    </row>
    <row r="873" ht="15.75" customHeight="1">
      <c r="A873" s="16">
        <v>16.0</v>
      </c>
      <c r="B873" s="17" t="s">
        <v>4981</v>
      </c>
      <c r="C873" s="16">
        <v>6.0</v>
      </c>
      <c r="D873" s="18" t="s">
        <v>4183</v>
      </c>
    </row>
    <row r="874" ht="15.75" customHeight="1">
      <c r="A874" s="20"/>
      <c r="B874" s="21" t="s">
        <v>4273</v>
      </c>
      <c r="C874" s="23">
        <v>120.0</v>
      </c>
      <c r="D874" s="21" t="s">
        <v>4171</v>
      </c>
    </row>
    <row r="875" ht="15.75" customHeight="1">
      <c r="A875" s="11"/>
      <c r="B875" s="12"/>
      <c r="C875" s="12"/>
      <c r="D875" s="13"/>
    </row>
    <row r="876" ht="15.75" customHeight="1">
      <c r="A876" s="14" t="s">
        <v>4075</v>
      </c>
      <c r="B876" s="15"/>
      <c r="C876" s="15"/>
      <c r="D876" s="15"/>
    </row>
    <row r="877" ht="15.75" customHeight="1">
      <c r="A877" s="16">
        <v>1.0</v>
      </c>
      <c r="B877" s="17" t="s">
        <v>4982</v>
      </c>
      <c r="C877" s="16">
        <v>12.0</v>
      </c>
      <c r="D877" s="18" t="s">
        <v>4178</v>
      </c>
    </row>
    <row r="878" ht="15.75" customHeight="1">
      <c r="A878" s="16">
        <v>2.0</v>
      </c>
      <c r="B878" s="17" t="s">
        <v>4983</v>
      </c>
      <c r="C878" s="16">
        <v>3.0</v>
      </c>
      <c r="D878" s="18" t="s">
        <v>4178</v>
      </c>
    </row>
    <row r="879" ht="15.75" customHeight="1">
      <c r="A879" s="16">
        <v>3.0</v>
      </c>
      <c r="B879" s="17" t="s">
        <v>4984</v>
      </c>
      <c r="C879" s="16">
        <v>8.0</v>
      </c>
      <c r="D879" s="18" t="s">
        <v>4178</v>
      </c>
    </row>
    <row r="880" ht="15.75" customHeight="1">
      <c r="A880" s="16">
        <v>4.0</v>
      </c>
      <c r="B880" s="17" t="s">
        <v>4985</v>
      </c>
      <c r="C880" s="16">
        <v>8.0</v>
      </c>
      <c r="D880" s="18" t="s">
        <v>4178</v>
      </c>
    </row>
    <row r="881" ht="15.75" customHeight="1">
      <c r="A881" s="16">
        <v>5.0</v>
      </c>
      <c r="B881" s="17" t="s">
        <v>4986</v>
      </c>
      <c r="C881" s="16">
        <v>6.0</v>
      </c>
      <c r="D881" s="18" t="s">
        <v>4178</v>
      </c>
    </row>
    <row r="882" ht="15.75" customHeight="1">
      <c r="A882" s="16">
        <v>6.0</v>
      </c>
      <c r="B882" s="17" t="s">
        <v>4987</v>
      </c>
      <c r="C882" s="16">
        <v>4.0</v>
      </c>
      <c r="D882" s="18" t="s">
        <v>4178</v>
      </c>
    </row>
    <row r="883" ht="15.75" customHeight="1">
      <c r="A883" s="16">
        <v>7.0</v>
      </c>
      <c r="B883" s="17" t="s">
        <v>4988</v>
      </c>
      <c r="C883" s="16">
        <v>13.0</v>
      </c>
      <c r="D883" s="18" t="s">
        <v>4178</v>
      </c>
    </row>
    <row r="884" ht="15.75" customHeight="1">
      <c r="A884" s="16">
        <v>8.0</v>
      </c>
      <c r="B884" s="17" t="s">
        <v>4989</v>
      </c>
      <c r="C884" s="16">
        <v>17.0</v>
      </c>
      <c r="D884" s="18" t="s">
        <v>4178</v>
      </c>
    </row>
    <row r="885" ht="15.75" customHeight="1">
      <c r="A885" s="16">
        <v>9.0</v>
      </c>
      <c r="B885" s="17" t="s">
        <v>4990</v>
      </c>
      <c r="C885" s="16">
        <v>24.0</v>
      </c>
      <c r="D885" s="18" t="s">
        <v>4178</v>
      </c>
    </row>
    <row r="886" ht="15.75" customHeight="1">
      <c r="A886" s="16">
        <v>10.0</v>
      </c>
      <c r="B886" s="17" t="s">
        <v>4991</v>
      </c>
      <c r="C886" s="16">
        <v>17.0</v>
      </c>
      <c r="D886" s="18" t="s">
        <v>4183</v>
      </c>
    </row>
    <row r="887" ht="15.75" customHeight="1">
      <c r="A887" s="16">
        <v>11.0</v>
      </c>
      <c r="B887" s="17" t="s">
        <v>4992</v>
      </c>
      <c r="C887" s="16">
        <v>7.0</v>
      </c>
      <c r="D887" s="18" t="s">
        <v>4178</v>
      </c>
    </row>
    <row r="888" ht="15.75" customHeight="1">
      <c r="A888" s="16">
        <v>12.0</v>
      </c>
      <c r="B888" s="17" t="s">
        <v>4993</v>
      </c>
      <c r="C888" s="16">
        <v>40.0</v>
      </c>
      <c r="D888" s="18" t="s">
        <v>4178</v>
      </c>
    </row>
    <row r="889" ht="15.75" customHeight="1">
      <c r="A889" s="16">
        <v>13.0</v>
      </c>
      <c r="B889" s="17" t="s">
        <v>4994</v>
      </c>
      <c r="C889" s="16">
        <v>10.0</v>
      </c>
      <c r="D889" s="18" t="s">
        <v>4178</v>
      </c>
    </row>
    <row r="890" ht="15.75" customHeight="1">
      <c r="A890" s="16">
        <v>14.0</v>
      </c>
      <c r="B890" s="17" t="s">
        <v>4995</v>
      </c>
      <c r="C890" s="16">
        <v>30.0</v>
      </c>
      <c r="D890" s="18" t="s">
        <v>4178</v>
      </c>
    </row>
    <row r="891" ht="15.75" customHeight="1">
      <c r="A891" s="16">
        <v>15.0</v>
      </c>
      <c r="B891" s="17" t="s">
        <v>4996</v>
      </c>
      <c r="C891" s="16">
        <v>33.0</v>
      </c>
      <c r="D891" s="18" t="s">
        <v>4178</v>
      </c>
    </row>
    <row r="892" ht="15.75" customHeight="1">
      <c r="A892" s="16">
        <v>16.0</v>
      </c>
      <c r="B892" s="17" t="s">
        <v>4997</v>
      </c>
      <c r="C892" s="16">
        <v>138.0</v>
      </c>
      <c r="D892" s="18" t="s">
        <v>4178</v>
      </c>
    </row>
    <row r="893" ht="15.75" customHeight="1">
      <c r="A893" s="16">
        <v>17.0</v>
      </c>
      <c r="B893" s="17" t="s">
        <v>4998</v>
      </c>
      <c r="C893" s="16">
        <v>37.0</v>
      </c>
      <c r="D893" s="18" t="s">
        <v>4178</v>
      </c>
    </row>
    <row r="894" ht="15.75" customHeight="1">
      <c r="A894" s="16">
        <v>18.0</v>
      </c>
      <c r="B894" s="17" t="s">
        <v>4999</v>
      </c>
      <c r="C894" s="16">
        <v>3.0</v>
      </c>
      <c r="D894" s="18" t="s">
        <v>4178</v>
      </c>
    </row>
    <row r="895" ht="15.75" customHeight="1">
      <c r="A895" s="16">
        <v>19.0</v>
      </c>
      <c r="B895" s="17" t="s">
        <v>5000</v>
      </c>
      <c r="C895" s="16">
        <v>6.0</v>
      </c>
      <c r="D895" s="18" t="s">
        <v>4178</v>
      </c>
    </row>
    <row r="896" ht="15.75" customHeight="1">
      <c r="A896" s="16">
        <v>20.0</v>
      </c>
      <c r="B896" s="17" t="s">
        <v>5001</v>
      </c>
      <c r="C896" s="16">
        <v>6.0</v>
      </c>
      <c r="D896" s="18" t="s">
        <v>4178</v>
      </c>
    </row>
    <row r="897" ht="15.75" customHeight="1">
      <c r="A897" s="16">
        <v>21.0</v>
      </c>
      <c r="B897" s="17" t="s">
        <v>5002</v>
      </c>
      <c r="C897" s="16">
        <v>10.0</v>
      </c>
      <c r="D897" s="18" t="s">
        <v>4178</v>
      </c>
    </row>
    <row r="898" ht="15.75" customHeight="1">
      <c r="A898" s="16">
        <v>22.0</v>
      </c>
      <c r="B898" s="17" t="s">
        <v>5003</v>
      </c>
      <c r="C898" s="16">
        <v>80.0</v>
      </c>
      <c r="D898" s="18" t="s">
        <v>4178</v>
      </c>
    </row>
    <row r="899" ht="15.75" customHeight="1">
      <c r="A899" s="16">
        <v>23.0</v>
      </c>
      <c r="B899" s="17" t="s">
        <v>5004</v>
      </c>
      <c r="C899" s="16">
        <v>75.0</v>
      </c>
      <c r="D899" s="18" t="s">
        <v>4178</v>
      </c>
    </row>
    <row r="900" ht="15.75" customHeight="1">
      <c r="A900" s="16">
        <v>24.0</v>
      </c>
      <c r="B900" s="17" t="s">
        <v>5005</v>
      </c>
      <c r="C900" s="16">
        <v>11.0</v>
      </c>
      <c r="D900" s="18" t="s">
        <v>4178</v>
      </c>
    </row>
    <row r="901" ht="15.75" customHeight="1">
      <c r="A901" s="16">
        <v>25.0</v>
      </c>
      <c r="B901" s="17" t="s">
        <v>5006</v>
      </c>
      <c r="C901" s="16">
        <v>21.0</v>
      </c>
      <c r="D901" s="18" t="s">
        <v>4178</v>
      </c>
    </row>
    <row r="902" ht="15.75" customHeight="1">
      <c r="A902" s="16">
        <v>26.0</v>
      </c>
      <c r="B902" s="17" t="s">
        <v>5007</v>
      </c>
      <c r="C902" s="16">
        <v>1.0</v>
      </c>
      <c r="D902" s="18" t="s">
        <v>4178</v>
      </c>
    </row>
    <row r="903" ht="15.75" customHeight="1">
      <c r="A903" s="16">
        <v>27.0</v>
      </c>
      <c r="B903" s="17" t="s">
        <v>5008</v>
      </c>
      <c r="C903" s="16">
        <v>4.0</v>
      </c>
      <c r="D903" s="18" t="s">
        <v>4178</v>
      </c>
    </row>
    <row r="904" ht="15.75" customHeight="1">
      <c r="A904" s="16">
        <v>28.0</v>
      </c>
      <c r="B904" s="17" t="s">
        <v>5009</v>
      </c>
      <c r="C904" s="16">
        <v>157.0</v>
      </c>
      <c r="D904" s="18" t="s">
        <v>4178</v>
      </c>
    </row>
    <row r="905" ht="15.75" customHeight="1">
      <c r="A905" s="16">
        <v>29.0</v>
      </c>
      <c r="B905" s="17" t="s">
        <v>5010</v>
      </c>
      <c r="C905" s="16">
        <v>11.0</v>
      </c>
      <c r="D905" s="18" t="s">
        <v>4178</v>
      </c>
    </row>
    <row r="906" ht="15.75" customHeight="1">
      <c r="A906" s="16">
        <v>30.0</v>
      </c>
      <c r="B906" s="17" t="s">
        <v>5011</v>
      </c>
      <c r="C906" s="16">
        <v>22.0</v>
      </c>
      <c r="D906" s="18" t="s">
        <v>4178</v>
      </c>
    </row>
    <row r="907" ht="15.75" customHeight="1">
      <c r="A907" s="16">
        <v>31.0</v>
      </c>
      <c r="B907" s="17" t="s">
        <v>5012</v>
      </c>
      <c r="C907" s="16">
        <v>11.0</v>
      </c>
      <c r="D907" s="18" t="s">
        <v>4178</v>
      </c>
    </row>
    <row r="908" ht="15.75" customHeight="1">
      <c r="A908" s="16">
        <v>32.0</v>
      </c>
      <c r="B908" s="17" t="s">
        <v>5013</v>
      </c>
      <c r="C908" s="16">
        <v>14.0</v>
      </c>
      <c r="D908" s="18" t="s">
        <v>4178</v>
      </c>
    </row>
    <row r="909" ht="15.75" customHeight="1">
      <c r="A909" s="16">
        <v>33.0</v>
      </c>
      <c r="B909" s="17" t="s">
        <v>5014</v>
      </c>
      <c r="C909" s="16">
        <v>6.0</v>
      </c>
      <c r="D909" s="18" t="s">
        <v>4178</v>
      </c>
    </row>
    <row r="910" ht="15.75" customHeight="1">
      <c r="A910" s="16">
        <v>34.0</v>
      </c>
      <c r="B910" s="17" t="s">
        <v>5015</v>
      </c>
      <c r="C910" s="16">
        <v>12.0</v>
      </c>
      <c r="D910" s="18" t="s">
        <v>4178</v>
      </c>
    </row>
    <row r="911" ht="15.75" customHeight="1">
      <c r="A911" s="16">
        <v>35.0</v>
      </c>
      <c r="B911" s="17" t="s">
        <v>5016</v>
      </c>
      <c r="C911" s="16">
        <v>15.0</v>
      </c>
      <c r="D911" s="18" t="s">
        <v>4178</v>
      </c>
    </row>
    <row r="912" ht="15.75" customHeight="1">
      <c r="A912" s="16">
        <v>36.0</v>
      </c>
      <c r="B912" s="17" t="s">
        <v>5017</v>
      </c>
      <c r="C912" s="16">
        <v>2.0</v>
      </c>
      <c r="D912" s="18" t="s">
        <v>4178</v>
      </c>
    </row>
    <row r="913" ht="15.75" customHeight="1">
      <c r="A913" s="16">
        <v>37.0</v>
      </c>
      <c r="B913" s="17" t="s">
        <v>5018</v>
      </c>
      <c r="C913" s="16">
        <v>3.0</v>
      </c>
      <c r="D913" s="18" t="s">
        <v>4178</v>
      </c>
    </row>
    <row r="914" ht="15.75" customHeight="1">
      <c r="A914" s="16">
        <v>38.0</v>
      </c>
      <c r="B914" s="17" t="s">
        <v>5019</v>
      </c>
      <c r="C914" s="16">
        <v>7.0</v>
      </c>
      <c r="D914" s="18" t="s">
        <v>4178</v>
      </c>
    </row>
    <row r="915" ht="15.75" customHeight="1">
      <c r="A915" s="16">
        <v>39.0</v>
      </c>
      <c r="B915" s="17" t="s">
        <v>5020</v>
      </c>
      <c r="C915" s="16">
        <v>12.0</v>
      </c>
      <c r="D915" s="18" t="s">
        <v>4178</v>
      </c>
    </row>
    <row r="916" ht="15.75" customHeight="1">
      <c r="A916" s="16">
        <v>40.0</v>
      </c>
      <c r="B916" s="17" t="s">
        <v>5021</v>
      </c>
      <c r="C916" s="16">
        <v>2.0</v>
      </c>
      <c r="D916" s="18" t="s">
        <v>4178</v>
      </c>
    </row>
    <row r="917" ht="15.75" customHeight="1">
      <c r="A917" s="16">
        <v>41.0</v>
      </c>
      <c r="B917" s="17" t="s">
        <v>5022</v>
      </c>
      <c r="C917" s="16">
        <v>4.0</v>
      </c>
      <c r="D917" s="18" t="s">
        <v>4178</v>
      </c>
    </row>
    <row r="918" ht="15.75" customHeight="1">
      <c r="A918" s="16">
        <v>42.0</v>
      </c>
      <c r="B918" s="17" t="s">
        <v>5023</v>
      </c>
      <c r="C918" s="16">
        <v>4.0</v>
      </c>
      <c r="D918" s="18" t="s">
        <v>4178</v>
      </c>
    </row>
    <row r="919" ht="15.75" customHeight="1">
      <c r="A919" s="16">
        <v>43.0</v>
      </c>
      <c r="B919" s="17" t="s">
        <v>5024</v>
      </c>
      <c r="C919" s="16">
        <v>1.0</v>
      </c>
      <c r="D919" s="18" t="s">
        <v>4178</v>
      </c>
    </row>
    <row r="920" ht="15.75" customHeight="1">
      <c r="A920" s="16">
        <v>44.0</v>
      </c>
      <c r="B920" s="17" t="s">
        <v>5025</v>
      </c>
      <c r="C920" s="16">
        <v>9.0</v>
      </c>
      <c r="D920" s="18" t="s">
        <v>4178</v>
      </c>
    </row>
    <row r="921" ht="15.75" customHeight="1">
      <c r="A921" s="16">
        <v>45.0</v>
      </c>
      <c r="B921" s="17" t="s">
        <v>5026</v>
      </c>
      <c r="C921" s="16">
        <v>257.0</v>
      </c>
      <c r="D921" s="18" t="s">
        <v>4178</v>
      </c>
    </row>
    <row r="922" ht="15.75" customHeight="1">
      <c r="A922" s="16">
        <v>46.0</v>
      </c>
      <c r="B922" s="17" t="s">
        <v>5027</v>
      </c>
      <c r="C922" s="16">
        <v>52.0</v>
      </c>
      <c r="D922" s="18" t="s">
        <v>4178</v>
      </c>
    </row>
    <row r="923" ht="15.75" customHeight="1">
      <c r="A923" s="16">
        <v>47.0</v>
      </c>
      <c r="B923" s="17" t="s">
        <v>5028</v>
      </c>
      <c r="C923" s="16">
        <v>34.0</v>
      </c>
      <c r="D923" s="18" t="s">
        <v>4178</v>
      </c>
    </row>
    <row r="924" ht="15.75" customHeight="1">
      <c r="A924" s="16">
        <v>48.0</v>
      </c>
      <c r="B924" s="17" t="s">
        <v>5029</v>
      </c>
      <c r="C924" s="16">
        <v>8.0</v>
      </c>
      <c r="D924" s="18" t="s">
        <v>4178</v>
      </c>
    </row>
    <row r="925" ht="15.75" customHeight="1">
      <c r="A925" s="16">
        <v>49.0</v>
      </c>
      <c r="B925" s="17" t="s">
        <v>5030</v>
      </c>
      <c r="C925" s="16">
        <v>4.0</v>
      </c>
      <c r="D925" s="18" t="s">
        <v>4178</v>
      </c>
    </row>
    <row r="926" ht="15.75" customHeight="1">
      <c r="A926" s="16">
        <v>50.0</v>
      </c>
      <c r="B926" s="17" t="s">
        <v>5031</v>
      </c>
      <c r="C926" s="16">
        <v>11.0</v>
      </c>
      <c r="D926" s="18" t="s">
        <v>4178</v>
      </c>
    </row>
    <row r="927" ht="15.75" customHeight="1">
      <c r="A927" s="16">
        <v>51.0</v>
      </c>
      <c r="B927" s="17" t="s">
        <v>5032</v>
      </c>
      <c r="C927" s="16">
        <v>20.0</v>
      </c>
      <c r="D927" s="18" t="s">
        <v>4178</v>
      </c>
    </row>
    <row r="928" ht="15.75" customHeight="1">
      <c r="A928" s="16">
        <v>52.0</v>
      </c>
      <c r="B928" s="17" t="s">
        <v>5033</v>
      </c>
      <c r="C928" s="16">
        <v>9.0</v>
      </c>
      <c r="D928" s="18" t="s">
        <v>4178</v>
      </c>
    </row>
    <row r="929" ht="15.75" customHeight="1">
      <c r="A929" s="16">
        <v>53.0</v>
      </c>
      <c r="B929" s="17" t="s">
        <v>5034</v>
      </c>
      <c r="C929" s="16">
        <v>10.0</v>
      </c>
      <c r="D929" s="18" t="s">
        <v>4178</v>
      </c>
    </row>
    <row r="930" ht="15.75" customHeight="1">
      <c r="A930" s="16">
        <v>54.0</v>
      </c>
      <c r="B930" s="17" t="s">
        <v>5035</v>
      </c>
      <c r="C930" s="16">
        <v>19.0</v>
      </c>
      <c r="D930" s="18" t="s">
        <v>4178</v>
      </c>
    </row>
    <row r="931" ht="15.75" customHeight="1">
      <c r="A931" s="16">
        <v>55.0</v>
      </c>
      <c r="B931" s="17" t="s">
        <v>5036</v>
      </c>
      <c r="C931" s="16">
        <v>3.0</v>
      </c>
      <c r="D931" s="18" t="s">
        <v>4178</v>
      </c>
    </row>
    <row r="932" ht="15.75" customHeight="1">
      <c r="A932" s="16">
        <v>56.0</v>
      </c>
      <c r="B932" s="17" t="s">
        <v>5037</v>
      </c>
      <c r="C932" s="16">
        <v>28.0</v>
      </c>
      <c r="D932" s="18" t="s">
        <v>4178</v>
      </c>
    </row>
    <row r="933" ht="15.75" customHeight="1">
      <c r="A933" s="16">
        <v>57.0</v>
      </c>
      <c r="B933" s="17" t="s">
        <v>5038</v>
      </c>
      <c r="C933" s="16">
        <v>5.0</v>
      </c>
      <c r="D933" s="18" t="s">
        <v>4178</v>
      </c>
    </row>
    <row r="934" ht="15.75" customHeight="1">
      <c r="A934" s="16">
        <v>58.0</v>
      </c>
      <c r="B934" s="17" t="s">
        <v>5039</v>
      </c>
      <c r="C934" s="16">
        <v>1.0</v>
      </c>
      <c r="D934" s="18" t="s">
        <v>4178</v>
      </c>
    </row>
    <row r="935" ht="15.75" customHeight="1">
      <c r="A935" s="16">
        <v>59.0</v>
      </c>
      <c r="B935" s="17" t="s">
        <v>5040</v>
      </c>
      <c r="C935" s="16">
        <v>1.0</v>
      </c>
      <c r="D935" s="18" t="s">
        <v>4178</v>
      </c>
    </row>
    <row r="936" ht="15.75" customHeight="1">
      <c r="A936" s="16">
        <v>60.0</v>
      </c>
      <c r="B936" s="17" t="s">
        <v>5041</v>
      </c>
      <c r="C936" s="16">
        <v>7.0</v>
      </c>
      <c r="D936" s="18" t="s">
        <v>4178</v>
      </c>
    </row>
    <row r="937" ht="15.75" customHeight="1">
      <c r="A937" s="16">
        <v>61.0</v>
      </c>
      <c r="B937" s="17" t="s">
        <v>5042</v>
      </c>
      <c r="C937" s="16">
        <v>7.0</v>
      </c>
      <c r="D937" s="18" t="s">
        <v>4178</v>
      </c>
    </row>
    <row r="938" ht="15.75" customHeight="1">
      <c r="A938" s="16">
        <v>62.0</v>
      </c>
      <c r="B938" s="17" t="s">
        <v>5043</v>
      </c>
      <c r="C938" s="16">
        <v>2.0</v>
      </c>
      <c r="D938" s="18" t="s">
        <v>4178</v>
      </c>
    </row>
    <row r="939" ht="15.75" customHeight="1">
      <c r="A939" s="16">
        <v>63.0</v>
      </c>
      <c r="B939" s="17" t="s">
        <v>5044</v>
      </c>
      <c r="C939" s="16">
        <v>2.0</v>
      </c>
      <c r="D939" s="18" t="s">
        <v>4178</v>
      </c>
    </row>
    <row r="940" ht="15.75" customHeight="1">
      <c r="A940" s="16">
        <v>64.0</v>
      </c>
      <c r="B940" s="17" t="s">
        <v>5045</v>
      </c>
      <c r="C940" s="16">
        <v>2.0</v>
      </c>
      <c r="D940" s="18" t="s">
        <v>4178</v>
      </c>
    </row>
    <row r="941" ht="15.75" customHeight="1">
      <c r="A941" s="16">
        <v>65.0</v>
      </c>
      <c r="B941" s="17" t="s">
        <v>5046</v>
      </c>
      <c r="C941" s="16">
        <v>1.0</v>
      </c>
      <c r="D941" s="18" t="s">
        <v>4178</v>
      </c>
    </row>
    <row r="942" ht="15.75" customHeight="1">
      <c r="A942" s="16">
        <v>66.0</v>
      </c>
      <c r="B942" s="17" t="s">
        <v>5047</v>
      </c>
      <c r="C942" s="16">
        <v>2.0</v>
      </c>
      <c r="D942" s="18" t="s">
        <v>4178</v>
      </c>
    </row>
    <row r="943" ht="15.75" customHeight="1">
      <c r="A943" s="16">
        <v>67.0</v>
      </c>
      <c r="B943" s="17" t="s">
        <v>5048</v>
      </c>
      <c r="C943" s="16">
        <v>3.0</v>
      </c>
      <c r="D943" s="18" t="s">
        <v>4178</v>
      </c>
    </row>
    <row r="944" ht="15.75" customHeight="1">
      <c r="A944" s="16">
        <v>68.0</v>
      </c>
      <c r="B944" s="17" t="s">
        <v>5049</v>
      </c>
      <c r="C944" s="16">
        <v>29.0</v>
      </c>
      <c r="D944" s="18" t="s">
        <v>4178</v>
      </c>
    </row>
    <row r="945" ht="15.75" customHeight="1">
      <c r="A945" s="20"/>
      <c r="B945" s="21" t="s">
        <v>4273</v>
      </c>
      <c r="C945" s="23">
        <v>1433.0</v>
      </c>
      <c r="D945" s="21" t="s">
        <v>4171</v>
      </c>
    </row>
    <row r="946" ht="15.75" customHeight="1">
      <c r="A946" s="11"/>
      <c r="B946" s="12"/>
      <c r="C946" s="12"/>
      <c r="D946" s="13"/>
    </row>
    <row r="947" ht="15.75" customHeight="1">
      <c r="A947" s="14" t="s">
        <v>887</v>
      </c>
      <c r="B947" s="15"/>
      <c r="C947" s="15"/>
      <c r="D947" s="15"/>
    </row>
    <row r="948" ht="15.75" customHeight="1">
      <c r="A948" s="16">
        <v>1.0</v>
      </c>
      <c r="B948" s="17" t="s">
        <v>5050</v>
      </c>
      <c r="C948" s="16">
        <v>79.0</v>
      </c>
      <c r="D948" s="18" t="s">
        <v>4183</v>
      </c>
    </row>
    <row r="949" ht="15.75" customHeight="1">
      <c r="A949" s="16">
        <v>2.0</v>
      </c>
      <c r="B949" s="17" t="s">
        <v>5051</v>
      </c>
      <c r="C949" s="16">
        <v>66.0</v>
      </c>
      <c r="D949" s="18" t="s">
        <v>4183</v>
      </c>
    </row>
    <row r="950" ht="15.75" customHeight="1">
      <c r="A950" s="16">
        <v>3.0</v>
      </c>
      <c r="B950" s="17" t="s">
        <v>5052</v>
      </c>
      <c r="C950" s="16">
        <v>75.0</v>
      </c>
      <c r="D950" s="18" t="s">
        <v>4183</v>
      </c>
    </row>
    <row r="951" ht="15.75" customHeight="1">
      <c r="A951" s="16">
        <v>4.0</v>
      </c>
      <c r="B951" s="17" t="s">
        <v>5053</v>
      </c>
      <c r="C951" s="16">
        <v>317.0</v>
      </c>
      <c r="D951" s="18" t="s">
        <v>4183</v>
      </c>
    </row>
    <row r="952" ht="15.75" customHeight="1">
      <c r="A952" s="16">
        <v>5.0</v>
      </c>
      <c r="B952" s="17" t="s">
        <v>5054</v>
      </c>
      <c r="C952" s="16">
        <v>101.0</v>
      </c>
      <c r="D952" s="18" t="s">
        <v>4183</v>
      </c>
    </row>
    <row r="953" ht="15.75" customHeight="1">
      <c r="A953" s="16">
        <v>6.0</v>
      </c>
      <c r="B953" s="17" t="s">
        <v>5055</v>
      </c>
      <c r="C953" s="16">
        <v>46.0</v>
      </c>
      <c r="D953" s="18" t="s">
        <v>4183</v>
      </c>
    </row>
    <row r="954" ht="15.75" customHeight="1">
      <c r="A954" s="16">
        <v>7.0</v>
      </c>
      <c r="B954" s="17" t="s">
        <v>5056</v>
      </c>
      <c r="C954" s="16">
        <v>62.0</v>
      </c>
      <c r="D954" s="18" t="s">
        <v>4183</v>
      </c>
    </row>
    <row r="955" ht="15.75" customHeight="1">
      <c r="A955" s="16">
        <v>8.0</v>
      </c>
      <c r="B955" s="17" t="s">
        <v>5057</v>
      </c>
      <c r="C955" s="16">
        <v>73.0</v>
      </c>
      <c r="D955" s="18" t="s">
        <v>4183</v>
      </c>
    </row>
    <row r="956" ht="15.75" customHeight="1">
      <c r="A956" s="16">
        <v>9.0</v>
      </c>
      <c r="B956" s="17" t="s">
        <v>5058</v>
      </c>
      <c r="C956" s="18" t="s">
        <v>5059</v>
      </c>
      <c r="D956" s="18" t="s">
        <v>4178</v>
      </c>
    </row>
    <row r="957" ht="15.75" customHeight="1">
      <c r="A957" s="20"/>
      <c r="B957" s="21" t="s">
        <v>4273</v>
      </c>
      <c r="C957" s="23">
        <v>783.0</v>
      </c>
      <c r="D957" s="21" t="s">
        <v>4171</v>
      </c>
    </row>
    <row r="958" ht="15.75" customHeight="1">
      <c r="A958" s="11"/>
      <c r="B958" s="12"/>
      <c r="C958" s="12"/>
      <c r="D958" s="13"/>
    </row>
    <row r="959" ht="15.75" customHeight="1">
      <c r="A959" s="14" t="s">
        <v>4091</v>
      </c>
      <c r="B959" s="15"/>
      <c r="C959" s="15"/>
      <c r="D959" s="15"/>
    </row>
    <row r="960" ht="15.75" customHeight="1">
      <c r="A960" s="16">
        <v>1.0</v>
      </c>
      <c r="B960" s="17" t="s">
        <v>5060</v>
      </c>
      <c r="C960" s="16">
        <v>2.0</v>
      </c>
      <c r="D960" s="18" t="s">
        <v>4183</v>
      </c>
    </row>
    <row r="961" ht="15.75" customHeight="1">
      <c r="A961" s="16">
        <v>2.0</v>
      </c>
      <c r="B961" s="17" t="s">
        <v>5061</v>
      </c>
      <c r="C961" s="16">
        <v>9.0</v>
      </c>
      <c r="D961" s="18" t="s">
        <v>4183</v>
      </c>
    </row>
    <row r="962" ht="15.75" customHeight="1">
      <c r="A962" s="16">
        <v>3.0</v>
      </c>
      <c r="B962" s="17" t="s">
        <v>5062</v>
      </c>
      <c r="C962" s="16">
        <v>3.0</v>
      </c>
      <c r="D962" s="18" t="s">
        <v>4183</v>
      </c>
    </row>
    <row r="963" ht="15.75" customHeight="1">
      <c r="A963" s="16">
        <v>4.0</v>
      </c>
      <c r="B963" s="17" t="s">
        <v>5063</v>
      </c>
      <c r="C963" s="16">
        <v>3.0</v>
      </c>
      <c r="D963" s="18" t="s">
        <v>4183</v>
      </c>
    </row>
    <row r="964" ht="15.75" customHeight="1">
      <c r="A964" s="16">
        <v>5.0</v>
      </c>
      <c r="B964" s="17" t="s">
        <v>5064</v>
      </c>
      <c r="C964" s="16">
        <v>6.0</v>
      </c>
      <c r="D964" s="18" t="s">
        <v>4183</v>
      </c>
    </row>
    <row r="965" ht="15.75" customHeight="1">
      <c r="A965" s="16">
        <v>6.0</v>
      </c>
      <c r="B965" s="17" t="s">
        <v>5065</v>
      </c>
      <c r="C965" s="16">
        <v>2.0</v>
      </c>
      <c r="D965" s="18" t="s">
        <v>4183</v>
      </c>
    </row>
    <row r="966" ht="15.75" customHeight="1">
      <c r="A966" s="16">
        <v>7.0</v>
      </c>
      <c r="B966" s="17" t="s">
        <v>5066</v>
      </c>
      <c r="C966" s="16">
        <v>4.0</v>
      </c>
      <c r="D966" s="18" t="s">
        <v>4183</v>
      </c>
    </row>
    <row r="967" ht="15.75" customHeight="1">
      <c r="A967" s="16">
        <v>8.0</v>
      </c>
      <c r="B967" s="17" t="s">
        <v>5067</v>
      </c>
      <c r="C967" s="16">
        <v>5.0</v>
      </c>
      <c r="D967" s="18" t="s">
        <v>4183</v>
      </c>
    </row>
    <row r="968" ht="15.75" customHeight="1">
      <c r="A968" s="16">
        <v>9.0</v>
      </c>
      <c r="B968" s="17" t="s">
        <v>5068</v>
      </c>
      <c r="C968" s="16">
        <v>7.0</v>
      </c>
      <c r="D968" s="18" t="s">
        <v>4183</v>
      </c>
    </row>
    <row r="969" ht="15.75" customHeight="1">
      <c r="A969" s="16">
        <v>10.0</v>
      </c>
      <c r="B969" s="17" t="s">
        <v>5069</v>
      </c>
      <c r="C969" s="16">
        <v>13.0</v>
      </c>
      <c r="D969" s="18" t="s">
        <v>4183</v>
      </c>
    </row>
    <row r="970" ht="15.75" customHeight="1">
      <c r="A970" s="16">
        <v>11.0</v>
      </c>
      <c r="B970" s="17" t="s">
        <v>5070</v>
      </c>
      <c r="C970" s="16">
        <v>4.0</v>
      </c>
      <c r="D970" s="18" t="s">
        <v>4183</v>
      </c>
    </row>
    <row r="971" ht="15.75" customHeight="1">
      <c r="A971" s="16">
        <v>12.0</v>
      </c>
      <c r="B971" s="17" t="s">
        <v>5071</v>
      </c>
      <c r="C971" s="16">
        <v>8.0</v>
      </c>
      <c r="D971" s="18" t="s">
        <v>4183</v>
      </c>
    </row>
    <row r="972" ht="15.75" customHeight="1">
      <c r="A972" s="16">
        <v>13.0</v>
      </c>
      <c r="B972" s="17" t="s">
        <v>5072</v>
      </c>
      <c r="C972" s="16">
        <v>2.0</v>
      </c>
      <c r="D972" s="18" t="s">
        <v>4183</v>
      </c>
    </row>
    <row r="973" ht="15.75" customHeight="1">
      <c r="A973" s="16">
        <v>14.0</v>
      </c>
      <c r="B973" s="17" t="s">
        <v>5073</v>
      </c>
      <c r="C973" s="16">
        <v>4.0</v>
      </c>
      <c r="D973" s="18" t="s">
        <v>4183</v>
      </c>
    </row>
    <row r="974" ht="15.75" customHeight="1">
      <c r="A974" s="16">
        <v>15.0</v>
      </c>
      <c r="B974" s="17" t="s">
        <v>5074</v>
      </c>
      <c r="C974" s="16">
        <v>6.0</v>
      </c>
      <c r="D974" s="18" t="s">
        <v>4183</v>
      </c>
    </row>
    <row r="975" ht="15.75" customHeight="1">
      <c r="A975" s="16">
        <v>16.0</v>
      </c>
      <c r="B975" s="17" t="s">
        <v>5075</v>
      </c>
      <c r="C975" s="16">
        <v>11.0</v>
      </c>
      <c r="D975" s="18" t="s">
        <v>4183</v>
      </c>
    </row>
    <row r="976" ht="15.75" customHeight="1">
      <c r="A976" s="16">
        <v>17.0</v>
      </c>
      <c r="B976" s="17" t="s">
        <v>5076</v>
      </c>
      <c r="C976" s="16">
        <v>8.0</v>
      </c>
      <c r="D976" s="18" t="s">
        <v>4183</v>
      </c>
    </row>
    <row r="977" ht="15.75" customHeight="1">
      <c r="A977" s="16">
        <v>18.0</v>
      </c>
      <c r="B977" s="17" t="s">
        <v>5077</v>
      </c>
      <c r="C977" s="16">
        <v>8.0</v>
      </c>
      <c r="D977" s="18" t="s">
        <v>4183</v>
      </c>
    </row>
    <row r="978" ht="15.75" customHeight="1">
      <c r="A978" s="16">
        <v>19.0</v>
      </c>
      <c r="B978" s="17" t="s">
        <v>5078</v>
      </c>
      <c r="C978" s="16">
        <v>4.0</v>
      </c>
      <c r="D978" s="18" t="s">
        <v>4183</v>
      </c>
    </row>
    <row r="979" ht="15.75" customHeight="1">
      <c r="A979" s="16">
        <v>20.0</v>
      </c>
      <c r="B979" s="17" t="s">
        <v>5079</v>
      </c>
      <c r="C979" s="16">
        <v>1.0</v>
      </c>
      <c r="D979" s="18" t="s">
        <v>4183</v>
      </c>
    </row>
    <row r="980" ht="15.75" customHeight="1">
      <c r="A980" s="16">
        <v>21.0</v>
      </c>
      <c r="B980" s="17" t="s">
        <v>5080</v>
      </c>
      <c r="C980" s="16">
        <v>3.0</v>
      </c>
      <c r="D980" s="18" t="s">
        <v>4183</v>
      </c>
    </row>
    <row r="981" ht="15.75" customHeight="1">
      <c r="A981" s="16">
        <v>22.0</v>
      </c>
      <c r="B981" s="17" t="s">
        <v>5081</v>
      </c>
      <c r="C981" s="16">
        <v>5.0</v>
      </c>
      <c r="D981" s="18" t="s">
        <v>4183</v>
      </c>
    </row>
    <row r="982" ht="15.75" customHeight="1">
      <c r="A982" s="16">
        <v>23.0</v>
      </c>
      <c r="B982" s="17" t="s">
        <v>5082</v>
      </c>
      <c r="C982" s="16">
        <v>21.0</v>
      </c>
      <c r="D982" s="18" t="s">
        <v>4183</v>
      </c>
    </row>
    <row r="983" ht="15.75" customHeight="1">
      <c r="A983" s="16">
        <v>24.0</v>
      </c>
      <c r="B983" s="17" t="s">
        <v>5083</v>
      </c>
      <c r="C983" s="16">
        <v>2.0</v>
      </c>
      <c r="D983" s="18" t="s">
        <v>4183</v>
      </c>
    </row>
    <row r="984" ht="15.75" customHeight="1">
      <c r="A984" s="16">
        <v>25.0</v>
      </c>
      <c r="B984" s="17" t="s">
        <v>5084</v>
      </c>
      <c r="C984" s="16">
        <v>26.0</v>
      </c>
      <c r="D984" s="18" t="s">
        <v>4183</v>
      </c>
    </row>
    <row r="985" ht="15.75" customHeight="1">
      <c r="A985" s="16">
        <v>26.0</v>
      </c>
      <c r="B985" s="17" t="s">
        <v>5085</v>
      </c>
      <c r="C985" s="16">
        <v>12.0</v>
      </c>
      <c r="D985" s="18" t="s">
        <v>4183</v>
      </c>
    </row>
    <row r="986" ht="15.75" customHeight="1">
      <c r="A986" s="16">
        <v>27.0</v>
      </c>
      <c r="B986" s="17" t="s">
        <v>5086</v>
      </c>
      <c r="C986" s="16">
        <v>3.0</v>
      </c>
      <c r="D986" s="18" t="s">
        <v>4183</v>
      </c>
    </row>
    <row r="987" ht="15.75" customHeight="1">
      <c r="A987" s="20"/>
      <c r="B987" s="21" t="s">
        <v>4273</v>
      </c>
      <c r="C987" s="23">
        <v>182.0</v>
      </c>
      <c r="D987" s="21" t="s">
        <v>4171</v>
      </c>
    </row>
    <row r="988" ht="15.75" customHeight="1">
      <c r="A988" s="11"/>
      <c r="B988" s="12"/>
      <c r="C988" s="12"/>
      <c r="D988" s="13"/>
    </row>
    <row r="989" ht="15.75" customHeight="1">
      <c r="A989" s="14" t="s">
        <v>4120</v>
      </c>
      <c r="B989" s="15"/>
      <c r="C989" s="15"/>
      <c r="D989" s="15"/>
    </row>
    <row r="990" ht="15.75" customHeight="1">
      <c r="A990" s="16">
        <v>1.0</v>
      </c>
      <c r="B990" s="17" t="s">
        <v>5087</v>
      </c>
      <c r="C990" s="16">
        <v>2.0</v>
      </c>
      <c r="D990" s="18" t="s">
        <v>4183</v>
      </c>
    </row>
    <row r="991" ht="15.75" customHeight="1">
      <c r="A991" s="16">
        <v>2.0</v>
      </c>
      <c r="B991" s="17" t="s">
        <v>5088</v>
      </c>
      <c r="C991" s="16">
        <v>3.0</v>
      </c>
      <c r="D991" s="18" t="s">
        <v>4215</v>
      </c>
    </row>
    <row r="992" ht="15.75" customHeight="1">
      <c r="A992" s="16">
        <v>3.0</v>
      </c>
      <c r="B992" s="17" t="s">
        <v>5089</v>
      </c>
      <c r="C992" s="16">
        <v>2.0</v>
      </c>
      <c r="D992" s="18" t="s">
        <v>4178</v>
      </c>
    </row>
    <row r="993" ht="15.75" customHeight="1">
      <c r="A993" s="16">
        <v>4.0</v>
      </c>
      <c r="B993" s="17" t="s">
        <v>5090</v>
      </c>
      <c r="C993" s="16">
        <v>8.0</v>
      </c>
      <c r="D993" s="18" t="s">
        <v>4183</v>
      </c>
    </row>
    <row r="994" ht="15.75" customHeight="1">
      <c r="A994" s="16">
        <v>5.0</v>
      </c>
      <c r="B994" s="17" t="s">
        <v>5091</v>
      </c>
      <c r="C994" s="16">
        <v>47.0</v>
      </c>
      <c r="D994" s="18" t="s">
        <v>4183</v>
      </c>
    </row>
    <row r="995" ht="15.75" customHeight="1">
      <c r="A995" s="16">
        <v>6.0</v>
      </c>
      <c r="B995" s="17" t="s">
        <v>5092</v>
      </c>
      <c r="C995" s="16">
        <v>3.0</v>
      </c>
      <c r="D995" s="18" t="s">
        <v>4215</v>
      </c>
    </row>
    <row r="996" ht="15.75" customHeight="1">
      <c r="A996" s="16">
        <v>7.0</v>
      </c>
      <c r="B996" s="17" t="s">
        <v>5093</v>
      </c>
      <c r="C996" s="16">
        <v>11.0</v>
      </c>
      <c r="D996" s="18" t="s">
        <v>4183</v>
      </c>
    </row>
    <row r="997" ht="15.75" customHeight="1">
      <c r="A997" s="16">
        <v>8.0</v>
      </c>
      <c r="B997" s="17" t="s">
        <v>5094</v>
      </c>
      <c r="C997" s="16">
        <v>23.0</v>
      </c>
      <c r="D997" s="18" t="s">
        <v>4183</v>
      </c>
    </row>
    <row r="998" ht="15.75" customHeight="1">
      <c r="A998" s="16">
        <v>9.0</v>
      </c>
      <c r="B998" s="17" t="s">
        <v>5095</v>
      </c>
      <c r="C998" s="16">
        <v>16.0</v>
      </c>
      <c r="D998" s="18" t="s">
        <v>4183</v>
      </c>
    </row>
    <row r="999" ht="15.75" customHeight="1">
      <c r="A999" s="16">
        <v>10.0</v>
      </c>
      <c r="B999" s="17" t="s">
        <v>5096</v>
      </c>
      <c r="C999" s="16">
        <v>7.0</v>
      </c>
      <c r="D999" s="18" t="s">
        <v>4183</v>
      </c>
    </row>
    <row r="1000" ht="15.75" customHeight="1">
      <c r="A1000" s="16">
        <v>11.0</v>
      </c>
      <c r="B1000" s="17" t="s">
        <v>5097</v>
      </c>
      <c r="C1000" s="16">
        <v>73.0</v>
      </c>
      <c r="D1000" s="18" t="s">
        <v>4183</v>
      </c>
    </row>
    <row r="1001" ht="15.75" customHeight="1">
      <c r="A1001" s="16">
        <v>12.0</v>
      </c>
      <c r="B1001" s="17" t="s">
        <v>5098</v>
      </c>
      <c r="C1001" s="16">
        <v>78.0</v>
      </c>
      <c r="D1001" s="18" t="s">
        <v>4183</v>
      </c>
    </row>
    <row r="1002" ht="15.75" customHeight="1">
      <c r="A1002" s="16">
        <v>13.0</v>
      </c>
      <c r="B1002" s="17" t="s">
        <v>5099</v>
      </c>
      <c r="C1002" s="16">
        <v>2.0</v>
      </c>
      <c r="D1002" s="18" t="s">
        <v>4183</v>
      </c>
    </row>
    <row r="1003" ht="15.75" customHeight="1">
      <c r="A1003" s="16">
        <v>14.0</v>
      </c>
      <c r="B1003" s="17" t="s">
        <v>5100</v>
      </c>
      <c r="C1003" s="16">
        <v>214.0</v>
      </c>
      <c r="D1003" s="18" t="s">
        <v>4183</v>
      </c>
    </row>
    <row r="1004" ht="15.75" customHeight="1">
      <c r="A1004" s="16">
        <v>15.0</v>
      </c>
      <c r="B1004" s="17" t="s">
        <v>5101</v>
      </c>
      <c r="C1004" s="16">
        <v>68.0</v>
      </c>
      <c r="D1004" s="18" t="s">
        <v>4183</v>
      </c>
    </row>
    <row r="1005" ht="15.75" customHeight="1">
      <c r="A1005" s="16">
        <v>16.0</v>
      </c>
      <c r="B1005" s="17" t="s">
        <v>5102</v>
      </c>
      <c r="C1005" s="16">
        <v>110.0</v>
      </c>
      <c r="D1005" s="18" t="s">
        <v>4183</v>
      </c>
    </row>
    <row r="1006" ht="15.75" customHeight="1">
      <c r="A1006" s="20"/>
      <c r="B1006" s="21" t="s">
        <v>4273</v>
      </c>
      <c r="C1006" s="23">
        <v>667.0</v>
      </c>
      <c r="D1006" s="21" t="s">
        <v>4171</v>
      </c>
    </row>
    <row r="1007" ht="15.75" customHeight="1">
      <c r="A1007" s="11"/>
      <c r="B1007" s="12"/>
      <c r="C1007" s="12"/>
      <c r="D1007" s="13"/>
    </row>
    <row r="1008" ht="15.75" customHeight="1">
      <c r="A1008" s="14" t="s">
        <v>4154</v>
      </c>
      <c r="B1008" s="15"/>
      <c r="C1008" s="15"/>
      <c r="D1008" s="15"/>
    </row>
    <row r="1009" ht="15.75" customHeight="1">
      <c r="A1009" s="16">
        <v>1.0</v>
      </c>
      <c r="B1009" s="17" t="s">
        <v>5103</v>
      </c>
      <c r="C1009" s="16">
        <v>9.0</v>
      </c>
      <c r="D1009" s="18" t="s">
        <v>4183</v>
      </c>
    </row>
    <row r="1010" ht="15.75" customHeight="1">
      <c r="A1010" s="16">
        <v>2.0</v>
      </c>
      <c r="B1010" s="17" t="s">
        <v>5104</v>
      </c>
      <c r="C1010" s="16">
        <v>15.0</v>
      </c>
      <c r="D1010" s="18" t="s">
        <v>4183</v>
      </c>
    </row>
    <row r="1011" ht="15.75" customHeight="1">
      <c r="A1011" s="16">
        <v>3.0</v>
      </c>
      <c r="B1011" s="17" t="s">
        <v>5105</v>
      </c>
      <c r="C1011" s="16">
        <v>3.0</v>
      </c>
      <c r="D1011" s="18" t="s">
        <v>4183</v>
      </c>
    </row>
    <row r="1012" ht="15.75" customHeight="1">
      <c r="A1012" s="16">
        <v>4.0</v>
      </c>
      <c r="B1012" s="17" t="s">
        <v>5106</v>
      </c>
      <c r="C1012" s="16">
        <v>1.0</v>
      </c>
      <c r="D1012" s="18" t="s">
        <v>4183</v>
      </c>
    </row>
    <row r="1013" ht="15.75" customHeight="1">
      <c r="A1013" s="20"/>
      <c r="B1013" s="21" t="s">
        <v>4273</v>
      </c>
      <c r="C1013" s="23">
        <v>28.0</v>
      </c>
      <c r="D1013" s="21" t="s">
        <v>4171</v>
      </c>
    </row>
    <row r="1014" ht="15.75" customHeight="1">
      <c r="A1014" s="11"/>
      <c r="B1014" s="12"/>
      <c r="C1014" s="12"/>
      <c r="D1014" s="13"/>
    </row>
    <row r="1015" ht="15.75" customHeight="1">
      <c r="A1015" s="11"/>
      <c r="B1015" s="12"/>
      <c r="C1015" s="12"/>
      <c r="D1015" s="13"/>
    </row>
    <row r="1016" ht="15.75" customHeight="1">
      <c r="A1016" s="14" t="s">
        <v>4065</v>
      </c>
      <c r="B1016" s="15"/>
      <c r="C1016" s="15"/>
      <c r="D1016" s="15"/>
    </row>
    <row r="1017" ht="15.75" customHeight="1">
      <c r="A1017" s="16">
        <v>1.0</v>
      </c>
      <c r="B1017" s="17" t="s">
        <v>5107</v>
      </c>
      <c r="C1017" s="16">
        <v>9.0</v>
      </c>
      <c r="D1017" s="18" t="s">
        <v>4215</v>
      </c>
    </row>
    <row r="1018" ht="15.75" customHeight="1">
      <c r="A1018" s="16">
        <v>2.0</v>
      </c>
      <c r="B1018" s="17" t="s">
        <v>5108</v>
      </c>
      <c r="C1018" s="16">
        <v>1.0</v>
      </c>
      <c r="D1018" s="18" t="s">
        <v>4183</v>
      </c>
    </row>
    <row r="1019" ht="15.75" customHeight="1">
      <c r="A1019" s="16">
        <v>3.0</v>
      </c>
      <c r="B1019" s="17" t="s">
        <v>5109</v>
      </c>
      <c r="C1019" s="16">
        <v>3.0</v>
      </c>
      <c r="D1019" s="18" t="s">
        <v>4183</v>
      </c>
    </row>
    <row r="1020" ht="15.75" customHeight="1">
      <c r="A1020" s="16">
        <v>4.0</v>
      </c>
      <c r="B1020" s="17" t="s">
        <v>5110</v>
      </c>
      <c r="C1020" s="16">
        <v>5.0</v>
      </c>
      <c r="D1020" s="18" t="s">
        <v>4183</v>
      </c>
    </row>
    <row r="1021" ht="15.75" customHeight="1">
      <c r="A1021" s="16">
        <v>5.0</v>
      </c>
      <c r="B1021" s="17" t="s">
        <v>5111</v>
      </c>
      <c r="C1021" s="16">
        <v>3.0</v>
      </c>
      <c r="D1021" s="18" t="s">
        <v>4178</v>
      </c>
    </row>
    <row r="1022" ht="15.75" customHeight="1">
      <c r="A1022" s="16">
        <v>6.0</v>
      </c>
      <c r="B1022" s="17" t="s">
        <v>5112</v>
      </c>
      <c r="C1022" s="16">
        <v>8.0</v>
      </c>
      <c r="D1022" s="18" t="s">
        <v>4178</v>
      </c>
    </row>
    <row r="1023" ht="15.75" customHeight="1">
      <c r="A1023" s="16">
        <v>7.0</v>
      </c>
      <c r="B1023" s="17" t="s">
        <v>5113</v>
      </c>
      <c r="C1023" s="16">
        <v>1.0</v>
      </c>
      <c r="D1023" s="18" t="s">
        <v>4183</v>
      </c>
    </row>
    <row r="1024" ht="15.75" customHeight="1">
      <c r="A1024" s="16">
        <v>8.0</v>
      </c>
      <c r="B1024" s="17" t="s">
        <v>5114</v>
      </c>
      <c r="C1024" s="16">
        <v>7.0</v>
      </c>
      <c r="D1024" s="18" t="s">
        <v>4183</v>
      </c>
    </row>
    <row r="1025" ht="15.75" customHeight="1">
      <c r="A1025" s="16">
        <v>9.0</v>
      </c>
      <c r="B1025" s="17" t="s">
        <v>5115</v>
      </c>
      <c r="C1025" s="16">
        <v>3.0</v>
      </c>
      <c r="D1025" s="18" t="s">
        <v>4183</v>
      </c>
    </row>
    <row r="1026" ht="15.75" customHeight="1">
      <c r="A1026" s="16">
        <v>10.0</v>
      </c>
      <c r="B1026" s="17" t="s">
        <v>5116</v>
      </c>
      <c r="C1026" s="16">
        <v>1.0</v>
      </c>
      <c r="D1026" s="18" t="s">
        <v>4215</v>
      </c>
    </row>
    <row r="1027" ht="15.75" customHeight="1">
      <c r="A1027" s="16">
        <v>11.0</v>
      </c>
      <c r="B1027" s="17" t="s">
        <v>5117</v>
      </c>
      <c r="C1027" s="16">
        <v>8.0</v>
      </c>
      <c r="D1027" s="18" t="s">
        <v>4183</v>
      </c>
    </row>
    <row r="1028" ht="15.75" customHeight="1">
      <c r="A1028" s="16">
        <v>12.0</v>
      </c>
      <c r="B1028" s="17" t="s">
        <v>5118</v>
      </c>
      <c r="C1028" s="16">
        <v>1.0</v>
      </c>
      <c r="D1028" s="18" t="s">
        <v>4183</v>
      </c>
    </row>
    <row r="1029" ht="15.75" customHeight="1">
      <c r="A1029" s="16">
        <v>13.0</v>
      </c>
      <c r="B1029" s="17" t="s">
        <v>5119</v>
      </c>
      <c r="C1029" s="16">
        <v>1.0</v>
      </c>
      <c r="D1029" s="18" t="s">
        <v>4178</v>
      </c>
    </row>
    <row r="1030" ht="15.75" customHeight="1">
      <c r="A1030" s="16">
        <v>14.0</v>
      </c>
      <c r="B1030" s="17" t="s">
        <v>5120</v>
      </c>
      <c r="C1030" s="16">
        <v>11.0</v>
      </c>
      <c r="D1030" s="18" t="s">
        <v>4178</v>
      </c>
    </row>
    <row r="1031" ht="15.75" customHeight="1">
      <c r="A1031" s="16">
        <v>15.0</v>
      </c>
      <c r="B1031" s="17" t="s">
        <v>5121</v>
      </c>
      <c r="C1031" s="18" t="s">
        <v>4384</v>
      </c>
      <c r="D1031" s="18" t="s">
        <v>4183</v>
      </c>
    </row>
    <row r="1032" ht="15.75" customHeight="1">
      <c r="A1032" s="16">
        <v>16.0</v>
      </c>
      <c r="B1032" s="17" t="s">
        <v>5122</v>
      </c>
      <c r="C1032" s="16">
        <v>3.0</v>
      </c>
      <c r="D1032" s="18" t="s">
        <v>4183</v>
      </c>
    </row>
    <row r="1033" ht="15.75" customHeight="1">
      <c r="A1033" s="16">
        <v>17.0</v>
      </c>
      <c r="B1033" s="17" t="s">
        <v>5123</v>
      </c>
      <c r="C1033" s="16">
        <v>15.0</v>
      </c>
      <c r="D1033" s="18" t="s">
        <v>4178</v>
      </c>
    </row>
    <row r="1034" ht="15.75" customHeight="1">
      <c r="A1034" s="16">
        <v>18.0</v>
      </c>
      <c r="B1034" s="17" t="s">
        <v>5124</v>
      </c>
      <c r="C1034" s="16">
        <v>5.0</v>
      </c>
      <c r="D1034" s="18" t="s">
        <v>4178</v>
      </c>
    </row>
    <row r="1035" ht="15.75" customHeight="1">
      <c r="A1035" s="16">
        <v>19.0</v>
      </c>
      <c r="B1035" s="17" t="s">
        <v>5125</v>
      </c>
      <c r="C1035" s="16">
        <v>6.0</v>
      </c>
      <c r="D1035" s="18" t="s">
        <v>4183</v>
      </c>
    </row>
    <row r="1036" ht="15.75" customHeight="1">
      <c r="A1036" s="16">
        <v>20.0</v>
      </c>
      <c r="B1036" s="17" t="s">
        <v>5126</v>
      </c>
      <c r="C1036" s="16">
        <v>1.0</v>
      </c>
      <c r="D1036" s="18" t="s">
        <v>5127</v>
      </c>
    </row>
    <row r="1037" ht="15.75" customHeight="1">
      <c r="A1037" s="16">
        <v>21.0</v>
      </c>
      <c r="B1037" s="17" t="s">
        <v>5128</v>
      </c>
      <c r="C1037" s="16">
        <v>1.0</v>
      </c>
      <c r="D1037" s="18" t="s">
        <v>4183</v>
      </c>
    </row>
    <row r="1038" ht="15.75" customHeight="1">
      <c r="A1038" s="16">
        <v>22.0</v>
      </c>
      <c r="B1038" s="17" t="s">
        <v>5129</v>
      </c>
      <c r="C1038" s="16">
        <v>1.0</v>
      </c>
      <c r="D1038" s="18" t="s">
        <v>4178</v>
      </c>
    </row>
    <row r="1039" ht="15.75" customHeight="1">
      <c r="A1039" s="16">
        <v>23.0</v>
      </c>
      <c r="B1039" s="17" t="s">
        <v>5130</v>
      </c>
      <c r="C1039" s="16">
        <v>1.0</v>
      </c>
      <c r="D1039" s="18" t="s">
        <v>4178</v>
      </c>
    </row>
    <row r="1040" ht="15.75" customHeight="1">
      <c r="A1040" s="16">
        <v>24.0</v>
      </c>
      <c r="B1040" s="17" t="s">
        <v>5131</v>
      </c>
      <c r="C1040" s="16">
        <v>2.0</v>
      </c>
      <c r="D1040" s="18" t="s">
        <v>4178</v>
      </c>
    </row>
    <row r="1041" ht="15.75" customHeight="1">
      <c r="A1041" s="16">
        <v>25.0</v>
      </c>
      <c r="B1041" s="17" t="s">
        <v>5132</v>
      </c>
      <c r="C1041" s="16">
        <v>1.0</v>
      </c>
      <c r="D1041" s="18" t="s">
        <v>4178</v>
      </c>
    </row>
    <row r="1042" ht="15.75" customHeight="1">
      <c r="A1042" s="16">
        <v>26.0</v>
      </c>
      <c r="B1042" s="17" t="s">
        <v>5133</v>
      </c>
      <c r="C1042" s="16">
        <v>21.0</v>
      </c>
      <c r="D1042" s="18" t="s">
        <v>4183</v>
      </c>
    </row>
    <row r="1043" ht="15.75" customHeight="1">
      <c r="A1043" s="16">
        <v>27.0</v>
      </c>
      <c r="B1043" s="17" t="s">
        <v>5134</v>
      </c>
      <c r="C1043" s="16">
        <v>16.0</v>
      </c>
      <c r="D1043" s="18" t="s">
        <v>4183</v>
      </c>
    </row>
    <row r="1044" ht="15.75" customHeight="1">
      <c r="A1044" s="16">
        <v>28.0</v>
      </c>
      <c r="B1044" s="17" t="s">
        <v>5135</v>
      </c>
      <c r="C1044" s="16">
        <v>40.0</v>
      </c>
      <c r="D1044" s="18" t="s">
        <v>4183</v>
      </c>
    </row>
    <row r="1045" ht="15.75" customHeight="1">
      <c r="A1045" s="16">
        <v>29.0</v>
      </c>
      <c r="B1045" s="17" t="s">
        <v>5136</v>
      </c>
      <c r="C1045" s="16">
        <v>12.0</v>
      </c>
      <c r="D1045" s="18" t="s">
        <v>4183</v>
      </c>
    </row>
    <row r="1046" ht="15.75" customHeight="1">
      <c r="A1046" s="16">
        <v>30.0</v>
      </c>
      <c r="B1046" s="17" t="s">
        <v>5137</v>
      </c>
      <c r="C1046" s="16">
        <v>4.0</v>
      </c>
      <c r="D1046" s="18" t="s">
        <v>4183</v>
      </c>
    </row>
    <row r="1047" ht="15.75" customHeight="1">
      <c r="A1047" s="16">
        <v>31.0</v>
      </c>
      <c r="B1047" s="17" t="s">
        <v>5138</v>
      </c>
      <c r="C1047" s="16">
        <v>6.0</v>
      </c>
      <c r="D1047" s="18" t="s">
        <v>4183</v>
      </c>
    </row>
    <row r="1048" ht="15.75" customHeight="1">
      <c r="A1048" s="16">
        <v>32.0</v>
      </c>
      <c r="B1048" s="17" t="s">
        <v>5139</v>
      </c>
      <c r="C1048" s="16">
        <v>2.0</v>
      </c>
      <c r="D1048" s="18" t="s">
        <v>4183</v>
      </c>
    </row>
    <row r="1049" ht="15.75" customHeight="1">
      <c r="A1049" s="16">
        <v>33.0</v>
      </c>
      <c r="B1049" s="17" t="s">
        <v>5140</v>
      </c>
      <c r="C1049" s="16">
        <v>7.0</v>
      </c>
      <c r="D1049" s="18" t="s">
        <v>4183</v>
      </c>
    </row>
    <row r="1050" ht="15.75" customHeight="1">
      <c r="A1050" s="16">
        <v>34.0</v>
      </c>
      <c r="B1050" s="17" t="s">
        <v>5141</v>
      </c>
      <c r="C1050" s="19">
        <v>7.97</v>
      </c>
      <c r="D1050" s="18" t="s">
        <v>4183</v>
      </c>
    </row>
    <row r="1051" ht="15.75" customHeight="1">
      <c r="A1051" s="16">
        <v>35.0</v>
      </c>
      <c r="B1051" s="17" t="s">
        <v>5142</v>
      </c>
      <c r="C1051" s="16">
        <v>1.0</v>
      </c>
      <c r="D1051" s="18" t="s">
        <v>4183</v>
      </c>
    </row>
    <row r="1052" ht="15.75" customHeight="1">
      <c r="A1052" s="16">
        <v>36.0</v>
      </c>
      <c r="B1052" s="17" t="s">
        <v>5143</v>
      </c>
      <c r="C1052" s="16">
        <v>3.0</v>
      </c>
      <c r="D1052" s="18" t="s">
        <v>4183</v>
      </c>
    </row>
    <row r="1053" ht="15.75" customHeight="1">
      <c r="A1053" s="16">
        <v>37.0</v>
      </c>
      <c r="B1053" s="17" t="s">
        <v>5144</v>
      </c>
      <c r="C1053" s="16">
        <v>3.0</v>
      </c>
      <c r="D1053" s="18" t="s">
        <v>4183</v>
      </c>
    </row>
    <row r="1054" ht="15.75" customHeight="1">
      <c r="A1054" s="16">
        <v>38.0</v>
      </c>
      <c r="B1054" s="17" t="s">
        <v>5145</v>
      </c>
      <c r="C1054" s="16">
        <v>8.0</v>
      </c>
      <c r="D1054" s="18" t="s">
        <v>4183</v>
      </c>
    </row>
    <row r="1055" ht="15.75" customHeight="1">
      <c r="A1055" s="16">
        <v>39.0</v>
      </c>
      <c r="B1055" s="17" t="s">
        <v>5146</v>
      </c>
      <c r="C1055" s="16">
        <v>1.0</v>
      </c>
      <c r="D1055" s="18" t="s">
        <v>4178</v>
      </c>
    </row>
    <row r="1056" ht="15.75" customHeight="1">
      <c r="A1056" s="16">
        <v>40.0</v>
      </c>
      <c r="B1056" s="17" t="s">
        <v>5147</v>
      </c>
      <c r="C1056" s="16">
        <v>1.0</v>
      </c>
      <c r="D1056" s="18" t="s">
        <v>4183</v>
      </c>
    </row>
    <row r="1057" ht="15.75" customHeight="1">
      <c r="A1057" s="16">
        <v>41.0</v>
      </c>
      <c r="B1057" s="17" t="s">
        <v>5148</v>
      </c>
      <c r="C1057" s="16">
        <v>12.0</v>
      </c>
      <c r="D1057" s="18" t="s">
        <v>4215</v>
      </c>
    </row>
    <row r="1058" ht="15.75" customHeight="1">
      <c r="A1058" s="16">
        <v>42.0</v>
      </c>
      <c r="B1058" s="17" t="s">
        <v>5149</v>
      </c>
      <c r="C1058" s="16">
        <v>8.0</v>
      </c>
      <c r="D1058" s="18" t="s">
        <v>4215</v>
      </c>
    </row>
    <row r="1059" ht="15.75" customHeight="1">
      <c r="A1059" s="16">
        <v>43.0</v>
      </c>
      <c r="B1059" s="17" t="s">
        <v>5150</v>
      </c>
      <c r="C1059" s="16">
        <v>3.0</v>
      </c>
      <c r="D1059" s="18" t="s">
        <v>4183</v>
      </c>
    </row>
    <row r="1060" ht="15.75" customHeight="1">
      <c r="A1060" s="16">
        <v>44.0</v>
      </c>
      <c r="B1060" s="17" t="s">
        <v>5151</v>
      </c>
      <c r="C1060" s="16">
        <v>11.0</v>
      </c>
      <c r="D1060" s="18" t="s">
        <v>4183</v>
      </c>
    </row>
    <row r="1061" ht="15.75" customHeight="1">
      <c r="A1061" s="16">
        <v>45.0</v>
      </c>
      <c r="B1061" s="17" t="s">
        <v>5152</v>
      </c>
      <c r="C1061" s="16">
        <v>2.0</v>
      </c>
      <c r="D1061" s="18" t="s">
        <v>4183</v>
      </c>
    </row>
    <row r="1062" ht="15.75" customHeight="1">
      <c r="A1062" s="16">
        <v>46.0</v>
      </c>
      <c r="B1062" s="17" t="s">
        <v>5153</v>
      </c>
      <c r="C1062" s="16">
        <v>20.0</v>
      </c>
      <c r="D1062" s="18" t="s">
        <v>4183</v>
      </c>
    </row>
    <row r="1063" ht="15.75" customHeight="1">
      <c r="A1063" s="16">
        <v>47.0</v>
      </c>
      <c r="B1063" s="17" t="s">
        <v>5154</v>
      </c>
      <c r="C1063" s="16">
        <v>10.0</v>
      </c>
      <c r="D1063" s="18" t="s">
        <v>4183</v>
      </c>
    </row>
    <row r="1064" ht="15.75" customHeight="1">
      <c r="A1064" s="16">
        <v>48.0</v>
      </c>
      <c r="B1064" s="17" t="s">
        <v>5155</v>
      </c>
      <c r="C1064" s="16">
        <v>66.0</v>
      </c>
      <c r="D1064" s="18" t="s">
        <v>4183</v>
      </c>
    </row>
    <row r="1065" ht="15.75" customHeight="1">
      <c r="A1065" s="16">
        <v>49.0</v>
      </c>
      <c r="B1065" s="17" t="s">
        <v>5156</v>
      </c>
      <c r="C1065" s="16">
        <v>6.0</v>
      </c>
      <c r="D1065" s="18" t="s">
        <v>4183</v>
      </c>
    </row>
    <row r="1066" ht="15.75" customHeight="1">
      <c r="A1066" s="16">
        <v>50.0</v>
      </c>
      <c r="B1066" s="17" t="s">
        <v>5157</v>
      </c>
      <c r="C1066" s="16">
        <v>11.0</v>
      </c>
      <c r="D1066" s="18" t="s">
        <v>4178</v>
      </c>
    </row>
    <row r="1067" ht="15.75" customHeight="1">
      <c r="A1067" s="16">
        <v>51.0</v>
      </c>
      <c r="B1067" s="17" t="s">
        <v>5158</v>
      </c>
      <c r="C1067" s="16">
        <v>88.0</v>
      </c>
      <c r="D1067" s="18" t="s">
        <v>4183</v>
      </c>
    </row>
    <row r="1068" ht="15.75" customHeight="1">
      <c r="A1068" s="16">
        <v>52.0</v>
      </c>
      <c r="B1068" s="17" t="s">
        <v>5159</v>
      </c>
      <c r="C1068" s="16">
        <v>1.0</v>
      </c>
      <c r="D1068" s="18" t="s">
        <v>4183</v>
      </c>
    </row>
    <row r="1069" ht="15.75" customHeight="1">
      <c r="A1069" s="16">
        <v>53.0</v>
      </c>
      <c r="B1069" s="17" t="s">
        <v>5160</v>
      </c>
      <c r="C1069" s="16">
        <v>1.0</v>
      </c>
      <c r="D1069" s="18" t="s">
        <v>4183</v>
      </c>
    </row>
    <row r="1070" ht="15.75" customHeight="1">
      <c r="A1070" s="16">
        <v>54.0</v>
      </c>
      <c r="B1070" s="17" t="s">
        <v>5161</v>
      </c>
      <c r="C1070" s="16">
        <v>5.0</v>
      </c>
      <c r="D1070" s="18" t="s">
        <v>4178</v>
      </c>
    </row>
    <row r="1071" ht="15.75" customHeight="1">
      <c r="A1071" s="16">
        <v>55.0</v>
      </c>
      <c r="B1071" s="17" t="s">
        <v>5162</v>
      </c>
      <c r="C1071" s="16">
        <v>1.0</v>
      </c>
      <c r="D1071" s="18" t="s">
        <v>4178</v>
      </c>
    </row>
    <row r="1072" ht="15.75" customHeight="1">
      <c r="A1072" s="16">
        <v>56.0</v>
      </c>
      <c r="B1072" s="17" t="s">
        <v>5163</v>
      </c>
      <c r="C1072" s="16">
        <v>5.0</v>
      </c>
      <c r="D1072" s="18" t="s">
        <v>4183</v>
      </c>
    </row>
    <row r="1073" ht="15.75" customHeight="1">
      <c r="A1073" s="16">
        <v>57.0</v>
      </c>
      <c r="B1073" s="17" t="s">
        <v>5164</v>
      </c>
      <c r="C1073" s="16">
        <v>13.0</v>
      </c>
      <c r="D1073" s="18" t="s">
        <v>4183</v>
      </c>
    </row>
    <row r="1074" ht="15.75" customHeight="1">
      <c r="A1074" s="16">
        <v>58.0</v>
      </c>
      <c r="B1074" s="17" t="s">
        <v>5165</v>
      </c>
      <c r="C1074" s="16">
        <v>2.0</v>
      </c>
      <c r="D1074" s="18" t="s">
        <v>4183</v>
      </c>
    </row>
    <row r="1075" ht="15.75" customHeight="1">
      <c r="A1075" s="16">
        <v>59.0</v>
      </c>
      <c r="B1075" s="17" t="s">
        <v>5166</v>
      </c>
      <c r="C1075" s="16">
        <v>1.0</v>
      </c>
      <c r="D1075" s="18" t="s">
        <v>4183</v>
      </c>
    </row>
    <row r="1076" ht="15.75" customHeight="1">
      <c r="A1076" s="16">
        <v>60.0</v>
      </c>
      <c r="B1076" s="17" t="s">
        <v>5167</v>
      </c>
      <c r="C1076" s="16">
        <v>2.0</v>
      </c>
      <c r="D1076" s="18" t="s">
        <v>4183</v>
      </c>
    </row>
    <row r="1077" ht="15.75" customHeight="1">
      <c r="A1077" s="16">
        <v>61.0</v>
      </c>
      <c r="B1077" s="17" t="s">
        <v>5168</v>
      </c>
      <c r="C1077" s="16">
        <v>6.0</v>
      </c>
      <c r="D1077" s="18" t="s">
        <v>4183</v>
      </c>
    </row>
    <row r="1078" ht="15.75" customHeight="1">
      <c r="A1078" s="16">
        <v>62.0</v>
      </c>
      <c r="B1078" s="17" t="s">
        <v>5169</v>
      </c>
      <c r="C1078" s="16">
        <v>6.0</v>
      </c>
      <c r="D1078" s="18" t="s">
        <v>4183</v>
      </c>
    </row>
    <row r="1079" ht="15.75" customHeight="1">
      <c r="A1079" s="16">
        <v>63.0</v>
      </c>
      <c r="B1079" s="17" t="s">
        <v>5170</v>
      </c>
      <c r="C1079" s="16">
        <v>12.0</v>
      </c>
      <c r="D1079" s="18" t="s">
        <v>4183</v>
      </c>
    </row>
    <row r="1080" ht="15.75" customHeight="1">
      <c r="A1080" s="16">
        <v>64.0</v>
      </c>
      <c r="B1080" s="17" t="s">
        <v>5171</v>
      </c>
      <c r="C1080" s="16">
        <v>3.0</v>
      </c>
      <c r="D1080" s="18" t="s">
        <v>4178</v>
      </c>
    </row>
    <row r="1081" ht="15.75" customHeight="1">
      <c r="A1081" s="16">
        <v>65.0</v>
      </c>
      <c r="B1081" s="17" t="s">
        <v>5172</v>
      </c>
      <c r="C1081" s="16">
        <v>19.0</v>
      </c>
      <c r="D1081" s="18" t="s">
        <v>4183</v>
      </c>
    </row>
    <row r="1082" ht="15.75" customHeight="1">
      <c r="A1082" s="16">
        <v>66.0</v>
      </c>
      <c r="B1082" s="17" t="s">
        <v>5173</v>
      </c>
      <c r="C1082" s="16">
        <v>30.0</v>
      </c>
      <c r="D1082" s="18" t="s">
        <v>4183</v>
      </c>
    </row>
    <row r="1083" ht="15.75" customHeight="1">
      <c r="A1083" s="16">
        <v>67.0</v>
      </c>
      <c r="B1083" s="17" t="s">
        <v>5174</v>
      </c>
      <c r="C1083" s="16">
        <v>5.0</v>
      </c>
      <c r="D1083" s="18" t="s">
        <v>4183</v>
      </c>
    </row>
    <row r="1084" ht="15.75" customHeight="1">
      <c r="A1084" s="16">
        <v>68.0</v>
      </c>
      <c r="B1084" s="17" t="s">
        <v>5175</v>
      </c>
      <c r="C1084" s="16">
        <v>15.0</v>
      </c>
      <c r="D1084" s="18" t="s">
        <v>4183</v>
      </c>
    </row>
    <row r="1085" ht="15.75" customHeight="1">
      <c r="A1085" s="16">
        <v>69.0</v>
      </c>
      <c r="B1085" s="17" t="s">
        <v>5176</v>
      </c>
      <c r="C1085" s="16">
        <v>5.0</v>
      </c>
      <c r="D1085" s="18" t="s">
        <v>4183</v>
      </c>
    </row>
    <row r="1086" ht="15.75" customHeight="1">
      <c r="A1086" s="16">
        <v>70.0</v>
      </c>
      <c r="B1086" s="17" t="s">
        <v>5177</v>
      </c>
      <c r="C1086" s="16">
        <v>7.0</v>
      </c>
      <c r="D1086" s="18" t="s">
        <v>4183</v>
      </c>
    </row>
    <row r="1087" ht="15.75" customHeight="1">
      <c r="A1087" s="16">
        <v>71.0</v>
      </c>
      <c r="B1087" s="17" t="s">
        <v>5178</v>
      </c>
      <c r="C1087" s="16">
        <v>16.0</v>
      </c>
      <c r="D1087" s="18" t="s">
        <v>4183</v>
      </c>
    </row>
    <row r="1088" ht="15.75" customHeight="1">
      <c r="A1088" s="16">
        <v>72.0</v>
      </c>
      <c r="B1088" s="17" t="s">
        <v>5179</v>
      </c>
      <c r="C1088" s="16">
        <v>3.0</v>
      </c>
      <c r="D1088" s="18" t="s">
        <v>4183</v>
      </c>
    </row>
    <row r="1089" ht="15.75" customHeight="1">
      <c r="A1089" s="16">
        <v>73.0</v>
      </c>
      <c r="B1089" s="17" t="s">
        <v>5180</v>
      </c>
      <c r="C1089" s="16">
        <v>14.0</v>
      </c>
      <c r="D1089" s="18" t="s">
        <v>4183</v>
      </c>
    </row>
    <row r="1090" ht="15.75" customHeight="1">
      <c r="A1090" s="16">
        <v>74.0</v>
      </c>
      <c r="B1090" s="17" t="s">
        <v>5181</v>
      </c>
      <c r="C1090" s="16">
        <v>10.0</v>
      </c>
      <c r="D1090" s="18" t="s">
        <v>4183</v>
      </c>
    </row>
    <row r="1091" ht="15.75" customHeight="1">
      <c r="A1091" s="16">
        <v>75.0</v>
      </c>
      <c r="B1091" s="17" t="s">
        <v>5182</v>
      </c>
      <c r="C1091" s="16">
        <v>10.0</v>
      </c>
      <c r="D1091" s="18" t="s">
        <v>4178</v>
      </c>
    </row>
    <row r="1092" ht="15.75" customHeight="1">
      <c r="A1092" s="16">
        <v>76.0</v>
      </c>
      <c r="B1092" s="17" t="s">
        <v>5183</v>
      </c>
      <c r="C1092" s="16">
        <v>3.0</v>
      </c>
      <c r="D1092" s="18" t="s">
        <v>4183</v>
      </c>
    </row>
    <row r="1093" ht="15.75" customHeight="1">
      <c r="A1093" s="16">
        <v>77.0</v>
      </c>
      <c r="B1093" s="17" t="s">
        <v>5184</v>
      </c>
      <c r="C1093" s="16">
        <v>50.0</v>
      </c>
      <c r="D1093" s="18" t="s">
        <v>4183</v>
      </c>
    </row>
    <row r="1094" ht="15.75" customHeight="1">
      <c r="A1094" s="16">
        <v>78.0</v>
      </c>
      <c r="B1094" s="17" t="s">
        <v>5185</v>
      </c>
      <c r="C1094" s="16">
        <v>22.0</v>
      </c>
      <c r="D1094" s="18" t="s">
        <v>4183</v>
      </c>
    </row>
    <row r="1095" ht="15.75" customHeight="1">
      <c r="A1095" s="16">
        <v>79.0</v>
      </c>
      <c r="B1095" s="17" t="s">
        <v>5186</v>
      </c>
      <c r="C1095" s="16">
        <v>13.0</v>
      </c>
      <c r="D1095" s="18" t="s">
        <v>4183</v>
      </c>
    </row>
    <row r="1096" ht="15.75" customHeight="1">
      <c r="A1096" s="16">
        <v>80.0</v>
      </c>
      <c r="B1096" s="17" t="s">
        <v>5187</v>
      </c>
      <c r="C1096" s="16">
        <v>2.0</v>
      </c>
      <c r="D1096" s="18" t="s">
        <v>4183</v>
      </c>
    </row>
    <row r="1097" ht="15.75" customHeight="1">
      <c r="A1097" s="16">
        <v>81.0</v>
      </c>
      <c r="B1097" s="17" t="s">
        <v>5188</v>
      </c>
      <c r="C1097" s="16">
        <v>5.0</v>
      </c>
      <c r="D1097" s="18" t="s">
        <v>4183</v>
      </c>
    </row>
    <row r="1098" ht="15.75" customHeight="1">
      <c r="A1098" s="16">
        <v>82.0</v>
      </c>
      <c r="B1098" s="17" t="s">
        <v>5189</v>
      </c>
      <c r="C1098" s="16">
        <v>4.0</v>
      </c>
      <c r="D1098" s="18" t="s">
        <v>4183</v>
      </c>
    </row>
    <row r="1099" ht="15.75" customHeight="1">
      <c r="A1099" s="16">
        <v>83.0</v>
      </c>
      <c r="B1099" s="17" t="s">
        <v>5190</v>
      </c>
      <c r="C1099" s="16">
        <v>15.0</v>
      </c>
      <c r="D1099" s="18" t="s">
        <v>4183</v>
      </c>
    </row>
    <row r="1100" ht="15.75" customHeight="1">
      <c r="A1100" s="16">
        <v>84.0</v>
      </c>
      <c r="B1100" s="17" t="s">
        <v>5191</v>
      </c>
      <c r="C1100" s="16">
        <v>4.0</v>
      </c>
      <c r="D1100" s="18" t="s">
        <v>4183</v>
      </c>
    </row>
    <row r="1101" ht="15.75" customHeight="1">
      <c r="A1101" s="16">
        <v>85.0</v>
      </c>
      <c r="B1101" s="17" t="s">
        <v>5192</v>
      </c>
      <c r="C1101" s="16">
        <v>4.0</v>
      </c>
      <c r="D1101" s="18" t="s">
        <v>4183</v>
      </c>
    </row>
    <row r="1102" ht="15.75" customHeight="1">
      <c r="A1102" s="16">
        <v>86.0</v>
      </c>
      <c r="B1102" s="17" t="s">
        <v>5193</v>
      </c>
      <c r="C1102" s="18" t="s">
        <v>4270</v>
      </c>
      <c r="D1102" s="18" t="s">
        <v>4183</v>
      </c>
    </row>
    <row r="1103" ht="15.75" customHeight="1">
      <c r="A1103" s="16">
        <v>87.0</v>
      </c>
      <c r="B1103" s="17" t="s">
        <v>5194</v>
      </c>
      <c r="C1103" s="16">
        <v>4.0</v>
      </c>
      <c r="D1103" s="18" t="s">
        <v>4178</v>
      </c>
    </row>
    <row r="1104" ht="15.75" customHeight="1">
      <c r="A1104" s="16">
        <v>88.0</v>
      </c>
      <c r="B1104" s="17" t="s">
        <v>5195</v>
      </c>
      <c r="C1104" s="16">
        <v>4.0</v>
      </c>
      <c r="D1104" s="18" t="s">
        <v>4183</v>
      </c>
    </row>
    <row r="1105" ht="15.75" customHeight="1">
      <c r="A1105" s="16">
        <v>89.0</v>
      </c>
      <c r="B1105" s="17" t="s">
        <v>5196</v>
      </c>
      <c r="C1105" s="16">
        <v>7.0</v>
      </c>
      <c r="D1105" s="18" t="s">
        <v>4183</v>
      </c>
    </row>
    <row r="1106" ht="15.75" customHeight="1">
      <c r="A1106" s="16">
        <v>90.0</v>
      </c>
      <c r="B1106" s="17" t="s">
        <v>5197</v>
      </c>
      <c r="C1106" s="16">
        <v>75.0</v>
      </c>
      <c r="D1106" s="18" t="s">
        <v>4183</v>
      </c>
    </row>
    <row r="1107" ht="15.75" customHeight="1">
      <c r="A1107" s="16">
        <v>91.0</v>
      </c>
      <c r="B1107" s="17" t="s">
        <v>5198</v>
      </c>
      <c r="C1107" s="16">
        <v>5.0</v>
      </c>
      <c r="D1107" s="18" t="s">
        <v>4183</v>
      </c>
    </row>
    <row r="1108" ht="15.75" customHeight="1">
      <c r="A1108" s="16">
        <v>92.0</v>
      </c>
      <c r="B1108" s="17" t="s">
        <v>5199</v>
      </c>
      <c r="C1108" s="16">
        <v>7.0</v>
      </c>
      <c r="D1108" s="18" t="s">
        <v>4183</v>
      </c>
    </row>
    <row r="1109" ht="15.75" customHeight="1">
      <c r="A1109" s="16">
        <v>93.0</v>
      </c>
      <c r="B1109" s="17" t="s">
        <v>5200</v>
      </c>
      <c r="C1109" s="16">
        <v>3.0</v>
      </c>
      <c r="D1109" s="18" t="s">
        <v>4183</v>
      </c>
    </row>
    <row r="1110" ht="15.75" customHeight="1">
      <c r="A1110" s="16">
        <v>94.0</v>
      </c>
      <c r="B1110" s="17" t="s">
        <v>5201</v>
      </c>
      <c r="C1110" s="16">
        <v>4.0</v>
      </c>
      <c r="D1110" s="18" t="s">
        <v>4183</v>
      </c>
    </row>
    <row r="1111" ht="15.75" customHeight="1">
      <c r="A1111" s="16">
        <v>95.0</v>
      </c>
      <c r="B1111" s="17" t="s">
        <v>5202</v>
      </c>
      <c r="C1111" s="16">
        <v>2.0</v>
      </c>
      <c r="D1111" s="18" t="s">
        <v>4183</v>
      </c>
    </row>
    <row r="1112" ht="15.75" customHeight="1">
      <c r="A1112" s="16">
        <v>96.0</v>
      </c>
      <c r="B1112" s="17" t="s">
        <v>5203</v>
      </c>
      <c r="C1112" s="16">
        <v>14.0</v>
      </c>
      <c r="D1112" s="18" t="s">
        <v>4183</v>
      </c>
    </row>
    <row r="1113" ht="15.75" customHeight="1">
      <c r="A1113" s="16">
        <v>97.0</v>
      </c>
      <c r="B1113" s="17" t="s">
        <v>5204</v>
      </c>
      <c r="C1113" s="16">
        <v>2.0</v>
      </c>
      <c r="D1113" s="18" t="s">
        <v>4183</v>
      </c>
    </row>
    <row r="1114" ht="15.75" customHeight="1">
      <c r="A1114" s="16">
        <v>98.0</v>
      </c>
      <c r="B1114" s="17" t="s">
        <v>5205</v>
      </c>
      <c r="C1114" s="16">
        <v>4.0</v>
      </c>
      <c r="D1114" s="18" t="s">
        <v>4183</v>
      </c>
    </row>
    <row r="1115" ht="15.75" customHeight="1">
      <c r="A1115" s="16">
        <v>99.0</v>
      </c>
      <c r="B1115" s="17" t="s">
        <v>5206</v>
      </c>
      <c r="C1115" s="16">
        <v>2.0</v>
      </c>
      <c r="D1115" s="18" t="s">
        <v>4183</v>
      </c>
    </row>
    <row r="1116" ht="15.75" customHeight="1">
      <c r="A1116" s="16">
        <v>100.0</v>
      </c>
      <c r="B1116" s="17" t="s">
        <v>5207</v>
      </c>
      <c r="C1116" s="16">
        <v>2.0</v>
      </c>
      <c r="D1116" s="18" t="s">
        <v>4183</v>
      </c>
    </row>
    <row r="1117" ht="15.75" customHeight="1">
      <c r="A1117" s="16">
        <v>101.0</v>
      </c>
      <c r="B1117" s="17" t="s">
        <v>5208</v>
      </c>
      <c r="C1117" s="16">
        <v>14.0</v>
      </c>
      <c r="D1117" s="18" t="s">
        <v>4183</v>
      </c>
    </row>
    <row r="1118" ht="15.75" customHeight="1">
      <c r="A1118" s="16">
        <v>102.0</v>
      </c>
      <c r="B1118" s="17" t="s">
        <v>5209</v>
      </c>
      <c r="C1118" s="16">
        <v>3.0</v>
      </c>
      <c r="D1118" s="18" t="s">
        <v>4183</v>
      </c>
    </row>
    <row r="1119" ht="15.75" customHeight="1">
      <c r="A1119" s="16">
        <v>103.0</v>
      </c>
      <c r="B1119" s="17" t="s">
        <v>5210</v>
      </c>
      <c r="C1119" s="16">
        <v>1.0</v>
      </c>
      <c r="D1119" s="18" t="s">
        <v>4178</v>
      </c>
    </row>
    <row r="1120" ht="15.75" customHeight="1">
      <c r="A1120" s="16">
        <v>104.0</v>
      </c>
      <c r="B1120" s="17" t="s">
        <v>5211</v>
      </c>
      <c r="C1120" s="18" t="s">
        <v>4384</v>
      </c>
      <c r="D1120" s="18" t="s">
        <v>4183</v>
      </c>
    </row>
    <row r="1121" ht="15.75" customHeight="1">
      <c r="A1121" s="16">
        <v>105.0</v>
      </c>
      <c r="B1121" s="17" t="s">
        <v>5212</v>
      </c>
      <c r="C1121" s="16">
        <v>8.0</v>
      </c>
      <c r="D1121" s="18" t="s">
        <v>4183</v>
      </c>
    </row>
    <row r="1122" ht="15.75" customHeight="1">
      <c r="A1122" s="16">
        <v>106.0</v>
      </c>
      <c r="B1122" s="17" t="s">
        <v>5213</v>
      </c>
      <c r="C1122" s="16">
        <v>12.0</v>
      </c>
      <c r="D1122" s="18" t="s">
        <v>4183</v>
      </c>
    </row>
    <row r="1123" ht="15.75" customHeight="1">
      <c r="A1123" s="16">
        <v>107.0</v>
      </c>
      <c r="B1123" s="17" t="s">
        <v>5214</v>
      </c>
      <c r="C1123" s="16">
        <v>1.0</v>
      </c>
      <c r="D1123" s="18" t="s">
        <v>4183</v>
      </c>
    </row>
    <row r="1124" ht="15.75" customHeight="1">
      <c r="A1124" s="16">
        <v>108.0</v>
      </c>
      <c r="B1124" s="17" t="s">
        <v>5215</v>
      </c>
      <c r="C1124" s="16">
        <v>4.0</v>
      </c>
      <c r="D1124" s="18" t="s">
        <v>4183</v>
      </c>
    </row>
    <row r="1125" ht="15.75" customHeight="1">
      <c r="A1125" s="16">
        <v>109.0</v>
      </c>
      <c r="B1125" s="17" t="s">
        <v>5216</v>
      </c>
      <c r="C1125" s="16">
        <v>15.0</v>
      </c>
      <c r="D1125" s="18" t="s">
        <v>4183</v>
      </c>
    </row>
    <row r="1126" ht="15.75" customHeight="1">
      <c r="A1126" s="16">
        <v>110.0</v>
      </c>
      <c r="B1126" s="17" t="s">
        <v>5217</v>
      </c>
      <c r="C1126" s="16">
        <v>4.0</v>
      </c>
      <c r="D1126" s="18" t="s">
        <v>4183</v>
      </c>
    </row>
    <row r="1127" ht="15.75" customHeight="1">
      <c r="A1127" s="16">
        <v>111.0</v>
      </c>
      <c r="B1127" s="17" t="s">
        <v>5218</v>
      </c>
      <c r="C1127" s="16">
        <v>16.0</v>
      </c>
      <c r="D1127" s="18" t="s">
        <v>4183</v>
      </c>
    </row>
    <row r="1128" ht="15.75" customHeight="1">
      <c r="A1128" s="16">
        <v>112.0</v>
      </c>
      <c r="B1128" s="17" t="s">
        <v>5219</v>
      </c>
      <c r="C1128" s="16">
        <v>3.0</v>
      </c>
      <c r="D1128" s="18" t="s">
        <v>4183</v>
      </c>
    </row>
    <row r="1129" ht="15.75" customHeight="1">
      <c r="A1129" s="16">
        <v>113.0</v>
      </c>
      <c r="B1129" s="17" t="s">
        <v>5220</v>
      </c>
      <c r="C1129" s="16">
        <v>4.0</v>
      </c>
      <c r="D1129" s="18" t="s">
        <v>4183</v>
      </c>
    </row>
    <row r="1130" ht="15.75" customHeight="1">
      <c r="A1130" s="16">
        <v>114.0</v>
      </c>
      <c r="B1130" s="17" t="s">
        <v>5221</v>
      </c>
      <c r="C1130" s="16">
        <v>2.0</v>
      </c>
      <c r="D1130" s="18" t="s">
        <v>4178</v>
      </c>
    </row>
    <row r="1131" ht="15.75" customHeight="1">
      <c r="A1131" s="16">
        <v>115.0</v>
      </c>
      <c r="B1131" s="17" t="s">
        <v>5222</v>
      </c>
      <c r="C1131" s="16">
        <v>1.0</v>
      </c>
      <c r="D1131" s="18" t="s">
        <v>4183</v>
      </c>
    </row>
    <row r="1132" ht="15.75" customHeight="1">
      <c r="A1132" s="16">
        <v>116.0</v>
      </c>
      <c r="B1132" s="17" t="s">
        <v>5223</v>
      </c>
      <c r="C1132" s="19">
        <v>3.25</v>
      </c>
      <c r="D1132" s="18" t="s">
        <v>4183</v>
      </c>
    </row>
    <row r="1133" ht="15.75" customHeight="1">
      <c r="A1133" s="16">
        <v>117.0</v>
      </c>
      <c r="B1133" s="17" t="s">
        <v>5224</v>
      </c>
      <c r="C1133" s="19">
        <v>9.9</v>
      </c>
      <c r="D1133" s="18" t="s">
        <v>4183</v>
      </c>
    </row>
    <row r="1134" ht="15.75" customHeight="1">
      <c r="A1134" s="16">
        <v>118.0</v>
      </c>
      <c r="B1134" s="17" t="s">
        <v>5225</v>
      </c>
      <c r="C1134" s="16">
        <v>5.0</v>
      </c>
      <c r="D1134" s="18" t="s">
        <v>4183</v>
      </c>
    </row>
    <row r="1135" ht="15.75" customHeight="1">
      <c r="A1135" s="16">
        <v>119.0</v>
      </c>
      <c r="B1135" s="17" t="s">
        <v>5226</v>
      </c>
      <c r="C1135" s="16">
        <v>1.0</v>
      </c>
      <c r="D1135" s="18" t="s">
        <v>4178</v>
      </c>
    </row>
    <row r="1136" ht="15.75" customHeight="1">
      <c r="A1136" s="16">
        <v>120.0</v>
      </c>
      <c r="B1136" s="17" t="s">
        <v>5227</v>
      </c>
      <c r="C1136" s="16">
        <v>5.0</v>
      </c>
      <c r="D1136" s="18" t="s">
        <v>4178</v>
      </c>
    </row>
    <row r="1137" ht="15.75" customHeight="1">
      <c r="A1137" s="16">
        <v>121.0</v>
      </c>
      <c r="B1137" s="17" t="s">
        <v>5228</v>
      </c>
      <c r="C1137" s="16">
        <v>6.0</v>
      </c>
      <c r="D1137" s="18" t="s">
        <v>4178</v>
      </c>
    </row>
    <row r="1138" ht="15.75" customHeight="1">
      <c r="A1138" s="16">
        <v>122.0</v>
      </c>
      <c r="B1138" s="17" t="s">
        <v>5229</v>
      </c>
      <c r="C1138" s="16">
        <v>17.0</v>
      </c>
      <c r="D1138" s="18" t="s">
        <v>4183</v>
      </c>
    </row>
    <row r="1139" ht="15.75" customHeight="1">
      <c r="A1139" s="16">
        <v>123.0</v>
      </c>
      <c r="B1139" s="17" t="s">
        <v>5230</v>
      </c>
      <c r="C1139" s="16">
        <v>13.0</v>
      </c>
      <c r="D1139" s="18" t="s">
        <v>4183</v>
      </c>
    </row>
    <row r="1140" ht="15.75" customHeight="1">
      <c r="A1140" s="16">
        <v>124.0</v>
      </c>
      <c r="B1140" s="17" t="s">
        <v>5231</v>
      </c>
      <c r="C1140" s="16">
        <v>9.0</v>
      </c>
      <c r="D1140" s="18" t="s">
        <v>4183</v>
      </c>
    </row>
    <row r="1141" ht="15.75" customHeight="1">
      <c r="A1141" s="16">
        <v>125.0</v>
      </c>
      <c r="B1141" s="17" t="s">
        <v>5232</v>
      </c>
      <c r="C1141" s="16">
        <v>5.0</v>
      </c>
      <c r="D1141" s="18" t="s">
        <v>4183</v>
      </c>
    </row>
    <row r="1142" ht="15.75" customHeight="1">
      <c r="A1142" s="16">
        <v>126.0</v>
      </c>
      <c r="B1142" s="17" t="s">
        <v>5233</v>
      </c>
      <c r="C1142" s="16">
        <v>1.0</v>
      </c>
      <c r="D1142" s="18" t="s">
        <v>4178</v>
      </c>
    </row>
    <row r="1143" ht="15.75" customHeight="1">
      <c r="A1143" s="16">
        <v>127.0</v>
      </c>
      <c r="B1143" s="17" t="s">
        <v>5234</v>
      </c>
      <c r="C1143" s="16">
        <v>1.0</v>
      </c>
      <c r="D1143" s="18" t="s">
        <v>4183</v>
      </c>
    </row>
    <row r="1144" ht="15.75" customHeight="1">
      <c r="A1144" s="16">
        <v>128.0</v>
      </c>
      <c r="B1144" s="17" t="s">
        <v>5235</v>
      </c>
      <c r="C1144" s="16">
        <v>1.0</v>
      </c>
      <c r="D1144" s="18" t="s">
        <v>4183</v>
      </c>
    </row>
    <row r="1145" ht="15.75" customHeight="1">
      <c r="A1145" s="16">
        <v>129.0</v>
      </c>
      <c r="B1145" s="17" t="s">
        <v>5236</v>
      </c>
      <c r="C1145" s="16">
        <v>6.0</v>
      </c>
      <c r="D1145" s="18" t="s">
        <v>4183</v>
      </c>
    </row>
    <row r="1146" ht="15.75" customHeight="1">
      <c r="A1146" s="16">
        <v>130.0</v>
      </c>
      <c r="B1146" s="17" t="s">
        <v>5237</v>
      </c>
      <c r="C1146" s="16">
        <v>3.0</v>
      </c>
      <c r="D1146" s="18" t="s">
        <v>4183</v>
      </c>
    </row>
    <row r="1147" ht="15.75" customHeight="1">
      <c r="A1147" s="16">
        <v>131.0</v>
      </c>
      <c r="B1147" s="17" t="s">
        <v>5238</v>
      </c>
      <c r="C1147" s="16">
        <v>27.0</v>
      </c>
      <c r="D1147" s="18" t="s">
        <v>4183</v>
      </c>
    </row>
    <row r="1148" ht="15.75" customHeight="1">
      <c r="A1148" s="20"/>
      <c r="B1148" s="21" t="s">
        <v>4273</v>
      </c>
      <c r="C1148" s="22">
        <v>1114.12</v>
      </c>
      <c r="D1148" s="21" t="s">
        <v>4171</v>
      </c>
    </row>
    <row r="1149" ht="15.75" customHeight="1">
      <c r="A1149" s="11"/>
      <c r="B1149" s="12"/>
      <c r="C1149" s="12"/>
      <c r="D1149" s="13"/>
    </row>
    <row r="1150" ht="15.75" customHeight="1">
      <c r="A1150" s="14" t="s">
        <v>4165</v>
      </c>
      <c r="B1150" s="15"/>
      <c r="C1150" s="15"/>
      <c r="D1150" s="15"/>
    </row>
    <row r="1151" ht="15.75" customHeight="1">
      <c r="A1151" s="16">
        <v>1.0</v>
      </c>
      <c r="B1151" s="17" t="s">
        <v>5239</v>
      </c>
      <c r="C1151" s="16">
        <v>11.0</v>
      </c>
      <c r="D1151" s="18" t="s">
        <v>4183</v>
      </c>
    </row>
    <row r="1152" ht="15.75" customHeight="1">
      <c r="A1152" s="20"/>
      <c r="B1152" s="21" t="s">
        <v>4273</v>
      </c>
      <c r="C1152" s="23">
        <v>11.0</v>
      </c>
      <c r="D1152" s="21" t="s">
        <v>4171</v>
      </c>
    </row>
    <row r="1153" ht="15.75" customHeight="1">
      <c r="A1153" s="11"/>
      <c r="B1153" s="12"/>
      <c r="C1153" s="12"/>
      <c r="D1153" s="13"/>
    </row>
    <row r="1154" ht="15.75" customHeight="1">
      <c r="A1154" s="14" t="s">
        <v>4080</v>
      </c>
      <c r="B1154" s="15"/>
      <c r="C1154" s="15"/>
      <c r="D1154" s="15"/>
    </row>
    <row r="1155" ht="15.75" customHeight="1">
      <c r="A1155" s="16">
        <v>1.0</v>
      </c>
      <c r="B1155" s="17" t="s">
        <v>5240</v>
      </c>
      <c r="C1155" s="16">
        <v>1.0</v>
      </c>
      <c r="D1155" s="18" t="s">
        <v>4178</v>
      </c>
    </row>
    <row r="1156" ht="15.75" customHeight="1">
      <c r="A1156" s="16">
        <v>2.0</v>
      </c>
      <c r="B1156" s="17" t="s">
        <v>5241</v>
      </c>
      <c r="C1156" s="16">
        <v>14.0</v>
      </c>
      <c r="D1156" s="18" t="s">
        <v>4178</v>
      </c>
    </row>
    <row r="1157" ht="15.75" customHeight="1">
      <c r="A1157" s="16">
        <v>3.0</v>
      </c>
      <c r="B1157" s="17" t="s">
        <v>5242</v>
      </c>
      <c r="C1157" s="16">
        <v>15.0</v>
      </c>
      <c r="D1157" s="18" t="s">
        <v>4183</v>
      </c>
    </row>
    <row r="1158" ht="15.75" customHeight="1">
      <c r="A1158" s="16">
        <v>4.0</v>
      </c>
      <c r="B1158" s="17" t="s">
        <v>5243</v>
      </c>
      <c r="C1158" s="16">
        <v>24.0</v>
      </c>
      <c r="D1158" s="18" t="s">
        <v>4183</v>
      </c>
    </row>
    <row r="1159" ht="15.75" customHeight="1">
      <c r="A1159" s="16">
        <v>5.0</v>
      </c>
      <c r="B1159" s="17" t="s">
        <v>5244</v>
      </c>
      <c r="C1159" s="16">
        <v>10.0</v>
      </c>
      <c r="D1159" s="18" t="s">
        <v>4178</v>
      </c>
    </row>
    <row r="1160" ht="15.75" customHeight="1">
      <c r="A1160" s="16">
        <v>6.0</v>
      </c>
      <c r="B1160" s="17" t="s">
        <v>5245</v>
      </c>
      <c r="C1160" s="16">
        <v>11.0</v>
      </c>
      <c r="D1160" s="18" t="s">
        <v>4178</v>
      </c>
    </row>
    <row r="1161" ht="15.75" customHeight="1">
      <c r="A1161" s="16">
        <v>7.0</v>
      </c>
      <c r="B1161" s="17" t="s">
        <v>5246</v>
      </c>
      <c r="C1161" s="16">
        <v>14.0</v>
      </c>
      <c r="D1161" s="18" t="s">
        <v>4178</v>
      </c>
    </row>
    <row r="1162" ht="15.75" customHeight="1">
      <c r="A1162" s="16">
        <v>8.0</v>
      </c>
      <c r="B1162" s="17" t="s">
        <v>5247</v>
      </c>
      <c r="C1162" s="16">
        <v>11.0</v>
      </c>
      <c r="D1162" s="18" t="s">
        <v>4183</v>
      </c>
    </row>
    <row r="1163" ht="15.75" customHeight="1">
      <c r="A1163" s="16">
        <v>9.0</v>
      </c>
      <c r="B1163" s="17" t="s">
        <v>5248</v>
      </c>
      <c r="C1163" s="16">
        <v>16.0</v>
      </c>
      <c r="D1163" s="18" t="s">
        <v>4183</v>
      </c>
    </row>
    <row r="1164" ht="15.75" customHeight="1">
      <c r="A1164" s="16">
        <v>10.0</v>
      </c>
      <c r="B1164" s="17" t="s">
        <v>5249</v>
      </c>
      <c r="C1164" s="16">
        <v>6.0</v>
      </c>
      <c r="D1164" s="18" t="s">
        <v>4183</v>
      </c>
    </row>
    <row r="1165" ht="15.75" customHeight="1">
      <c r="A1165" s="16">
        <v>11.0</v>
      </c>
      <c r="B1165" s="17" t="s">
        <v>5250</v>
      </c>
      <c r="C1165" s="16">
        <v>2.0</v>
      </c>
      <c r="D1165" s="18" t="s">
        <v>4178</v>
      </c>
    </row>
    <row r="1166" ht="15.75" customHeight="1">
      <c r="A1166" s="16">
        <v>12.0</v>
      </c>
      <c r="B1166" s="17" t="s">
        <v>5251</v>
      </c>
      <c r="C1166" s="16">
        <v>1.0</v>
      </c>
      <c r="D1166" s="18" t="s">
        <v>4178</v>
      </c>
    </row>
    <row r="1167" ht="15.75" customHeight="1">
      <c r="A1167" s="16">
        <v>13.0</v>
      </c>
      <c r="B1167" s="17" t="s">
        <v>5252</v>
      </c>
      <c r="C1167" s="16">
        <v>2.0</v>
      </c>
      <c r="D1167" s="18" t="s">
        <v>4178</v>
      </c>
    </row>
    <row r="1168" ht="15.75" customHeight="1">
      <c r="A1168" s="16">
        <v>14.0</v>
      </c>
      <c r="B1168" s="17" t="s">
        <v>5253</v>
      </c>
      <c r="C1168" s="16">
        <v>4.0</v>
      </c>
      <c r="D1168" s="18" t="s">
        <v>4178</v>
      </c>
    </row>
    <row r="1169" ht="15.75" customHeight="1">
      <c r="A1169" s="16">
        <v>15.0</v>
      </c>
      <c r="B1169" s="17" t="s">
        <v>5254</v>
      </c>
      <c r="C1169" s="16">
        <v>17.0</v>
      </c>
      <c r="D1169" s="18" t="s">
        <v>4183</v>
      </c>
    </row>
    <row r="1170" ht="15.75" customHeight="1">
      <c r="A1170" s="16">
        <v>16.0</v>
      </c>
      <c r="B1170" s="17" t="s">
        <v>5255</v>
      </c>
      <c r="C1170" s="16">
        <v>445.0</v>
      </c>
      <c r="D1170" s="18" t="s">
        <v>4183</v>
      </c>
    </row>
    <row r="1171" ht="15.75" customHeight="1">
      <c r="A1171" s="16">
        <v>17.0</v>
      </c>
      <c r="B1171" s="17" t="s">
        <v>5256</v>
      </c>
      <c r="C1171" s="16">
        <v>14.0</v>
      </c>
      <c r="D1171" s="18" t="s">
        <v>4183</v>
      </c>
    </row>
    <row r="1172" ht="15.75" customHeight="1">
      <c r="A1172" s="16">
        <v>18.0</v>
      </c>
      <c r="B1172" s="17" t="s">
        <v>5257</v>
      </c>
      <c r="C1172" s="16">
        <v>5.0</v>
      </c>
      <c r="D1172" s="18" t="s">
        <v>4183</v>
      </c>
    </row>
    <row r="1173" ht="15.75" customHeight="1">
      <c r="A1173" s="16">
        <v>19.0</v>
      </c>
      <c r="B1173" s="17" t="s">
        <v>5258</v>
      </c>
      <c r="C1173" s="16">
        <v>1.0</v>
      </c>
      <c r="D1173" s="18" t="s">
        <v>4178</v>
      </c>
    </row>
    <row r="1174" ht="15.75" customHeight="1">
      <c r="A1174" s="16">
        <v>20.0</v>
      </c>
      <c r="B1174" s="17" t="s">
        <v>5259</v>
      </c>
      <c r="C1174" s="16">
        <v>67.0</v>
      </c>
      <c r="D1174" s="18" t="s">
        <v>4183</v>
      </c>
    </row>
    <row r="1175" ht="15.75" customHeight="1">
      <c r="A1175" s="16">
        <v>21.0</v>
      </c>
      <c r="B1175" s="17" t="s">
        <v>5260</v>
      </c>
      <c r="C1175" s="16">
        <v>2.0</v>
      </c>
      <c r="D1175" s="18" t="s">
        <v>4183</v>
      </c>
    </row>
    <row r="1176" ht="15.75" customHeight="1">
      <c r="A1176" s="16">
        <v>22.0</v>
      </c>
      <c r="B1176" s="17" t="s">
        <v>5261</v>
      </c>
      <c r="C1176" s="18" t="s">
        <v>4270</v>
      </c>
      <c r="D1176" s="18" t="s">
        <v>4183</v>
      </c>
    </row>
    <row r="1177" ht="15.75" customHeight="1">
      <c r="A1177" s="16">
        <v>23.0</v>
      </c>
      <c r="B1177" s="17" t="s">
        <v>5262</v>
      </c>
      <c r="C1177" s="16">
        <v>20.0</v>
      </c>
      <c r="D1177" s="18" t="s">
        <v>4178</v>
      </c>
    </row>
    <row r="1178" ht="15.75" customHeight="1">
      <c r="A1178" s="16">
        <v>24.0</v>
      </c>
      <c r="B1178" s="17" t="s">
        <v>5263</v>
      </c>
      <c r="C1178" s="16">
        <v>11.0</v>
      </c>
      <c r="D1178" s="18" t="s">
        <v>4183</v>
      </c>
    </row>
    <row r="1179" ht="15.75" customHeight="1">
      <c r="A1179" s="16">
        <v>25.0</v>
      </c>
      <c r="B1179" s="17" t="s">
        <v>5264</v>
      </c>
      <c r="C1179" s="16">
        <v>6.0</v>
      </c>
      <c r="D1179" s="18" t="s">
        <v>4178</v>
      </c>
    </row>
    <row r="1180" ht="15.75" customHeight="1">
      <c r="A1180" s="16">
        <v>26.0</v>
      </c>
      <c r="B1180" s="17" t="s">
        <v>5265</v>
      </c>
      <c r="C1180" s="16">
        <v>6.0</v>
      </c>
      <c r="D1180" s="18" t="s">
        <v>4178</v>
      </c>
    </row>
    <row r="1181" ht="15.75" customHeight="1">
      <c r="A1181" s="16">
        <v>27.0</v>
      </c>
      <c r="B1181" s="17" t="s">
        <v>5266</v>
      </c>
      <c r="C1181" s="16">
        <v>5.0</v>
      </c>
      <c r="D1181" s="18" t="s">
        <v>4183</v>
      </c>
    </row>
    <row r="1182" ht="15.75" customHeight="1">
      <c r="A1182" s="16">
        <v>28.0</v>
      </c>
      <c r="B1182" s="17" t="s">
        <v>5267</v>
      </c>
      <c r="C1182" s="16">
        <v>10.0</v>
      </c>
      <c r="D1182" s="18" t="s">
        <v>4183</v>
      </c>
    </row>
    <row r="1183" ht="15.75" customHeight="1">
      <c r="A1183" s="16">
        <v>29.0</v>
      </c>
      <c r="B1183" s="17" t="s">
        <v>5268</v>
      </c>
      <c r="C1183" s="16">
        <v>15.0</v>
      </c>
      <c r="D1183" s="18" t="s">
        <v>4183</v>
      </c>
    </row>
    <row r="1184" ht="15.75" customHeight="1">
      <c r="A1184" s="16">
        <v>30.0</v>
      </c>
      <c r="B1184" s="17" t="s">
        <v>5269</v>
      </c>
      <c r="C1184" s="16">
        <v>2.0</v>
      </c>
      <c r="D1184" s="18" t="s">
        <v>4183</v>
      </c>
    </row>
    <row r="1185" ht="15.75" customHeight="1">
      <c r="A1185" s="16">
        <v>31.0</v>
      </c>
      <c r="B1185" s="17" t="s">
        <v>5270</v>
      </c>
      <c r="C1185" s="16">
        <v>5.0</v>
      </c>
      <c r="D1185" s="18" t="s">
        <v>4178</v>
      </c>
    </row>
    <row r="1186" ht="15.75" customHeight="1">
      <c r="A1186" s="16">
        <v>32.0</v>
      </c>
      <c r="B1186" s="17" t="s">
        <v>5271</v>
      </c>
      <c r="C1186" s="16">
        <v>553.0</v>
      </c>
      <c r="D1186" s="18" t="s">
        <v>4183</v>
      </c>
    </row>
    <row r="1187" ht="15.75" customHeight="1">
      <c r="A1187" s="16">
        <v>33.0</v>
      </c>
      <c r="B1187" s="17" t="s">
        <v>5272</v>
      </c>
      <c r="C1187" s="16">
        <v>370.0</v>
      </c>
      <c r="D1187" s="18" t="s">
        <v>4183</v>
      </c>
    </row>
    <row r="1188" ht="15.75" customHeight="1">
      <c r="A1188" s="16">
        <v>34.0</v>
      </c>
      <c r="B1188" s="17" t="s">
        <v>5273</v>
      </c>
      <c r="C1188" s="16">
        <v>19.0</v>
      </c>
      <c r="D1188" s="18" t="s">
        <v>4178</v>
      </c>
    </row>
    <row r="1189" ht="15.75" customHeight="1">
      <c r="A1189" s="16">
        <v>35.0</v>
      </c>
      <c r="B1189" s="17" t="s">
        <v>5274</v>
      </c>
      <c r="C1189" s="16">
        <v>1.0</v>
      </c>
      <c r="D1189" s="18" t="s">
        <v>4178</v>
      </c>
    </row>
    <row r="1190" ht="15.75" customHeight="1">
      <c r="A1190" s="16">
        <v>36.0</v>
      </c>
      <c r="B1190" s="17" t="s">
        <v>5275</v>
      </c>
      <c r="C1190" s="16">
        <v>145.0</v>
      </c>
      <c r="D1190" s="18" t="s">
        <v>4183</v>
      </c>
    </row>
    <row r="1191" ht="15.75" customHeight="1">
      <c r="A1191" s="16">
        <v>37.0</v>
      </c>
      <c r="B1191" s="17" t="s">
        <v>5276</v>
      </c>
      <c r="C1191" s="16">
        <v>8.0</v>
      </c>
      <c r="D1191" s="18" t="s">
        <v>4178</v>
      </c>
    </row>
    <row r="1192" ht="15.75" customHeight="1">
      <c r="A1192" s="16">
        <v>38.0</v>
      </c>
      <c r="B1192" s="17" t="s">
        <v>5277</v>
      </c>
      <c r="C1192" s="16">
        <v>9.0</v>
      </c>
      <c r="D1192" s="18" t="s">
        <v>4178</v>
      </c>
    </row>
    <row r="1193" ht="15.75" customHeight="1">
      <c r="A1193" s="16">
        <v>39.0</v>
      </c>
      <c r="B1193" s="17" t="s">
        <v>5278</v>
      </c>
      <c r="C1193" s="16">
        <v>8.0</v>
      </c>
      <c r="D1193" s="18" t="s">
        <v>4178</v>
      </c>
    </row>
    <row r="1194" ht="15.75" customHeight="1">
      <c r="A1194" s="16">
        <v>40.0</v>
      </c>
      <c r="B1194" s="17" t="s">
        <v>5279</v>
      </c>
      <c r="C1194" s="16">
        <v>6.0</v>
      </c>
      <c r="D1194" s="18" t="s">
        <v>4183</v>
      </c>
    </row>
    <row r="1195" ht="15.75" customHeight="1">
      <c r="A1195" s="16">
        <v>41.0</v>
      </c>
      <c r="B1195" s="17" t="s">
        <v>5280</v>
      </c>
      <c r="C1195" s="16">
        <v>13.0</v>
      </c>
      <c r="D1195" s="18" t="s">
        <v>4178</v>
      </c>
    </row>
    <row r="1196" ht="15.75" customHeight="1">
      <c r="A1196" s="16">
        <v>42.0</v>
      </c>
      <c r="B1196" s="17" t="s">
        <v>5281</v>
      </c>
      <c r="C1196" s="18" t="s">
        <v>4384</v>
      </c>
      <c r="D1196" s="18" t="s">
        <v>4183</v>
      </c>
    </row>
    <row r="1197" ht="15.75" customHeight="1">
      <c r="A1197" s="20"/>
      <c r="B1197" s="21" t="s">
        <v>4273</v>
      </c>
      <c r="C1197" s="23">
        <v>1891.0</v>
      </c>
      <c r="D1197" s="21" t="s">
        <v>4171</v>
      </c>
    </row>
    <row r="1198" ht="15.75" customHeight="1">
      <c r="A1198" s="11"/>
      <c r="B1198" s="12"/>
      <c r="C1198" s="12"/>
      <c r="D1198" s="13"/>
    </row>
    <row r="1199" ht="15.75" customHeight="1">
      <c r="A1199" s="14" t="s">
        <v>4101</v>
      </c>
      <c r="B1199" s="15"/>
      <c r="C1199" s="15"/>
      <c r="D1199" s="15"/>
    </row>
    <row r="1200" ht="15.75" customHeight="1">
      <c r="A1200" s="16">
        <v>1.0</v>
      </c>
      <c r="B1200" s="17" t="s">
        <v>5282</v>
      </c>
      <c r="C1200" s="16">
        <v>6.0</v>
      </c>
      <c r="D1200" s="18" t="s">
        <v>4178</v>
      </c>
    </row>
    <row r="1201" ht="15.75" customHeight="1">
      <c r="A1201" s="16">
        <v>2.0</v>
      </c>
      <c r="B1201" s="17" t="s">
        <v>5283</v>
      </c>
      <c r="C1201" s="16">
        <v>8.0</v>
      </c>
      <c r="D1201" s="18" t="s">
        <v>4178</v>
      </c>
    </row>
    <row r="1202" ht="15.75" customHeight="1">
      <c r="A1202" s="16">
        <v>3.0</v>
      </c>
      <c r="B1202" s="17" t="s">
        <v>5284</v>
      </c>
      <c r="C1202" s="16">
        <v>11.0</v>
      </c>
      <c r="D1202" s="18" t="s">
        <v>4178</v>
      </c>
    </row>
    <row r="1203" ht="15.75" customHeight="1">
      <c r="A1203" s="16">
        <v>4.0</v>
      </c>
      <c r="B1203" s="17" t="s">
        <v>5285</v>
      </c>
      <c r="C1203" s="16">
        <v>15.0</v>
      </c>
      <c r="D1203" s="18" t="s">
        <v>4178</v>
      </c>
    </row>
    <row r="1204" ht="15.75" customHeight="1">
      <c r="A1204" s="16">
        <v>5.0</v>
      </c>
      <c r="B1204" s="17" t="s">
        <v>5286</v>
      </c>
      <c r="C1204" s="16">
        <v>8.0</v>
      </c>
      <c r="D1204" s="18" t="s">
        <v>4178</v>
      </c>
    </row>
    <row r="1205" ht="15.75" customHeight="1">
      <c r="A1205" s="16">
        <v>6.0</v>
      </c>
      <c r="B1205" s="17" t="s">
        <v>5287</v>
      </c>
      <c r="C1205" s="16">
        <v>6.0</v>
      </c>
      <c r="D1205" s="18" t="s">
        <v>4178</v>
      </c>
    </row>
    <row r="1206" ht="15.75" customHeight="1">
      <c r="A1206" s="16">
        <v>7.0</v>
      </c>
      <c r="B1206" s="17" t="s">
        <v>5288</v>
      </c>
      <c r="C1206" s="16">
        <v>11.0</v>
      </c>
      <c r="D1206" s="18" t="s">
        <v>4178</v>
      </c>
    </row>
    <row r="1207" ht="15.75" customHeight="1">
      <c r="A1207" s="16">
        <v>8.0</v>
      </c>
      <c r="B1207" s="17" t="s">
        <v>5289</v>
      </c>
      <c r="C1207" s="16">
        <v>16.0</v>
      </c>
      <c r="D1207" s="18" t="s">
        <v>4178</v>
      </c>
    </row>
    <row r="1208" ht="15.75" customHeight="1">
      <c r="A1208" s="16">
        <v>9.0</v>
      </c>
      <c r="B1208" s="17" t="s">
        <v>5290</v>
      </c>
      <c r="C1208" s="16">
        <v>21.0</v>
      </c>
      <c r="D1208" s="18" t="s">
        <v>4178</v>
      </c>
    </row>
    <row r="1209" ht="15.75" customHeight="1">
      <c r="A1209" s="16">
        <v>10.0</v>
      </c>
      <c r="B1209" s="17" t="s">
        <v>5291</v>
      </c>
      <c r="C1209" s="16">
        <v>19.0</v>
      </c>
      <c r="D1209" s="18" t="s">
        <v>4178</v>
      </c>
    </row>
    <row r="1210" ht="15.75" customHeight="1">
      <c r="A1210" s="16">
        <v>11.0</v>
      </c>
      <c r="B1210" s="17" t="s">
        <v>5292</v>
      </c>
      <c r="C1210" s="16">
        <v>7.0</v>
      </c>
      <c r="D1210" s="18" t="s">
        <v>4178</v>
      </c>
    </row>
    <row r="1211" ht="15.75" customHeight="1">
      <c r="A1211" s="16">
        <v>12.0</v>
      </c>
      <c r="B1211" s="17" t="s">
        <v>5293</v>
      </c>
      <c r="C1211" s="16">
        <v>1.0</v>
      </c>
      <c r="D1211" s="18" t="s">
        <v>4178</v>
      </c>
    </row>
    <row r="1212" ht="15.75" customHeight="1">
      <c r="A1212" s="16">
        <v>13.0</v>
      </c>
      <c r="B1212" s="17" t="s">
        <v>5294</v>
      </c>
      <c r="C1212" s="18" t="s">
        <v>5295</v>
      </c>
      <c r="D1212" s="18" t="s">
        <v>4178</v>
      </c>
    </row>
    <row r="1213" ht="15.75" customHeight="1">
      <c r="A1213" s="16">
        <v>14.0</v>
      </c>
      <c r="B1213" s="17" t="s">
        <v>5296</v>
      </c>
      <c r="C1213" s="16">
        <v>3.0</v>
      </c>
      <c r="D1213" s="18" t="s">
        <v>4178</v>
      </c>
    </row>
    <row r="1214" ht="15.75" customHeight="1">
      <c r="A1214" s="16">
        <v>15.0</v>
      </c>
      <c r="B1214" s="17" t="s">
        <v>5297</v>
      </c>
      <c r="C1214" s="16">
        <v>1.0</v>
      </c>
      <c r="D1214" s="18" t="s">
        <v>4178</v>
      </c>
    </row>
    <row r="1215" ht="15.75" customHeight="1">
      <c r="A1215" s="16">
        <v>16.0</v>
      </c>
      <c r="B1215" s="17" t="s">
        <v>5298</v>
      </c>
      <c r="C1215" s="16">
        <v>5.0</v>
      </c>
      <c r="D1215" s="18" t="s">
        <v>4178</v>
      </c>
    </row>
    <row r="1216" ht="15.75" customHeight="1">
      <c r="A1216" s="16">
        <v>17.0</v>
      </c>
      <c r="B1216" s="17" t="s">
        <v>5299</v>
      </c>
      <c r="C1216" s="16">
        <v>9.0</v>
      </c>
      <c r="D1216" s="18" t="s">
        <v>4178</v>
      </c>
    </row>
    <row r="1217" ht="15.75" customHeight="1">
      <c r="A1217" s="16">
        <v>18.0</v>
      </c>
      <c r="B1217" s="17" t="s">
        <v>5300</v>
      </c>
      <c r="C1217" s="16">
        <v>31.0</v>
      </c>
      <c r="D1217" s="18" t="s">
        <v>4178</v>
      </c>
    </row>
    <row r="1218" ht="15.75" customHeight="1">
      <c r="A1218" s="16">
        <v>19.0</v>
      </c>
      <c r="B1218" s="17" t="s">
        <v>5301</v>
      </c>
      <c r="C1218" s="16">
        <v>4.0</v>
      </c>
      <c r="D1218" s="18" t="s">
        <v>4178</v>
      </c>
    </row>
    <row r="1219" ht="15.75" customHeight="1">
      <c r="A1219" s="16">
        <v>20.0</v>
      </c>
      <c r="B1219" s="17" t="s">
        <v>5302</v>
      </c>
      <c r="C1219" s="16">
        <v>9.0</v>
      </c>
      <c r="D1219" s="18" t="s">
        <v>4178</v>
      </c>
    </row>
    <row r="1220" ht="15.75" customHeight="1">
      <c r="A1220" s="16">
        <v>21.0</v>
      </c>
      <c r="B1220" s="17" t="s">
        <v>5303</v>
      </c>
      <c r="C1220" s="16">
        <v>7.0</v>
      </c>
      <c r="D1220" s="18" t="s">
        <v>4178</v>
      </c>
    </row>
    <row r="1221" ht="15.75" customHeight="1">
      <c r="A1221" s="20"/>
      <c r="B1221" s="21" t="s">
        <v>4273</v>
      </c>
      <c r="C1221" s="23">
        <v>189.0</v>
      </c>
      <c r="D1221" s="21" t="s">
        <v>4171</v>
      </c>
    </row>
    <row r="1222" ht="15.75" customHeight="1">
      <c r="A1222" s="11"/>
      <c r="B1222" s="12"/>
      <c r="C1222" s="12"/>
      <c r="D1222" s="13"/>
    </row>
    <row r="1223" ht="15.75" customHeight="1">
      <c r="A1223" s="14" t="s">
        <v>1140</v>
      </c>
      <c r="B1223" s="15"/>
      <c r="C1223" s="15"/>
      <c r="D1223" s="15"/>
    </row>
    <row r="1224" ht="15.75" customHeight="1">
      <c r="A1224" s="16">
        <v>1.0</v>
      </c>
      <c r="B1224" s="17" t="s">
        <v>5304</v>
      </c>
      <c r="C1224" s="16">
        <v>17.0</v>
      </c>
      <c r="D1224" s="18" t="s">
        <v>4183</v>
      </c>
    </row>
    <row r="1225" ht="15.75" customHeight="1">
      <c r="A1225" s="16">
        <v>2.0</v>
      </c>
      <c r="B1225" s="17" t="s">
        <v>5305</v>
      </c>
      <c r="C1225" s="16">
        <v>6.0</v>
      </c>
      <c r="D1225" s="18" t="s">
        <v>4178</v>
      </c>
    </row>
    <row r="1226" ht="15.75" customHeight="1">
      <c r="A1226" s="16">
        <v>3.0</v>
      </c>
      <c r="B1226" s="17" t="s">
        <v>5306</v>
      </c>
      <c r="C1226" s="16">
        <v>20.0</v>
      </c>
      <c r="D1226" s="18" t="s">
        <v>4178</v>
      </c>
    </row>
    <row r="1227" ht="15.75" customHeight="1">
      <c r="A1227" s="16">
        <v>4.0</v>
      </c>
      <c r="B1227" s="17" t="s">
        <v>5307</v>
      </c>
      <c r="C1227" s="16">
        <v>38.0</v>
      </c>
      <c r="D1227" s="18" t="s">
        <v>4183</v>
      </c>
    </row>
    <row r="1228" ht="15.75" customHeight="1">
      <c r="A1228" s="16">
        <v>5.0</v>
      </c>
      <c r="B1228" s="17" t="s">
        <v>5308</v>
      </c>
      <c r="C1228" s="16">
        <v>22.0</v>
      </c>
      <c r="D1228" s="18" t="s">
        <v>4183</v>
      </c>
    </row>
    <row r="1229" ht="15.75" customHeight="1">
      <c r="A1229" s="16">
        <v>6.0</v>
      </c>
      <c r="B1229" s="17" t="s">
        <v>5309</v>
      </c>
      <c r="C1229" s="16">
        <v>15.0</v>
      </c>
      <c r="D1229" s="18" t="s">
        <v>4178</v>
      </c>
    </row>
    <row r="1230" ht="15.75" customHeight="1">
      <c r="A1230" s="16">
        <v>7.0</v>
      </c>
      <c r="B1230" s="17" t="s">
        <v>5310</v>
      </c>
      <c r="C1230" s="16">
        <v>2.0</v>
      </c>
      <c r="D1230" s="18" t="s">
        <v>4178</v>
      </c>
    </row>
    <row r="1231" ht="15.75" customHeight="1">
      <c r="A1231" s="16">
        <v>8.0</v>
      </c>
      <c r="B1231" s="17" t="s">
        <v>5311</v>
      </c>
      <c r="C1231" s="16">
        <v>23.0</v>
      </c>
      <c r="D1231" s="18" t="s">
        <v>4178</v>
      </c>
    </row>
    <row r="1232" ht="15.75" customHeight="1">
      <c r="A1232" s="16">
        <v>9.0</v>
      </c>
      <c r="B1232" s="17" t="s">
        <v>5312</v>
      </c>
      <c r="C1232" s="16">
        <v>1.0</v>
      </c>
      <c r="D1232" s="18" t="s">
        <v>4473</v>
      </c>
    </row>
    <row r="1233" ht="15.75" customHeight="1">
      <c r="A1233" s="16">
        <v>10.0</v>
      </c>
      <c r="B1233" s="17" t="s">
        <v>5313</v>
      </c>
      <c r="C1233" s="16">
        <v>26.0</v>
      </c>
      <c r="D1233" s="18" t="s">
        <v>4178</v>
      </c>
    </row>
    <row r="1234" ht="15.75" customHeight="1">
      <c r="A1234" s="16">
        <v>11.0</v>
      </c>
      <c r="B1234" s="17" t="s">
        <v>5314</v>
      </c>
      <c r="C1234" s="16">
        <v>29.0</v>
      </c>
      <c r="D1234" s="18" t="s">
        <v>4341</v>
      </c>
    </row>
    <row r="1235" ht="15.75" customHeight="1">
      <c r="A1235" s="16">
        <v>12.0</v>
      </c>
      <c r="B1235" s="17" t="s">
        <v>5315</v>
      </c>
      <c r="C1235" s="16">
        <v>2.0</v>
      </c>
      <c r="D1235" s="18" t="s">
        <v>4178</v>
      </c>
    </row>
    <row r="1236" ht="15.75" customHeight="1">
      <c r="A1236" s="16">
        <v>13.0</v>
      </c>
      <c r="B1236" s="17" t="s">
        <v>5316</v>
      </c>
      <c r="C1236" s="16">
        <v>17.0</v>
      </c>
      <c r="D1236" s="18" t="s">
        <v>4183</v>
      </c>
    </row>
    <row r="1237" ht="15.75" customHeight="1">
      <c r="A1237" s="20"/>
      <c r="B1237" s="21" t="s">
        <v>4273</v>
      </c>
      <c r="C1237" s="23">
        <v>218.0</v>
      </c>
      <c r="D1237" s="21" t="s">
        <v>4171</v>
      </c>
    </row>
    <row r="1238" ht="15.75" customHeight="1">
      <c r="A1238" s="11"/>
      <c r="B1238" s="12"/>
      <c r="C1238" s="12"/>
      <c r="D1238" s="13"/>
    </row>
    <row r="1239" ht="15.75" customHeight="1">
      <c r="A1239" s="14" t="s">
        <v>4060</v>
      </c>
      <c r="B1239" s="15"/>
      <c r="C1239" s="15"/>
      <c r="D1239" s="15"/>
    </row>
    <row r="1240" ht="15.75" customHeight="1">
      <c r="A1240" s="16">
        <v>1.0</v>
      </c>
      <c r="B1240" s="17" t="s">
        <v>5317</v>
      </c>
      <c r="C1240" s="16">
        <v>2.0</v>
      </c>
      <c r="D1240" s="18" t="s">
        <v>4178</v>
      </c>
    </row>
    <row r="1241" ht="15.75" customHeight="1">
      <c r="A1241" s="16">
        <v>2.0</v>
      </c>
      <c r="B1241" s="17" t="s">
        <v>5318</v>
      </c>
      <c r="C1241" s="16">
        <v>8.0</v>
      </c>
      <c r="D1241" s="18" t="s">
        <v>4183</v>
      </c>
    </row>
    <row r="1242" ht="15.75" customHeight="1">
      <c r="A1242" s="16">
        <v>3.0</v>
      </c>
      <c r="B1242" s="17" t="s">
        <v>5319</v>
      </c>
      <c r="C1242" s="16">
        <v>5.0</v>
      </c>
      <c r="D1242" s="18" t="s">
        <v>4183</v>
      </c>
    </row>
    <row r="1243" ht="15.75" customHeight="1">
      <c r="A1243" s="16">
        <v>4.0</v>
      </c>
      <c r="B1243" s="17" t="s">
        <v>5320</v>
      </c>
      <c r="C1243" s="16">
        <v>6.0</v>
      </c>
      <c r="D1243" s="18" t="s">
        <v>4183</v>
      </c>
    </row>
    <row r="1244" ht="15.75" customHeight="1">
      <c r="A1244" s="16">
        <v>5.0</v>
      </c>
      <c r="B1244" s="17" t="s">
        <v>5321</v>
      </c>
      <c r="C1244" s="16">
        <v>1.0</v>
      </c>
      <c r="D1244" s="18" t="s">
        <v>4183</v>
      </c>
    </row>
    <row r="1245" ht="15.75" customHeight="1">
      <c r="A1245" s="16">
        <v>6.0</v>
      </c>
      <c r="B1245" s="17" t="s">
        <v>5322</v>
      </c>
      <c r="C1245" s="16">
        <v>5.0</v>
      </c>
      <c r="D1245" s="18" t="s">
        <v>4215</v>
      </c>
    </row>
    <row r="1246" ht="15.75" customHeight="1">
      <c r="A1246" s="16">
        <v>7.0</v>
      </c>
      <c r="B1246" s="17" t="s">
        <v>5323</v>
      </c>
      <c r="C1246" s="16">
        <v>1.0</v>
      </c>
      <c r="D1246" s="18" t="s">
        <v>4183</v>
      </c>
    </row>
    <row r="1247" ht="15.75" customHeight="1">
      <c r="A1247" s="16">
        <v>8.0</v>
      </c>
      <c r="B1247" s="17" t="s">
        <v>5324</v>
      </c>
      <c r="C1247" s="16">
        <v>5.0</v>
      </c>
      <c r="D1247" s="18" t="s">
        <v>4178</v>
      </c>
    </row>
    <row r="1248" ht="15.75" customHeight="1">
      <c r="A1248" s="16">
        <v>9.0</v>
      </c>
      <c r="B1248" s="17" t="s">
        <v>5325</v>
      </c>
      <c r="C1248" s="16">
        <v>2.0</v>
      </c>
      <c r="D1248" s="18" t="s">
        <v>4183</v>
      </c>
    </row>
    <row r="1249" ht="15.75" customHeight="1">
      <c r="A1249" s="16">
        <v>10.0</v>
      </c>
      <c r="B1249" s="17" t="s">
        <v>5326</v>
      </c>
      <c r="C1249" s="16">
        <v>3.0</v>
      </c>
      <c r="D1249" s="18" t="s">
        <v>4178</v>
      </c>
    </row>
    <row r="1250" ht="15.75" customHeight="1">
      <c r="A1250" s="16">
        <v>11.0</v>
      </c>
      <c r="B1250" s="17" t="s">
        <v>5327</v>
      </c>
      <c r="C1250" s="16">
        <v>8.0</v>
      </c>
      <c r="D1250" s="18" t="s">
        <v>4183</v>
      </c>
    </row>
    <row r="1251" ht="15.75" customHeight="1">
      <c r="A1251" s="16">
        <v>12.0</v>
      </c>
      <c r="B1251" s="17" t="s">
        <v>5328</v>
      </c>
      <c r="C1251" s="16">
        <v>9.0</v>
      </c>
      <c r="D1251" s="18" t="s">
        <v>4183</v>
      </c>
    </row>
    <row r="1252" ht="15.75" customHeight="1">
      <c r="A1252" s="16">
        <v>13.0</v>
      </c>
      <c r="B1252" s="17" t="s">
        <v>5329</v>
      </c>
      <c r="C1252" s="16">
        <v>2.0</v>
      </c>
      <c r="D1252" s="18" t="s">
        <v>4183</v>
      </c>
    </row>
    <row r="1253" ht="15.75" customHeight="1">
      <c r="A1253" s="16">
        <v>14.0</v>
      </c>
      <c r="B1253" s="17" t="s">
        <v>5330</v>
      </c>
      <c r="C1253" s="16">
        <v>1.0</v>
      </c>
      <c r="D1253" s="18" t="s">
        <v>5331</v>
      </c>
    </row>
    <row r="1254" ht="15.75" customHeight="1">
      <c r="A1254" s="16">
        <v>15.0</v>
      </c>
      <c r="B1254" s="17" t="s">
        <v>5332</v>
      </c>
      <c r="C1254" s="16">
        <v>7.0</v>
      </c>
      <c r="D1254" s="18" t="s">
        <v>4183</v>
      </c>
    </row>
    <row r="1255" ht="15.75" customHeight="1">
      <c r="A1255" s="16">
        <v>16.0</v>
      </c>
      <c r="B1255" s="17" t="s">
        <v>5333</v>
      </c>
      <c r="C1255" s="16">
        <v>11.0</v>
      </c>
      <c r="D1255" s="18" t="s">
        <v>4183</v>
      </c>
    </row>
    <row r="1256" ht="15.75" customHeight="1">
      <c r="A1256" s="16">
        <v>17.0</v>
      </c>
      <c r="B1256" s="17" t="s">
        <v>5334</v>
      </c>
      <c r="C1256" s="16">
        <v>2.0</v>
      </c>
      <c r="D1256" s="18" t="s">
        <v>5335</v>
      </c>
    </row>
    <row r="1257" ht="15.75" customHeight="1">
      <c r="A1257" s="16">
        <v>18.0</v>
      </c>
      <c r="B1257" s="17" t="s">
        <v>5336</v>
      </c>
      <c r="C1257" s="16">
        <v>3.0</v>
      </c>
      <c r="D1257" s="18" t="s">
        <v>4215</v>
      </c>
    </row>
    <row r="1258" ht="15.75" customHeight="1">
      <c r="A1258" s="16">
        <v>19.0</v>
      </c>
      <c r="B1258" s="17" t="s">
        <v>5337</v>
      </c>
      <c r="C1258" s="16">
        <v>5.0</v>
      </c>
      <c r="D1258" s="18" t="s">
        <v>4178</v>
      </c>
    </row>
    <row r="1259" ht="15.75" customHeight="1">
      <c r="A1259" s="16">
        <v>20.0</v>
      </c>
      <c r="B1259" s="17" t="s">
        <v>5338</v>
      </c>
      <c r="C1259" s="16">
        <v>12.0</v>
      </c>
      <c r="D1259" s="18" t="s">
        <v>4183</v>
      </c>
    </row>
    <row r="1260" ht="15.75" customHeight="1">
      <c r="A1260" s="16">
        <v>21.0</v>
      </c>
      <c r="B1260" s="17" t="s">
        <v>5339</v>
      </c>
      <c r="C1260" s="16">
        <v>3.0</v>
      </c>
      <c r="D1260" s="18" t="s">
        <v>4183</v>
      </c>
    </row>
    <row r="1261" ht="15.75" customHeight="1">
      <c r="A1261" s="16">
        <v>22.0</v>
      </c>
      <c r="B1261" s="17" t="s">
        <v>5340</v>
      </c>
      <c r="C1261" s="16">
        <v>4.0</v>
      </c>
      <c r="D1261" s="18" t="s">
        <v>4183</v>
      </c>
    </row>
    <row r="1262" ht="15.75" customHeight="1">
      <c r="A1262" s="16">
        <v>23.0</v>
      </c>
      <c r="B1262" s="17" t="s">
        <v>5341</v>
      </c>
      <c r="C1262" s="16">
        <v>8.0</v>
      </c>
      <c r="D1262" s="18" t="s">
        <v>4215</v>
      </c>
    </row>
    <row r="1263" ht="15.75" customHeight="1">
      <c r="A1263" s="16">
        <v>24.0</v>
      </c>
      <c r="B1263" s="17" t="s">
        <v>5342</v>
      </c>
      <c r="C1263" s="16">
        <v>9.0</v>
      </c>
      <c r="D1263" s="18" t="s">
        <v>4183</v>
      </c>
    </row>
    <row r="1264" ht="15.75" customHeight="1">
      <c r="A1264" s="16">
        <v>25.0</v>
      </c>
      <c r="B1264" s="17" t="s">
        <v>5343</v>
      </c>
      <c r="C1264" s="16">
        <v>11.0</v>
      </c>
      <c r="D1264" s="18" t="s">
        <v>4215</v>
      </c>
    </row>
    <row r="1265" ht="15.75" customHeight="1">
      <c r="A1265" s="16">
        <v>26.0</v>
      </c>
      <c r="B1265" s="17" t="s">
        <v>5344</v>
      </c>
      <c r="C1265" s="16">
        <v>5.0</v>
      </c>
      <c r="D1265" s="18" t="s">
        <v>4215</v>
      </c>
    </row>
    <row r="1266" ht="15.75" customHeight="1">
      <c r="A1266" s="16">
        <v>27.0</v>
      </c>
      <c r="B1266" s="17" t="s">
        <v>5345</v>
      </c>
      <c r="C1266" s="16">
        <v>6.0</v>
      </c>
      <c r="D1266" s="18" t="s">
        <v>4183</v>
      </c>
    </row>
    <row r="1267" ht="15.75" customHeight="1">
      <c r="A1267" s="16">
        <v>28.0</v>
      </c>
      <c r="B1267" s="17" t="s">
        <v>5346</v>
      </c>
      <c r="C1267" s="16">
        <v>9.0</v>
      </c>
      <c r="D1267" s="18" t="s">
        <v>4183</v>
      </c>
    </row>
    <row r="1268" ht="15.75" customHeight="1">
      <c r="A1268" s="16">
        <v>29.0</v>
      </c>
      <c r="B1268" s="17" t="s">
        <v>5347</v>
      </c>
      <c r="C1268" s="16">
        <v>1.0</v>
      </c>
      <c r="D1268" s="18" t="s">
        <v>4183</v>
      </c>
    </row>
    <row r="1269" ht="15.75" customHeight="1">
      <c r="A1269" s="16">
        <v>30.0</v>
      </c>
      <c r="B1269" s="17" t="s">
        <v>5348</v>
      </c>
      <c r="C1269" s="16">
        <v>4.0</v>
      </c>
      <c r="D1269" s="18" t="s">
        <v>4215</v>
      </c>
    </row>
    <row r="1270" ht="15.75" customHeight="1">
      <c r="A1270" s="16">
        <v>31.0</v>
      </c>
      <c r="B1270" s="17" t="s">
        <v>5349</v>
      </c>
      <c r="C1270" s="16">
        <v>7.0</v>
      </c>
      <c r="D1270" s="18" t="s">
        <v>4183</v>
      </c>
    </row>
    <row r="1271" ht="15.75" customHeight="1">
      <c r="A1271" s="16">
        <v>32.0</v>
      </c>
      <c r="B1271" s="17" t="s">
        <v>5350</v>
      </c>
      <c r="C1271" s="16">
        <v>12.0</v>
      </c>
      <c r="D1271" s="18" t="s">
        <v>4183</v>
      </c>
    </row>
    <row r="1272" ht="15.75" customHeight="1">
      <c r="A1272" s="16">
        <v>33.0</v>
      </c>
      <c r="B1272" s="17" t="s">
        <v>5351</v>
      </c>
      <c r="C1272" s="16">
        <v>2.0</v>
      </c>
      <c r="D1272" s="18" t="s">
        <v>4183</v>
      </c>
    </row>
    <row r="1273" ht="15.75" customHeight="1">
      <c r="A1273" s="16">
        <v>34.0</v>
      </c>
      <c r="B1273" s="17" t="s">
        <v>5352</v>
      </c>
      <c r="C1273" s="16">
        <v>4.0</v>
      </c>
      <c r="D1273" s="18" t="s">
        <v>4183</v>
      </c>
    </row>
    <row r="1274" ht="15.75" customHeight="1">
      <c r="A1274" s="16">
        <v>35.0</v>
      </c>
      <c r="B1274" s="17" t="s">
        <v>5353</v>
      </c>
      <c r="C1274" s="16">
        <v>42.0</v>
      </c>
      <c r="D1274" s="18" t="s">
        <v>4178</v>
      </c>
    </row>
    <row r="1275" ht="15.75" customHeight="1">
      <c r="A1275" s="16">
        <v>36.0</v>
      </c>
      <c r="B1275" s="17" t="s">
        <v>5354</v>
      </c>
      <c r="C1275" s="16">
        <v>8.0</v>
      </c>
      <c r="D1275" s="18" t="s">
        <v>4183</v>
      </c>
    </row>
    <row r="1276" ht="15.75" customHeight="1">
      <c r="A1276" s="16">
        <v>37.0</v>
      </c>
      <c r="B1276" s="17" t="s">
        <v>5355</v>
      </c>
      <c r="C1276" s="16">
        <v>13.0</v>
      </c>
      <c r="D1276" s="18" t="s">
        <v>4183</v>
      </c>
    </row>
    <row r="1277" ht="15.75" customHeight="1">
      <c r="A1277" s="16">
        <v>38.0</v>
      </c>
      <c r="B1277" s="17" t="s">
        <v>5356</v>
      </c>
      <c r="C1277" s="16">
        <v>1.0</v>
      </c>
      <c r="D1277" s="18" t="s">
        <v>4183</v>
      </c>
    </row>
    <row r="1278" ht="15.75" customHeight="1">
      <c r="A1278" s="16">
        <v>39.0</v>
      </c>
      <c r="B1278" s="17" t="s">
        <v>5357</v>
      </c>
      <c r="C1278" s="16">
        <v>5.0</v>
      </c>
      <c r="D1278" s="18" t="s">
        <v>4183</v>
      </c>
    </row>
    <row r="1279" ht="15.75" customHeight="1">
      <c r="A1279" s="16">
        <v>40.0</v>
      </c>
      <c r="B1279" s="17" t="s">
        <v>5358</v>
      </c>
      <c r="C1279" s="16">
        <v>3.0</v>
      </c>
      <c r="D1279" s="18" t="s">
        <v>4183</v>
      </c>
    </row>
    <row r="1280" ht="15.75" customHeight="1">
      <c r="A1280" s="16">
        <v>41.0</v>
      </c>
      <c r="B1280" s="17" t="s">
        <v>5359</v>
      </c>
      <c r="C1280" s="16">
        <v>7.0</v>
      </c>
      <c r="D1280" s="18" t="s">
        <v>4183</v>
      </c>
    </row>
    <row r="1281" ht="15.75" customHeight="1">
      <c r="A1281" s="16">
        <v>42.0</v>
      </c>
      <c r="B1281" s="17" t="s">
        <v>5360</v>
      </c>
      <c r="C1281" s="16">
        <v>7.0</v>
      </c>
      <c r="D1281" s="18" t="s">
        <v>4178</v>
      </c>
    </row>
    <row r="1282" ht="15.75" customHeight="1">
      <c r="A1282" s="16">
        <v>43.0</v>
      </c>
      <c r="B1282" s="17" t="s">
        <v>5361</v>
      </c>
      <c r="C1282" s="16">
        <v>10.0</v>
      </c>
      <c r="D1282" s="18" t="s">
        <v>4178</v>
      </c>
    </row>
    <row r="1283" ht="15.75" customHeight="1">
      <c r="A1283" s="16">
        <v>44.0</v>
      </c>
      <c r="B1283" s="17" t="s">
        <v>5362</v>
      </c>
      <c r="C1283" s="16">
        <v>7.0</v>
      </c>
      <c r="D1283" s="18" t="s">
        <v>4183</v>
      </c>
    </row>
    <row r="1284" ht="15.75" customHeight="1">
      <c r="A1284" s="16">
        <v>45.0</v>
      </c>
      <c r="B1284" s="17" t="s">
        <v>5363</v>
      </c>
      <c r="C1284" s="16">
        <v>12.0</v>
      </c>
      <c r="D1284" s="18" t="s">
        <v>5364</v>
      </c>
    </row>
    <row r="1285" ht="15.75" customHeight="1">
      <c r="A1285" s="16">
        <v>46.0</v>
      </c>
      <c r="B1285" s="17" t="s">
        <v>5365</v>
      </c>
      <c r="C1285" s="16">
        <v>12.0</v>
      </c>
      <c r="D1285" s="18" t="s">
        <v>4183</v>
      </c>
    </row>
    <row r="1286" ht="15.75" customHeight="1">
      <c r="A1286" s="16">
        <v>47.0</v>
      </c>
      <c r="B1286" s="17" t="s">
        <v>5366</v>
      </c>
      <c r="C1286" s="16">
        <v>29.0</v>
      </c>
      <c r="D1286" s="18" t="s">
        <v>4183</v>
      </c>
    </row>
    <row r="1287" ht="15.75" customHeight="1">
      <c r="A1287" s="16">
        <v>48.0</v>
      </c>
      <c r="B1287" s="17" t="s">
        <v>5367</v>
      </c>
      <c r="C1287" s="16">
        <v>8.0</v>
      </c>
      <c r="D1287" s="18" t="s">
        <v>4183</v>
      </c>
    </row>
    <row r="1288" ht="15.75" customHeight="1">
      <c r="A1288" s="16">
        <v>49.0</v>
      </c>
      <c r="B1288" s="17" t="s">
        <v>5368</v>
      </c>
      <c r="C1288" s="16">
        <v>10.0</v>
      </c>
      <c r="D1288" s="18" t="s">
        <v>4183</v>
      </c>
    </row>
    <row r="1289" ht="15.75" customHeight="1">
      <c r="A1289" s="16">
        <v>50.0</v>
      </c>
      <c r="B1289" s="17" t="s">
        <v>5369</v>
      </c>
      <c r="C1289" s="16">
        <v>1.0</v>
      </c>
      <c r="D1289" s="18" t="s">
        <v>4183</v>
      </c>
    </row>
    <row r="1290" ht="15.75" customHeight="1">
      <c r="A1290" s="16">
        <v>51.0</v>
      </c>
      <c r="B1290" s="17" t="s">
        <v>5370</v>
      </c>
      <c r="C1290" s="16">
        <v>7.0</v>
      </c>
      <c r="D1290" s="18" t="s">
        <v>4178</v>
      </c>
    </row>
    <row r="1291" ht="15.75" customHeight="1">
      <c r="A1291" s="16">
        <v>52.0</v>
      </c>
      <c r="B1291" s="17" t="s">
        <v>5371</v>
      </c>
      <c r="C1291" s="16">
        <v>5.0</v>
      </c>
      <c r="D1291" s="18" t="s">
        <v>4178</v>
      </c>
    </row>
    <row r="1292" ht="15.75" customHeight="1">
      <c r="A1292" s="16">
        <v>53.0</v>
      </c>
      <c r="B1292" s="17" t="s">
        <v>5372</v>
      </c>
      <c r="C1292" s="16">
        <v>2.0</v>
      </c>
      <c r="D1292" s="18" t="s">
        <v>4178</v>
      </c>
    </row>
    <row r="1293" ht="15.75" customHeight="1">
      <c r="A1293" s="16">
        <v>54.0</v>
      </c>
      <c r="B1293" s="17" t="s">
        <v>5373</v>
      </c>
      <c r="C1293" s="16">
        <v>6.0</v>
      </c>
      <c r="D1293" s="18" t="s">
        <v>4183</v>
      </c>
    </row>
    <row r="1294" ht="15.75" customHeight="1">
      <c r="A1294" s="16">
        <v>55.0</v>
      </c>
      <c r="B1294" s="17" t="s">
        <v>5374</v>
      </c>
      <c r="C1294" s="16">
        <v>2.0</v>
      </c>
      <c r="D1294" s="18" t="s">
        <v>4183</v>
      </c>
    </row>
    <row r="1295" ht="15.75" customHeight="1">
      <c r="A1295" s="16">
        <v>56.0</v>
      </c>
      <c r="B1295" s="17" t="s">
        <v>5375</v>
      </c>
      <c r="C1295" s="16">
        <v>14.0</v>
      </c>
      <c r="D1295" s="18" t="s">
        <v>4183</v>
      </c>
    </row>
    <row r="1296" ht="15.75" customHeight="1">
      <c r="A1296" s="16">
        <v>57.0</v>
      </c>
      <c r="B1296" s="17" t="s">
        <v>5376</v>
      </c>
      <c r="C1296" s="18" t="s">
        <v>5377</v>
      </c>
      <c r="D1296" s="18" t="s">
        <v>4183</v>
      </c>
    </row>
    <row r="1297" ht="15.75" customHeight="1">
      <c r="A1297" s="16">
        <v>58.0</v>
      </c>
      <c r="B1297" s="17" t="s">
        <v>5378</v>
      </c>
      <c r="C1297" s="16">
        <v>9.0</v>
      </c>
      <c r="D1297" s="18" t="s">
        <v>4183</v>
      </c>
    </row>
    <row r="1298" ht="15.75" customHeight="1">
      <c r="A1298" s="16">
        <v>59.0</v>
      </c>
      <c r="B1298" s="17" t="s">
        <v>5379</v>
      </c>
      <c r="C1298" s="16">
        <v>4.0</v>
      </c>
      <c r="D1298" s="18" t="s">
        <v>4183</v>
      </c>
    </row>
    <row r="1299" ht="15.75" customHeight="1">
      <c r="A1299" s="16">
        <v>60.0</v>
      </c>
      <c r="B1299" s="17" t="s">
        <v>5380</v>
      </c>
      <c r="C1299" s="16">
        <v>18.0</v>
      </c>
      <c r="D1299" s="18" t="s">
        <v>4183</v>
      </c>
    </row>
    <row r="1300" ht="15.75" customHeight="1">
      <c r="A1300" s="16">
        <v>61.0</v>
      </c>
      <c r="B1300" s="17" t="s">
        <v>5381</v>
      </c>
      <c r="C1300" s="16">
        <v>15.0</v>
      </c>
      <c r="D1300" s="18" t="s">
        <v>4183</v>
      </c>
    </row>
    <row r="1301" ht="15.75" customHeight="1">
      <c r="A1301" s="16">
        <v>62.0</v>
      </c>
      <c r="B1301" s="17" t="s">
        <v>5382</v>
      </c>
      <c r="C1301" s="16">
        <v>7.0</v>
      </c>
      <c r="D1301" s="18" t="s">
        <v>4183</v>
      </c>
    </row>
    <row r="1302" ht="15.75" customHeight="1">
      <c r="A1302" s="16">
        <v>63.0</v>
      </c>
      <c r="B1302" s="17" t="s">
        <v>5383</v>
      </c>
      <c r="C1302" s="16">
        <v>3.0</v>
      </c>
      <c r="D1302" s="18" t="s">
        <v>4183</v>
      </c>
    </row>
    <row r="1303" ht="15.75" customHeight="1">
      <c r="A1303" s="16">
        <v>64.0</v>
      </c>
      <c r="B1303" s="17" t="s">
        <v>5384</v>
      </c>
      <c r="C1303" s="16">
        <v>1.0</v>
      </c>
      <c r="D1303" s="18" t="s">
        <v>4183</v>
      </c>
    </row>
    <row r="1304" ht="15.75" customHeight="1">
      <c r="A1304" s="16">
        <v>65.0</v>
      </c>
      <c r="B1304" s="17" t="s">
        <v>5385</v>
      </c>
      <c r="C1304" s="16">
        <v>7.0</v>
      </c>
      <c r="D1304" s="18" t="s">
        <v>4183</v>
      </c>
    </row>
    <row r="1305" ht="15.75" customHeight="1">
      <c r="A1305" s="16">
        <v>66.0</v>
      </c>
      <c r="B1305" s="17" t="s">
        <v>5386</v>
      </c>
      <c r="C1305" s="16">
        <v>1.0</v>
      </c>
      <c r="D1305" s="18" t="s">
        <v>4183</v>
      </c>
    </row>
    <row r="1306" ht="15.75" customHeight="1">
      <c r="A1306" s="16">
        <v>67.0</v>
      </c>
      <c r="B1306" s="17" t="s">
        <v>5387</v>
      </c>
      <c r="C1306" s="16">
        <v>9.0</v>
      </c>
      <c r="D1306" s="18" t="s">
        <v>4183</v>
      </c>
    </row>
    <row r="1307" ht="15.75" customHeight="1">
      <c r="A1307" s="16">
        <v>68.0</v>
      </c>
      <c r="B1307" s="17" t="s">
        <v>5388</v>
      </c>
      <c r="C1307" s="16">
        <v>23.0</v>
      </c>
      <c r="D1307" s="18" t="s">
        <v>4183</v>
      </c>
    </row>
    <row r="1308" ht="15.75" customHeight="1">
      <c r="A1308" s="16">
        <v>69.0</v>
      </c>
      <c r="B1308" s="17" t="s">
        <v>5389</v>
      </c>
      <c r="C1308" s="16">
        <v>7.0</v>
      </c>
      <c r="D1308" s="18" t="s">
        <v>4183</v>
      </c>
    </row>
    <row r="1309" ht="15.75" customHeight="1">
      <c r="A1309" s="16">
        <v>70.0</v>
      </c>
      <c r="B1309" s="17" t="s">
        <v>5390</v>
      </c>
      <c r="C1309" s="16">
        <v>8.0</v>
      </c>
      <c r="D1309" s="18" t="s">
        <v>4183</v>
      </c>
    </row>
    <row r="1310" ht="15.75" customHeight="1">
      <c r="A1310" s="16">
        <v>71.0</v>
      </c>
      <c r="B1310" s="17" t="s">
        <v>5391</v>
      </c>
      <c r="C1310" s="16">
        <v>12.0</v>
      </c>
      <c r="D1310" s="18" t="s">
        <v>4215</v>
      </c>
    </row>
    <row r="1311" ht="15.75" customHeight="1">
      <c r="A1311" s="16">
        <v>72.0</v>
      </c>
      <c r="B1311" s="17" t="s">
        <v>5392</v>
      </c>
      <c r="C1311" s="16">
        <v>12.0</v>
      </c>
      <c r="D1311" s="18" t="s">
        <v>4178</v>
      </c>
    </row>
    <row r="1312" ht="15.75" customHeight="1">
      <c r="A1312" s="16">
        <v>73.0</v>
      </c>
      <c r="B1312" s="17" t="s">
        <v>5393</v>
      </c>
      <c r="C1312" s="16">
        <v>3.0</v>
      </c>
      <c r="D1312" s="18" t="s">
        <v>4183</v>
      </c>
    </row>
    <row r="1313" ht="15.75" customHeight="1">
      <c r="A1313" s="16">
        <v>74.0</v>
      </c>
      <c r="B1313" s="17" t="s">
        <v>5394</v>
      </c>
      <c r="C1313" s="16">
        <v>11.0</v>
      </c>
      <c r="D1313" s="18" t="s">
        <v>4183</v>
      </c>
    </row>
    <row r="1314" ht="15.75" customHeight="1">
      <c r="A1314" s="16">
        <v>75.0</v>
      </c>
      <c r="B1314" s="17" t="s">
        <v>5395</v>
      </c>
      <c r="C1314" s="18" t="s">
        <v>4635</v>
      </c>
      <c r="D1314" s="18" t="s">
        <v>4183</v>
      </c>
    </row>
    <row r="1315" ht="15.75" customHeight="1">
      <c r="A1315" s="16">
        <v>76.0</v>
      </c>
      <c r="B1315" s="17" t="s">
        <v>5396</v>
      </c>
      <c r="C1315" s="16">
        <v>3.0</v>
      </c>
      <c r="D1315" s="18" t="s">
        <v>4183</v>
      </c>
    </row>
    <row r="1316" ht="15.75" customHeight="1">
      <c r="A1316" s="16">
        <v>77.0</v>
      </c>
      <c r="B1316" s="17" t="s">
        <v>5397</v>
      </c>
      <c r="C1316" s="16">
        <v>4.0</v>
      </c>
      <c r="D1316" s="18" t="s">
        <v>4178</v>
      </c>
    </row>
    <row r="1317" ht="15.75" customHeight="1">
      <c r="A1317" s="16">
        <v>78.0</v>
      </c>
      <c r="B1317" s="17" t="s">
        <v>5398</v>
      </c>
      <c r="C1317" s="16">
        <v>4.0</v>
      </c>
      <c r="D1317" s="18" t="s">
        <v>4178</v>
      </c>
    </row>
    <row r="1318" ht="15.75" customHeight="1">
      <c r="A1318" s="16">
        <v>79.0</v>
      </c>
      <c r="B1318" s="17" t="s">
        <v>5399</v>
      </c>
      <c r="C1318" s="16">
        <v>3.0</v>
      </c>
      <c r="D1318" s="18" t="s">
        <v>4178</v>
      </c>
    </row>
    <row r="1319" ht="15.75" customHeight="1">
      <c r="A1319" s="16">
        <v>80.0</v>
      </c>
      <c r="B1319" s="17" t="s">
        <v>5400</v>
      </c>
      <c r="C1319" s="16">
        <v>7.0</v>
      </c>
      <c r="D1319" s="18" t="s">
        <v>4178</v>
      </c>
    </row>
    <row r="1320" ht="15.75" customHeight="1">
      <c r="A1320" s="16">
        <v>81.0</v>
      </c>
      <c r="B1320" s="17" t="s">
        <v>5401</v>
      </c>
      <c r="C1320" s="16">
        <v>5.0</v>
      </c>
      <c r="D1320" s="18" t="s">
        <v>4178</v>
      </c>
    </row>
    <row r="1321" ht="15.75" customHeight="1">
      <c r="A1321" s="16">
        <v>82.0</v>
      </c>
      <c r="B1321" s="17" t="s">
        <v>5402</v>
      </c>
      <c r="C1321" s="16">
        <v>12.0</v>
      </c>
      <c r="D1321" s="18" t="s">
        <v>4178</v>
      </c>
    </row>
    <row r="1322" ht="15.75" customHeight="1">
      <c r="A1322" s="16">
        <v>83.0</v>
      </c>
      <c r="B1322" s="17" t="s">
        <v>5403</v>
      </c>
      <c r="C1322" s="16">
        <v>20.0</v>
      </c>
      <c r="D1322" s="18" t="s">
        <v>4215</v>
      </c>
    </row>
    <row r="1323" ht="15.75" customHeight="1">
      <c r="A1323" s="16">
        <v>84.0</v>
      </c>
      <c r="B1323" s="17" t="s">
        <v>5404</v>
      </c>
      <c r="C1323" s="16">
        <v>9.0</v>
      </c>
      <c r="D1323" s="18" t="s">
        <v>4178</v>
      </c>
    </row>
    <row r="1324" ht="15.75" customHeight="1">
      <c r="A1324" s="16">
        <v>85.0</v>
      </c>
      <c r="B1324" s="17" t="s">
        <v>5405</v>
      </c>
      <c r="C1324" s="16">
        <v>9.0</v>
      </c>
      <c r="D1324" s="18" t="s">
        <v>4183</v>
      </c>
    </row>
    <row r="1325" ht="15.75" customHeight="1">
      <c r="A1325" s="16">
        <v>86.0</v>
      </c>
      <c r="B1325" s="17" t="s">
        <v>5406</v>
      </c>
      <c r="C1325" s="16">
        <v>7.0</v>
      </c>
      <c r="D1325" s="18" t="s">
        <v>4183</v>
      </c>
    </row>
    <row r="1326" ht="15.75" customHeight="1">
      <c r="A1326" s="16">
        <v>87.0</v>
      </c>
      <c r="B1326" s="17" t="s">
        <v>5407</v>
      </c>
      <c r="C1326" s="16">
        <v>1.0</v>
      </c>
      <c r="D1326" s="18" t="s">
        <v>4183</v>
      </c>
    </row>
    <row r="1327" ht="15.75" customHeight="1">
      <c r="A1327" s="16">
        <v>88.0</v>
      </c>
      <c r="B1327" s="17" t="s">
        <v>5408</v>
      </c>
      <c r="C1327" s="16">
        <v>7.0</v>
      </c>
      <c r="D1327" s="18" t="s">
        <v>4183</v>
      </c>
    </row>
    <row r="1328" ht="15.75" customHeight="1">
      <c r="A1328" s="16">
        <v>89.0</v>
      </c>
      <c r="B1328" s="17" t="s">
        <v>5409</v>
      </c>
      <c r="C1328" s="18" t="s">
        <v>4384</v>
      </c>
      <c r="D1328" s="18" t="s">
        <v>4183</v>
      </c>
    </row>
    <row r="1329" ht="15.75" customHeight="1">
      <c r="A1329" s="16">
        <v>90.0</v>
      </c>
      <c r="B1329" s="17" t="s">
        <v>5410</v>
      </c>
      <c r="C1329" s="16">
        <v>7.0</v>
      </c>
      <c r="D1329" s="18" t="s">
        <v>4183</v>
      </c>
    </row>
    <row r="1330" ht="15.75" customHeight="1">
      <c r="A1330" s="16">
        <v>91.0</v>
      </c>
      <c r="B1330" s="17" t="s">
        <v>5411</v>
      </c>
      <c r="C1330" s="16">
        <v>12.0</v>
      </c>
      <c r="D1330" s="18" t="s">
        <v>4183</v>
      </c>
    </row>
    <row r="1331" ht="15.75" customHeight="1">
      <c r="A1331" s="16">
        <v>92.0</v>
      </c>
      <c r="B1331" s="17" t="s">
        <v>5412</v>
      </c>
      <c r="C1331" s="16">
        <v>1.0</v>
      </c>
      <c r="D1331" s="18" t="s">
        <v>4183</v>
      </c>
    </row>
    <row r="1332" ht="15.75" customHeight="1">
      <c r="A1332" s="16">
        <v>93.0</v>
      </c>
      <c r="B1332" s="17" t="s">
        <v>5413</v>
      </c>
      <c r="C1332" s="16">
        <v>6.0</v>
      </c>
      <c r="D1332" s="18" t="s">
        <v>4183</v>
      </c>
    </row>
    <row r="1333" ht="15.75" customHeight="1">
      <c r="A1333" s="16">
        <v>94.0</v>
      </c>
      <c r="B1333" s="17" t="s">
        <v>5414</v>
      </c>
      <c r="C1333" s="16">
        <v>2.0</v>
      </c>
      <c r="D1333" s="18" t="s">
        <v>4178</v>
      </c>
    </row>
    <row r="1334" ht="15.75" customHeight="1">
      <c r="A1334" s="16">
        <v>95.0</v>
      </c>
      <c r="B1334" s="17" t="s">
        <v>5415</v>
      </c>
      <c r="C1334" s="16">
        <v>15.0</v>
      </c>
      <c r="D1334" s="18" t="s">
        <v>4178</v>
      </c>
    </row>
    <row r="1335" ht="15.75" customHeight="1">
      <c r="A1335" s="16">
        <v>96.0</v>
      </c>
      <c r="B1335" s="17" t="s">
        <v>5416</v>
      </c>
      <c r="C1335" s="16">
        <v>3.0</v>
      </c>
      <c r="D1335" s="18" t="s">
        <v>4178</v>
      </c>
    </row>
    <row r="1336" ht="15.75" customHeight="1">
      <c r="A1336" s="16">
        <v>97.0</v>
      </c>
      <c r="B1336" s="17" t="s">
        <v>5417</v>
      </c>
      <c r="C1336" s="16">
        <v>4.0</v>
      </c>
      <c r="D1336" s="18" t="s">
        <v>4183</v>
      </c>
    </row>
    <row r="1337" ht="15.75" customHeight="1">
      <c r="A1337" s="16">
        <v>98.0</v>
      </c>
      <c r="B1337" s="17" t="s">
        <v>5418</v>
      </c>
      <c r="C1337" s="16">
        <v>5.0</v>
      </c>
      <c r="D1337" s="18" t="s">
        <v>4178</v>
      </c>
    </row>
    <row r="1338" ht="15.75" customHeight="1">
      <c r="A1338" s="16">
        <v>99.0</v>
      </c>
      <c r="B1338" s="17" t="s">
        <v>5419</v>
      </c>
      <c r="C1338" s="16">
        <v>4.0</v>
      </c>
      <c r="D1338" s="18" t="s">
        <v>4183</v>
      </c>
    </row>
    <row r="1339" ht="15.75" customHeight="1">
      <c r="A1339" s="16">
        <v>100.0</v>
      </c>
      <c r="B1339" s="17" t="s">
        <v>5420</v>
      </c>
      <c r="C1339" s="16">
        <v>4.0</v>
      </c>
      <c r="D1339" s="18" t="s">
        <v>4183</v>
      </c>
    </row>
    <row r="1340" ht="15.75" customHeight="1">
      <c r="A1340" s="16">
        <v>101.0</v>
      </c>
      <c r="B1340" s="17" t="s">
        <v>5421</v>
      </c>
      <c r="C1340" s="16">
        <v>8.0</v>
      </c>
      <c r="D1340" s="18" t="s">
        <v>4183</v>
      </c>
    </row>
    <row r="1341" ht="15.75" customHeight="1">
      <c r="A1341" s="16">
        <v>102.0</v>
      </c>
      <c r="B1341" s="17" t="s">
        <v>5422</v>
      </c>
      <c r="C1341" s="16">
        <v>7.0</v>
      </c>
      <c r="D1341" s="18" t="s">
        <v>4178</v>
      </c>
    </row>
    <row r="1342" ht="15.75" customHeight="1">
      <c r="A1342" s="16">
        <v>103.0</v>
      </c>
      <c r="B1342" s="17" t="s">
        <v>5423</v>
      </c>
      <c r="C1342" s="16">
        <v>3.0</v>
      </c>
      <c r="D1342" s="18" t="s">
        <v>4183</v>
      </c>
    </row>
    <row r="1343" ht="15.75" customHeight="1">
      <c r="A1343" s="16">
        <v>104.0</v>
      </c>
      <c r="B1343" s="17" t="s">
        <v>5424</v>
      </c>
      <c r="C1343" s="16">
        <v>10.0</v>
      </c>
      <c r="D1343" s="18" t="s">
        <v>4183</v>
      </c>
    </row>
    <row r="1344" ht="15.75" customHeight="1">
      <c r="A1344" s="16">
        <v>105.0</v>
      </c>
      <c r="B1344" s="17" t="s">
        <v>5425</v>
      </c>
      <c r="C1344" s="16">
        <v>7.0</v>
      </c>
      <c r="D1344" s="18" t="s">
        <v>4183</v>
      </c>
    </row>
    <row r="1345" ht="15.75" customHeight="1">
      <c r="A1345" s="16">
        <v>106.0</v>
      </c>
      <c r="B1345" s="17" t="s">
        <v>5426</v>
      </c>
      <c r="C1345" s="16">
        <v>5.0</v>
      </c>
      <c r="D1345" s="18" t="s">
        <v>4183</v>
      </c>
    </row>
    <row r="1346" ht="15.75" customHeight="1">
      <c r="A1346" s="16">
        <v>107.0</v>
      </c>
      <c r="B1346" s="17" t="s">
        <v>5427</v>
      </c>
      <c r="C1346" s="16">
        <v>5.0</v>
      </c>
      <c r="D1346" s="18" t="s">
        <v>4183</v>
      </c>
    </row>
    <row r="1347" ht="15.75" customHeight="1">
      <c r="A1347" s="16">
        <v>108.0</v>
      </c>
      <c r="B1347" s="17" t="s">
        <v>5428</v>
      </c>
      <c r="C1347" s="16">
        <v>5.0</v>
      </c>
      <c r="D1347" s="18" t="s">
        <v>4183</v>
      </c>
    </row>
    <row r="1348" ht="15.75" customHeight="1">
      <c r="A1348" s="16">
        <v>109.0</v>
      </c>
      <c r="B1348" s="17" t="s">
        <v>5429</v>
      </c>
      <c r="C1348" s="16">
        <v>3.0</v>
      </c>
      <c r="D1348" s="18" t="s">
        <v>4183</v>
      </c>
    </row>
    <row r="1349" ht="15.75" customHeight="1">
      <c r="A1349" s="16">
        <v>110.0</v>
      </c>
      <c r="B1349" s="17" t="s">
        <v>5430</v>
      </c>
      <c r="C1349" s="16">
        <v>6.0</v>
      </c>
      <c r="D1349" s="18" t="s">
        <v>4183</v>
      </c>
    </row>
    <row r="1350" ht="15.75" customHeight="1">
      <c r="A1350" s="16">
        <v>111.0</v>
      </c>
      <c r="B1350" s="17" t="s">
        <v>5431</v>
      </c>
      <c r="C1350" s="16">
        <v>8.0</v>
      </c>
      <c r="D1350" s="18" t="s">
        <v>4183</v>
      </c>
    </row>
    <row r="1351" ht="15.75" customHeight="1">
      <c r="A1351" s="16">
        <v>112.0</v>
      </c>
      <c r="B1351" s="17" t="s">
        <v>5432</v>
      </c>
      <c r="C1351" s="16">
        <v>5.0</v>
      </c>
      <c r="D1351" s="18" t="s">
        <v>4183</v>
      </c>
    </row>
    <row r="1352" ht="15.75" customHeight="1">
      <c r="A1352" s="16">
        <v>113.0</v>
      </c>
      <c r="B1352" s="17" t="s">
        <v>5433</v>
      </c>
      <c r="C1352" s="16">
        <v>18.0</v>
      </c>
      <c r="D1352" s="18" t="s">
        <v>4183</v>
      </c>
    </row>
    <row r="1353" ht="15.75" customHeight="1">
      <c r="A1353" s="16">
        <v>114.0</v>
      </c>
      <c r="B1353" s="17" t="s">
        <v>5434</v>
      </c>
      <c r="C1353" s="16">
        <v>11.0</v>
      </c>
      <c r="D1353" s="18" t="s">
        <v>4183</v>
      </c>
    </row>
    <row r="1354" ht="15.75" customHeight="1">
      <c r="A1354" s="16">
        <v>115.0</v>
      </c>
      <c r="B1354" s="17" t="s">
        <v>5435</v>
      </c>
      <c r="C1354" s="16">
        <v>3.0</v>
      </c>
      <c r="D1354" s="18" t="s">
        <v>5436</v>
      </c>
    </row>
    <row r="1355" ht="15.75" customHeight="1">
      <c r="A1355" s="16">
        <v>116.0</v>
      </c>
      <c r="B1355" s="17" t="s">
        <v>5437</v>
      </c>
      <c r="C1355" s="16">
        <v>2.0</v>
      </c>
      <c r="D1355" s="18" t="s">
        <v>4183</v>
      </c>
    </row>
    <row r="1356" ht="15.75" customHeight="1">
      <c r="A1356" s="16">
        <v>117.0</v>
      </c>
      <c r="B1356" s="17" t="s">
        <v>5438</v>
      </c>
      <c r="C1356" s="16">
        <v>2.0</v>
      </c>
      <c r="D1356" s="18" t="s">
        <v>4183</v>
      </c>
    </row>
    <row r="1357" ht="15.75" customHeight="1">
      <c r="A1357" s="16">
        <v>118.0</v>
      </c>
      <c r="B1357" s="17" t="s">
        <v>5439</v>
      </c>
      <c r="C1357" s="16">
        <v>2.0</v>
      </c>
      <c r="D1357" s="18" t="s">
        <v>4183</v>
      </c>
    </row>
    <row r="1358" ht="15.75" customHeight="1">
      <c r="A1358" s="16">
        <v>119.0</v>
      </c>
      <c r="B1358" s="17" t="s">
        <v>5440</v>
      </c>
      <c r="C1358" s="16">
        <v>6.0</v>
      </c>
      <c r="D1358" s="18" t="s">
        <v>4183</v>
      </c>
    </row>
    <row r="1359" ht="15.75" customHeight="1">
      <c r="A1359" s="16">
        <v>120.0</v>
      </c>
      <c r="B1359" s="17" t="s">
        <v>5441</v>
      </c>
      <c r="C1359" s="16">
        <v>10.0</v>
      </c>
      <c r="D1359" s="18" t="s">
        <v>4183</v>
      </c>
    </row>
    <row r="1360" ht="15.75" customHeight="1">
      <c r="A1360" s="16">
        <v>121.0</v>
      </c>
      <c r="B1360" s="17" t="s">
        <v>5442</v>
      </c>
      <c r="C1360" s="16">
        <v>9.0</v>
      </c>
      <c r="D1360" s="18" t="s">
        <v>4183</v>
      </c>
    </row>
    <row r="1361" ht="15.75" customHeight="1">
      <c r="A1361" s="16">
        <v>122.0</v>
      </c>
      <c r="B1361" s="17" t="s">
        <v>5443</v>
      </c>
      <c r="C1361" s="16">
        <v>7.0</v>
      </c>
      <c r="D1361" s="18" t="s">
        <v>4183</v>
      </c>
    </row>
    <row r="1362" ht="15.75" customHeight="1">
      <c r="A1362" s="16">
        <v>123.0</v>
      </c>
      <c r="B1362" s="17" t="s">
        <v>5444</v>
      </c>
      <c r="C1362" s="16">
        <v>2.0</v>
      </c>
      <c r="D1362" s="18" t="s">
        <v>4183</v>
      </c>
    </row>
    <row r="1363" ht="15.75" customHeight="1">
      <c r="A1363" s="16">
        <v>124.0</v>
      </c>
      <c r="B1363" s="17" t="s">
        <v>5445</v>
      </c>
      <c r="C1363" s="16">
        <v>1.0</v>
      </c>
      <c r="D1363" s="18" t="s">
        <v>4183</v>
      </c>
    </row>
    <row r="1364" ht="15.75" customHeight="1">
      <c r="A1364" s="16">
        <v>125.0</v>
      </c>
      <c r="B1364" s="17" t="s">
        <v>5446</v>
      </c>
      <c r="C1364" s="16">
        <v>5.0</v>
      </c>
      <c r="D1364" s="18" t="s">
        <v>4178</v>
      </c>
    </row>
    <row r="1365" ht="15.75" customHeight="1">
      <c r="A1365" s="16">
        <v>126.0</v>
      </c>
      <c r="B1365" s="17" t="s">
        <v>5447</v>
      </c>
      <c r="C1365" s="16">
        <v>2.0</v>
      </c>
      <c r="D1365" s="18" t="s">
        <v>4178</v>
      </c>
    </row>
    <row r="1366" ht="15.75" customHeight="1">
      <c r="A1366" s="16">
        <v>127.0</v>
      </c>
      <c r="B1366" s="17" t="s">
        <v>5448</v>
      </c>
      <c r="C1366" s="16">
        <v>5.0</v>
      </c>
      <c r="D1366" s="18" t="s">
        <v>4178</v>
      </c>
    </row>
    <row r="1367" ht="15.75" customHeight="1">
      <c r="A1367" s="16">
        <v>128.0</v>
      </c>
      <c r="B1367" s="17" t="s">
        <v>5449</v>
      </c>
      <c r="C1367" s="16">
        <v>7.0</v>
      </c>
      <c r="D1367" s="18" t="s">
        <v>4178</v>
      </c>
    </row>
    <row r="1368" ht="15.75" customHeight="1">
      <c r="A1368" s="16">
        <v>129.0</v>
      </c>
      <c r="B1368" s="17" t="s">
        <v>5450</v>
      </c>
      <c r="C1368" s="16">
        <v>3.0</v>
      </c>
      <c r="D1368" s="18" t="s">
        <v>4178</v>
      </c>
    </row>
    <row r="1369" ht="15.75" customHeight="1">
      <c r="A1369" s="16">
        <v>130.0</v>
      </c>
      <c r="B1369" s="17" t="s">
        <v>5451</v>
      </c>
      <c r="C1369" s="16">
        <v>23.0</v>
      </c>
      <c r="D1369" s="18" t="s">
        <v>4183</v>
      </c>
    </row>
    <row r="1370" ht="15.75" customHeight="1">
      <c r="A1370" s="16">
        <v>131.0</v>
      </c>
      <c r="B1370" s="17" t="s">
        <v>5452</v>
      </c>
      <c r="C1370" s="16">
        <v>2.0</v>
      </c>
      <c r="D1370" s="18" t="s">
        <v>4178</v>
      </c>
    </row>
    <row r="1371" ht="15.75" customHeight="1">
      <c r="A1371" s="16">
        <v>132.0</v>
      </c>
      <c r="B1371" s="17" t="s">
        <v>5453</v>
      </c>
      <c r="C1371" s="16">
        <v>3.0</v>
      </c>
      <c r="D1371" s="18" t="s">
        <v>4178</v>
      </c>
    </row>
    <row r="1372" ht="15.75" customHeight="1">
      <c r="A1372" s="16">
        <v>133.0</v>
      </c>
      <c r="B1372" s="17" t="s">
        <v>5454</v>
      </c>
      <c r="C1372" s="16">
        <v>15.0</v>
      </c>
      <c r="D1372" s="18" t="s">
        <v>4178</v>
      </c>
    </row>
    <row r="1373" ht="15.75" customHeight="1">
      <c r="A1373" s="16">
        <v>134.0</v>
      </c>
      <c r="B1373" s="17" t="s">
        <v>5455</v>
      </c>
      <c r="C1373" s="16">
        <v>4.0</v>
      </c>
      <c r="D1373" s="18" t="s">
        <v>4178</v>
      </c>
    </row>
    <row r="1374" ht="15.75" customHeight="1">
      <c r="A1374" s="16">
        <v>135.0</v>
      </c>
      <c r="B1374" s="17" t="s">
        <v>5456</v>
      </c>
      <c r="C1374" s="18" t="s">
        <v>4384</v>
      </c>
      <c r="D1374" s="18" t="s">
        <v>4178</v>
      </c>
    </row>
    <row r="1375" ht="15.75" customHeight="1">
      <c r="A1375" s="16">
        <v>136.0</v>
      </c>
      <c r="B1375" s="17" t="s">
        <v>5457</v>
      </c>
      <c r="C1375" s="16">
        <v>6.0</v>
      </c>
      <c r="D1375" s="18" t="s">
        <v>4178</v>
      </c>
    </row>
    <row r="1376" ht="15.75" customHeight="1">
      <c r="A1376" s="16">
        <v>137.0</v>
      </c>
      <c r="B1376" s="17" t="s">
        <v>5458</v>
      </c>
      <c r="C1376" s="16">
        <v>1.0</v>
      </c>
      <c r="D1376" s="18" t="s">
        <v>4183</v>
      </c>
    </row>
    <row r="1377" ht="15.75" customHeight="1">
      <c r="A1377" s="16">
        <v>138.0</v>
      </c>
      <c r="B1377" s="17" t="s">
        <v>5459</v>
      </c>
      <c r="C1377" s="16">
        <v>8.0</v>
      </c>
      <c r="D1377" s="18" t="s">
        <v>4183</v>
      </c>
    </row>
    <row r="1378" ht="15.75" customHeight="1">
      <c r="A1378" s="16">
        <v>139.0</v>
      </c>
      <c r="B1378" s="17" t="s">
        <v>5460</v>
      </c>
      <c r="C1378" s="16">
        <v>12.0</v>
      </c>
      <c r="D1378" s="18" t="s">
        <v>4178</v>
      </c>
    </row>
    <row r="1379" ht="15.75" customHeight="1">
      <c r="A1379" s="16">
        <v>140.0</v>
      </c>
      <c r="B1379" s="17" t="s">
        <v>5461</v>
      </c>
      <c r="C1379" s="16">
        <v>1.0</v>
      </c>
      <c r="D1379" s="18" t="s">
        <v>4178</v>
      </c>
    </row>
    <row r="1380" ht="15.75" customHeight="1">
      <c r="A1380" s="16">
        <v>141.0</v>
      </c>
      <c r="B1380" s="17" t="s">
        <v>5462</v>
      </c>
      <c r="C1380" s="16">
        <v>2.0</v>
      </c>
      <c r="D1380" s="18" t="s">
        <v>4215</v>
      </c>
    </row>
    <row r="1381" ht="15.75" customHeight="1">
      <c r="A1381" s="16">
        <v>142.0</v>
      </c>
      <c r="B1381" s="17" t="s">
        <v>5463</v>
      </c>
      <c r="C1381" s="16">
        <v>1.0</v>
      </c>
      <c r="D1381" s="18" t="s">
        <v>4183</v>
      </c>
    </row>
    <row r="1382" ht="15.75" customHeight="1">
      <c r="A1382" s="16">
        <v>143.0</v>
      </c>
      <c r="B1382" s="17" t="s">
        <v>5464</v>
      </c>
      <c r="C1382" s="16">
        <v>4.0</v>
      </c>
      <c r="D1382" s="18" t="s">
        <v>4178</v>
      </c>
    </row>
    <row r="1383" ht="15.75" customHeight="1">
      <c r="A1383" s="16">
        <v>144.0</v>
      </c>
      <c r="B1383" s="17" t="s">
        <v>5465</v>
      </c>
      <c r="C1383" s="16">
        <v>2.0</v>
      </c>
      <c r="D1383" s="18" t="s">
        <v>4183</v>
      </c>
    </row>
    <row r="1384" ht="15.75" customHeight="1">
      <c r="A1384" s="16">
        <v>145.0</v>
      </c>
      <c r="B1384" s="17" t="s">
        <v>5466</v>
      </c>
      <c r="C1384" s="16">
        <v>3.0</v>
      </c>
      <c r="D1384" s="18" t="s">
        <v>4178</v>
      </c>
    </row>
    <row r="1385" ht="15.75" customHeight="1">
      <c r="A1385" s="16">
        <v>146.0</v>
      </c>
      <c r="B1385" s="17" t="s">
        <v>5467</v>
      </c>
      <c r="C1385" s="16">
        <v>10.0</v>
      </c>
      <c r="D1385" s="18" t="s">
        <v>4183</v>
      </c>
    </row>
    <row r="1386" ht="15.75" customHeight="1">
      <c r="A1386" s="16">
        <v>147.0</v>
      </c>
      <c r="B1386" s="17" t="s">
        <v>5468</v>
      </c>
      <c r="C1386" s="16">
        <v>3.0</v>
      </c>
      <c r="D1386" s="18" t="s">
        <v>4183</v>
      </c>
    </row>
    <row r="1387" ht="15.75" customHeight="1">
      <c r="A1387" s="16">
        <v>148.0</v>
      </c>
      <c r="B1387" s="17" t="s">
        <v>5469</v>
      </c>
      <c r="C1387" s="16">
        <v>4.0</v>
      </c>
      <c r="D1387" s="18" t="s">
        <v>4183</v>
      </c>
    </row>
    <row r="1388" ht="15.75" customHeight="1">
      <c r="A1388" s="16">
        <v>149.0</v>
      </c>
      <c r="B1388" s="17" t="s">
        <v>5470</v>
      </c>
      <c r="C1388" s="16">
        <v>1.0</v>
      </c>
      <c r="D1388" s="18" t="s">
        <v>4183</v>
      </c>
    </row>
    <row r="1389" ht="15.75" customHeight="1">
      <c r="A1389" s="16">
        <v>150.0</v>
      </c>
      <c r="B1389" s="17" t="s">
        <v>5471</v>
      </c>
      <c r="C1389" s="16">
        <v>2.0</v>
      </c>
      <c r="D1389" s="18" t="s">
        <v>4183</v>
      </c>
    </row>
    <row r="1390" ht="15.75" customHeight="1">
      <c r="A1390" s="16">
        <v>151.0</v>
      </c>
      <c r="B1390" s="17" t="s">
        <v>5472</v>
      </c>
      <c r="C1390" s="16">
        <v>8.0</v>
      </c>
      <c r="D1390" s="18" t="s">
        <v>4183</v>
      </c>
    </row>
    <row r="1391" ht="15.75" customHeight="1">
      <c r="A1391" s="16">
        <v>152.0</v>
      </c>
      <c r="B1391" s="17" t="s">
        <v>5473</v>
      </c>
      <c r="C1391" s="16">
        <v>6.0</v>
      </c>
      <c r="D1391" s="18" t="s">
        <v>4183</v>
      </c>
    </row>
    <row r="1392" ht="15.75" customHeight="1">
      <c r="A1392" s="16">
        <v>153.0</v>
      </c>
      <c r="B1392" s="17" t="s">
        <v>5474</v>
      </c>
      <c r="C1392" s="16">
        <v>9.0</v>
      </c>
      <c r="D1392" s="18" t="s">
        <v>4183</v>
      </c>
    </row>
    <row r="1393" ht="15.75" customHeight="1">
      <c r="A1393" s="16">
        <v>154.0</v>
      </c>
      <c r="B1393" s="17" t="s">
        <v>5475</v>
      </c>
      <c r="C1393" s="16">
        <v>2.0</v>
      </c>
      <c r="D1393" s="18" t="s">
        <v>4178</v>
      </c>
    </row>
    <row r="1394" ht="15.75" customHeight="1">
      <c r="A1394" s="16">
        <v>155.0</v>
      </c>
      <c r="B1394" s="17" t="s">
        <v>5476</v>
      </c>
      <c r="C1394" s="16">
        <v>2.0</v>
      </c>
      <c r="D1394" s="18" t="s">
        <v>4178</v>
      </c>
    </row>
    <row r="1395" ht="15.75" customHeight="1">
      <c r="A1395" s="16">
        <v>156.0</v>
      </c>
      <c r="B1395" s="17" t="s">
        <v>5477</v>
      </c>
      <c r="C1395" s="16">
        <v>1.0</v>
      </c>
      <c r="D1395" s="18" t="s">
        <v>4178</v>
      </c>
    </row>
    <row r="1396" ht="15.75" customHeight="1">
      <c r="A1396" s="16">
        <v>157.0</v>
      </c>
      <c r="B1396" s="17" t="s">
        <v>5478</v>
      </c>
      <c r="C1396" s="16">
        <v>1.0</v>
      </c>
      <c r="D1396" s="18" t="s">
        <v>4178</v>
      </c>
    </row>
    <row r="1397" ht="15.75" customHeight="1">
      <c r="A1397" s="16">
        <v>158.0</v>
      </c>
      <c r="B1397" s="17" t="s">
        <v>5479</v>
      </c>
      <c r="C1397" s="16">
        <v>5.0</v>
      </c>
      <c r="D1397" s="18" t="s">
        <v>4178</v>
      </c>
    </row>
    <row r="1398" ht="15.75" customHeight="1">
      <c r="A1398" s="16">
        <v>159.0</v>
      </c>
      <c r="B1398" s="17" t="s">
        <v>5480</v>
      </c>
      <c r="C1398" s="16">
        <v>11.0</v>
      </c>
      <c r="D1398" s="18" t="s">
        <v>4178</v>
      </c>
    </row>
    <row r="1399" ht="15.75" customHeight="1">
      <c r="A1399" s="16">
        <v>160.0</v>
      </c>
      <c r="B1399" s="17" t="s">
        <v>5481</v>
      </c>
      <c r="C1399" s="16">
        <v>17.0</v>
      </c>
      <c r="D1399" s="18" t="s">
        <v>4178</v>
      </c>
    </row>
    <row r="1400" ht="15.75" customHeight="1">
      <c r="A1400" s="16">
        <v>161.0</v>
      </c>
      <c r="B1400" s="17" t="s">
        <v>5482</v>
      </c>
      <c r="C1400" s="16">
        <v>12.0</v>
      </c>
      <c r="D1400" s="18" t="s">
        <v>4178</v>
      </c>
    </row>
    <row r="1401" ht="15.75" customHeight="1">
      <c r="A1401" s="20"/>
      <c r="B1401" s="21" t="s">
        <v>4273</v>
      </c>
      <c r="C1401" s="23">
        <v>1026.0</v>
      </c>
      <c r="D1401" s="21" t="s">
        <v>4171</v>
      </c>
    </row>
    <row r="1402" ht="15.75" customHeight="1">
      <c r="A1402" s="11"/>
      <c r="B1402" s="12"/>
      <c r="C1402" s="12"/>
      <c r="D1402" s="13"/>
    </row>
    <row r="1403" ht="15.75" customHeight="1">
      <c r="A1403" s="14" t="s">
        <v>4084</v>
      </c>
      <c r="B1403" s="15"/>
      <c r="C1403" s="15"/>
      <c r="D1403" s="15"/>
    </row>
    <row r="1404" ht="15.75" customHeight="1">
      <c r="A1404" s="16">
        <v>1.0</v>
      </c>
      <c r="B1404" s="17" t="s">
        <v>5483</v>
      </c>
      <c r="C1404" s="16">
        <v>86.0</v>
      </c>
      <c r="D1404" s="18" t="s">
        <v>4178</v>
      </c>
    </row>
    <row r="1405" ht="15.75" customHeight="1">
      <c r="A1405" s="16">
        <v>2.0</v>
      </c>
      <c r="B1405" s="17" t="s">
        <v>5484</v>
      </c>
      <c r="C1405" s="16">
        <v>5.0</v>
      </c>
      <c r="D1405" s="18" t="s">
        <v>4178</v>
      </c>
    </row>
    <row r="1406" ht="15.75" customHeight="1">
      <c r="A1406" s="16">
        <v>3.0</v>
      </c>
      <c r="B1406" s="17" t="s">
        <v>5485</v>
      </c>
      <c r="C1406" s="16">
        <v>5.0</v>
      </c>
      <c r="D1406" s="18" t="s">
        <v>4178</v>
      </c>
    </row>
    <row r="1407" ht="15.75" customHeight="1">
      <c r="A1407" s="16">
        <v>4.0</v>
      </c>
      <c r="B1407" s="17" t="s">
        <v>5486</v>
      </c>
      <c r="C1407" s="16">
        <v>19.0</v>
      </c>
      <c r="D1407" s="18" t="s">
        <v>4178</v>
      </c>
    </row>
    <row r="1408" ht="15.75" customHeight="1">
      <c r="A1408" s="16">
        <v>5.0</v>
      </c>
      <c r="B1408" s="17" t="s">
        <v>5487</v>
      </c>
      <c r="C1408" s="16">
        <v>1411.0</v>
      </c>
      <c r="D1408" s="18" t="s">
        <v>4183</v>
      </c>
    </row>
    <row r="1409" ht="15.75" customHeight="1">
      <c r="A1409" s="16">
        <v>6.0</v>
      </c>
      <c r="B1409" s="18" t="s">
        <v>5488</v>
      </c>
      <c r="C1409" s="16">
        <v>40.0</v>
      </c>
      <c r="D1409" s="18" t="s">
        <v>4178</v>
      </c>
    </row>
    <row r="1410" ht="15.75" customHeight="1">
      <c r="A1410" s="16">
        <v>7.0</v>
      </c>
      <c r="B1410" s="17" t="s">
        <v>5489</v>
      </c>
      <c r="C1410" s="16">
        <v>17.0</v>
      </c>
      <c r="D1410" s="18" t="s">
        <v>4183</v>
      </c>
    </row>
    <row r="1411" ht="15.75" customHeight="1">
      <c r="A1411" s="16">
        <v>8.0</v>
      </c>
      <c r="B1411" s="17" t="s">
        <v>5490</v>
      </c>
      <c r="C1411" s="18" t="s">
        <v>4681</v>
      </c>
      <c r="D1411" s="18" t="s">
        <v>4183</v>
      </c>
    </row>
    <row r="1412" ht="15.75" customHeight="1">
      <c r="A1412" s="16">
        <v>9.0</v>
      </c>
      <c r="B1412" s="17" t="s">
        <v>5491</v>
      </c>
      <c r="C1412" s="16">
        <v>81.0</v>
      </c>
      <c r="D1412" s="18" t="s">
        <v>4178</v>
      </c>
    </row>
    <row r="1413" ht="15.75" customHeight="1">
      <c r="A1413" s="16">
        <v>10.0</v>
      </c>
      <c r="B1413" s="17" t="s">
        <v>5492</v>
      </c>
      <c r="C1413" s="16">
        <v>21.0</v>
      </c>
      <c r="D1413" s="18" t="s">
        <v>4178</v>
      </c>
    </row>
    <row r="1414" ht="15.75" customHeight="1">
      <c r="A1414" s="16">
        <v>11.0</v>
      </c>
      <c r="B1414" s="17" t="s">
        <v>5493</v>
      </c>
      <c r="C1414" s="16">
        <v>57.0</v>
      </c>
      <c r="D1414" s="18" t="s">
        <v>4178</v>
      </c>
    </row>
    <row r="1415" ht="15.75" customHeight="1">
      <c r="A1415" s="16">
        <v>12.0</v>
      </c>
      <c r="B1415" s="17" t="s">
        <v>5494</v>
      </c>
      <c r="C1415" s="16">
        <v>3.0</v>
      </c>
      <c r="D1415" s="18" t="s">
        <v>4178</v>
      </c>
    </row>
    <row r="1416" ht="15.75" customHeight="1">
      <c r="A1416" s="16">
        <v>13.0</v>
      </c>
      <c r="B1416" s="17" t="s">
        <v>5495</v>
      </c>
      <c r="C1416" s="16">
        <v>5.0</v>
      </c>
      <c r="D1416" s="18" t="s">
        <v>4178</v>
      </c>
    </row>
    <row r="1417" ht="15.75" customHeight="1">
      <c r="A1417" s="16">
        <v>14.0</v>
      </c>
      <c r="B1417" s="17" t="s">
        <v>5496</v>
      </c>
      <c r="C1417" s="16">
        <v>19.0</v>
      </c>
      <c r="D1417" s="18" t="s">
        <v>4178</v>
      </c>
    </row>
    <row r="1418" ht="15.75" customHeight="1">
      <c r="A1418" s="16">
        <v>15.0</v>
      </c>
      <c r="B1418" s="17" t="s">
        <v>5497</v>
      </c>
      <c r="C1418" s="18" t="s">
        <v>4681</v>
      </c>
      <c r="D1418" s="18" t="s">
        <v>4178</v>
      </c>
    </row>
    <row r="1419" ht="15.75" customHeight="1">
      <c r="A1419" s="16">
        <v>16.0</v>
      </c>
      <c r="B1419" s="17" t="s">
        <v>5498</v>
      </c>
      <c r="C1419" s="16">
        <v>4.0</v>
      </c>
      <c r="D1419" s="18" t="s">
        <v>4178</v>
      </c>
    </row>
    <row r="1420" ht="15.75" customHeight="1">
      <c r="A1420" s="16">
        <v>17.0</v>
      </c>
      <c r="B1420" s="17" t="s">
        <v>5499</v>
      </c>
      <c r="C1420" s="16">
        <v>5.0</v>
      </c>
      <c r="D1420" s="18" t="s">
        <v>4178</v>
      </c>
    </row>
    <row r="1421" ht="15.75" customHeight="1">
      <c r="A1421" s="16">
        <v>18.0</v>
      </c>
      <c r="B1421" s="17" t="s">
        <v>5500</v>
      </c>
      <c r="C1421" s="16">
        <v>5.0</v>
      </c>
      <c r="D1421" s="18" t="s">
        <v>4178</v>
      </c>
    </row>
    <row r="1422" ht="15.75" customHeight="1">
      <c r="A1422" s="16">
        <v>19.0</v>
      </c>
      <c r="B1422" s="17" t="s">
        <v>5501</v>
      </c>
      <c r="C1422" s="16">
        <v>13.0</v>
      </c>
      <c r="D1422" s="18" t="s">
        <v>4178</v>
      </c>
    </row>
    <row r="1423" ht="15.75" customHeight="1">
      <c r="A1423" s="16">
        <v>20.0</v>
      </c>
      <c r="B1423" s="18" t="s">
        <v>1334</v>
      </c>
      <c r="C1423" s="16">
        <v>7.0</v>
      </c>
      <c r="D1423" s="18" t="s">
        <v>4178</v>
      </c>
    </row>
    <row r="1424" ht="15.75" customHeight="1">
      <c r="A1424" s="16">
        <v>21.0</v>
      </c>
      <c r="B1424" s="17" t="s">
        <v>5502</v>
      </c>
      <c r="C1424" s="16">
        <v>5.0</v>
      </c>
      <c r="D1424" s="18" t="s">
        <v>4178</v>
      </c>
    </row>
    <row r="1425" ht="15.75" customHeight="1">
      <c r="A1425" s="16">
        <v>22.0</v>
      </c>
      <c r="B1425" s="17" t="s">
        <v>5503</v>
      </c>
      <c r="C1425" s="16">
        <v>5.0</v>
      </c>
      <c r="D1425" s="18" t="s">
        <v>4178</v>
      </c>
    </row>
    <row r="1426" ht="15.75" customHeight="1">
      <c r="A1426" s="16">
        <v>23.0</v>
      </c>
      <c r="B1426" s="17" t="s">
        <v>5504</v>
      </c>
      <c r="C1426" s="16">
        <v>2.0</v>
      </c>
      <c r="D1426" s="18" t="s">
        <v>4178</v>
      </c>
    </row>
    <row r="1427" ht="15.75" customHeight="1">
      <c r="A1427" s="16">
        <v>24.0</v>
      </c>
      <c r="B1427" s="17" t="s">
        <v>5505</v>
      </c>
      <c r="C1427" s="16">
        <v>8.0</v>
      </c>
      <c r="D1427" s="18" t="s">
        <v>4178</v>
      </c>
    </row>
    <row r="1428" ht="15.75" customHeight="1">
      <c r="A1428" s="16">
        <v>25.0</v>
      </c>
      <c r="B1428" s="17" t="s">
        <v>5506</v>
      </c>
      <c r="C1428" s="16">
        <v>16.0</v>
      </c>
      <c r="D1428" s="18" t="s">
        <v>4178</v>
      </c>
    </row>
    <row r="1429" ht="15.75" customHeight="1">
      <c r="A1429" s="16">
        <v>26.0</v>
      </c>
      <c r="B1429" s="17" t="s">
        <v>5507</v>
      </c>
      <c r="C1429" s="16">
        <v>9.0</v>
      </c>
      <c r="D1429" s="18" t="s">
        <v>4178</v>
      </c>
    </row>
    <row r="1430" ht="15.75" customHeight="1">
      <c r="A1430" s="16">
        <v>27.0</v>
      </c>
      <c r="B1430" s="17" t="s">
        <v>5508</v>
      </c>
      <c r="C1430" s="16">
        <v>6.0</v>
      </c>
      <c r="D1430" s="18" t="s">
        <v>4178</v>
      </c>
    </row>
    <row r="1431" ht="15.75" customHeight="1">
      <c r="A1431" s="16">
        <v>28.0</v>
      </c>
      <c r="B1431" s="17" t="s">
        <v>5509</v>
      </c>
      <c r="C1431" s="16">
        <v>45.0</v>
      </c>
      <c r="D1431" s="18" t="s">
        <v>4178</v>
      </c>
    </row>
    <row r="1432" ht="15.75" customHeight="1">
      <c r="A1432" s="16">
        <v>29.0</v>
      </c>
      <c r="B1432" s="17" t="s">
        <v>5510</v>
      </c>
      <c r="C1432" s="16">
        <v>4.0</v>
      </c>
      <c r="D1432" s="18" t="s">
        <v>4178</v>
      </c>
    </row>
    <row r="1433" ht="15.75" customHeight="1">
      <c r="A1433" s="16">
        <v>30.0</v>
      </c>
      <c r="B1433" s="17" t="s">
        <v>5511</v>
      </c>
      <c r="C1433" s="16">
        <v>11.0</v>
      </c>
      <c r="D1433" s="18" t="s">
        <v>4178</v>
      </c>
    </row>
    <row r="1434" ht="15.75" customHeight="1">
      <c r="A1434" s="16">
        <v>31.0</v>
      </c>
      <c r="B1434" s="17" t="s">
        <v>5512</v>
      </c>
      <c r="C1434" s="16">
        <v>31.0</v>
      </c>
      <c r="D1434" s="18" t="s">
        <v>4178</v>
      </c>
    </row>
    <row r="1435" ht="15.75" customHeight="1">
      <c r="A1435" s="16">
        <v>32.0</v>
      </c>
      <c r="B1435" s="17" t="s">
        <v>5513</v>
      </c>
      <c r="C1435" s="16">
        <v>3.0</v>
      </c>
      <c r="D1435" s="18" t="s">
        <v>4178</v>
      </c>
    </row>
    <row r="1436" ht="15.75" customHeight="1">
      <c r="A1436" s="16">
        <v>33.0</v>
      </c>
      <c r="B1436" s="17" t="s">
        <v>5514</v>
      </c>
      <c r="C1436" s="16">
        <v>6.0</v>
      </c>
      <c r="D1436" s="18" t="s">
        <v>4178</v>
      </c>
    </row>
    <row r="1437" ht="15.75" customHeight="1">
      <c r="A1437" s="16">
        <v>34.0</v>
      </c>
      <c r="B1437" s="17" t="s">
        <v>5515</v>
      </c>
      <c r="C1437" s="16">
        <v>3.0</v>
      </c>
      <c r="D1437" s="18" t="s">
        <v>4178</v>
      </c>
    </row>
    <row r="1438" ht="15.75" customHeight="1">
      <c r="A1438" s="16">
        <v>35.0</v>
      </c>
      <c r="B1438" s="17" t="s">
        <v>5516</v>
      </c>
      <c r="C1438" s="16">
        <v>11.0</v>
      </c>
      <c r="D1438" s="18" t="s">
        <v>4178</v>
      </c>
    </row>
    <row r="1439" ht="15.75" customHeight="1">
      <c r="A1439" s="16">
        <v>36.0</v>
      </c>
      <c r="B1439" s="17" t="s">
        <v>5517</v>
      </c>
      <c r="C1439" s="16">
        <v>10.0</v>
      </c>
      <c r="D1439" s="18" t="s">
        <v>4178</v>
      </c>
    </row>
    <row r="1440" ht="15.75" customHeight="1">
      <c r="A1440" s="16">
        <v>37.0</v>
      </c>
      <c r="B1440" s="17" t="s">
        <v>5518</v>
      </c>
      <c r="C1440" s="16">
        <v>10.0</v>
      </c>
      <c r="D1440" s="18" t="s">
        <v>4178</v>
      </c>
    </row>
    <row r="1441" ht="15.75" customHeight="1">
      <c r="A1441" s="20"/>
      <c r="B1441" s="21" t="s">
        <v>4273</v>
      </c>
      <c r="C1441" s="23">
        <v>1978.0</v>
      </c>
      <c r="D1441" s="21" t="s">
        <v>4171</v>
      </c>
    </row>
    <row r="1442" ht="15.75" customHeight="1">
      <c r="A1442" s="11"/>
      <c r="B1442" s="12"/>
      <c r="C1442" s="12"/>
      <c r="D1442" s="13"/>
    </row>
    <row r="1443" ht="15.75" customHeight="1">
      <c r="A1443" s="14" t="s">
        <v>4078</v>
      </c>
      <c r="B1443" s="15"/>
      <c r="C1443" s="15"/>
      <c r="D1443" s="15"/>
    </row>
    <row r="1444" ht="15.75" customHeight="1">
      <c r="A1444" s="16">
        <v>1.0</v>
      </c>
      <c r="B1444" s="17" t="s">
        <v>5519</v>
      </c>
      <c r="C1444" s="16">
        <v>3.0</v>
      </c>
      <c r="D1444" s="18" t="s">
        <v>4178</v>
      </c>
    </row>
    <row r="1445" ht="15.75" customHeight="1">
      <c r="A1445" s="16">
        <v>2.0</v>
      </c>
      <c r="B1445" s="17" t="s">
        <v>5520</v>
      </c>
      <c r="C1445" s="16">
        <v>8.0</v>
      </c>
      <c r="D1445" s="18" t="s">
        <v>4183</v>
      </c>
    </row>
    <row r="1446" ht="15.75" customHeight="1">
      <c r="A1446" s="16">
        <v>3.0</v>
      </c>
      <c r="B1446" s="17" t="s">
        <v>5521</v>
      </c>
      <c r="C1446" s="16">
        <v>1.0</v>
      </c>
      <c r="D1446" s="18" t="s">
        <v>4183</v>
      </c>
    </row>
    <row r="1447" ht="15.75" customHeight="1">
      <c r="A1447" s="16">
        <v>4.0</v>
      </c>
      <c r="B1447" s="17" t="s">
        <v>5522</v>
      </c>
      <c r="C1447" s="16">
        <v>21.0</v>
      </c>
      <c r="D1447" s="18" t="s">
        <v>4183</v>
      </c>
    </row>
    <row r="1448" ht="15.75" customHeight="1">
      <c r="A1448" s="16">
        <v>5.0</v>
      </c>
      <c r="B1448" s="17" t="s">
        <v>5523</v>
      </c>
      <c r="C1448" s="16">
        <v>8.0</v>
      </c>
      <c r="D1448" s="18" t="s">
        <v>4178</v>
      </c>
    </row>
    <row r="1449" ht="15.75" customHeight="1">
      <c r="A1449" s="16">
        <v>6.0</v>
      </c>
      <c r="B1449" s="17" t="s">
        <v>5524</v>
      </c>
      <c r="C1449" s="19">
        <v>27.99</v>
      </c>
      <c r="D1449" s="18" t="s">
        <v>4183</v>
      </c>
    </row>
    <row r="1450" ht="15.75" customHeight="1">
      <c r="A1450" s="16">
        <v>7.0</v>
      </c>
      <c r="B1450" s="17" t="s">
        <v>5525</v>
      </c>
      <c r="C1450" s="16">
        <v>20.0</v>
      </c>
      <c r="D1450" s="18" t="s">
        <v>4183</v>
      </c>
    </row>
    <row r="1451" ht="15.75" customHeight="1">
      <c r="A1451" s="16">
        <v>8.0</v>
      </c>
      <c r="B1451" s="17" t="s">
        <v>5526</v>
      </c>
      <c r="C1451" s="16">
        <v>6.0</v>
      </c>
      <c r="D1451" s="18" t="s">
        <v>4183</v>
      </c>
    </row>
    <row r="1452" ht="15.75" customHeight="1">
      <c r="A1452" s="16">
        <v>9.0</v>
      </c>
      <c r="B1452" s="17" t="s">
        <v>5527</v>
      </c>
      <c r="C1452" s="16">
        <v>49.0</v>
      </c>
      <c r="D1452" s="18" t="s">
        <v>4183</v>
      </c>
    </row>
    <row r="1453" ht="15.75" customHeight="1">
      <c r="A1453" s="16">
        <v>10.0</v>
      </c>
      <c r="B1453" s="17" t="s">
        <v>5528</v>
      </c>
      <c r="C1453" s="16">
        <v>4.0</v>
      </c>
      <c r="D1453" s="18" t="s">
        <v>4183</v>
      </c>
    </row>
    <row r="1454" ht="15.75" customHeight="1">
      <c r="A1454" s="16">
        <v>11.0</v>
      </c>
      <c r="B1454" s="17" t="s">
        <v>5529</v>
      </c>
      <c r="C1454" s="16">
        <v>8.0</v>
      </c>
      <c r="D1454" s="18" t="s">
        <v>4183</v>
      </c>
    </row>
    <row r="1455" ht="15.75" customHeight="1">
      <c r="A1455" s="16">
        <v>12.0</v>
      </c>
      <c r="B1455" s="17" t="s">
        <v>5530</v>
      </c>
      <c r="C1455" s="16">
        <v>10.0</v>
      </c>
      <c r="D1455" s="18" t="s">
        <v>4183</v>
      </c>
    </row>
    <row r="1456" ht="15.75" customHeight="1">
      <c r="A1456" s="16">
        <v>13.0</v>
      </c>
      <c r="B1456" s="17" t="s">
        <v>5531</v>
      </c>
      <c r="C1456" s="16">
        <v>27.0</v>
      </c>
      <c r="D1456" s="18" t="s">
        <v>4183</v>
      </c>
    </row>
    <row r="1457" ht="15.75" customHeight="1">
      <c r="A1457" s="16">
        <v>14.0</v>
      </c>
      <c r="B1457" s="17" t="s">
        <v>5532</v>
      </c>
      <c r="C1457" s="18" t="s">
        <v>4213</v>
      </c>
      <c r="D1457" s="18" t="s">
        <v>4183</v>
      </c>
    </row>
    <row r="1458" ht="15.75" customHeight="1">
      <c r="A1458" s="16">
        <v>15.0</v>
      </c>
      <c r="B1458" s="17" t="s">
        <v>5533</v>
      </c>
      <c r="C1458" s="16">
        <v>3.0</v>
      </c>
      <c r="D1458" s="18" t="s">
        <v>4178</v>
      </c>
    </row>
    <row r="1459" ht="15.75" customHeight="1">
      <c r="A1459" s="16">
        <v>16.0</v>
      </c>
      <c r="B1459" s="17" t="s">
        <v>5534</v>
      </c>
      <c r="C1459" s="16">
        <v>56.0</v>
      </c>
      <c r="D1459" s="18" t="s">
        <v>4183</v>
      </c>
    </row>
    <row r="1460" ht="15.75" customHeight="1">
      <c r="A1460" s="16">
        <v>17.0</v>
      </c>
      <c r="B1460" s="17" t="s">
        <v>5535</v>
      </c>
      <c r="C1460" s="16">
        <v>2.0</v>
      </c>
      <c r="D1460" s="18" t="s">
        <v>4183</v>
      </c>
    </row>
    <row r="1461" ht="15.75" customHeight="1">
      <c r="A1461" s="16">
        <v>18.0</v>
      </c>
      <c r="B1461" s="17" t="s">
        <v>5536</v>
      </c>
      <c r="C1461" s="16">
        <v>15.0</v>
      </c>
      <c r="D1461" s="18" t="s">
        <v>4183</v>
      </c>
    </row>
    <row r="1462" ht="15.75" customHeight="1">
      <c r="A1462" s="16">
        <v>19.0</v>
      </c>
      <c r="B1462" s="17" t="s">
        <v>5537</v>
      </c>
      <c r="C1462" s="16">
        <v>2.0</v>
      </c>
      <c r="D1462" s="18" t="s">
        <v>4183</v>
      </c>
    </row>
    <row r="1463" ht="15.75" customHeight="1">
      <c r="A1463" s="16">
        <v>20.0</v>
      </c>
      <c r="B1463" s="17" t="s">
        <v>5538</v>
      </c>
      <c r="C1463" s="16">
        <v>2.0</v>
      </c>
      <c r="D1463" s="18" t="s">
        <v>4183</v>
      </c>
    </row>
    <row r="1464" ht="15.75" customHeight="1">
      <c r="A1464" s="16">
        <v>21.0</v>
      </c>
      <c r="B1464" s="17" t="s">
        <v>5539</v>
      </c>
      <c r="C1464" s="16">
        <v>11.0</v>
      </c>
      <c r="D1464" s="18" t="s">
        <v>4183</v>
      </c>
    </row>
    <row r="1465" ht="15.75" customHeight="1">
      <c r="A1465" s="16">
        <v>22.0</v>
      </c>
      <c r="B1465" s="17" t="s">
        <v>5540</v>
      </c>
      <c r="C1465" s="16">
        <v>39.0</v>
      </c>
      <c r="D1465" s="18" t="s">
        <v>4183</v>
      </c>
    </row>
    <row r="1466" ht="15.75" customHeight="1">
      <c r="A1466" s="16">
        <v>23.0</v>
      </c>
      <c r="B1466" s="17" t="s">
        <v>5541</v>
      </c>
      <c r="C1466" s="16">
        <v>5.0</v>
      </c>
      <c r="D1466" s="18" t="s">
        <v>4215</v>
      </c>
    </row>
    <row r="1467" ht="15.75" customHeight="1">
      <c r="A1467" s="16">
        <v>24.0</v>
      </c>
      <c r="B1467" s="17" t="s">
        <v>5542</v>
      </c>
      <c r="C1467" s="16">
        <v>57.0</v>
      </c>
      <c r="D1467" s="18" t="s">
        <v>4183</v>
      </c>
    </row>
    <row r="1468" ht="15.75" customHeight="1">
      <c r="A1468" s="16">
        <v>25.0</v>
      </c>
      <c r="B1468" s="17" t="s">
        <v>5543</v>
      </c>
      <c r="C1468" s="16">
        <v>171.0</v>
      </c>
      <c r="D1468" s="18" t="s">
        <v>4183</v>
      </c>
    </row>
    <row r="1469" ht="15.75" customHeight="1">
      <c r="A1469" s="16">
        <v>26.0</v>
      </c>
      <c r="B1469" s="17" t="s">
        <v>5544</v>
      </c>
      <c r="C1469" s="16">
        <v>25.0</v>
      </c>
      <c r="D1469" s="18" t="s">
        <v>4183</v>
      </c>
    </row>
    <row r="1470" ht="15.75" customHeight="1">
      <c r="A1470" s="16">
        <v>27.0</v>
      </c>
      <c r="B1470" s="17" t="s">
        <v>5545</v>
      </c>
      <c r="C1470" s="16">
        <v>7.0</v>
      </c>
      <c r="D1470" s="18" t="s">
        <v>4183</v>
      </c>
    </row>
    <row r="1471" ht="15.75" customHeight="1">
      <c r="A1471" s="16">
        <v>28.0</v>
      </c>
      <c r="B1471" s="17" t="s">
        <v>5546</v>
      </c>
      <c r="C1471" s="16">
        <v>20.0</v>
      </c>
      <c r="D1471" s="18" t="s">
        <v>4473</v>
      </c>
    </row>
    <row r="1472" ht="15.75" customHeight="1">
      <c r="A1472" s="16">
        <v>29.0</v>
      </c>
      <c r="B1472" s="17" t="s">
        <v>5547</v>
      </c>
      <c r="C1472" s="16">
        <v>27.0</v>
      </c>
      <c r="D1472" s="18" t="s">
        <v>4473</v>
      </c>
    </row>
    <row r="1473" ht="15.75" customHeight="1">
      <c r="A1473" s="16">
        <v>30.0</v>
      </c>
      <c r="B1473" s="17" t="s">
        <v>5548</v>
      </c>
      <c r="C1473" s="16">
        <v>40.0</v>
      </c>
      <c r="D1473" s="18" t="s">
        <v>4183</v>
      </c>
    </row>
    <row r="1474" ht="15.75" customHeight="1">
      <c r="A1474" s="16">
        <v>31.0</v>
      </c>
      <c r="B1474" s="17" t="s">
        <v>5549</v>
      </c>
      <c r="C1474" s="16">
        <v>4.0</v>
      </c>
      <c r="D1474" s="18" t="s">
        <v>4183</v>
      </c>
    </row>
    <row r="1475" ht="15.75" customHeight="1">
      <c r="A1475" s="16">
        <v>32.0</v>
      </c>
      <c r="B1475" s="17" t="s">
        <v>5550</v>
      </c>
      <c r="C1475" s="16">
        <v>3.0</v>
      </c>
      <c r="D1475" s="18" t="s">
        <v>4183</v>
      </c>
    </row>
    <row r="1476" ht="15.75" customHeight="1">
      <c r="A1476" s="16">
        <v>33.0</v>
      </c>
      <c r="B1476" s="17" t="s">
        <v>5551</v>
      </c>
      <c r="C1476" s="16">
        <v>2.0</v>
      </c>
      <c r="D1476" s="18" t="s">
        <v>4183</v>
      </c>
    </row>
    <row r="1477" ht="15.75" customHeight="1">
      <c r="A1477" s="16">
        <v>34.0</v>
      </c>
      <c r="B1477" s="17" t="s">
        <v>5552</v>
      </c>
      <c r="C1477" s="16">
        <v>5.0</v>
      </c>
      <c r="D1477" s="18" t="s">
        <v>4183</v>
      </c>
    </row>
    <row r="1478" ht="15.75" customHeight="1">
      <c r="A1478" s="16">
        <v>35.0</v>
      </c>
      <c r="B1478" s="17" t="s">
        <v>5553</v>
      </c>
      <c r="C1478" s="16">
        <v>6.0</v>
      </c>
      <c r="D1478" s="18" t="s">
        <v>4183</v>
      </c>
    </row>
    <row r="1479" ht="15.75" customHeight="1">
      <c r="A1479" s="16">
        <v>36.0</v>
      </c>
      <c r="B1479" s="17" t="s">
        <v>5554</v>
      </c>
      <c r="C1479" s="16">
        <v>6.0</v>
      </c>
      <c r="D1479" s="18" t="s">
        <v>4183</v>
      </c>
    </row>
    <row r="1480" ht="15.75" customHeight="1">
      <c r="A1480" s="16">
        <v>37.0</v>
      </c>
      <c r="B1480" s="17" t="s">
        <v>5555</v>
      </c>
      <c r="C1480" s="16">
        <v>2.0</v>
      </c>
      <c r="D1480" s="18" t="s">
        <v>4178</v>
      </c>
    </row>
    <row r="1481" ht="15.75" customHeight="1">
      <c r="A1481" s="16">
        <v>38.0</v>
      </c>
      <c r="B1481" s="17" t="s">
        <v>5556</v>
      </c>
      <c r="C1481" s="16">
        <v>4.0</v>
      </c>
      <c r="D1481" s="18" t="s">
        <v>4183</v>
      </c>
    </row>
    <row r="1482" ht="15.75" customHeight="1">
      <c r="A1482" s="16">
        <v>39.0</v>
      </c>
      <c r="B1482" s="17" t="s">
        <v>5557</v>
      </c>
      <c r="C1482" s="16">
        <v>16.0</v>
      </c>
      <c r="D1482" s="18" t="s">
        <v>4183</v>
      </c>
    </row>
    <row r="1483" ht="15.75" customHeight="1">
      <c r="A1483" s="16">
        <v>40.0</v>
      </c>
      <c r="B1483" s="17" t="s">
        <v>5558</v>
      </c>
      <c r="C1483" s="16">
        <v>12.0</v>
      </c>
      <c r="D1483" s="18" t="s">
        <v>4183</v>
      </c>
    </row>
    <row r="1484" ht="15.75" customHeight="1">
      <c r="A1484" s="16">
        <v>41.0</v>
      </c>
      <c r="B1484" s="17" t="s">
        <v>5559</v>
      </c>
      <c r="C1484" s="16">
        <v>1.0</v>
      </c>
      <c r="D1484" s="18" t="s">
        <v>4183</v>
      </c>
    </row>
    <row r="1485" ht="15.75" customHeight="1">
      <c r="A1485" s="16">
        <v>42.0</v>
      </c>
      <c r="B1485" s="17" t="s">
        <v>5560</v>
      </c>
      <c r="C1485" s="19">
        <v>9.25</v>
      </c>
      <c r="D1485" s="18" t="s">
        <v>4183</v>
      </c>
    </row>
    <row r="1486" ht="15.75" customHeight="1">
      <c r="A1486" s="16">
        <v>43.0</v>
      </c>
      <c r="B1486" s="17" t="s">
        <v>5561</v>
      </c>
      <c r="C1486" s="19">
        <v>5.45</v>
      </c>
      <c r="D1486" s="18" t="s">
        <v>4183</v>
      </c>
    </row>
    <row r="1487" ht="15.75" customHeight="1">
      <c r="A1487" s="16">
        <v>44.0</v>
      </c>
      <c r="B1487" s="17" t="s">
        <v>5562</v>
      </c>
      <c r="C1487" s="16">
        <v>8.0</v>
      </c>
      <c r="D1487" s="18" t="s">
        <v>4183</v>
      </c>
    </row>
    <row r="1488" ht="15.75" customHeight="1">
      <c r="A1488" s="16">
        <v>45.0</v>
      </c>
      <c r="B1488" s="17" t="s">
        <v>5563</v>
      </c>
      <c r="C1488" s="16">
        <v>4.0</v>
      </c>
      <c r="D1488" s="18" t="s">
        <v>4183</v>
      </c>
    </row>
    <row r="1489" ht="15.75" customHeight="1">
      <c r="A1489" s="16">
        <v>46.0</v>
      </c>
      <c r="B1489" s="17" t="s">
        <v>5564</v>
      </c>
      <c r="C1489" s="16">
        <v>16.0</v>
      </c>
      <c r="D1489" s="18" t="s">
        <v>4183</v>
      </c>
    </row>
    <row r="1490" ht="15.75" customHeight="1">
      <c r="A1490" s="16">
        <v>47.0</v>
      </c>
      <c r="B1490" s="17" t="s">
        <v>5565</v>
      </c>
      <c r="C1490" s="16">
        <v>34.0</v>
      </c>
      <c r="D1490" s="18" t="s">
        <v>4183</v>
      </c>
    </row>
    <row r="1491" ht="15.75" customHeight="1">
      <c r="A1491" s="16">
        <v>48.0</v>
      </c>
      <c r="B1491" s="17" t="s">
        <v>5566</v>
      </c>
      <c r="C1491" s="16">
        <v>2.0</v>
      </c>
      <c r="D1491" s="18" t="s">
        <v>4183</v>
      </c>
    </row>
    <row r="1492" ht="15.75" customHeight="1">
      <c r="A1492" s="16">
        <v>49.0</v>
      </c>
      <c r="B1492" s="17" t="s">
        <v>5567</v>
      </c>
      <c r="C1492" s="16">
        <v>7.0</v>
      </c>
      <c r="D1492" s="18" t="s">
        <v>4183</v>
      </c>
    </row>
    <row r="1493" ht="15.75" customHeight="1">
      <c r="A1493" s="16">
        <v>50.0</v>
      </c>
      <c r="B1493" s="17" t="s">
        <v>5568</v>
      </c>
      <c r="C1493" s="16">
        <v>1.0</v>
      </c>
      <c r="D1493" s="18" t="s">
        <v>4183</v>
      </c>
    </row>
    <row r="1494" ht="15.75" customHeight="1">
      <c r="A1494" s="16">
        <v>51.0</v>
      </c>
      <c r="B1494" s="17" t="s">
        <v>5569</v>
      </c>
      <c r="C1494" s="16">
        <v>3.0</v>
      </c>
      <c r="D1494" s="18" t="s">
        <v>4183</v>
      </c>
    </row>
    <row r="1495" ht="15.75" customHeight="1">
      <c r="A1495" s="16">
        <v>52.0</v>
      </c>
      <c r="B1495" s="17" t="s">
        <v>5570</v>
      </c>
      <c r="C1495" s="16">
        <v>9.0</v>
      </c>
      <c r="D1495" s="18" t="s">
        <v>4183</v>
      </c>
    </row>
    <row r="1496" ht="15.75" customHeight="1">
      <c r="A1496" s="16">
        <v>53.0</v>
      </c>
      <c r="B1496" s="17" t="s">
        <v>5571</v>
      </c>
      <c r="C1496" s="16">
        <v>8.0</v>
      </c>
      <c r="D1496" s="18" t="s">
        <v>4183</v>
      </c>
    </row>
    <row r="1497" ht="15.75" customHeight="1">
      <c r="A1497" s="16">
        <v>54.0</v>
      </c>
      <c r="B1497" s="17" t="s">
        <v>5572</v>
      </c>
      <c r="C1497" s="16">
        <v>125.0</v>
      </c>
      <c r="D1497" s="18" t="s">
        <v>4183</v>
      </c>
    </row>
    <row r="1498" ht="15.75" customHeight="1">
      <c r="A1498" s="16">
        <v>55.0</v>
      </c>
      <c r="B1498" s="17" t="s">
        <v>5573</v>
      </c>
      <c r="C1498" s="16">
        <v>16.0</v>
      </c>
      <c r="D1498" s="18" t="s">
        <v>4183</v>
      </c>
    </row>
    <row r="1499" ht="15.75" customHeight="1">
      <c r="A1499" s="16">
        <v>56.0</v>
      </c>
      <c r="B1499" s="17" t="s">
        <v>5574</v>
      </c>
      <c r="C1499" s="16">
        <v>2.0</v>
      </c>
      <c r="D1499" s="18" t="s">
        <v>4178</v>
      </c>
    </row>
    <row r="1500" ht="15.75" customHeight="1">
      <c r="A1500" s="16">
        <v>57.0</v>
      </c>
      <c r="B1500" s="17" t="s">
        <v>5575</v>
      </c>
      <c r="C1500" s="18" t="s">
        <v>4384</v>
      </c>
      <c r="D1500" s="18" t="s">
        <v>4183</v>
      </c>
    </row>
    <row r="1501" ht="15.75" customHeight="1">
      <c r="A1501" s="20"/>
      <c r="B1501" s="21" t="s">
        <v>4273</v>
      </c>
      <c r="C1501" s="22">
        <v>981.69</v>
      </c>
      <c r="D1501" s="21" t="s">
        <v>4171</v>
      </c>
    </row>
    <row r="1502" ht="15.75" customHeight="1">
      <c r="A1502" s="11"/>
      <c r="B1502" s="12"/>
      <c r="C1502" s="12"/>
      <c r="D1502" s="13"/>
    </row>
    <row r="1503" ht="15.75" customHeight="1">
      <c r="A1503" s="14" t="s">
        <v>4136</v>
      </c>
      <c r="B1503" s="15"/>
      <c r="C1503" s="15"/>
      <c r="D1503" s="15"/>
    </row>
    <row r="1504" ht="15.75" customHeight="1">
      <c r="A1504" s="16">
        <v>1.0</v>
      </c>
      <c r="B1504" s="17" t="s">
        <v>5576</v>
      </c>
      <c r="C1504" s="16">
        <v>8.0</v>
      </c>
      <c r="D1504" s="18" t="s">
        <v>4183</v>
      </c>
    </row>
    <row r="1505" ht="15.75" customHeight="1">
      <c r="A1505" s="16">
        <v>2.0</v>
      </c>
      <c r="B1505" s="17" t="s">
        <v>5577</v>
      </c>
      <c r="C1505" s="16">
        <v>4.0</v>
      </c>
      <c r="D1505" s="18" t="s">
        <v>4183</v>
      </c>
    </row>
    <row r="1506" ht="15.75" customHeight="1">
      <c r="A1506" s="16">
        <v>3.0</v>
      </c>
      <c r="B1506" s="17" t="s">
        <v>5578</v>
      </c>
      <c r="C1506" s="16">
        <v>1.0</v>
      </c>
      <c r="D1506" s="18" t="s">
        <v>4183</v>
      </c>
    </row>
    <row r="1507" ht="15.75" customHeight="1">
      <c r="A1507" s="16">
        <v>4.0</v>
      </c>
      <c r="B1507" s="17" t="s">
        <v>5579</v>
      </c>
      <c r="C1507" s="16">
        <v>2.0</v>
      </c>
      <c r="D1507" s="18" t="s">
        <v>4183</v>
      </c>
    </row>
    <row r="1508" ht="15.75" customHeight="1">
      <c r="A1508" s="16">
        <v>5.0</v>
      </c>
      <c r="B1508" s="17" t="s">
        <v>5580</v>
      </c>
      <c r="C1508" s="16">
        <v>4.0</v>
      </c>
      <c r="D1508" s="18" t="s">
        <v>4183</v>
      </c>
    </row>
    <row r="1509" ht="15.75" customHeight="1">
      <c r="A1509" s="16">
        <v>6.0</v>
      </c>
      <c r="B1509" s="17" t="s">
        <v>5581</v>
      </c>
      <c r="C1509" s="16">
        <v>30.0</v>
      </c>
      <c r="D1509" s="18" t="s">
        <v>4183</v>
      </c>
    </row>
    <row r="1510" ht="15.75" customHeight="1">
      <c r="A1510" s="16">
        <v>7.0</v>
      </c>
      <c r="B1510" s="17" t="s">
        <v>5582</v>
      </c>
      <c r="C1510" s="16">
        <v>33.0</v>
      </c>
      <c r="D1510" s="18" t="s">
        <v>4183</v>
      </c>
    </row>
    <row r="1511" ht="15.75" customHeight="1">
      <c r="A1511" s="16">
        <v>8.0</v>
      </c>
      <c r="B1511" s="17" t="s">
        <v>5583</v>
      </c>
      <c r="C1511" s="16">
        <v>56.0</v>
      </c>
      <c r="D1511" s="18" t="s">
        <v>4183</v>
      </c>
    </row>
    <row r="1512" ht="15.75" customHeight="1">
      <c r="A1512" s="20"/>
      <c r="B1512" s="21" t="s">
        <v>4273</v>
      </c>
      <c r="C1512" s="23">
        <v>138.0</v>
      </c>
      <c r="D1512" s="21" t="s">
        <v>4171</v>
      </c>
    </row>
    <row r="1513" ht="15.75" customHeight="1">
      <c r="A1513" s="11"/>
      <c r="B1513" s="12"/>
      <c r="C1513" s="12"/>
      <c r="D1513" s="13"/>
    </row>
    <row r="1514" ht="15.75" customHeight="1">
      <c r="A1514" s="14" t="s">
        <v>5584</v>
      </c>
      <c r="B1514" s="15"/>
      <c r="C1514" s="15"/>
      <c r="D1514" s="15"/>
    </row>
    <row r="1515" ht="15.75" customHeight="1">
      <c r="A1515" s="16">
        <v>1.0</v>
      </c>
      <c r="B1515" s="17" t="s">
        <v>5585</v>
      </c>
      <c r="C1515" s="18" t="s">
        <v>5586</v>
      </c>
      <c r="D1515" s="18" t="s">
        <v>4183</v>
      </c>
    </row>
    <row r="1516" ht="15.75" customHeight="1">
      <c r="A1516" s="16">
        <v>2.0</v>
      </c>
      <c r="B1516" s="18" t="s">
        <v>5587</v>
      </c>
      <c r="C1516" s="18" t="s">
        <v>5588</v>
      </c>
      <c r="D1516" s="18" t="s">
        <v>4183</v>
      </c>
    </row>
    <row r="1517" ht="15.75" customHeight="1">
      <c r="A1517" s="16">
        <v>3.0</v>
      </c>
      <c r="B1517" s="18" t="s">
        <v>5589</v>
      </c>
      <c r="C1517" s="19">
        <v>157.86</v>
      </c>
      <c r="D1517" s="18" t="s">
        <v>4178</v>
      </c>
    </row>
    <row r="1518" ht="15.75" customHeight="1">
      <c r="A1518" s="16">
        <v>4.0</v>
      </c>
      <c r="B1518" s="17" t="s">
        <v>5590</v>
      </c>
      <c r="C1518" s="16">
        <v>4.0</v>
      </c>
      <c r="D1518" s="18" t="s">
        <v>4178</v>
      </c>
    </row>
    <row r="1519" ht="15.75" customHeight="1">
      <c r="A1519" s="16">
        <v>5.0</v>
      </c>
      <c r="B1519" s="17" t="s">
        <v>5591</v>
      </c>
      <c r="C1519" s="16">
        <v>8.0</v>
      </c>
      <c r="D1519" s="18" t="s">
        <v>4178</v>
      </c>
    </row>
    <row r="1520" ht="15.75" customHeight="1">
      <c r="A1520" s="16">
        <v>6.0</v>
      </c>
      <c r="B1520" s="17" t="s">
        <v>5592</v>
      </c>
      <c r="C1520" s="16">
        <v>28.0</v>
      </c>
      <c r="D1520" s="18" t="s">
        <v>4183</v>
      </c>
    </row>
    <row r="1521" ht="15.75" customHeight="1">
      <c r="A1521" s="16">
        <v>7.0</v>
      </c>
      <c r="B1521" s="17" t="s">
        <v>5593</v>
      </c>
      <c r="C1521" s="16">
        <v>11.0</v>
      </c>
      <c r="D1521" s="18" t="s">
        <v>4178</v>
      </c>
    </row>
    <row r="1522" ht="15.75" customHeight="1">
      <c r="A1522" s="16">
        <v>8.0</v>
      </c>
      <c r="B1522" s="17" t="s">
        <v>5594</v>
      </c>
      <c r="C1522" s="16">
        <v>7.0</v>
      </c>
      <c r="D1522" s="18" t="s">
        <v>4178</v>
      </c>
    </row>
    <row r="1523" ht="15.75" customHeight="1">
      <c r="A1523" s="16">
        <v>9.0</v>
      </c>
      <c r="B1523" s="17" t="s">
        <v>5595</v>
      </c>
      <c r="C1523" s="16">
        <v>8.0</v>
      </c>
      <c r="D1523" s="18" t="s">
        <v>4178</v>
      </c>
    </row>
    <row r="1524" ht="15.75" customHeight="1">
      <c r="A1524" s="16">
        <v>10.0</v>
      </c>
      <c r="B1524" s="17" t="s">
        <v>5596</v>
      </c>
      <c r="C1524" s="16">
        <v>66.0</v>
      </c>
      <c r="D1524" s="18" t="s">
        <v>4183</v>
      </c>
    </row>
    <row r="1525" ht="15.75" customHeight="1">
      <c r="A1525" s="16">
        <v>11.0</v>
      </c>
      <c r="B1525" s="17" t="s">
        <v>5597</v>
      </c>
      <c r="C1525" s="16">
        <v>60.0</v>
      </c>
      <c r="D1525" s="18" t="s">
        <v>4178</v>
      </c>
    </row>
    <row r="1526" ht="15.75" customHeight="1">
      <c r="A1526" s="16">
        <v>12.0</v>
      </c>
      <c r="B1526" s="17" t="s">
        <v>5598</v>
      </c>
      <c r="C1526" s="16">
        <v>33.0</v>
      </c>
      <c r="D1526" s="18" t="s">
        <v>4178</v>
      </c>
    </row>
    <row r="1527" ht="15.75" customHeight="1">
      <c r="A1527" s="16">
        <v>13.0</v>
      </c>
      <c r="B1527" s="17" t="s">
        <v>5599</v>
      </c>
      <c r="C1527" s="16">
        <v>628.0</v>
      </c>
      <c r="D1527" s="18" t="s">
        <v>4178</v>
      </c>
    </row>
    <row r="1528" ht="15.75" customHeight="1">
      <c r="A1528" s="16">
        <v>14.0</v>
      </c>
      <c r="B1528" s="17" t="s">
        <v>5600</v>
      </c>
      <c r="C1528" s="16">
        <v>59.0</v>
      </c>
      <c r="D1528" s="18" t="s">
        <v>4183</v>
      </c>
    </row>
    <row r="1529" ht="15.75" customHeight="1">
      <c r="A1529" s="16">
        <v>15.0</v>
      </c>
      <c r="B1529" s="17" t="s">
        <v>5601</v>
      </c>
      <c r="C1529" s="16">
        <v>19.0</v>
      </c>
      <c r="D1529" s="18" t="s">
        <v>4178</v>
      </c>
    </row>
    <row r="1530" ht="15.75" customHeight="1">
      <c r="A1530" s="16">
        <v>16.0</v>
      </c>
      <c r="B1530" s="17" t="s">
        <v>5602</v>
      </c>
      <c r="C1530" s="16">
        <v>30.0</v>
      </c>
      <c r="D1530" s="18" t="s">
        <v>4178</v>
      </c>
    </row>
    <row r="1531" ht="15.75" customHeight="1">
      <c r="A1531" s="16">
        <v>17.0</v>
      </c>
      <c r="B1531" s="17" t="s">
        <v>5603</v>
      </c>
      <c r="C1531" s="16">
        <v>29.0</v>
      </c>
      <c r="D1531" s="18" t="s">
        <v>4183</v>
      </c>
    </row>
    <row r="1532" ht="15.75" customHeight="1">
      <c r="A1532" s="16">
        <v>18.0</v>
      </c>
      <c r="B1532" s="17" t="s">
        <v>5604</v>
      </c>
      <c r="C1532" s="16">
        <v>64.0</v>
      </c>
      <c r="D1532" s="18" t="s">
        <v>4183</v>
      </c>
    </row>
    <row r="1533" ht="15.75" customHeight="1">
      <c r="A1533" s="16">
        <v>19.0</v>
      </c>
      <c r="B1533" s="17" t="s">
        <v>5605</v>
      </c>
      <c r="C1533" s="16">
        <v>1.0</v>
      </c>
      <c r="D1533" s="18" t="s">
        <v>4178</v>
      </c>
    </row>
    <row r="1534" ht="15.75" customHeight="1">
      <c r="A1534" s="16">
        <v>20.0</v>
      </c>
      <c r="B1534" s="17" t="s">
        <v>5606</v>
      </c>
      <c r="C1534" s="16">
        <v>12.0</v>
      </c>
      <c r="D1534" s="18" t="s">
        <v>4183</v>
      </c>
    </row>
    <row r="1535" ht="15.75" customHeight="1">
      <c r="A1535" s="16">
        <v>21.0</v>
      </c>
      <c r="B1535" s="18" t="s">
        <v>5607</v>
      </c>
      <c r="C1535" s="16">
        <v>3.0</v>
      </c>
      <c r="D1535" s="18" t="s">
        <v>4178</v>
      </c>
    </row>
    <row r="1536" ht="15.75" customHeight="1">
      <c r="A1536" s="16">
        <v>22.0</v>
      </c>
      <c r="B1536" s="17" t="s">
        <v>5608</v>
      </c>
      <c r="C1536" s="16">
        <v>6.0</v>
      </c>
      <c r="D1536" s="18" t="s">
        <v>4183</v>
      </c>
    </row>
    <row r="1537" ht="15.75" customHeight="1">
      <c r="A1537" s="16">
        <v>23.0</v>
      </c>
      <c r="B1537" s="17" t="s">
        <v>5609</v>
      </c>
      <c r="C1537" s="16">
        <v>6.0</v>
      </c>
      <c r="D1537" s="18" t="s">
        <v>4178</v>
      </c>
    </row>
    <row r="1538" ht="15.75" customHeight="1">
      <c r="A1538" s="16">
        <v>24.0</v>
      </c>
      <c r="B1538" s="17" t="s">
        <v>5610</v>
      </c>
      <c r="C1538" s="16">
        <v>10.0</v>
      </c>
      <c r="D1538" s="18" t="s">
        <v>4183</v>
      </c>
    </row>
    <row r="1539" ht="15.75" customHeight="1">
      <c r="A1539" s="16">
        <v>25.0</v>
      </c>
      <c r="B1539" s="17" t="s">
        <v>5611</v>
      </c>
      <c r="C1539" s="18" t="s">
        <v>5612</v>
      </c>
      <c r="D1539" s="18" t="s">
        <v>4183</v>
      </c>
    </row>
    <row r="1540" ht="15.75" customHeight="1">
      <c r="A1540" s="16">
        <v>26.0</v>
      </c>
      <c r="B1540" s="17" t="s">
        <v>5613</v>
      </c>
      <c r="C1540" s="16">
        <v>5.0</v>
      </c>
      <c r="D1540" s="18" t="s">
        <v>4178</v>
      </c>
    </row>
    <row r="1541" ht="15.75" customHeight="1">
      <c r="A1541" s="16">
        <v>27.0</v>
      </c>
      <c r="B1541" s="17" t="s">
        <v>5614</v>
      </c>
      <c r="C1541" s="16">
        <v>5.0</v>
      </c>
      <c r="D1541" s="18" t="s">
        <v>4178</v>
      </c>
    </row>
    <row r="1542" ht="15.75" customHeight="1">
      <c r="A1542" s="16">
        <v>28.0</v>
      </c>
      <c r="B1542" s="17" t="s">
        <v>5615</v>
      </c>
      <c r="C1542" s="16">
        <v>8.0</v>
      </c>
      <c r="D1542" s="18" t="s">
        <v>4178</v>
      </c>
    </row>
    <row r="1543" ht="15.75" customHeight="1">
      <c r="A1543" s="16">
        <v>29.0</v>
      </c>
      <c r="B1543" s="17" t="s">
        <v>5616</v>
      </c>
      <c r="C1543" s="16">
        <v>2.0</v>
      </c>
      <c r="D1543" s="18" t="s">
        <v>4178</v>
      </c>
    </row>
    <row r="1544" ht="15.75" customHeight="1">
      <c r="A1544" s="16">
        <v>30.0</v>
      </c>
      <c r="B1544" s="17" t="s">
        <v>5617</v>
      </c>
      <c r="C1544" s="16">
        <v>3.0</v>
      </c>
      <c r="D1544" s="18" t="s">
        <v>4178</v>
      </c>
    </row>
    <row r="1545" ht="15.75" customHeight="1">
      <c r="A1545" s="16">
        <v>31.0</v>
      </c>
      <c r="B1545" s="17" t="s">
        <v>5618</v>
      </c>
      <c r="C1545" s="16">
        <v>7.0</v>
      </c>
      <c r="D1545" s="18" t="s">
        <v>4178</v>
      </c>
    </row>
    <row r="1546" ht="15.75" customHeight="1">
      <c r="A1546" s="16">
        <v>32.0</v>
      </c>
      <c r="B1546" s="17" t="s">
        <v>5619</v>
      </c>
      <c r="C1546" s="16">
        <v>5.0</v>
      </c>
      <c r="D1546" s="18" t="s">
        <v>4178</v>
      </c>
    </row>
    <row r="1547" ht="15.75" customHeight="1">
      <c r="A1547" s="16">
        <v>33.0</v>
      </c>
      <c r="B1547" s="17" t="s">
        <v>5620</v>
      </c>
      <c r="C1547" s="16">
        <v>2.0</v>
      </c>
      <c r="D1547" s="18" t="s">
        <v>4178</v>
      </c>
    </row>
    <row r="1548" ht="15.75" customHeight="1">
      <c r="A1548" s="16">
        <v>34.0</v>
      </c>
      <c r="B1548" s="17" t="s">
        <v>5621</v>
      </c>
      <c r="C1548" s="18" t="s">
        <v>5377</v>
      </c>
      <c r="D1548" s="18" t="s">
        <v>4183</v>
      </c>
    </row>
    <row r="1549" ht="15.75" customHeight="1">
      <c r="A1549" s="16">
        <v>35.0</v>
      </c>
      <c r="B1549" s="17" t="s">
        <v>5622</v>
      </c>
      <c r="C1549" s="16">
        <v>21.0</v>
      </c>
      <c r="D1549" s="18" t="s">
        <v>4178</v>
      </c>
    </row>
    <row r="1550" ht="15.75" customHeight="1">
      <c r="A1550" s="16">
        <v>36.0</v>
      </c>
      <c r="B1550" s="17" t="s">
        <v>5623</v>
      </c>
      <c r="C1550" s="16">
        <v>3.0</v>
      </c>
      <c r="D1550" s="18" t="s">
        <v>4178</v>
      </c>
    </row>
    <row r="1551" ht="15.75" customHeight="1">
      <c r="A1551" s="16">
        <v>37.0</v>
      </c>
      <c r="B1551" s="17" t="s">
        <v>5624</v>
      </c>
      <c r="C1551" s="16">
        <v>1.0</v>
      </c>
      <c r="D1551" s="18" t="s">
        <v>4178</v>
      </c>
    </row>
    <row r="1552" ht="15.75" customHeight="1">
      <c r="A1552" s="16">
        <v>38.0</v>
      </c>
      <c r="B1552" s="17" t="s">
        <v>5625</v>
      </c>
      <c r="C1552" s="16">
        <v>6.0</v>
      </c>
      <c r="D1552" s="18" t="s">
        <v>4178</v>
      </c>
    </row>
    <row r="1553" ht="15.75" customHeight="1">
      <c r="A1553" s="16">
        <v>39.0</v>
      </c>
      <c r="B1553" s="17" t="s">
        <v>5626</v>
      </c>
      <c r="C1553" s="16">
        <v>7.0</v>
      </c>
      <c r="D1553" s="18" t="s">
        <v>4178</v>
      </c>
    </row>
    <row r="1554" ht="15.75" customHeight="1">
      <c r="A1554" s="16">
        <v>40.0</v>
      </c>
      <c r="B1554" s="17" t="s">
        <v>5627</v>
      </c>
      <c r="C1554" s="16">
        <v>4.0</v>
      </c>
      <c r="D1554" s="18" t="s">
        <v>4183</v>
      </c>
    </row>
    <row r="1555" ht="15.75" customHeight="1">
      <c r="A1555" s="16">
        <v>41.0</v>
      </c>
      <c r="B1555" s="17" t="s">
        <v>5628</v>
      </c>
      <c r="C1555" s="18" t="s">
        <v>4635</v>
      </c>
      <c r="D1555" s="18" t="s">
        <v>4183</v>
      </c>
    </row>
    <row r="1556" ht="15.75" customHeight="1">
      <c r="A1556" s="16">
        <v>42.0</v>
      </c>
      <c r="B1556" s="17" t="s">
        <v>5629</v>
      </c>
      <c r="C1556" s="18" t="s">
        <v>4681</v>
      </c>
      <c r="D1556" s="18" t="s">
        <v>4183</v>
      </c>
    </row>
    <row r="1557" ht="15.75" customHeight="1">
      <c r="A1557" s="16">
        <v>43.0</v>
      </c>
      <c r="B1557" s="17" t="s">
        <v>5630</v>
      </c>
      <c r="C1557" s="16">
        <v>10.0</v>
      </c>
      <c r="D1557" s="18" t="s">
        <v>4183</v>
      </c>
    </row>
    <row r="1558" ht="15.75" customHeight="1">
      <c r="A1558" s="16">
        <v>44.0</v>
      </c>
      <c r="B1558" s="17" t="s">
        <v>5631</v>
      </c>
      <c r="C1558" s="16">
        <v>19.0</v>
      </c>
      <c r="D1558" s="18" t="s">
        <v>4178</v>
      </c>
    </row>
    <row r="1559" ht="15.75" customHeight="1">
      <c r="A1559" s="16">
        <v>45.0</v>
      </c>
      <c r="B1559" s="17" t="s">
        <v>5632</v>
      </c>
      <c r="C1559" s="16">
        <v>10.0</v>
      </c>
      <c r="D1559" s="18" t="s">
        <v>4215</v>
      </c>
    </row>
    <row r="1560" ht="15.75" customHeight="1">
      <c r="A1560" s="16">
        <v>46.0</v>
      </c>
      <c r="B1560" s="17" t="s">
        <v>5633</v>
      </c>
      <c r="C1560" s="16">
        <v>108.0</v>
      </c>
      <c r="D1560" s="18" t="s">
        <v>4178</v>
      </c>
    </row>
    <row r="1561" ht="15.75" customHeight="1">
      <c r="A1561" s="16">
        <v>47.0</v>
      </c>
      <c r="B1561" s="17" t="s">
        <v>5634</v>
      </c>
      <c r="C1561" s="16">
        <v>18.0</v>
      </c>
      <c r="D1561" s="18" t="s">
        <v>4178</v>
      </c>
    </row>
    <row r="1562" ht="15.75" customHeight="1">
      <c r="A1562" s="16">
        <v>48.0</v>
      </c>
      <c r="B1562" s="17" t="s">
        <v>5635</v>
      </c>
      <c r="C1562" s="16">
        <v>36.0</v>
      </c>
      <c r="D1562" s="18" t="s">
        <v>4178</v>
      </c>
    </row>
    <row r="1563" ht="15.75" customHeight="1">
      <c r="A1563" s="16">
        <v>49.0</v>
      </c>
      <c r="B1563" s="17" t="s">
        <v>5636</v>
      </c>
      <c r="C1563" s="16">
        <v>5.0</v>
      </c>
      <c r="D1563" s="18" t="s">
        <v>4178</v>
      </c>
    </row>
    <row r="1564" ht="15.75" customHeight="1">
      <c r="A1564" s="16">
        <v>50.0</v>
      </c>
      <c r="B1564" s="17" t="s">
        <v>5637</v>
      </c>
      <c r="C1564" s="16">
        <v>4.0</v>
      </c>
      <c r="D1564" s="18" t="s">
        <v>4178</v>
      </c>
    </row>
    <row r="1565" ht="15.75" customHeight="1">
      <c r="A1565" s="16">
        <v>51.0</v>
      </c>
      <c r="B1565" s="17" t="s">
        <v>5638</v>
      </c>
      <c r="C1565" s="16">
        <v>2.0</v>
      </c>
      <c r="D1565" s="18" t="s">
        <v>4178</v>
      </c>
    </row>
    <row r="1566" ht="15.75" customHeight="1">
      <c r="A1566" s="16">
        <v>52.0</v>
      </c>
      <c r="B1566" s="17" t="s">
        <v>5639</v>
      </c>
      <c r="C1566" s="16">
        <v>1.0</v>
      </c>
      <c r="D1566" s="18" t="s">
        <v>4178</v>
      </c>
    </row>
    <row r="1567" ht="15.75" customHeight="1">
      <c r="A1567" s="16">
        <v>53.0</v>
      </c>
      <c r="B1567" s="17" t="s">
        <v>5640</v>
      </c>
      <c r="C1567" s="16">
        <v>2.0</v>
      </c>
      <c r="D1567" s="18" t="s">
        <v>4178</v>
      </c>
    </row>
    <row r="1568" ht="15.75" customHeight="1">
      <c r="A1568" s="16">
        <v>54.0</v>
      </c>
      <c r="B1568" s="17" t="s">
        <v>5641</v>
      </c>
      <c r="C1568" s="16">
        <v>5.0</v>
      </c>
      <c r="D1568" s="18" t="s">
        <v>4178</v>
      </c>
    </row>
    <row r="1569" ht="15.75" customHeight="1">
      <c r="A1569" s="16">
        <v>55.0</v>
      </c>
      <c r="B1569" s="17" t="s">
        <v>5642</v>
      </c>
      <c r="C1569" s="16">
        <v>5.0</v>
      </c>
      <c r="D1569" s="18" t="s">
        <v>4183</v>
      </c>
    </row>
    <row r="1570" ht="15.75" customHeight="1">
      <c r="A1570" s="16">
        <v>56.0</v>
      </c>
      <c r="B1570" s="17" t="s">
        <v>5643</v>
      </c>
      <c r="C1570" s="16">
        <v>28.0</v>
      </c>
      <c r="D1570" s="18" t="s">
        <v>4183</v>
      </c>
    </row>
    <row r="1571" ht="15.75" customHeight="1">
      <c r="A1571" s="16">
        <v>57.0</v>
      </c>
      <c r="B1571" s="17" t="s">
        <v>5644</v>
      </c>
      <c r="C1571" s="16">
        <v>9.0</v>
      </c>
      <c r="D1571" s="18" t="s">
        <v>4341</v>
      </c>
    </row>
    <row r="1572" ht="15.75" customHeight="1">
      <c r="A1572" s="16">
        <v>58.0</v>
      </c>
      <c r="B1572" s="18" t="s">
        <v>5645</v>
      </c>
      <c r="C1572" s="16">
        <v>43.0</v>
      </c>
      <c r="D1572" s="18" t="s">
        <v>4183</v>
      </c>
    </row>
    <row r="1573" ht="15.75" customHeight="1">
      <c r="A1573" s="16">
        <v>59.0</v>
      </c>
      <c r="B1573" s="18" t="s">
        <v>5646</v>
      </c>
      <c r="C1573" s="16">
        <v>28.0</v>
      </c>
      <c r="D1573" s="18" t="s">
        <v>4183</v>
      </c>
    </row>
    <row r="1574" ht="15.75" customHeight="1">
      <c r="A1574" s="16">
        <v>60.0</v>
      </c>
      <c r="B1574" s="17" t="s">
        <v>5647</v>
      </c>
      <c r="C1574" s="16">
        <v>6.0</v>
      </c>
      <c r="D1574" s="18" t="s">
        <v>4183</v>
      </c>
    </row>
    <row r="1575" ht="15.75" customHeight="1">
      <c r="A1575" s="16">
        <v>61.0</v>
      </c>
      <c r="B1575" s="17" t="s">
        <v>5648</v>
      </c>
      <c r="C1575" s="16">
        <v>5.0</v>
      </c>
      <c r="D1575" s="18" t="s">
        <v>4178</v>
      </c>
    </row>
    <row r="1576" ht="15.75" customHeight="1">
      <c r="A1576" s="16">
        <v>62.0</v>
      </c>
      <c r="B1576" s="18" t="s">
        <v>5649</v>
      </c>
      <c r="C1576" s="16">
        <v>12.0</v>
      </c>
      <c r="D1576" s="18" t="s">
        <v>4178</v>
      </c>
    </row>
    <row r="1577" ht="15.75" customHeight="1">
      <c r="A1577" s="16">
        <v>63.0</v>
      </c>
      <c r="B1577" s="17" t="s">
        <v>5650</v>
      </c>
      <c r="C1577" s="16">
        <v>4.0</v>
      </c>
      <c r="D1577" s="18" t="s">
        <v>4183</v>
      </c>
    </row>
    <row r="1578" ht="15.75" customHeight="1">
      <c r="A1578" s="16">
        <v>64.0</v>
      </c>
      <c r="B1578" s="17" t="s">
        <v>5651</v>
      </c>
      <c r="C1578" s="16">
        <v>13.0</v>
      </c>
      <c r="D1578" s="18" t="s">
        <v>4178</v>
      </c>
    </row>
    <row r="1579" ht="15.75" customHeight="1">
      <c r="A1579" s="16">
        <v>65.0</v>
      </c>
      <c r="B1579" s="17" t="s">
        <v>5652</v>
      </c>
      <c r="C1579" s="16">
        <v>3.0</v>
      </c>
      <c r="D1579" s="18" t="s">
        <v>4178</v>
      </c>
    </row>
    <row r="1580" ht="15.75" customHeight="1">
      <c r="A1580" s="16">
        <v>66.0</v>
      </c>
      <c r="B1580" s="17" t="s">
        <v>5653</v>
      </c>
      <c r="C1580" s="16">
        <v>40.0</v>
      </c>
      <c r="D1580" s="18" t="s">
        <v>4183</v>
      </c>
    </row>
    <row r="1581" ht="15.75" customHeight="1">
      <c r="A1581" s="16">
        <v>67.0</v>
      </c>
      <c r="B1581" s="17" t="s">
        <v>5654</v>
      </c>
      <c r="C1581" s="16">
        <v>19.0</v>
      </c>
      <c r="D1581" s="18" t="s">
        <v>4183</v>
      </c>
    </row>
    <row r="1582" ht="15.75" customHeight="1">
      <c r="A1582" s="16">
        <v>68.0</v>
      </c>
      <c r="B1582" s="17" t="s">
        <v>5655</v>
      </c>
      <c r="C1582" s="16">
        <v>24.0</v>
      </c>
      <c r="D1582" s="18" t="s">
        <v>4183</v>
      </c>
    </row>
    <row r="1583" ht="15.75" customHeight="1">
      <c r="A1583" s="16">
        <v>69.0</v>
      </c>
      <c r="B1583" s="17" t="s">
        <v>5656</v>
      </c>
      <c r="C1583" s="16">
        <v>4.0</v>
      </c>
      <c r="D1583" s="18" t="s">
        <v>4183</v>
      </c>
    </row>
    <row r="1584" ht="15.75" customHeight="1">
      <c r="A1584" s="16">
        <v>70.0</v>
      </c>
      <c r="B1584" s="17" t="s">
        <v>5657</v>
      </c>
      <c r="C1584" s="16">
        <v>12.0</v>
      </c>
      <c r="D1584" s="18" t="s">
        <v>4183</v>
      </c>
    </row>
    <row r="1585" ht="15.75" customHeight="1">
      <c r="A1585" s="16">
        <v>71.0</v>
      </c>
      <c r="B1585" s="17" t="s">
        <v>5658</v>
      </c>
      <c r="C1585" s="16">
        <v>9.0</v>
      </c>
      <c r="D1585" s="18" t="s">
        <v>4178</v>
      </c>
    </row>
    <row r="1586" ht="15.75" customHeight="1">
      <c r="A1586" s="16">
        <v>72.0</v>
      </c>
      <c r="B1586" s="17" t="s">
        <v>5659</v>
      </c>
      <c r="C1586" s="16">
        <v>5.0</v>
      </c>
      <c r="D1586" s="18" t="s">
        <v>4178</v>
      </c>
    </row>
    <row r="1587" ht="15.75" customHeight="1">
      <c r="A1587" s="16">
        <v>73.0</v>
      </c>
      <c r="B1587" s="17" t="s">
        <v>5660</v>
      </c>
      <c r="C1587" s="16">
        <v>8.0</v>
      </c>
      <c r="D1587" s="18" t="s">
        <v>4178</v>
      </c>
    </row>
    <row r="1588" ht="15.75" customHeight="1">
      <c r="A1588" s="16">
        <v>74.0</v>
      </c>
      <c r="B1588" s="17" t="s">
        <v>5661</v>
      </c>
      <c r="C1588" s="16">
        <v>2.0</v>
      </c>
      <c r="D1588" s="18" t="s">
        <v>4178</v>
      </c>
    </row>
    <row r="1589" ht="15.75" customHeight="1">
      <c r="A1589" s="16">
        <v>75.0</v>
      </c>
      <c r="B1589" s="17" t="s">
        <v>5662</v>
      </c>
      <c r="C1589" s="16">
        <v>6.0</v>
      </c>
      <c r="D1589" s="18" t="s">
        <v>4178</v>
      </c>
    </row>
    <row r="1590" ht="15.75" customHeight="1">
      <c r="A1590" s="16">
        <v>76.0</v>
      </c>
      <c r="B1590" s="17" t="s">
        <v>5663</v>
      </c>
      <c r="C1590" s="16">
        <v>6.0</v>
      </c>
      <c r="D1590" s="18" t="s">
        <v>4178</v>
      </c>
    </row>
    <row r="1591" ht="15.75" customHeight="1">
      <c r="A1591" s="16">
        <v>77.0</v>
      </c>
      <c r="B1591" s="17" t="s">
        <v>5664</v>
      </c>
      <c r="C1591" s="16">
        <v>6.0</v>
      </c>
      <c r="D1591" s="18" t="s">
        <v>4178</v>
      </c>
    </row>
    <row r="1592" ht="15.75" customHeight="1">
      <c r="A1592" s="16">
        <v>78.0</v>
      </c>
      <c r="B1592" s="17" t="s">
        <v>5665</v>
      </c>
      <c r="C1592" s="16">
        <v>2.0</v>
      </c>
      <c r="D1592" s="18" t="s">
        <v>4178</v>
      </c>
    </row>
    <row r="1593" ht="15.75" customHeight="1">
      <c r="A1593" s="16">
        <v>79.0</v>
      </c>
      <c r="B1593" s="17" t="s">
        <v>5666</v>
      </c>
      <c r="C1593" s="16">
        <v>24.0</v>
      </c>
      <c r="D1593" s="18" t="s">
        <v>4183</v>
      </c>
    </row>
    <row r="1594" ht="15.75" customHeight="1">
      <c r="A1594" s="16">
        <v>80.0</v>
      </c>
      <c r="B1594" s="17" t="s">
        <v>5667</v>
      </c>
      <c r="C1594" s="16">
        <v>21.0</v>
      </c>
      <c r="D1594" s="18" t="s">
        <v>4183</v>
      </c>
    </row>
    <row r="1595" ht="15.75" customHeight="1">
      <c r="A1595" s="16">
        <v>81.0</v>
      </c>
      <c r="B1595" s="17" t="s">
        <v>5668</v>
      </c>
      <c r="C1595" s="16">
        <v>21.0</v>
      </c>
      <c r="D1595" s="18" t="s">
        <v>4183</v>
      </c>
    </row>
    <row r="1596" ht="15.75" customHeight="1">
      <c r="A1596" s="16">
        <v>82.0</v>
      </c>
      <c r="B1596" s="17" t="s">
        <v>5669</v>
      </c>
      <c r="C1596" s="16">
        <v>14.0</v>
      </c>
      <c r="D1596" s="18" t="s">
        <v>4178</v>
      </c>
    </row>
    <row r="1597" ht="15.75" customHeight="1">
      <c r="A1597" s="16">
        <v>83.0</v>
      </c>
      <c r="B1597" s="17" t="s">
        <v>5670</v>
      </c>
      <c r="C1597" s="18" t="s">
        <v>4384</v>
      </c>
      <c r="D1597" s="18" t="s">
        <v>4183</v>
      </c>
    </row>
    <row r="1598" ht="15.75" customHeight="1">
      <c r="A1598" s="16">
        <v>84.0</v>
      </c>
      <c r="B1598" s="17" t="s">
        <v>5671</v>
      </c>
      <c r="C1598" s="16">
        <v>2.0</v>
      </c>
      <c r="D1598" s="18" t="s">
        <v>4178</v>
      </c>
    </row>
    <row r="1599" ht="15.75" customHeight="1">
      <c r="A1599" s="16">
        <v>85.0</v>
      </c>
      <c r="B1599" s="17" t="s">
        <v>5672</v>
      </c>
      <c r="C1599" s="16">
        <v>12.0</v>
      </c>
      <c r="D1599" s="18" t="s">
        <v>4183</v>
      </c>
    </row>
    <row r="1600" ht="15.75" customHeight="1">
      <c r="A1600" s="16">
        <v>86.0</v>
      </c>
      <c r="B1600" s="17" t="s">
        <v>5673</v>
      </c>
      <c r="C1600" s="16">
        <v>2.0</v>
      </c>
      <c r="D1600" s="18" t="s">
        <v>4215</v>
      </c>
    </row>
    <row r="1601" ht="15.75" customHeight="1">
      <c r="A1601" s="16">
        <v>87.0</v>
      </c>
      <c r="B1601" s="17" t="s">
        <v>5674</v>
      </c>
      <c r="C1601" s="16">
        <v>9.0</v>
      </c>
      <c r="D1601" s="18" t="s">
        <v>4183</v>
      </c>
    </row>
    <row r="1602" ht="15.75" customHeight="1">
      <c r="A1602" s="16">
        <v>88.0</v>
      </c>
      <c r="B1602" s="17" t="s">
        <v>5675</v>
      </c>
      <c r="C1602" s="16">
        <v>1.0</v>
      </c>
      <c r="D1602" s="18" t="s">
        <v>4183</v>
      </c>
    </row>
    <row r="1603" ht="15.75" customHeight="1">
      <c r="A1603" s="16">
        <v>89.0</v>
      </c>
      <c r="B1603" s="17" t="s">
        <v>5676</v>
      </c>
      <c r="C1603" s="16">
        <v>25.0</v>
      </c>
      <c r="D1603" s="18" t="s">
        <v>4183</v>
      </c>
    </row>
    <row r="1604" ht="15.75" customHeight="1">
      <c r="A1604" s="16">
        <v>90.0</v>
      </c>
      <c r="B1604" s="17" t="s">
        <v>5677</v>
      </c>
      <c r="C1604" s="18" t="s">
        <v>4270</v>
      </c>
      <c r="D1604" s="18" t="s">
        <v>4178</v>
      </c>
    </row>
    <row r="1605" ht="15.75" customHeight="1">
      <c r="A1605" s="16">
        <v>91.0</v>
      </c>
      <c r="B1605" s="17" t="s">
        <v>5678</v>
      </c>
      <c r="C1605" s="16">
        <v>4.0</v>
      </c>
      <c r="D1605" s="18" t="s">
        <v>4183</v>
      </c>
    </row>
    <row r="1606" ht="15.75" customHeight="1">
      <c r="A1606" s="20"/>
      <c r="B1606" s="21" t="s">
        <v>4273</v>
      </c>
      <c r="C1606" s="22">
        <v>1801.75</v>
      </c>
      <c r="D1606" s="21" t="s">
        <v>4171</v>
      </c>
    </row>
    <row r="1607" ht="15.75" customHeight="1">
      <c r="A1607" s="11"/>
      <c r="B1607" s="12"/>
      <c r="C1607" s="12"/>
      <c r="D1607" s="13"/>
    </row>
    <row r="1608" ht="15.75" customHeight="1">
      <c r="A1608" s="14" t="s">
        <v>4137</v>
      </c>
      <c r="B1608" s="15"/>
      <c r="C1608" s="15"/>
      <c r="D1608" s="15"/>
    </row>
    <row r="1609" ht="15.75" customHeight="1">
      <c r="A1609" s="16">
        <v>1.0</v>
      </c>
      <c r="B1609" s="17" t="s">
        <v>5679</v>
      </c>
      <c r="C1609" s="16">
        <v>19.0</v>
      </c>
      <c r="D1609" s="18" t="s">
        <v>4183</v>
      </c>
    </row>
    <row r="1610" ht="15.75" customHeight="1">
      <c r="A1610" s="16">
        <v>2.0</v>
      </c>
      <c r="B1610" s="17" t="s">
        <v>5680</v>
      </c>
      <c r="C1610" s="16">
        <v>32.0</v>
      </c>
      <c r="D1610" s="18" t="s">
        <v>4183</v>
      </c>
    </row>
    <row r="1611" ht="15.75" customHeight="1">
      <c r="A1611" s="16">
        <v>3.0</v>
      </c>
      <c r="B1611" s="17" t="s">
        <v>5681</v>
      </c>
      <c r="C1611" s="16">
        <v>15.0</v>
      </c>
      <c r="D1611" s="18" t="s">
        <v>4183</v>
      </c>
    </row>
    <row r="1612" ht="15.75" customHeight="1">
      <c r="A1612" s="16">
        <v>4.0</v>
      </c>
      <c r="B1612" s="17" t="s">
        <v>5682</v>
      </c>
      <c r="C1612" s="16">
        <v>7.0</v>
      </c>
      <c r="D1612" s="18" t="s">
        <v>4183</v>
      </c>
    </row>
    <row r="1613" ht="15.75" customHeight="1">
      <c r="A1613" s="16">
        <v>5.0</v>
      </c>
      <c r="B1613" s="17" t="s">
        <v>5683</v>
      </c>
      <c r="C1613" s="19">
        <v>14.05</v>
      </c>
      <c r="D1613" s="18" t="s">
        <v>4183</v>
      </c>
    </row>
    <row r="1614" ht="15.75" customHeight="1">
      <c r="A1614" s="16">
        <v>6.0</v>
      </c>
      <c r="B1614" s="17" t="s">
        <v>5684</v>
      </c>
      <c r="C1614" s="16">
        <v>63.0</v>
      </c>
      <c r="D1614" s="18" t="s">
        <v>4183</v>
      </c>
    </row>
    <row r="1615" ht="15.75" customHeight="1">
      <c r="A1615" s="16">
        <v>7.0</v>
      </c>
      <c r="B1615" s="17" t="s">
        <v>5685</v>
      </c>
      <c r="C1615" s="16">
        <v>19.0</v>
      </c>
      <c r="D1615" s="18" t="s">
        <v>4183</v>
      </c>
    </row>
    <row r="1616" ht="15.75" customHeight="1">
      <c r="A1616" s="16">
        <v>8.0</v>
      </c>
      <c r="B1616" s="17" t="s">
        <v>5686</v>
      </c>
      <c r="C1616" s="16">
        <v>4.0</v>
      </c>
      <c r="D1616" s="18" t="s">
        <v>4183</v>
      </c>
    </row>
    <row r="1617" ht="15.75" customHeight="1">
      <c r="A1617" s="20"/>
      <c r="B1617" s="21" t="s">
        <v>4273</v>
      </c>
      <c r="C1617" s="22">
        <v>173.05</v>
      </c>
      <c r="D1617" s="21" t="s">
        <v>4171</v>
      </c>
    </row>
    <row r="1618" ht="15.75" customHeight="1">
      <c r="A1618" s="11"/>
      <c r="B1618" s="12"/>
      <c r="C1618" s="12"/>
      <c r="D1618" s="13"/>
    </row>
    <row r="1619" ht="15.75" customHeight="1">
      <c r="A1619" s="14" t="s">
        <v>4070</v>
      </c>
      <c r="B1619" s="15"/>
      <c r="C1619" s="15"/>
      <c r="D1619" s="15"/>
    </row>
    <row r="1620" ht="15.75" customHeight="1">
      <c r="A1620" s="16">
        <v>1.0</v>
      </c>
      <c r="B1620" s="17" t="s">
        <v>5687</v>
      </c>
      <c r="C1620" s="16">
        <v>1.0</v>
      </c>
      <c r="D1620" s="18" t="s">
        <v>4183</v>
      </c>
    </row>
    <row r="1621" ht="15.75" customHeight="1">
      <c r="A1621" s="16">
        <v>2.0</v>
      </c>
      <c r="B1621" s="17" t="s">
        <v>5688</v>
      </c>
      <c r="C1621" s="16">
        <v>4.0</v>
      </c>
      <c r="D1621" s="18" t="s">
        <v>4183</v>
      </c>
    </row>
    <row r="1622" ht="15.75" customHeight="1">
      <c r="A1622" s="16">
        <v>3.0</v>
      </c>
      <c r="B1622" s="17" t="s">
        <v>5689</v>
      </c>
      <c r="C1622" s="16">
        <v>4.0</v>
      </c>
      <c r="D1622" s="18" t="s">
        <v>4183</v>
      </c>
    </row>
    <row r="1623" ht="15.75" customHeight="1">
      <c r="A1623" s="16">
        <v>4.0</v>
      </c>
      <c r="B1623" s="17" t="s">
        <v>5690</v>
      </c>
      <c r="C1623" s="16">
        <v>6.0</v>
      </c>
      <c r="D1623" s="18" t="s">
        <v>4183</v>
      </c>
    </row>
    <row r="1624" ht="15.75" customHeight="1">
      <c r="A1624" s="16">
        <v>5.0</v>
      </c>
      <c r="B1624" s="17" t="s">
        <v>5691</v>
      </c>
      <c r="C1624" s="16">
        <v>13.0</v>
      </c>
      <c r="D1624" s="18" t="s">
        <v>4183</v>
      </c>
    </row>
    <row r="1625" ht="15.75" customHeight="1">
      <c r="A1625" s="16">
        <v>6.0</v>
      </c>
      <c r="B1625" s="17" t="s">
        <v>5692</v>
      </c>
      <c r="C1625" s="16">
        <v>12.0</v>
      </c>
      <c r="D1625" s="18" t="s">
        <v>4183</v>
      </c>
    </row>
    <row r="1626" ht="15.75" customHeight="1">
      <c r="A1626" s="16">
        <v>7.0</v>
      </c>
      <c r="B1626" s="17" t="s">
        <v>5693</v>
      </c>
      <c r="C1626" s="16">
        <v>2.0</v>
      </c>
      <c r="D1626" s="18" t="s">
        <v>4183</v>
      </c>
    </row>
    <row r="1627" ht="15.75" customHeight="1">
      <c r="A1627" s="16">
        <v>8.0</v>
      </c>
      <c r="B1627" s="17" t="s">
        <v>5694</v>
      </c>
      <c r="C1627" s="16">
        <v>10.0</v>
      </c>
      <c r="D1627" s="18" t="s">
        <v>4183</v>
      </c>
    </row>
    <row r="1628" ht="15.75" customHeight="1">
      <c r="A1628" s="16">
        <v>9.0</v>
      </c>
      <c r="B1628" s="17" t="s">
        <v>5695</v>
      </c>
      <c r="C1628" s="16">
        <v>20.0</v>
      </c>
      <c r="D1628" s="18" t="s">
        <v>4183</v>
      </c>
    </row>
    <row r="1629" ht="15.75" customHeight="1">
      <c r="A1629" s="16">
        <v>10.0</v>
      </c>
      <c r="B1629" s="17" t="s">
        <v>5696</v>
      </c>
      <c r="C1629" s="16">
        <v>8.0</v>
      </c>
      <c r="D1629" s="18" t="s">
        <v>4183</v>
      </c>
    </row>
    <row r="1630" ht="15.75" customHeight="1">
      <c r="A1630" s="16">
        <v>11.0</v>
      </c>
      <c r="B1630" s="17" t="s">
        <v>5697</v>
      </c>
      <c r="C1630" s="16">
        <v>8.0</v>
      </c>
      <c r="D1630" s="18" t="s">
        <v>4183</v>
      </c>
    </row>
    <row r="1631" ht="15.75" customHeight="1">
      <c r="A1631" s="16">
        <v>12.0</v>
      </c>
      <c r="B1631" s="17" t="s">
        <v>5698</v>
      </c>
      <c r="C1631" s="16">
        <v>2.0</v>
      </c>
      <c r="D1631" s="18" t="s">
        <v>4183</v>
      </c>
    </row>
    <row r="1632" ht="15.75" customHeight="1">
      <c r="A1632" s="16">
        <v>13.0</v>
      </c>
      <c r="B1632" s="17" t="s">
        <v>5699</v>
      </c>
      <c r="C1632" s="16">
        <v>32.0</v>
      </c>
      <c r="D1632" s="18" t="s">
        <v>4183</v>
      </c>
    </row>
    <row r="1633" ht="15.75" customHeight="1">
      <c r="A1633" s="16">
        <v>14.0</v>
      </c>
      <c r="B1633" s="17" t="s">
        <v>5700</v>
      </c>
      <c r="C1633" s="16">
        <v>15.0</v>
      </c>
      <c r="D1633" s="18" t="s">
        <v>4183</v>
      </c>
    </row>
    <row r="1634" ht="15.75" customHeight="1">
      <c r="A1634" s="16">
        <v>15.0</v>
      </c>
      <c r="B1634" s="17" t="s">
        <v>5701</v>
      </c>
      <c r="C1634" s="16">
        <v>1.0</v>
      </c>
      <c r="D1634" s="18" t="s">
        <v>4183</v>
      </c>
    </row>
    <row r="1635" ht="15.75" customHeight="1">
      <c r="A1635" s="16">
        <v>16.0</v>
      </c>
      <c r="B1635" s="17" t="s">
        <v>5702</v>
      </c>
      <c r="C1635" s="16">
        <v>1.0</v>
      </c>
      <c r="D1635" s="18" t="s">
        <v>4183</v>
      </c>
    </row>
    <row r="1636" ht="15.75" customHeight="1">
      <c r="A1636" s="16">
        <v>17.0</v>
      </c>
      <c r="B1636" s="17" t="s">
        <v>5703</v>
      </c>
      <c r="C1636" s="16">
        <v>6.0</v>
      </c>
      <c r="D1636" s="18" t="s">
        <v>4183</v>
      </c>
    </row>
    <row r="1637" ht="15.75" customHeight="1">
      <c r="A1637" s="16">
        <v>18.0</v>
      </c>
      <c r="B1637" s="17" t="s">
        <v>5704</v>
      </c>
      <c r="C1637" s="16">
        <v>2.0</v>
      </c>
      <c r="D1637" s="18" t="s">
        <v>4183</v>
      </c>
    </row>
    <row r="1638" ht="15.75" customHeight="1">
      <c r="A1638" s="16">
        <v>19.0</v>
      </c>
      <c r="B1638" s="17" t="s">
        <v>5705</v>
      </c>
      <c r="C1638" s="16">
        <v>2.0</v>
      </c>
      <c r="D1638" s="18" t="s">
        <v>4183</v>
      </c>
    </row>
    <row r="1639" ht="15.75" customHeight="1">
      <c r="A1639" s="16">
        <v>20.0</v>
      </c>
      <c r="B1639" s="17" t="s">
        <v>5706</v>
      </c>
      <c r="C1639" s="16">
        <v>7.0</v>
      </c>
      <c r="D1639" s="18" t="s">
        <v>4183</v>
      </c>
    </row>
    <row r="1640" ht="15.75" customHeight="1">
      <c r="A1640" s="16">
        <v>21.0</v>
      </c>
      <c r="B1640" s="17" t="s">
        <v>5707</v>
      </c>
      <c r="C1640" s="16">
        <v>1.0</v>
      </c>
      <c r="D1640" s="18" t="s">
        <v>4183</v>
      </c>
    </row>
    <row r="1641" ht="15.75" customHeight="1">
      <c r="A1641" s="16">
        <v>22.0</v>
      </c>
      <c r="B1641" s="17" t="s">
        <v>5708</v>
      </c>
      <c r="C1641" s="16">
        <v>1.0</v>
      </c>
      <c r="D1641" s="18" t="s">
        <v>4183</v>
      </c>
    </row>
    <row r="1642" ht="15.75" customHeight="1">
      <c r="A1642" s="16">
        <v>23.0</v>
      </c>
      <c r="B1642" s="17" t="s">
        <v>5709</v>
      </c>
      <c r="C1642" s="16">
        <v>20.0</v>
      </c>
      <c r="D1642" s="18" t="s">
        <v>4183</v>
      </c>
    </row>
    <row r="1643" ht="15.75" customHeight="1">
      <c r="A1643" s="16">
        <v>24.0</v>
      </c>
      <c r="B1643" s="17" t="s">
        <v>5710</v>
      </c>
      <c r="C1643" s="16">
        <v>8.0</v>
      </c>
      <c r="D1643" s="18" t="s">
        <v>4183</v>
      </c>
    </row>
    <row r="1644" ht="15.75" customHeight="1">
      <c r="A1644" s="16">
        <v>25.0</v>
      </c>
      <c r="B1644" s="17" t="s">
        <v>5711</v>
      </c>
      <c r="C1644" s="16">
        <v>10.0</v>
      </c>
      <c r="D1644" s="18" t="s">
        <v>4183</v>
      </c>
    </row>
    <row r="1645" ht="15.75" customHeight="1">
      <c r="A1645" s="16">
        <v>26.0</v>
      </c>
      <c r="B1645" s="17" t="s">
        <v>5712</v>
      </c>
      <c r="C1645" s="16">
        <v>6.0</v>
      </c>
      <c r="D1645" s="18" t="s">
        <v>4183</v>
      </c>
    </row>
    <row r="1646" ht="15.75" customHeight="1">
      <c r="A1646" s="16">
        <v>27.0</v>
      </c>
      <c r="B1646" s="17" t="s">
        <v>5713</v>
      </c>
      <c r="C1646" s="16">
        <v>103.0</v>
      </c>
      <c r="D1646" s="18" t="s">
        <v>4183</v>
      </c>
    </row>
    <row r="1647" ht="15.75" customHeight="1">
      <c r="A1647" s="16">
        <v>28.0</v>
      </c>
      <c r="B1647" s="17" t="s">
        <v>5714</v>
      </c>
      <c r="C1647" s="16">
        <v>8.0</v>
      </c>
      <c r="D1647" s="18" t="s">
        <v>4183</v>
      </c>
    </row>
    <row r="1648" ht="15.75" customHeight="1">
      <c r="A1648" s="16">
        <v>29.0</v>
      </c>
      <c r="B1648" s="17" t="s">
        <v>5715</v>
      </c>
      <c r="C1648" s="16">
        <v>77.0</v>
      </c>
      <c r="D1648" s="18" t="s">
        <v>4183</v>
      </c>
    </row>
    <row r="1649" ht="15.75" customHeight="1">
      <c r="A1649" s="16">
        <v>30.0</v>
      </c>
      <c r="B1649" s="17" t="s">
        <v>5716</v>
      </c>
      <c r="C1649" s="16">
        <v>69.0</v>
      </c>
      <c r="D1649" s="18" t="s">
        <v>4183</v>
      </c>
    </row>
    <row r="1650" ht="15.75" customHeight="1">
      <c r="A1650" s="16">
        <v>31.0</v>
      </c>
      <c r="B1650" s="17" t="s">
        <v>5717</v>
      </c>
      <c r="C1650" s="16">
        <v>2.0</v>
      </c>
      <c r="D1650" s="18" t="s">
        <v>4183</v>
      </c>
    </row>
    <row r="1651" ht="15.75" customHeight="1">
      <c r="A1651" s="16">
        <v>32.0</v>
      </c>
      <c r="B1651" s="17" t="s">
        <v>5718</v>
      </c>
      <c r="C1651" s="16">
        <v>2.0</v>
      </c>
      <c r="D1651" s="18" t="s">
        <v>4183</v>
      </c>
    </row>
    <row r="1652" ht="15.75" customHeight="1">
      <c r="A1652" s="16">
        <v>33.0</v>
      </c>
      <c r="B1652" s="17" t="s">
        <v>5719</v>
      </c>
      <c r="C1652" s="18" t="s">
        <v>4384</v>
      </c>
      <c r="D1652" s="18" t="s">
        <v>4183</v>
      </c>
    </row>
    <row r="1653" ht="15.75" customHeight="1">
      <c r="A1653" s="16">
        <v>34.0</v>
      </c>
      <c r="B1653" s="17" t="s">
        <v>5720</v>
      </c>
      <c r="C1653" s="16">
        <v>7.0</v>
      </c>
      <c r="D1653" s="18" t="s">
        <v>4183</v>
      </c>
    </row>
    <row r="1654" ht="15.75" customHeight="1">
      <c r="A1654" s="16">
        <v>35.0</v>
      </c>
      <c r="B1654" s="17" t="s">
        <v>5721</v>
      </c>
      <c r="C1654" s="16">
        <v>14.0</v>
      </c>
      <c r="D1654" s="18" t="s">
        <v>4183</v>
      </c>
    </row>
    <row r="1655" ht="15.75" customHeight="1">
      <c r="A1655" s="16">
        <v>36.0</v>
      </c>
      <c r="B1655" s="17" t="s">
        <v>5722</v>
      </c>
      <c r="C1655" s="16">
        <v>3.0</v>
      </c>
      <c r="D1655" s="18" t="s">
        <v>4183</v>
      </c>
    </row>
    <row r="1656" ht="15.75" customHeight="1">
      <c r="A1656" s="16">
        <v>37.0</v>
      </c>
      <c r="B1656" s="17" t="s">
        <v>5723</v>
      </c>
      <c r="C1656" s="16">
        <v>7.0</v>
      </c>
      <c r="D1656" s="18" t="s">
        <v>4178</v>
      </c>
    </row>
    <row r="1657" ht="15.75" customHeight="1">
      <c r="A1657" s="16">
        <v>38.0</v>
      </c>
      <c r="B1657" s="17" t="s">
        <v>5724</v>
      </c>
      <c r="C1657" s="16">
        <v>3.0</v>
      </c>
      <c r="D1657" s="18" t="s">
        <v>4183</v>
      </c>
    </row>
    <row r="1658" ht="15.75" customHeight="1">
      <c r="A1658" s="16">
        <v>39.0</v>
      </c>
      <c r="B1658" s="17" t="s">
        <v>5725</v>
      </c>
      <c r="C1658" s="16">
        <v>3.0</v>
      </c>
      <c r="D1658" s="18" t="s">
        <v>4183</v>
      </c>
    </row>
    <row r="1659" ht="15.75" customHeight="1">
      <c r="A1659" s="16">
        <v>40.0</v>
      </c>
      <c r="B1659" s="17" t="s">
        <v>5726</v>
      </c>
      <c r="C1659" s="16">
        <v>1.0</v>
      </c>
      <c r="D1659" s="18" t="s">
        <v>4178</v>
      </c>
    </row>
    <row r="1660" ht="15.75" customHeight="1">
      <c r="A1660" s="16">
        <v>41.0</v>
      </c>
      <c r="B1660" s="17" t="s">
        <v>5727</v>
      </c>
      <c r="C1660" s="16">
        <v>3.0</v>
      </c>
      <c r="D1660" s="18" t="s">
        <v>4183</v>
      </c>
    </row>
    <row r="1661" ht="15.75" customHeight="1">
      <c r="A1661" s="16">
        <v>42.0</v>
      </c>
      <c r="B1661" s="17" t="s">
        <v>5728</v>
      </c>
      <c r="C1661" s="16">
        <v>4.0</v>
      </c>
      <c r="D1661" s="18" t="s">
        <v>4183</v>
      </c>
    </row>
    <row r="1662" ht="15.75" customHeight="1">
      <c r="A1662" s="16">
        <v>43.0</v>
      </c>
      <c r="B1662" s="17" t="s">
        <v>5729</v>
      </c>
      <c r="C1662" s="16">
        <v>5.0</v>
      </c>
      <c r="D1662" s="18" t="s">
        <v>4183</v>
      </c>
    </row>
    <row r="1663" ht="15.75" customHeight="1">
      <c r="A1663" s="16">
        <v>44.0</v>
      </c>
      <c r="B1663" s="17" t="s">
        <v>5730</v>
      </c>
      <c r="C1663" s="16">
        <v>10.0</v>
      </c>
      <c r="D1663" s="18" t="s">
        <v>4178</v>
      </c>
    </row>
    <row r="1664" ht="15.75" customHeight="1">
      <c r="A1664" s="16">
        <v>45.0</v>
      </c>
      <c r="B1664" s="17" t="s">
        <v>5731</v>
      </c>
      <c r="C1664" s="16">
        <v>5.0</v>
      </c>
      <c r="D1664" s="18" t="s">
        <v>4178</v>
      </c>
    </row>
    <row r="1665" ht="15.75" customHeight="1">
      <c r="A1665" s="16">
        <v>46.0</v>
      </c>
      <c r="B1665" s="17" t="s">
        <v>5732</v>
      </c>
      <c r="C1665" s="16">
        <v>3.0</v>
      </c>
      <c r="D1665" s="18" t="s">
        <v>4183</v>
      </c>
    </row>
    <row r="1666" ht="15.75" customHeight="1">
      <c r="A1666" s="16">
        <v>47.0</v>
      </c>
      <c r="B1666" s="17" t="s">
        <v>5733</v>
      </c>
      <c r="C1666" s="16">
        <v>1.0</v>
      </c>
      <c r="D1666" s="18" t="s">
        <v>4178</v>
      </c>
    </row>
    <row r="1667" ht="15.75" customHeight="1">
      <c r="A1667" s="16">
        <v>48.0</v>
      </c>
      <c r="B1667" s="17" t="s">
        <v>5734</v>
      </c>
      <c r="C1667" s="16">
        <v>1.0</v>
      </c>
      <c r="D1667" s="18" t="s">
        <v>4183</v>
      </c>
    </row>
    <row r="1668" ht="15.75" customHeight="1">
      <c r="A1668" s="16">
        <v>49.0</v>
      </c>
      <c r="B1668" s="17" t="s">
        <v>5735</v>
      </c>
      <c r="C1668" s="16">
        <v>12.0</v>
      </c>
      <c r="D1668" s="18" t="s">
        <v>4183</v>
      </c>
    </row>
    <row r="1669" ht="15.75" customHeight="1">
      <c r="A1669" s="16">
        <v>50.0</v>
      </c>
      <c r="B1669" s="17" t="s">
        <v>5736</v>
      </c>
      <c r="C1669" s="16">
        <v>2.0</v>
      </c>
      <c r="D1669" s="18" t="s">
        <v>4183</v>
      </c>
    </row>
    <row r="1670" ht="15.75" customHeight="1">
      <c r="A1670" s="16">
        <v>51.0</v>
      </c>
      <c r="B1670" s="17" t="s">
        <v>5737</v>
      </c>
      <c r="C1670" s="16">
        <v>10.0</v>
      </c>
      <c r="D1670" s="18" t="s">
        <v>4183</v>
      </c>
    </row>
    <row r="1671" ht="15.75" customHeight="1">
      <c r="A1671" s="16">
        <v>52.0</v>
      </c>
      <c r="B1671" s="17" t="s">
        <v>5738</v>
      </c>
      <c r="C1671" s="16">
        <v>5.0</v>
      </c>
      <c r="D1671" s="18" t="s">
        <v>4183</v>
      </c>
    </row>
    <row r="1672" ht="15.75" customHeight="1">
      <c r="A1672" s="16">
        <v>53.0</v>
      </c>
      <c r="B1672" s="17" t="s">
        <v>5739</v>
      </c>
      <c r="C1672" s="16">
        <v>2.0</v>
      </c>
      <c r="D1672" s="18" t="s">
        <v>4178</v>
      </c>
    </row>
    <row r="1673" ht="15.75" customHeight="1">
      <c r="A1673" s="16">
        <v>54.0</v>
      </c>
      <c r="B1673" s="17" t="s">
        <v>5740</v>
      </c>
      <c r="C1673" s="16">
        <v>2.0</v>
      </c>
      <c r="D1673" s="18" t="s">
        <v>4183</v>
      </c>
    </row>
    <row r="1674" ht="15.75" customHeight="1">
      <c r="A1674" s="16">
        <v>55.0</v>
      </c>
      <c r="B1674" s="17" t="s">
        <v>5741</v>
      </c>
      <c r="C1674" s="16">
        <v>12.0</v>
      </c>
      <c r="D1674" s="18" t="s">
        <v>4183</v>
      </c>
    </row>
    <row r="1675" ht="15.75" customHeight="1">
      <c r="A1675" s="16">
        <v>56.0</v>
      </c>
      <c r="B1675" s="17" t="s">
        <v>5742</v>
      </c>
      <c r="C1675" s="16">
        <v>7.0</v>
      </c>
      <c r="D1675" s="18" t="s">
        <v>4183</v>
      </c>
    </row>
    <row r="1676" ht="15.75" customHeight="1">
      <c r="A1676" s="16">
        <v>57.0</v>
      </c>
      <c r="B1676" s="17" t="s">
        <v>5743</v>
      </c>
      <c r="C1676" s="16">
        <v>7.0</v>
      </c>
      <c r="D1676" s="18" t="s">
        <v>4183</v>
      </c>
    </row>
    <row r="1677" ht="15.75" customHeight="1">
      <c r="A1677" s="16">
        <v>58.0</v>
      </c>
      <c r="B1677" s="17" t="s">
        <v>5744</v>
      </c>
      <c r="C1677" s="16">
        <v>2.0</v>
      </c>
      <c r="D1677" s="18" t="s">
        <v>4183</v>
      </c>
    </row>
    <row r="1678" ht="15.75" customHeight="1">
      <c r="A1678" s="16">
        <v>59.0</v>
      </c>
      <c r="B1678" s="17" t="s">
        <v>5745</v>
      </c>
      <c r="C1678" s="16">
        <v>18.0</v>
      </c>
      <c r="D1678" s="18" t="s">
        <v>4183</v>
      </c>
    </row>
    <row r="1679" ht="15.75" customHeight="1">
      <c r="A1679" s="16">
        <v>60.0</v>
      </c>
      <c r="B1679" s="17" t="s">
        <v>5746</v>
      </c>
      <c r="C1679" s="16">
        <v>2.0</v>
      </c>
      <c r="D1679" s="18" t="s">
        <v>4183</v>
      </c>
    </row>
    <row r="1680" ht="15.75" customHeight="1">
      <c r="A1680" s="16">
        <v>61.0</v>
      </c>
      <c r="B1680" s="17" t="s">
        <v>5747</v>
      </c>
      <c r="C1680" s="16">
        <v>4.0</v>
      </c>
      <c r="D1680" s="18" t="s">
        <v>4183</v>
      </c>
    </row>
    <row r="1681" ht="15.75" customHeight="1">
      <c r="A1681" s="16">
        <v>62.0</v>
      </c>
      <c r="B1681" s="17" t="s">
        <v>5748</v>
      </c>
      <c r="C1681" s="16">
        <v>4.0</v>
      </c>
      <c r="D1681" s="18" t="s">
        <v>4183</v>
      </c>
    </row>
    <row r="1682" ht="15.75" customHeight="1">
      <c r="A1682" s="16">
        <v>63.0</v>
      </c>
      <c r="B1682" s="17" t="s">
        <v>5749</v>
      </c>
      <c r="C1682" s="16">
        <v>2.0</v>
      </c>
      <c r="D1682" s="18" t="s">
        <v>4183</v>
      </c>
    </row>
    <row r="1683" ht="15.75" customHeight="1">
      <c r="A1683" s="16">
        <v>64.0</v>
      </c>
      <c r="B1683" s="17" t="s">
        <v>5750</v>
      </c>
      <c r="C1683" s="16">
        <v>5.0</v>
      </c>
      <c r="D1683" s="18" t="s">
        <v>4215</v>
      </c>
    </row>
    <row r="1684" ht="15.75" customHeight="1">
      <c r="A1684" s="16">
        <v>65.0</v>
      </c>
      <c r="B1684" s="17" t="s">
        <v>5751</v>
      </c>
      <c r="C1684" s="16">
        <v>10.0</v>
      </c>
      <c r="D1684" s="18" t="s">
        <v>4183</v>
      </c>
    </row>
    <row r="1685" ht="15.75" customHeight="1">
      <c r="A1685" s="16">
        <v>66.0</v>
      </c>
      <c r="B1685" s="17" t="s">
        <v>5752</v>
      </c>
      <c r="C1685" s="16">
        <v>132.0</v>
      </c>
      <c r="D1685" s="18" t="s">
        <v>4183</v>
      </c>
    </row>
    <row r="1686" ht="15.75" customHeight="1">
      <c r="A1686" s="16">
        <v>67.0</v>
      </c>
      <c r="B1686" s="17" t="s">
        <v>5753</v>
      </c>
      <c r="C1686" s="16">
        <v>32.0</v>
      </c>
      <c r="D1686" s="18" t="s">
        <v>4215</v>
      </c>
    </row>
    <row r="1687" ht="15.75" customHeight="1">
      <c r="A1687" s="16">
        <v>68.0</v>
      </c>
      <c r="B1687" s="17" t="s">
        <v>5754</v>
      </c>
      <c r="C1687" s="16">
        <v>5.0</v>
      </c>
      <c r="D1687" s="18" t="s">
        <v>4183</v>
      </c>
    </row>
    <row r="1688" ht="15.75" customHeight="1">
      <c r="A1688" s="16">
        <v>69.0</v>
      </c>
      <c r="B1688" s="17" t="s">
        <v>5755</v>
      </c>
      <c r="C1688" s="16">
        <v>2.0</v>
      </c>
      <c r="D1688" s="18" t="s">
        <v>4178</v>
      </c>
    </row>
    <row r="1689" ht="15.75" customHeight="1">
      <c r="A1689" s="16">
        <v>70.0</v>
      </c>
      <c r="B1689" s="17" t="s">
        <v>5756</v>
      </c>
      <c r="C1689" s="16">
        <v>29.0</v>
      </c>
      <c r="D1689" s="18" t="s">
        <v>4183</v>
      </c>
    </row>
    <row r="1690" ht="15.75" customHeight="1">
      <c r="A1690" s="16">
        <v>71.0</v>
      </c>
      <c r="B1690" s="17" t="s">
        <v>5757</v>
      </c>
      <c r="C1690" s="16">
        <v>7.0</v>
      </c>
      <c r="D1690" s="18" t="s">
        <v>4183</v>
      </c>
    </row>
    <row r="1691" ht="15.75" customHeight="1">
      <c r="A1691" s="16">
        <v>72.0</v>
      </c>
      <c r="B1691" s="17" t="s">
        <v>5758</v>
      </c>
      <c r="C1691" s="16">
        <v>3.0</v>
      </c>
      <c r="D1691" s="18" t="s">
        <v>4183</v>
      </c>
    </row>
    <row r="1692" ht="15.75" customHeight="1">
      <c r="A1692" s="16">
        <v>73.0</v>
      </c>
      <c r="B1692" s="17" t="s">
        <v>5759</v>
      </c>
      <c r="C1692" s="16">
        <v>6.0</v>
      </c>
      <c r="D1692" s="18" t="s">
        <v>4183</v>
      </c>
    </row>
    <row r="1693" ht="15.75" customHeight="1">
      <c r="A1693" s="16">
        <v>74.0</v>
      </c>
      <c r="B1693" s="17" t="s">
        <v>5760</v>
      </c>
      <c r="C1693" s="16">
        <v>50.0</v>
      </c>
      <c r="D1693" s="18" t="s">
        <v>4183</v>
      </c>
    </row>
    <row r="1694" ht="15.75" customHeight="1">
      <c r="A1694" s="16">
        <v>75.0</v>
      </c>
      <c r="B1694" s="17" t="s">
        <v>5761</v>
      </c>
      <c r="C1694" s="16">
        <v>1.0</v>
      </c>
      <c r="D1694" s="18" t="s">
        <v>4183</v>
      </c>
    </row>
    <row r="1695" ht="15.75" customHeight="1">
      <c r="A1695" s="16">
        <v>76.0</v>
      </c>
      <c r="B1695" s="17" t="s">
        <v>5762</v>
      </c>
      <c r="C1695" s="16">
        <v>24.0</v>
      </c>
      <c r="D1695" s="18" t="s">
        <v>4183</v>
      </c>
    </row>
    <row r="1696" ht="15.75" customHeight="1">
      <c r="A1696" s="16">
        <v>77.0</v>
      </c>
      <c r="B1696" s="17" t="s">
        <v>5763</v>
      </c>
      <c r="C1696" s="16">
        <v>28.0</v>
      </c>
      <c r="D1696" s="18" t="s">
        <v>4183</v>
      </c>
    </row>
    <row r="1697" ht="15.75" customHeight="1">
      <c r="A1697" s="16">
        <v>78.0</v>
      </c>
      <c r="B1697" s="17" t="s">
        <v>5764</v>
      </c>
      <c r="C1697" s="16">
        <v>19.0</v>
      </c>
      <c r="D1697" s="18" t="s">
        <v>4183</v>
      </c>
    </row>
    <row r="1698" ht="15.75" customHeight="1">
      <c r="A1698" s="16">
        <v>79.0</v>
      </c>
      <c r="B1698" s="17" t="s">
        <v>5765</v>
      </c>
      <c r="C1698" s="16">
        <v>38.0</v>
      </c>
      <c r="D1698" s="18" t="s">
        <v>4178</v>
      </c>
    </row>
    <row r="1699" ht="15.75" customHeight="1">
      <c r="A1699" s="16">
        <v>80.0</v>
      </c>
      <c r="B1699" s="17" t="s">
        <v>5766</v>
      </c>
      <c r="C1699" s="16">
        <v>7.0</v>
      </c>
      <c r="D1699" s="18" t="s">
        <v>4183</v>
      </c>
    </row>
    <row r="1700" ht="15.75" customHeight="1">
      <c r="A1700" s="16">
        <v>81.0</v>
      </c>
      <c r="B1700" s="17" t="s">
        <v>5767</v>
      </c>
      <c r="C1700" s="16">
        <v>3.0</v>
      </c>
      <c r="D1700" s="18" t="s">
        <v>4183</v>
      </c>
    </row>
    <row r="1701" ht="15.75" customHeight="1">
      <c r="A1701" s="16">
        <v>82.0</v>
      </c>
      <c r="B1701" s="17" t="s">
        <v>5768</v>
      </c>
      <c r="C1701" s="16">
        <v>13.0</v>
      </c>
      <c r="D1701" s="18" t="s">
        <v>4183</v>
      </c>
    </row>
    <row r="1702" ht="15.75" customHeight="1">
      <c r="A1702" s="16">
        <v>83.0</v>
      </c>
      <c r="B1702" s="17" t="s">
        <v>5769</v>
      </c>
      <c r="C1702" s="16">
        <v>5.0</v>
      </c>
      <c r="D1702" s="18" t="s">
        <v>4183</v>
      </c>
    </row>
    <row r="1703" ht="15.75" customHeight="1">
      <c r="A1703" s="16">
        <v>84.0</v>
      </c>
      <c r="B1703" s="17" t="s">
        <v>5770</v>
      </c>
      <c r="C1703" s="16">
        <v>9.0</v>
      </c>
      <c r="D1703" s="18" t="s">
        <v>4183</v>
      </c>
    </row>
    <row r="1704" ht="15.75" customHeight="1">
      <c r="A1704" s="16">
        <v>85.0</v>
      </c>
      <c r="B1704" s="17" t="s">
        <v>5771</v>
      </c>
      <c r="C1704" s="16">
        <v>41.0</v>
      </c>
      <c r="D1704" s="18" t="s">
        <v>4183</v>
      </c>
    </row>
    <row r="1705" ht="15.75" customHeight="1">
      <c r="A1705" s="16">
        <v>86.0</v>
      </c>
      <c r="B1705" s="17" t="s">
        <v>5772</v>
      </c>
      <c r="C1705" s="16">
        <v>1.0</v>
      </c>
      <c r="D1705" s="18" t="s">
        <v>4183</v>
      </c>
    </row>
    <row r="1706" ht="15.75" customHeight="1">
      <c r="A1706" s="16">
        <v>87.0</v>
      </c>
      <c r="B1706" s="17" t="s">
        <v>5773</v>
      </c>
      <c r="C1706" s="16">
        <v>9.0</v>
      </c>
      <c r="D1706" s="18" t="s">
        <v>4183</v>
      </c>
    </row>
    <row r="1707" ht="15.75" customHeight="1">
      <c r="A1707" s="16">
        <v>88.0</v>
      </c>
      <c r="B1707" s="17" t="s">
        <v>5774</v>
      </c>
      <c r="C1707" s="19">
        <v>3.5</v>
      </c>
      <c r="D1707" s="18" t="s">
        <v>4215</v>
      </c>
    </row>
    <row r="1708" ht="15.75" customHeight="1">
      <c r="A1708" s="16">
        <v>89.0</v>
      </c>
      <c r="B1708" s="17" t="s">
        <v>5775</v>
      </c>
      <c r="C1708" s="16">
        <v>13.0</v>
      </c>
      <c r="D1708" s="18" t="s">
        <v>4183</v>
      </c>
    </row>
    <row r="1709" ht="15.75" customHeight="1">
      <c r="A1709" s="16">
        <v>90.0</v>
      </c>
      <c r="B1709" s="17" t="s">
        <v>5776</v>
      </c>
      <c r="C1709" s="16">
        <v>24.0</v>
      </c>
      <c r="D1709" s="18" t="s">
        <v>4183</v>
      </c>
    </row>
    <row r="1710" ht="15.75" customHeight="1">
      <c r="A1710" s="16">
        <v>91.0</v>
      </c>
      <c r="B1710" s="17" t="s">
        <v>5777</v>
      </c>
      <c r="C1710" s="16">
        <v>2.0</v>
      </c>
      <c r="D1710" s="18" t="s">
        <v>4183</v>
      </c>
    </row>
    <row r="1711" ht="15.75" customHeight="1">
      <c r="A1711" s="20"/>
      <c r="B1711" s="21" t="s">
        <v>4273</v>
      </c>
      <c r="C1711" s="22">
        <v>1144.5</v>
      </c>
      <c r="D1711" s="21" t="s">
        <v>4171</v>
      </c>
    </row>
    <row r="1712" ht="15.75" customHeight="1">
      <c r="A1712" s="11"/>
      <c r="B1712" s="12"/>
      <c r="C1712" s="12"/>
      <c r="D1712" s="13"/>
    </row>
    <row r="1713" ht="15.75" customHeight="1">
      <c r="A1713" s="14" t="s">
        <v>4090</v>
      </c>
      <c r="B1713" s="15"/>
      <c r="C1713" s="15"/>
      <c r="D1713" s="15"/>
    </row>
    <row r="1714" ht="15.75" customHeight="1">
      <c r="A1714" s="16">
        <v>1.0</v>
      </c>
      <c r="B1714" s="17" t="s">
        <v>5778</v>
      </c>
      <c r="C1714" s="16">
        <v>9.0</v>
      </c>
      <c r="D1714" s="18" t="s">
        <v>4178</v>
      </c>
    </row>
    <row r="1715" ht="15.75" customHeight="1">
      <c r="A1715" s="16">
        <v>2.0</v>
      </c>
      <c r="B1715" s="17" t="s">
        <v>5779</v>
      </c>
      <c r="C1715" s="16">
        <v>20.0</v>
      </c>
      <c r="D1715" s="18" t="s">
        <v>4178</v>
      </c>
    </row>
    <row r="1716" ht="15.75" customHeight="1">
      <c r="A1716" s="16">
        <v>3.0</v>
      </c>
      <c r="B1716" s="17" t="s">
        <v>5780</v>
      </c>
      <c r="C1716" s="16">
        <v>12.0</v>
      </c>
      <c r="D1716" s="18" t="s">
        <v>4178</v>
      </c>
    </row>
    <row r="1717" ht="15.75" customHeight="1">
      <c r="A1717" s="16">
        <v>4.0</v>
      </c>
      <c r="B1717" s="17" t="s">
        <v>5781</v>
      </c>
      <c r="C1717" s="16">
        <v>10.0</v>
      </c>
      <c r="D1717" s="18" t="s">
        <v>4178</v>
      </c>
    </row>
    <row r="1718" ht="15.75" customHeight="1">
      <c r="A1718" s="16">
        <v>5.0</v>
      </c>
      <c r="B1718" s="17" t="s">
        <v>5782</v>
      </c>
      <c r="C1718" s="16">
        <v>6.0</v>
      </c>
      <c r="D1718" s="18" t="s">
        <v>4178</v>
      </c>
    </row>
    <row r="1719" ht="15.75" customHeight="1">
      <c r="A1719" s="16">
        <v>6.0</v>
      </c>
      <c r="B1719" s="17" t="s">
        <v>5783</v>
      </c>
      <c r="C1719" s="16">
        <v>14.0</v>
      </c>
      <c r="D1719" s="18" t="s">
        <v>4183</v>
      </c>
    </row>
    <row r="1720" ht="15.75" customHeight="1">
      <c r="A1720" s="16">
        <v>7.0</v>
      </c>
      <c r="B1720" s="17" t="s">
        <v>5784</v>
      </c>
      <c r="C1720" s="16">
        <v>9.0</v>
      </c>
      <c r="D1720" s="18" t="s">
        <v>4178</v>
      </c>
    </row>
    <row r="1721" ht="15.75" customHeight="1">
      <c r="A1721" s="16">
        <v>8.0</v>
      </c>
      <c r="B1721" s="17" t="s">
        <v>5785</v>
      </c>
      <c r="C1721" s="16">
        <v>7.0</v>
      </c>
      <c r="D1721" s="18" t="s">
        <v>4178</v>
      </c>
    </row>
    <row r="1722" ht="15.75" customHeight="1">
      <c r="A1722" s="16">
        <v>9.0</v>
      </c>
      <c r="B1722" s="17" t="s">
        <v>5786</v>
      </c>
      <c r="C1722" s="16">
        <v>34.0</v>
      </c>
      <c r="D1722" s="18" t="s">
        <v>4178</v>
      </c>
    </row>
    <row r="1723" ht="15.75" customHeight="1">
      <c r="A1723" s="16">
        <v>10.0</v>
      </c>
      <c r="B1723" s="17" t="s">
        <v>5787</v>
      </c>
      <c r="C1723" s="16">
        <v>69.0</v>
      </c>
      <c r="D1723" s="18" t="s">
        <v>4178</v>
      </c>
    </row>
    <row r="1724" ht="15.75" customHeight="1">
      <c r="A1724" s="16">
        <v>11.0</v>
      </c>
      <c r="B1724" s="17" t="s">
        <v>5788</v>
      </c>
      <c r="C1724" s="16">
        <v>62.0</v>
      </c>
      <c r="D1724" s="18" t="s">
        <v>4178</v>
      </c>
    </row>
    <row r="1725" ht="15.75" customHeight="1">
      <c r="A1725" s="16">
        <v>12.0</v>
      </c>
      <c r="B1725" s="17" t="s">
        <v>5789</v>
      </c>
      <c r="C1725" s="16">
        <v>2.0</v>
      </c>
      <c r="D1725" s="18" t="s">
        <v>4178</v>
      </c>
    </row>
    <row r="1726" ht="15.75" customHeight="1">
      <c r="A1726" s="16">
        <v>13.0</v>
      </c>
      <c r="B1726" s="17" t="s">
        <v>5790</v>
      </c>
      <c r="C1726" s="16">
        <v>2.0</v>
      </c>
      <c r="D1726" s="18" t="s">
        <v>4178</v>
      </c>
    </row>
    <row r="1727" ht="15.75" customHeight="1">
      <c r="A1727" s="16">
        <v>14.0</v>
      </c>
      <c r="B1727" s="17" t="s">
        <v>5791</v>
      </c>
      <c r="C1727" s="16">
        <v>8.0</v>
      </c>
      <c r="D1727" s="18" t="s">
        <v>4178</v>
      </c>
    </row>
    <row r="1728" ht="15.75" customHeight="1">
      <c r="A1728" s="16">
        <v>15.0</v>
      </c>
      <c r="B1728" s="17" t="s">
        <v>5792</v>
      </c>
      <c r="C1728" s="16">
        <v>3.0</v>
      </c>
      <c r="D1728" s="18" t="s">
        <v>4178</v>
      </c>
    </row>
    <row r="1729" ht="15.75" customHeight="1">
      <c r="A1729" s="16">
        <v>16.0</v>
      </c>
      <c r="B1729" s="17" t="s">
        <v>5793</v>
      </c>
      <c r="C1729" s="16">
        <v>11.0</v>
      </c>
      <c r="D1729" s="18" t="s">
        <v>4178</v>
      </c>
    </row>
    <row r="1730" ht="15.75" customHeight="1">
      <c r="A1730" s="16">
        <v>17.0</v>
      </c>
      <c r="B1730" s="17" t="s">
        <v>5794</v>
      </c>
      <c r="C1730" s="16">
        <v>280.0</v>
      </c>
      <c r="D1730" s="18" t="s">
        <v>4178</v>
      </c>
    </row>
    <row r="1731" ht="15.75" customHeight="1">
      <c r="A1731" s="16">
        <v>18.0</v>
      </c>
      <c r="B1731" s="17" t="s">
        <v>5795</v>
      </c>
      <c r="C1731" s="16">
        <v>2.0</v>
      </c>
      <c r="D1731" s="18" t="s">
        <v>4178</v>
      </c>
    </row>
    <row r="1732" ht="15.75" customHeight="1">
      <c r="A1732" s="16">
        <v>19.0</v>
      </c>
      <c r="B1732" s="17" t="s">
        <v>5796</v>
      </c>
      <c r="C1732" s="16">
        <v>6.0</v>
      </c>
      <c r="D1732" s="18" t="s">
        <v>4178</v>
      </c>
    </row>
    <row r="1733" ht="15.75" customHeight="1">
      <c r="A1733" s="16">
        <v>20.0</v>
      </c>
      <c r="B1733" s="17" t="s">
        <v>5797</v>
      </c>
      <c r="C1733" s="16">
        <v>6.0</v>
      </c>
      <c r="D1733" s="18" t="s">
        <v>4178</v>
      </c>
    </row>
    <row r="1734" ht="15.75" customHeight="1">
      <c r="A1734" s="16">
        <v>21.0</v>
      </c>
      <c r="B1734" s="17" t="s">
        <v>5798</v>
      </c>
      <c r="C1734" s="16">
        <v>5.0</v>
      </c>
      <c r="D1734" s="18" t="s">
        <v>4178</v>
      </c>
    </row>
    <row r="1735" ht="15.75" customHeight="1">
      <c r="A1735" s="16">
        <v>22.0</v>
      </c>
      <c r="B1735" s="17" t="s">
        <v>5799</v>
      </c>
      <c r="C1735" s="16">
        <v>6.0</v>
      </c>
      <c r="D1735" s="18" t="s">
        <v>4178</v>
      </c>
    </row>
    <row r="1736" ht="15.75" customHeight="1">
      <c r="A1736" s="16">
        <v>23.0</v>
      </c>
      <c r="B1736" s="17" t="s">
        <v>5800</v>
      </c>
      <c r="C1736" s="16">
        <v>43.0</v>
      </c>
      <c r="D1736" s="18" t="s">
        <v>4183</v>
      </c>
    </row>
    <row r="1737" ht="15.75" customHeight="1">
      <c r="A1737" s="16">
        <v>24.0</v>
      </c>
      <c r="B1737" s="17" t="s">
        <v>5801</v>
      </c>
      <c r="C1737" s="16">
        <v>62.0</v>
      </c>
      <c r="D1737" s="18" t="s">
        <v>4178</v>
      </c>
    </row>
    <row r="1738" ht="15.75" customHeight="1">
      <c r="A1738" s="16">
        <v>25.0</v>
      </c>
      <c r="B1738" s="17" t="s">
        <v>5802</v>
      </c>
      <c r="C1738" s="16">
        <v>35.0</v>
      </c>
      <c r="D1738" s="18" t="s">
        <v>4178</v>
      </c>
    </row>
    <row r="1739" ht="15.75" customHeight="1">
      <c r="A1739" s="16">
        <v>26.0</v>
      </c>
      <c r="B1739" s="17" t="s">
        <v>5803</v>
      </c>
      <c r="C1739" s="16">
        <v>6.0</v>
      </c>
      <c r="D1739" s="18" t="s">
        <v>4178</v>
      </c>
    </row>
    <row r="1740" ht="15.75" customHeight="1">
      <c r="A1740" s="16">
        <v>27.0</v>
      </c>
      <c r="B1740" s="17" t="s">
        <v>5804</v>
      </c>
      <c r="C1740" s="16">
        <v>6.0</v>
      </c>
      <c r="D1740" s="18" t="s">
        <v>4178</v>
      </c>
    </row>
    <row r="1741" ht="15.75" customHeight="1">
      <c r="A1741" s="16">
        <v>28.0</v>
      </c>
      <c r="B1741" s="17" t="s">
        <v>5805</v>
      </c>
      <c r="C1741" s="16">
        <v>3.0</v>
      </c>
      <c r="D1741" s="18" t="s">
        <v>4178</v>
      </c>
    </row>
    <row r="1742" ht="15.75" customHeight="1">
      <c r="A1742" s="20"/>
      <c r="B1742" s="21" t="s">
        <v>4273</v>
      </c>
      <c r="C1742" s="23">
        <v>738.0</v>
      </c>
      <c r="D1742" s="21" t="s">
        <v>4171</v>
      </c>
    </row>
    <row r="1743" ht="15.75" customHeight="1">
      <c r="A1743" s="11"/>
      <c r="B1743" s="12"/>
      <c r="C1743" s="12"/>
      <c r="D1743" s="13"/>
    </row>
    <row r="1744" ht="15.75" customHeight="1">
      <c r="A1744" s="14" t="s">
        <v>4066</v>
      </c>
      <c r="B1744" s="15"/>
      <c r="C1744" s="15"/>
      <c r="D1744" s="15"/>
    </row>
    <row r="1745" ht="15.75" customHeight="1">
      <c r="A1745" s="16">
        <v>1.0</v>
      </c>
      <c r="B1745" s="17" t="s">
        <v>5806</v>
      </c>
      <c r="C1745" s="16">
        <v>4.0</v>
      </c>
      <c r="D1745" s="18" t="s">
        <v>4178</v>
      </c>
    </row>
    <row r="1746" ht="15.75" customHeight="1">
      <c r="A1746" s="16">
        <v>2.0</v>
      </c>
      <c r="B1746" s="17" t="s">
        <v>5807</v>
      </c>
      <c r="C1746" s="18" t="s">
        <v>4384</v>
      </c>
      <c r="D1746" s="18" t="s">
        <v>4178</v>
      </c>
    </row>
    <row r="1747" ht="15.75" customHeight="1">
      <c r="A1747" s="16">
        <v>3.0</v>
      </c>
      <c r="B1747" s="17" t="s">
        <v>5808</v>
      </c>
      <c r="C1747" s="16">
        <v>2.0</v>
      </c>
      <c r="D1747" s="18" t="s">
        <v>4183</v>
      </c>
    </row>
    <row r="1748" ht="15.75" customHeight="1">
      <c r="A1748" s="16">
        <v>4.0</v>
      </c>
      <c r="B1748" s="17" t="s">
        <v>5809</v>
      </c>
      <c r="C1748" s="16">
        <v>15.0</v>
      </c>
      <c r="D1748" s="18" t="s">
        <v>4183</v>
      </c>
    </row>
    <row r="1749" ht="15.75" customHeight="1">
      <c r="A1749" s="16">
        <v>5.0</v>
      </c>
      <c r="B1749" s="17" t="s">
        <v>5810</v>
      </c>
      <c r="C1749" s="16">
        <v>6.0</v>
      </c>
      <c r="D1749" s="18" t="s">
        <v>4183</v>
      </c>
    </row>
    <row r="1750" ht="15.75" customHeight="1">
      <c r="A1750" s="16">
        <v>6.0</v>
      </c>
      <c r="B1750" s="17" t="s">
        <v>5811</v>
      </c>
      <c r="C1750" s="16">
        <v>16.0</v>
      </c>
      <c r="D1750" s="18" t="s">
        <v>4183</v>
      </c>
    </row>
    <row r="1751" ht="15.75" customHeight="1">
      <c r="A1751" s="16">
        <v>7.0</v>
      </c>
      <c r="B1751" s="17" t="s">
        <v>5812</v>
      </c>
      <c r="C1751" s="16">
        <v>3.0</v>
      </c>
      <c r="D1751" s="18" t="s">
        <v>4183</v>
      </c>
    </row>
    <row r="1752" ht="15.75" customHeight="1">
      <c r="A1752" s="16">
        <v>8.0</v>
      </c>
      <c r="B1752" s="17" t="s">
        <v>5813</v>
      </c>
      <c r="C1752" s="19">
        <v>7.5</v>
      </c>
      <c r="D1752" s="18" t="s">
        <v>4183</v>
      </c>
    </row>
    <row r="1753" ht="15.75" customHeight="1">
      <c r="A1753" s="16">
        <v>9.0</v>
      </c>
      <c r="B1753" s="17" t="s">
        <v>5814</v>
      </c>
      <c r="C1753" s="16">
        <v>3.0</v>
      </c>
      <c r="D1753" s="18" t="s">
        <v>4178</v>
      </c>
    </row>
    <row r="1754" ht="15.75" customHeight="1">
      <c r="A1754" s="16">
        <v>10.0</v>
      </c>
      <c r="B1754" s="17" t="s">
        <v>5815</v>
      </c>
      <c r="C1754" s="16">
        <v>10.0</v>
      </c>
      <c r="D1754" s="18" t="s">
        <v>4183</v>
      </c>
    </row>
    <row r="1755" ht="15.75" customHeight="1">
      <c r="A1755" s="16">
        <v>11.0</v>
      </c>
      <c r="B1755" s="17" t="s">
        <v>5816</v>
      </c>
      <c r="C1755" s="16">
        <v>1.0</v>
      </c>
      <c r="D1755" s="18" t="s">
        <v>4178</v>
      </c>
    </row>
    <row r="1756" ht="15.75" customHeight="1">
      <c r="A1756" s="16">
        <v>12.0</v>
      </c>
      <c r="B1756" s="18" t="s">
        <v>5817</v>
      </c>
      <c r="C1756" s="16">
        <v>1.0</v>
      </c>
      <c r="D1756" s="18" t="s">
        <v>5818</v>
      </c>
    </row>
    <row r="1757" ht="15.75" customHeight="1">
      <c r="A1757" s="16">
        <v>13.0</v>
      </c>
      <c r="B1757" s="17" t="s">
        <v>5819</v>
      </c>
      <c r="C1757" s="16">
        <v>7.0</v>
      </c>
      <c r="D1757" s="18" t="s">
        <v>4178</v>
      </c>
    </row>
    <row r="1758" ht="15.75" customHeight="1">
      <c r="A1758" s="16">
        <v>14.0</v>
      </c>
      <c r="B1758" s="17" t="s">
        <v>5820</v>
      </c>
      <c r="C1758" s="18" t="s">
        <v>4384</v>
      </c>
      <c r="D1758" s="18" t="s">
        <v>4178</v>
      </c>
    </row>
    <row r="1759" ht="15.75" customHeight="1">
      <c r="A1759" s="16">
        <v>15.0</v>
      </c>
      <c r="B1759" s="17" t="s">
        <v>5821</v>
      </c>
      <c r="C1759" s="16">
        <v>10.0</v>
      </c>
      <c r="D1759" s="18" t="s">
        <v>4183</v>
      </c>
    </row>
    <row r="1760" ht="15.75" customHeight="1">
      <c r="A1760" s="16">
        <v>16.0</v>
      </c>
      <c r="B1760" s="17" t="s">
        <v>5822</v>
      </c>
      <c r="C1760" s="16">
        <v>10.0</v>
      </c>
      <c r="D1760" s="18" t="s">
        <v>4183</v>
      </c>
    </row>
    <row r="1761" ht="15.75" customHeight="1">
      <c r="A1761" s="16">
        <v>17.0</v>
      </c>
      <c r="B1761" s="17" t="s">
        <v>5823</v>
      </c>
      <c r="C1761" s="16">
        <v>12.0</v>
      </c>
      <c r="D1761" s="18" t="s">
        <v>4183</v>
      </c>
    </row>
    <row r="1762" ht="15.75" customHeight="1">
      <c r="A1762" s="16">
        <v>18.0</v>
      </c>
      <c r="B1762" s="17" t="s">
        <v>5824</v>
      </c>
      <c r="C1762" s="16">
        <v>9.0</v>
      </c>
      <c r="D1762" s="18" t="s">
        <v>4183</v>
      </c>
    </row>
    <row r="1763" ht="15.75" customHeight="1">
      <c r="A1763" s="16">
        <v>19.0</v>
      </c>
      <c r="B1763" s="17" t="s">
        <v>5825</v>
      </c>
      <c r="C1763" s="16">
        <v>77.0</v>
      </c>
      <c r="D1763" s="18" t="s">
        <v>4178</v>
      </c>
    </row>
    <row r="1764" ht="15.75" customHeight="1">
      <c r="A1764" s="16">
        <v>20.0</v>
      </c>
      <c r="B1764" s="17" t="s">
        <v>5826</v>
      </c>
      <c r="C1764" s="16">
        <v>2.0</v>
      </c>
      <c r="D1764" s="18" t="s">
        <v>4178</v>
      </c>
    </row>
    <row r="1765" ht="15.75" customHeight="1">
      <c r="A1765" s="16">
        <v>21.0</v>
      </c>
      <c r="B1765" s="17" t="s">
        <v>5827</v>
      </c>
      <c r="C1765" s="16">
        <v>24.0</v>
      </c>
      <c r="D1765" s="18" t="s">
        <v>4183</v>
      </c>
    </row>
    <row r="1766" ht="15.75" customHeight="1">
      <c r="A1766" s="16">
        <v>22.0</v>
      </c>
      <c r="B1766" s="17" t="s">
        <v>5828</v>
      </c>
      <c r="C1766" s="16">
        <v>8.0</v>
      </c>
      <c r="D1766" s="18" t="s">
        <v>4183</v>
      </c>
    </row>
    <row r="1767" ht="15.75" customHeight="1">
      <c r="A1767" s="16">
        <v>23.0</v>
      </c>
      <c r="B1767" s="17" t="s">
        <v>5829</v>
      </c>
      <c r="C1767" s="16">
        <v>14.0</v>
      </c>
      <c r="D1767" s="18" t="s">
        <v>4183</v>
      </c>
    </row>
    <row r="1768" ht="15.75" customHeight="1">
      <c r="A1768" s="16">
        <v>24.0</v>
      </c>
      <c r="B1768" s="17" t="s">
        <v>5830</v>
      </c>
      <c r="C1768" s="16">
        <v>12.0</v>
      </c>
      <c r="D1768" s="18" t="s">
        <v>4183</v>
      </c>
    </row>
    <row r="1769" ht="15.75" customHeight="1">
      <c r="A1769" s="16">
        <v>25.0</v>
      </c>
      <c r="B1769" s="17" t="s">
        <v>5831</v>
      </c>
      <c r="C1769" s="16">
        <v>8.0</v>
      </c>
      <c r="D1769" s="18" t="s">
        <v>4183</v>
      </c>
    </row>
    <row r="1770" ht="15.75" customHeight="1">
      <c r="A1770" s="16">
        <v>26.0</v>
      </c>
      <c r="B1770" s="17" t="s">
        <v>5832</v>
      </c>
      <c r="C1770" s="16">
        <v>11.0</v>
      </c>
      <c r="D1770" s="18" t="s">
        <v>4183</v>
      </c>
    </row>
    <row r="1771" ht="15.75" customHeight="1">
      <c r="A1771" s="16">
        <v>27.0</v>
      </c>
      <c r="B1771" s="17" t="s">
        <v>5833</v>
      </c>
      <c r="C1771" s="18" t="s">
        <v>4213</v>
      </c>
      <c r="D1771" s="18" t="s">
        <v>4183</v>
      </c>
    </row>
    <row r="1772" ht="15.75" customHeight="1">
      <c r="A1772" s="16">
        <v>28.0</v>
      </c>
      <c r="B1772" s="17" t="s">
        <v>5834</v>
      </c>
      <c r="C1772" s="16">
        <v>20.0</v>
      </c>
      <c r="D1772" s="18" t="s">
        <v>4183</v>
      </c>
    </row>
    <row r="1773" ht="15.75" customHeight="1">
      <c r="A1773" s="16">
        <v>29.0</v>
      </c>
      <c r="B1773" s="17" t="s">
        <v>5835</v>
      </c>
      <c r="C1773" s="16">
        <v>10.0</v>
      </c>
      <c r="D1773" s="18" t="s">
        <v>4183</v>
      </c>
    </row>
    <row r="1774" ht="15.75" customHeight="1">
      <c r="A1774" s="16">
        <v>30.0</v>
      </c>
      <c r="B1774" s="17" t="s">
        <v>5836</v>
      </c>
      <c r="C1774" s="16">
        <v>5.0</v>
      </c>
      <c r="D1774" s="18" t="s">
        <v>4183</v>
      </c>
    </row>
    <row r="1775" ht="15.75" customHeight="1">
      <c r="A1775" s="16">
        <v>31.0</v>
      </c>
      <c r="B1775" s="17" t="s">
        <v>5837</v>
      </c>
      <c r="C1775" s="16">
        <v>12.0</v>
      </c>
      <c r="D1775" s="18" t="s">
        <v>4183</v>
      </c>
    </row>
    <row r="1776" ht="15.75" customHeight="1">
      <c r="A1776" s="16">
        <v>32.0</v>
      </c>
      <c r="B1776" s="17" t="s">
        <v>5838</v>
      </c>
      <c r="C1776" s="16">
        <v>7.0</v>
      </c>
      <c r="D1776" s="18" t="s">
        <v>4183</v>
      </c>
    </row>
    <row r="1777" ht="15.75" customHeight="1">
      <c r="A1777" s="16">
        <v>33.0</v>
      </c>
      <c r="B1777" s="17" t="s">
        <v>5839</v>
      </c>
      <c r="C1777" s="16">
        <v>12.0</v>
      </c>
      <c r="D1777" s="18" t="s">
        <v>4183</v>
      </c>
    </row>
    <row r="1778" ht="15.75" customHeight="1">
      <c r="A1778" s="16">
        <v>34.0</v>
      </c>
      <c r="B1778" s="17" t="s">
        <v>5840</v>
      </c>
      <c r="C1778" s="16">
        <v>5.0</v>
      </c>
      <c r="D1778" s="18" t="s">
        <v>4183</v>
      </c>
    </row>
    <row r="1779" ht="15.75" customHeight="1">
      <c r="A1779" s="16">
        <v>35.0</v>
      </c>
      <c r="B1779" s="17" t="s">
        <v>5841</v>
      </c>
      <c r="C1779" s="16">
        <v>7.0</v>
      </c>
      <c r="D1779" s="18" t="s">
        <v>4183</v>
      </c>
    </row>
    <row r="1780" ht="15.75" customHeight="1">
      <c r="A1780" s="16">
        <v>36.0</v>
      </c>
      <c r="B1780" s="17" t="s">
        <v>5842</v>
      </c>
      <c r="C1780" s="16">
        <v>3.0</v>
      </c>
      <c r="D1780" s="18" t="s">
        <v>4183</v>
      </c>
    </row>
    <row r="1781" ht="15.75" customHeight="1">
      <c r="A1781" s="16">
        <v>37.0</v>
      </c>
      <c r="B1781" s="17" t="s">
        <v>5843</v>
      </c>
      <c r="C1781" s="16">
        <v>1.0</v>
      </c>
      <c r="D1781" s="18" t="s">
        <v>4178</v>
      </c>
    </row>
    <row r="1782" ht="15.75" customHeight="1">
      <c r="A1782" s="16">
        <v>38.0</v>
      </c>
      <c r="B1782" s="17" t="s">
        <v>5844</v>
      </c>
      <c r="C1782" s="16">
        <v>7.0</v>
      </c>
      <c r="D1782" s="18" t="s">
        <v>4178</v>
      </c>
    </row>
    <row r="1783" ht="15.75" customHeight="1">
      <c r="A1783" s="16">
        <v>39.0</v>
      </c>
      <c r="B1783" s="17" t="s">
        <v>5845</v>
      </c>
      <c r="C1783" s="16">
        <v>4.0</v>
      </c>
      <c r="D1783" s="18" t="s">
        <v>4178</v>
      </c>
    </row>
    <row r="1784" ht="15.75" customHeight="1">
      <c r="A1784" s="16">
        <v>40.0</v>
      </c>
      <c r="B1784" s="17" t="s">
        <v>5846</v>
      </c>
      <c r="C1784" s="16">
        <v>2.0</v>
      </c>
      <c r="D1784" s="18" t="s">
        <v>4178</v>
      </c>
    </row>
    <row r="1785" ht="15.75" customHeight="1">
      <c r="A1785" s="16">
        <v>41.0</v>
      </c>
      <c r="B1785" s="17" t="s">
        <v>5847</v>
      </c>
      <c r="C1785" s="16">
        <v>4.0</v>
      </c>
      <c r="D1785" s="18" t="s">
        <v>4178</v>
      </c>
    </row>
    <row r="1786" ht="15.75" customHeight="1">
      <c r="A1786" s="16">
        <v>42.0</v>
      </c>
      <c r="B1786" s="17" t="s">
        <v>5848</v>
      </c>
      <c r="C1786" s="16">
        <v>2.0</v>
      </c>
      <c r="D1786" s="18" t="s">
        <v>4183</v>
      </c>
    </row>
    <row r="1787" ht="15.75" customHeight="1">
      <c r="A1787" s="16">
        <v>43.0</v>
      </c>
      <c r="B1787" s="17" t="s">
        <v>5849</v>
      </c>
      <c r="C1787" s="16">
        <v>4.0</v>
      </c>
      <c r="D1787" s="18" t="s">
        <v>4183</v>
      </c>
    </row>
    <row r="1788" ht="15.75" customHeight="1">
      <c r="A1788" s="16">
        <v>44.0</v>
      </c>
      <c r="B1788" s="17" t="s">
        <v>5850</v>
      </c>
      <c r="C1788" s="16">
        <v>2.0</v>
      </c>
      <c r="D1788" s="18" t="s">
        <v>4183</v>
      </c>
    </row>
    <row r="1789" ht="15.75" customHeight="1">
      <c r="A1789" s="16">
        <v>45.0</v>
      </c>
      <c r="B1789" s="17" t="s">
        <v>5851</v>
      </c>
      <c r="C1789" s="16">
        <v>3.0</v>
      </c>
      <c r="D1789" s="18" t="s">
        <v>4183</v>
      </c>
    </row>
    <row r="1790" ht="15.75" customHeight="1">
      <c r="A1790" s="16">
        <v>46.0</v>
      </c>
      <c r="B1790" s="17" t="s">
        <v>5852</v>
      </c>
      <c r="C1790" s="16">
        <v>2.0</v>
      </c>
      <c r="D1790" s="18" t="s">
        <v>4178</v>
      </c>
    </row>
    <row r="1791" ht="15.75" customHeight="1">
      <c r="A1791" s="16">
        <v>47.0</v>
      </c>
      <c r="B1791" s="17" t="s">
        <v>5853</v>
      </c>
      <c r="C1791" s="16">
        <v>4.0</v>
      </c>
      <c r="D1791" s="18" t="s">
        <v>4183</v>
      </c>
    </row>
    <row r="1792" ht="15.75" customHeight="1">
      <c r="A1792" s="16">
        <v>48.0</v>
      </c>
      <c r="B1792" s="17" t="s">
        <v>5854</v>
      </c>
      <c r="C1792" s="16">
        <v>5.0</v>
      </c>
      <c r="D1792" s="18" t="s">
        <v>4178</v>
      </c>
    </row>
    <row r="1793" ht="15.75" customHeight="1">
      <c r="A1793" s="16">
        <v>49.0</v>
      </c>
      <c r="B1793" s="17" t="s">
        <v>5855</v>
      </c>
      <c r="C1793" s="16">
        <v>1.0</v>
      </c>
      <c r="D1793" s="18" t="s">
        <v>4183</v>
      </c>
    </row>
    <row r="1794" ht="15.75" customHeight="1">
      <c r="A1794" s="16">
        <v>50.0</v>
      </c>
      <c r="B1794" s="17" t="s">
        <v>5856</v>
      </c>
      <c r="C1794" s="16">
        <v>1.0</v>
      </c>
      <c r="D1794" s="18" t="s">
        <v>4183</v>
      </c>
    </row>
    <row r="1795" ht="15.75" customHeight="1">
      <c r="A1795" s="16">
        <v>51.0</v>
      </c>
      <c r="B1795" s="17" t="s">
        <v>5857</v>
      </c>
      <c r="C1795" s="16">
        <v>4.0</v>
      </c>
      <c r="D1795" s="18" t="s">
        <v>4183</v>
      </c>
    </row>
    <row r="1796" ht="15.75" customHeight="1">
      <c r="A1796" s="16">
        <v>52.0</v>
      </c>
      <c r="B1796" s="17" t="s">
        <v>5858</v>
      </c>
      <c r="C1796" s="16">
        <v>2.0</v>
      </c>
      <c r="D1796" s="18" t="s">
        <v>4178</v>
      </c>
    </row>
    <row r="1797" ht="15.75" customHeight="1">
      <c r="A1797" s="16">
        <v>53.0</v>
      </c>
      <c r="B1797" s="17" t="s">
        <v>5859</v>
      </c>
      <c r="C1797" s="16">
        <v>9.0</v>
      </c>
      <c r="D1797" s="18" t="s">
        <v>4183</v>
      </c>
    </row>
    <row r="1798" ht="15.75" customHeight="1">
      <c r="A1798" s="16">
        <v>54.0</v>
      </c>
      <c r="B1798" s="17" t="s">
        <v>5860</v>
      </c>
      <c r="C1798" s="18" t="s">
        <v>5861</v>
      </c>
      <c r="D1798" s="18" t="s">
        <v>4339</v>
      </c>
    </row>
    <row r="1799" ht="15.75" customHeight="1">
      <c r="A1799" s="16">
        <v>55.0</v>
      </c>
      <c r="B1799" s="17" t="s">
        <v>5862</v>
      </c>
      <c r="C1799" s="16">
        <v>4.0</v>
      </c>
      <c r="D1799" s="18" t="s">
        <v>4183</v>
      </c>
    </row>
    <row r="1800" ht="15.75" customHeight="1">
      <c r="A1800" s="16">
        <v>56.0</v>
      </c>
      <c r="B1800" s="17" t="s">
        <v>5863</v>
      </c>
      <c r="C1800" s="16">
        <v>5.0</v>
      </c>
      <c r="D1800" s="18" t="s">
        <v>4183</v>
      </c>
    </row>
    <row r="1801" ht="15.75" customHeight="1">
      <c r="A1801" s="16">
        <v>57.0</v>
      </c>
      <c r="B1801" s="17" t="s">
        <v>5864</v>
      </c>
      <c r="C1801" s="16">
        <v>10.0</v>
      </c>
      <c r="D1801" s="18" t="s">
        <v>4183</v>
      </c>
    </row>
    <row r="1802" ht="15.75" customHeight="1">
      <c r="A1802" s="16">
        <v>58.0</v>
      </c>
      <c r="B1802" s="17" t="s">
        <v>5865</v>
      </c>
      <c r="C1802" s="16">
        <v>2.0</v>
      </c>
      <c r="D1802" s="18" t="s">
        <v>4183</v>
      </c>
    </row>
    <row r="1803" ht="15.75" customHeight="1">
      <c r="A1803" s="16">
        <v>59.0</v>
      </c>
      <c r="B1803" s="17" t="s">
        <v>5866</v>
      </c>
      <c r="C1803" s="16">
        <v>4.0</v>
      </c>
      <c r="D1803" s="18" t="s">
        <v>4183</v>
      </c>
    </row>
    <row r="1804" ht="15.75" customHeight="1">
      <c r="A1804" s="16">
        <v>60.0</v>
      </c>
      <c r="B1804" s="17" t="s">
        <v>5867</v>
      </c>
      <c r="C1804" s="16">
        <v>2.0</v>
      </c>
      <c r="D1804" s="18" t="s">
        <v>4183</v>
      </c>
    </row>
    <row r="1805" ht="15.75" customHeight="1">
      <c r="A1805" s="16">
        <v>61.0</v>
      </c>
      <c r="B1805" s="17" t="s">
        <v>5868</v>
      </c>
      <c r="C1805" s="16">
        <v>4.0</v>
      </c>
      <c r="D1805" s="18" t="s">
        <v>4183</v>
      </c>
    </row>
    <row r="1806" ht="15.75" customHeight="1">
      <c r="A1806" s="16">
        <v>62.0</v>
      </c>
      <c r="B1806" s="17" t="s">
        <v>5869</v>
      </c>
      <c r="C1806" s="16">
        <v>4.0</v>
      </c>
      <c r="D1806" s="18" t="s">
        <v>4183</v>
      </c>
    </row>
    <row r="1807" ht="15.75" customHeight="1">
      <c r="A1807" s="16">
        <v>63.0</v>
      </c>
      <c r="B1807" s="17" t="s">
        <v>5870</v>
      </c>
      <c r="C1807" s="16">
        <v>1.0</v>
      </c>
      <c r="D1807" s="18" t="s">
        <v>4178</v>
      </c>
    </row>
    <row r="1808" ht="15.75" customHeight="1">
      <c r="A1808" s="16">
        <v>64.0</v>
      </c>
      <c r="B1808" s="17" t="s">
        <v>5871</v>
      </c>
      <c r="C1808" s="16">
        <v>1.0</v>
      </c>
      <c r="D1808" s="18" t="s">
        <v>4178</v>
      </c>
    </row>
    <row r="1809" ht="15.75" customHeight="1">
      <c r="A1809" s="16">
        <v>65.0</v>
      </c>
      <c r="B1809" s="17" t="s">
        <v>5872</v>
      </c>
      <c r="C1809" s="16">
        <v>3.0</v>
      </c>
      <c r="D1809" s="18" t="s">
        <v>4178</v>
      </c>
    </row>
    <row r="1810" ht="15.75" customHeight="1">
      <c r="A1810" s="16">
        <v>66.0</v>
      </c>
      <c r="B1810" s="17" t="s">
        <v>5873</v>
      </c>
      <c r="C1810" s="16">
        <v>4.0</v>
      </c>
      <c r="D1810" s="18" t="s">
        <v>4178</v>
      </c>
    </row>
    <row r="1811" ht="15.75" customHeight="1">
      <c r="A1811" s="16">
        <v>67.0</v>
      </c>
      <c r="B1811" s="17" t="s">
        <v>5874</v>
      </c>
      <c r="C1811" s="16">
        <v>2.0</v>
      </c>
      <c r="D1811" s="18" t="s">
        <v>4178</v>
      </c>
    </row>
    <row r="1812" ht="15.75" customHeight="1">
      <c r="A1812" s="16">
        <v>68.0</v>
      </c>
      <c r="B1812" s="17" t="s">
        <v>5875</v>
      </c>
      <c r="C1812" s="16">
        <v>2.0</v>
      </c>
      <c r="D1812" s="18" t="s">
        <v>4178</v>
      </c>
    </row>
    <row r="1813" ht="15.75" customHeight="1">
      <c r="A1813" s="16">
        <v>69.0</v>
      </c>
      <c r="B1813" s="17" t="s">
        <v>5876</v>
      </c>
      <c r="C1813" s="16">
        <v>2.0</v>
      </c>
      <c r="D1813" s="18" t="s">
        <v>4339</v>
      </c>
    </row>
    <row r="1814" ht="15.75" customHeight="1">
      <c r="A1814" s="16">
        <v>70.0</v>
      </c>
      <c r="B1814" s="17" t="s">
        <v>5877</v>
      </c>
      <c r="C1814" s="16">
        <v>3.0</v>
      </c>
      <c r="D1814" s="18" t="s">
        <v>4178</v>
      </c>
    </row>
    <row r="1815" ht="15.75" customHeight="1">
      <c r="A1815" s="16">
        <v>71.0</v>
      </c>
      <c r="B1815" s="17" t="s">
        <v>5878</v>
      </c>
      <c r="C1815" s="16">
        <v>6.0</v>
      </c>
      <c r="D1815" s="18" t="s">
        <v>4178</v>
      </c>
    </row>
    <row r="1816" ht="15.75" customHeight="1">
      <c r="A1816" s="16">
        <v>72.0</v>
      </c>
      <c r="B1816" s="17" t="s">
        <v>5879</v>
      </c>
      <c r="C1816" s="16">
        <v>4.0</v>
      </c>
      <c r="D1816" s="18" t="s">
        <v>4178</v>
      </c>
    </row>
    <row r="1817" ht="15.75" customHeight="1">
      <c r="A1817" s="16">
        <v>73.0</v>
      </c>
      <c r="B1817" s="17" t="s">
        <v>5880</v>
      </c>
      <c r="C1817" s="16">
        <v>6.0</v>
      </c>
      <c r="D1817" s="18" t="s">
        <v>4178</v>
      </c>
    </row>
    <row r="1818" ht="15.75" customHeight="1">
      <c r="A1818" s="16">
        <v>74.0</v>
      </c>
      <c r="B1818" s="17" t="s">
        <v>5881</v>
      </c>
      <c r="C1818" s="18" t="s">
        <v>4384</v>
      </c>
      <c r="D1818" s="18" t="s">
        <v>4178</v>
      </c>
    </row>
    <row r="1819" ht="15.75" customHeight="1">
      <c r="A1819" s="16">
        <v>75.0</v>
      </c>
      <c r="B1819" s="17" t="s">
        <v>5882</v>
      </c>
      <c r="C1819" s="16">
        <v>2.0</v>
      </c>
      <c r="D1819" s="18" t="s">
        <v>4183</v>
      </c>
    </row>
    <row r="1820" ht="15.75" customHeight="1">
      <c r="A1820" s="16">
        <v>76.0</v>
      </c>
      <c r="B1820" s="17" t="s">
        <v>5883</v>
      </c>
      <c r="C1820" s="16">
        <v>5.0</v>
      </c>
      <c r="D1820" s="18" t="s">
        <v>4183</v>
      </c>
    </row>
    <row r="1821" ht="15.75" customHeight="1">
      <c r="A1821" s="16">
        <v>77.0</v>
      </c>
      <c r="B1821" s="17" t="s">
        <v>5884</v>
      </c>
      <c r="C1821" s="18" t="s">
        <v>4384</v>
      </c>
      <c r="D1821" s="18" t="s">
        <v>4183</v>
      </c>
    </row>
    <row r="1822" ht="15.75" customHeight="1">
      <c r="A1822" s="16">
        <v>78.0</v>
      </c>
      <c r="B1822" s="17" t="s">
        <v>5885</v>
      </c>
      <c r="C1822" s="16">
        <v>1.0</v>
      </c>
      <c r="D1822" s="18" t="s">
        <v>4178</v>
      </c>
    </row>
    <row r="1823" ht="15.75" customHeight="1">
      <c r="A1823" s="16">
        <v>79.0</v>
      </c>
      <c r="B1823" s="17" t="s">
        <v>5886</v>
      </c>
      <c r="C1823" s="16">
        <v>3.0</v>
      </c>
      <c r="D1823" s="18" t="s">
        <v>4183</v>
      </c>
    </row>
    <row r="1824" ht="15.75" customHeight="1">
      <c r="A1824" s="16">
        <v>80.0</v>
      </c>
      <c r="B1824" s="17" t="s">
        <v>5887</v>
      </c>
      <c r="C1824" s="16">
        <v>7.0</v>
      </c>
      <c r="D1824" s="18" t="s">
        <v>4183</v>
      </c>
    </row>
    <row r="1825" ht="15.75" customHeight="1">
      <c r="A1825" s="16">
        <v>81.0</v>
      </c>
      <c r="B1825" s="17" t="s">
        <v>5888</v>
      </c>
      <c r="C1825" s="16">
        <v>4.0</v>
      </c>
      <c r="D1825" s="18" t="s">
        <v>4183</v>
      </c>
    </row>
    <row r="1826" ht="15.75" customHeight="1">
      <c r="A1826" s="16">
        <v>82.0</v>
      </c>
      <c r="B1826" s="17" t="s">
        <v>5889</v>
      </c>
      <c r="C1826" s="16">
        <v>3.0</v>
      </c>
      <c r="D1826" s="18" t="s">
        <v>4183</v>
      </c>
    </row>
    <row r="1827" ht="15.75" customHeight="1">
      <c r="A1827" s="16">
        <v>83.0</v>
      </c>
      <c r="B1827" s="17" t="s">
        <v>5890</v>
      </c>
      <c r="C1827" s="16">
        <v>4.0</v>
      </c>
      <c r="D1827" s="18" t="s">
        <v>4215</v>
      </c>
    </row>
    <row r="1828" ht="15.75" customHeight="1">
      <c r="A1828" s="16">
        <v>84.0</v>
      </c>
      <c r="B1828" s="17" t="s">
        <v>5891</v>
      </c>
      <c r="C1828" s="16">
        <v>1.0</v>
      </c>
      <c r="D1828" s="18" t="s">
        <v>4178</v>
      </c>
    </row>
    <row r="1829" ht="15.75" customHeight="1">
      <c r="A1829" s="16">
        <v>85.0</v>
      </c>
      <c r="B1829" s="17" t="s">
        <v>5892</v>
      </c>
      <c r="C1829" s="16">
        <v>3.0</v>
      </c>
      <c r="D1829" s="18" t="s">
        <v>4178</v>
      </c>
    </row>
    <row r="1830" ht="15.75" customHeight="1">
      <c r="A1830" s="16">
        <v>86.0</v>
      </c>
      <c r="B1830" s="17" t="s">
        <v>5893</v>
      </c>
      <c r="C1830" s="16">
        <v>6.0</v>
      </c>
      <c r="D1830" s="18" t="s">
        <v>4178</v>
      </c>
    </row>
    <row r="1831" ht="15.75" customHeight="1">
      <c r="A1831" s="16">
        <v>87.0</v>
      </c>
      <c r="B1831" s="17" t="s">
        <v>5894</v>
      </c>
      <c r="C1831" s="16">
        <v>1.0</v>
      </c>
      <c r="D1831" s="18" t="s">
        <v>4178</v>
      </c>
    </row>
    <row r="1832" ht="15.75" customHeight="1">
      <c r="A1832" s="16">
        <v>88.0</v>
      </c>
      <c r="B1832" s="17" t="s">
        <v>5895</v>
      </c>
      <c r="C1832" s="16">
        <v>8.0</v>
      </c>
      <c r="D1832" s="18" t="s">
        <v>4178</v>
      </c>
    </row>
    <row r="1833" ht="15.75" customHeight="1">
      <c r="A1833" s="16">
        <v>89.0</v>
      </c>
      <c r="B1833" s="17" t="s">
        <v>5896</v>
      </c>
      <c r="C1833" s="16">
        <v>7.0</v>
      </c>
      <c r="D1833" s="18" t="s">
        <v>4178</v>
      </c>
    </row>
    <row r="1834" ht="15.75" customHeight="1">
      <c r="A1834" s="16">
        <v>90.0</v>
      </c>
      <c r="B1834" s="17" t="s">
        <v>5897</v>
      </c>
      <c r="C1834" s="16">
        <v>4.0</v>
      </c>
      <c r="D1834" s="18" t="s">
        <v>4178</v>
      </c>
    </row>
    <row r="1835" ht="15.75" customHeight="1">
      <c r="A1835" s="16">
        <v>91.0</v>
      </c>
      <c r="B1835" s="17" t="s">
        <v>5898</v>
      </c>
      <c r="C1835" s="16">
        <v>1.0</v>
      </c>
      <c r="D1835" s="18" t="s">
        <v>5899</v>
      </c>
    </row>
    <row r="1836" ht="15.75" customHeight="1">
      <c r="A1836" s="16">
        <v>92.0</v>
      </c>
      <c r="B1836" s="17" t="s">
        <v>5900</v>
      </c>
      <c r="C1836" s="16">
        <v>1.0</v>
      </c>
      <c r="D1836" s="18" t="s">
        <v>5899</v>
      </c>
    </row>
    <row r="1837" ht="15.75" customHeight="1">
      <c r="A1837" s="16">
        <v>93.0</v>
      </c>
      <c r="B1837" s="17" t="s">
        <v>5901</v>
      </c>
      <c r="C1837" s="16">
        <v>4.0</v>
      </c>
      <c r="D1837" s="18" t="s">
        <v>4183</v>
      </c>
    </row>
    <row r="1838" ht="15.75" customHeight="1">
      <c r="A1838" s="16">
        <v>94.0</v>
      </c>
      <c r="B1838" s="17" t="s">
        <v>5902</v>
      </c>
      <c r="C1838" s="16">
        <v>3.0</v>
      </c>
      <c r="D1838" s="18" t="s">
        <v>4183</v>
      </c>
    </row>
    <row r="1839" ht="15.75" customHeight="1">
      <c r="A1839" s="16">
        <v>95.0</v>
      </c>
      <c r="B1839" s="17" t="s">
        <v>5903</v>
      </c>
      <c r="C1839" s="16">
        <v>5.0</v>
      </c>
      <c r="D1839" s="18" t="s">
        <v>4178</v>
      </c>
    </row>
    <row r="1840" ht="15.75" customHeight="1">
      <c r="A1840" s="16">
        <v>96.0</v>
      </c>
      <c r="B1840" s="17" t="s">
        <v>5904</v>
      </c>
      <c r="C1840" s="16">
        <v>9.0</v>
      </c>
      <c r="D1840" s="18" t="s">
        <v>4178</v>
      </c>
    </row>
    <row r="1841" ht="15.75" customHeight="1">
      <c r="A1841" s="16">
        <v>97.0</v>
      </c>
      <c r="B1841" s="17" t="s">
        <v>5905</v>
      </c>
      <c r="C1841" s="16">
        <v>10.0</v>
      </c>
      <c r="D1841" s="18" t="s">
        <v>4215</v>
      </c>
    </row>
    <row r="1842" ht="15.75" customHeight="1">
      <c r="A1842" s="16">
        <v>98.0</v>
      </c>
      <c r="B1842" s="17" t="s">
        <v>5906</v>
      </c>
      <c r="C1842" s="16">
        <v>2.0</v>
      </c>
      <c r="D1842" s="18" t="s">
        <v>4215</v>
      </c>
    </row>
    <row r="1843" ht="15.75" customHeight="1">
      <c r="A1843" s="16">
        <v>99.0</v>
      </c>
      <c r="B1843" s="17" t="s">
        <v>5907</v>
      </c>
      <c r="C1843" s="16">
        <v>2.0</v>
      </c>
      <c r="D1843" s="18" t="s">
        <v>4183</v>
      </c>
    </row>
    <row r="1844" ht="15.75" customHeight="1">
      <c r="A1844" s="16">
        <v>100.0</v>
      </c>
      <c r="B1844" s="17" t="s">
        <v>5908</v>
      </c>
      <c r="C1844" s="16">
        <v>3.0</v>
      </c>
      <c r="D1844" s="18" t="s">
        <v>4183</v>
      </c>
    </row>
    <row r="1845" ht="15.75" customHeight="1">
      <c r="A1845" s="16">
        <v>101.0</v>
      </c>
      <c r="B1845" s="17" t="s">
        <v>5909</v>
      </c>
      <c r="C1845" s="16">
        <v>18.0</v>
      </c>
      <c r="D1845" s="18" t="s">
        <v>4178</v>
      </c>
    </row>
    <row r="1846" ht="15.75" customHeight="1">
      <c r="A1846" s="16">
        <v>102.0</v>
      </c>
      <c r="B1846" s="17" t="s">
        <v>5910</v>
      </c>
      <c r="C1846" s="16">
        <v>7.0</v>
      </c>
      <c r="D1846" s="18" t="s">
        <v>4183</v>
      </c>
    </row>
    <row r="1847" ht="15.75" customHeight="1">
      <c r="A1847" s="16">
        <v>103.0</v>
      </c>
      <c r="B1847" s="17" t="s">
        <v>5911</v>
      </c>
      <c r="C1847" s="16">
        <v>7.0</v>
      </c>
      <c r="D1847" s="18" t="s">
        <v>4183</v>
      </c>
    </row>
    <row r="1848" ht="15.75" customHeight="1">
      <c r="A1848" s="16">
        <v>104.0</v>
      </c>
      <c r="B1848" s="17" t="s">
        <v>5912</v>
      </c>
      <c r="C1848" s="16">
        <v>12.0</v>
      </c>
      <c r="D1848" s="18" t="s">
        <v>4183</v>
      </c>
    </row>
    <row r="1849" ht="15.75" customHeight="1">
      <c r="A1849" s="16">
        <v>105.0</v>
      </c>
      <c r="B1849" s="17" t="s">
        <v>5913</v>
      </c>
      <c r="C1849" s="16">
        <v>5.0</v>
      </c>
      <c r="D1849" s="18" t="s">
        <v>4183</v>
      </c>
    </row>
    <row r="1850" ht="15.75" customHeight="1">
      <c r="A1850" s="16">
        <v>106.0</v>
      </c>
      <c r="B1850" s="17" t="s">
        <v>5914</v>
      </c>
      <c r="C1850" s="16">
        <v>8.0</v>
      </c>
      <c r="D1850" s="18" t="s">
        <v>4183</v>
      </c>
    </row>
    <row r="1851" ht="15.75" customHeight="1">
      <c r="A1851" s="16">
        <v>107.0</v>
      </c>
      <c r="B1851" s="17" t="s">
        <v>5915</v>
      </c>
      <c r="C1851" s="16">
        <v>2.0</v>
      </c>
      <c r="D1851" s="18" t="s">
        <v>4183</v>
      </c>
    </row>
    <row r="1852" ht="15.75" customHeight="1">
      <c r="A1852" s="16">
        <v>108.0</v>
      </c>
      <c r="B1852" s="17" t="s">
        <v>5916</v>
      </c>
      <c r="C1852" s="16">
        <v>7.0</v>
      </c>
      <c r="D1852" s="18" t="s">
        <v>4178</v>
      </c>
    </row>
    <row r="1853" ht="15.75" customHeight="1">
      <c r="A1853" s="16">
        <v>109.0</v>
      </c>
      <c r="B1853" s="17" t="s">
        <v>5917</v>
      </c>
      <c r="C1853" s="16">
        <v>3.0</v>
      </c>
      <c r="D1853" s="18" t="s">
        <v>4178</v>
      </c>
    </row>
    <row r="1854" ht="15.75" customHeight="1">
      <c r="A1854" s="16">
        <v>110.0</v>
      </c>
      <c r="B1854" s="17" t="s">
        <v>5918</v>
      </c>
      <c r="C1854" s="16">
        <v>3.0</v>
      </c>
      <c r="D1854" s="18" t="s">
        <v>4183</v>
      </c>
    </row>
    <row r="1855" ht="15.75" customHeight="1">
      <c r="A1855" s="16">
        <v>111.0</v>
      </c>
      <c r="B1855" s="17" t="s">
        <v>5919</v>
      </c>
      <c r="C1855" s="16">
        <v>5.0</v>
      </c>
      <c r="D1855" s="18" t="s">
        <v>4183</v>
      </c>
    </row>
    <row r="1856" ht="15.75" customHeight="1">
      <c r="A1856" s="16">
        <v>112.0</v>
      </c>
      <c r="B1856" s="17" t="s">
        <v>5920</v>
      </c>
      <c r="C1856" s="16">
        <v>1.0</v>
      </c>
      <c r="D1856" s="18" t="s">
        <v>4183</v>
      </c>
    </row>
    <row r="1857" ht="15.75" customHeight="1">
      <c r="A1857" s="16">
        <v>113.0</v>
      </c>
      <c r="B1857" s="17" t="s">
        <v>5921</v>
      </c>
      <c r="C1857" s="16">
        <v>1.0</v>
      </c>
      <c r="D1857" s="18" t="s">
        <v>4183</v>
      </c>
    </row>
    <row r="1858" ht="15.75" customHeight="1">
      <c r="A1858" s="16">
        <v>114.0</v>
      </c>
      <c r="B1858" s="17" t="s">
        <v>5922</v>
      </c>
      <c r="C1858" s="16">
        <v>1.0</v>
      </c>
      <c r="D1858" s="18" t="s">
        <v>4183</v>
      </c>
    </row>
    <row r="1859" ht="15.75" customHeight="1">
      <c r="A1859" s="16">
        <v>115.0</v>
      </c>
      <c r="B1859" s="17" t="s">
        <v>5923</v>
      </c>
      <c r="C1859" s="16">
        <v>16.0</v>
      </c>
      <c r="D1859" s="18" t="s">
        <v>4183</v>
      </c>
    </row>
    <row r="1860" ht="15.75" customHeight="1">
      <c r="A1860" s="16">
        <v>116.0</v>
      </c>
      <c r="B1860" s="17" t="s">
        <v>5924</v>
      </c>
      <c r="C1860" s="16">
        <v>1.0</v>
      </c>
      <c r="D1860" s="18" t="s">
        <v>4178</v>
      </c>
    </row>
    <row r="1861" ht="15.75" customHeight="1">
      <c r="A1861" s="16">
        <v>117.0</v>
      </c>
      <c r="B1861" s="17" t="s">
        <v>5925</v>
      </c>
      <c r="C1861" s="16">
        <v>6.0</v>
      </c>
      <c r="D1861" s="18" t="s">
        <v>4178</v>
      </c>
    </row>
    <row r="1862" ht="15.75" customHeight="1">
      <c r="A1862" s="16">
        <v>118.0</v>
      </c>
      <c r="B1862" s="17" t="s">
        <v>5926</v>
      </c>
      <c r="C1862" s="16">
        <v>5.0</v>
      </c>
      <c r="D1862" s="18" t="s">
        <v>4178</v>
      </c>
    </row>
    <row r="1863" ht="15.75" customHeight="1">
      <c r="A1863" s="16">
        <v>119.0</v>
      </c>
      <c r="B1863" s="17" t="s">
        <v>5927</v>
      </c>
      <c r="C1863" s="16">
        <v>9.0</v>
      </c>
      <c r="D1863" s="18" t="s">
        <v>4215</v>
      </c>
    </row>
    <row r="1864" ht="15.75" customHeight="1">
      <c r="A1864" s="16">
        <v>120.0</v>
      </c>
      <c r="B1864" s="17" t="s">
        <v>5928</v>
      </c>
      <c r="C1864" s="16">
        <v>11.0</v>
      </c>
      <c r="D1864" s="18" t="s">
        <v>4183</v>
      </c>
    </row>
    <row r="1865" ht="15.75" customHeight="1">
      <c r="A1865" s="16">
        <v>121.0</v>
      </c>
      <c r="B1865" s="17" t="s">
        <v>5929</v>
      </c>
      <c r="C1865" s="16">
        <v>19.0</v>
      </c>
      <c r="D1865" s="18" t="s">
        <v>4183</v>
      </c>
    </row>
    <row r="1866" ht="15.75" customHeight="1">
      <c r="A1866" s="16">
        <v>122.0</v>
      </c>
      <c r="B1866" s="17" t="s">
        <v>5930</v>
      </c>
      <c r="C1866" s="16">
        <v>2.0</v>
      </c>
      <c r="D1866" s="18" t="s">
        <v>4339</v>
      </c>
    </row>
    <row r="1867" ht="15.75" customHeight="1">
      <c r="A1867" s="16">
        <v>123.0</v>
      </c>
      <c r="B1867" s="17" t="s">
        <v>5931</v>
      </c>
      <c r="C1867" s="16">
        <v>8.0</v>
      </c>
      <c r="D1867" s="18" t="s">
        <v>4183</v>
      </c>
    </row>
    <row r="1868" ht="15.75" customHeight="1">
      <c r="A1868" s="16">
        <v>124.0</v>
      </c>
      <c r="B1868" s="17" t="s">
        <v>5932</v>
      </c>
      <c r="C1868" s="16">
        <v>6.0</v>
      </c>
      <c r="D1868" s="18" t="s">
        <v>4183</v>
      </c>
    </row>
    <row r="1869" ht="15.75" customHeight="1">
      <c r="A1869" s="16">
        <v>125.0</v>
      </c>
      <c r="B1869" s="17" t="s">
        <v>5933</v>
      </c>
      <c r="C1869" s="16">
        <v>6.0</v>
      </c>
      <c r="D1869" s="18" t="s">
        <v>4183</v>
      </c>
    </row>
    <row r="1870" ht="15.75" customHeight="1">
      <c r="A1870" s="16">
        <v>126.0</v>
      </c>
      <c r="B1870" s="17" t="s">
        <v>5934</v>
      </c>
      <c r="C1870" s="16">
        <v>1.0</v>
      </c>
      <c r="D1870" s="18" t="s">
        <v>4183</v>
      </c>
    </row>
    <row r="1871" ht="15.75" customHeight="1">
      <c r="A1871" s="20"/>
      <c r="B1871" s="21" t="s">
        <v>4273</v>
      </c>
      <c r="C1871" s="22">
        <v>741.4</v>
      </c>
      <c r="D1871" s="21" t="s">
        <v>4171</v>
      </c>
    </row>
    <row r="1872" ht="15.75" customHeight="1">
      <c r="A1872" s="11"/>
      <c r="B1872" s="12"/>
      <c r="C1872" s="12"/>
      <c r="D1872" s="13"/>
    </row>
    <row r="1873" ht="15.75" customHeight="1">
      <c r="A1873" s="14" t="s">
        <v>1676</v>
      </c>
      <c r="B1873" s="15"/>
      <c r="C1873" s="15"/>
      <c r="D1873" s="15"/>
    </row>
    <row r="1874" ht="15.75" customHeight="1">
      <c r="A1874" s="16">
        <v>1.0</v>
      </c>
      <c r="B1874" s="17" t="s">
        <v>5935</v>
      </c>
      <c r="C1874" s="16">
        <v>8.0</v>
      </c>
      <c r="D1874" s="18" t="s">
        <v>4178</v>
      </c>
    </row>
    <row r="1875" ht="15.75" customHeight="1">
      <c r="A1875" s="16">
        <v>2.0</v>
      </c>
      <c r="B1875" s="17" t="s">
        <v>5936</v>
      </c>
      <c r="C1875" s="16">
        <v>5.0</v>
      </c>
      <c r="D1875" s="18" t="s">
        <v>4178</v>
      </c>
    </row>
    <row r="1876" ht="15.75" customHeight="1">
      <c r="A1876" s="16">
        <v>3.0</v>
      </c>
      <c r="B1876" s="17" t="s">
        <v>5937</v>
      </c>
      <c r="C1876" s="16">
        <v>4.0</v>
      </c>
      <c r="D1876" s="18" t="s">
        <v>4178</v>
      </c>
    </row>
    <row r="1877" ht="15.75" customHeight="1">
      <c r="A1877" s="20"/>
      <c r="B1877" s="21" t="s">
        <v>4273</v>
      </c>
      <c r="C1877" s="23">
        <v>17.0</v>
      </c>
      <c r="D1877" s="21" t="s">
        <v>4171</v>
      </c>
    </row>
    <row r="1878" ht="15.75" customHeight="1">
      <c r="A1878" s="11"/>
      <c r="B1878" s="12"/>
      <c r="C1878" s="12"/>
      <c r="D1878" s="13"/>
    </row>
    <row r="1879" ht="15.75" customHeight="1">
      <c r="A1879" s="14" t="s">
        <v>1680</v>
      </c>
      <c r="B1879" s="15"/>
      <c r="C1879" s="15"/>
      <c r="D1879" s="15"/>
    </row>
    <row r="1880" ht="15.75" customHeight="1">
      <c r="A1880" s="16">
        <v>1.0</v>
      </c>
      <c r="B1880" s="17" t="s">
        <v>5938</v>
      </c>
      <c r="C1880" s="16">
        <v>15.0</v>
      </c>
      <c r="D1880" s="18" t="s">
        <v>4178</v>
      </c>
    </row>
    <row r="1881" ht="15.75" customHeight="1">
      <c r="A1881" s="16">
        <v>2.0</v>
      </c>
      <c r="B1881" s="17" t="s">
        <v>5939</v>
      </c>
      <c r="C1881" s="16">
        <v>20.0</v>
      </c>
      <c r="D1881" s="18" t="s">
        <v>4178</v>
      </c>
    </row>
    <row r="1882" ht="15.75" customHeight="1">
      <c r="A1882" s="16">
        <v>3.0</v>
      </c>
      <c r="B1882" s="17" t="s">
        <v>5940</v>
      </c>
      <c r="C1882" s="16">
        <v>52.0</v>
      </c>
      <c r="D1882" s="18" t="s">
        <v>4178</v>
      </c>
    </row>
    <row r="1883" ht="15.75" customHeight="1">
      <c r="A1883" s="16">
        <v>4.0</v>
      </c>
      <c r="B1883" s="17" t="s">
        <v>5941</v>
      </c>
      <c r="C1883" s="18" t="s">
        <v>5942</v>
      </c>
      <c r="D1883" s="18" t="s">
        <v>4178</v>
      </c>
    </row>
    <row r="1884" ht="15.75" customHeight="1">
      <c r="A1884" s="16">
        <v>5.0</v>
      </c>
      <c r="B1884" s="17" t="s">
        <v>5943</v>
      </c>
      <c r="C1884" s="16">
        <v>44.0</v>
      </c>
      <c r="D1884" s="18" t="s">
        <v>4178</v>
      </c>
    </row>
    <row r="1885" ht="15.75" customHeight="1">
      <c r="A1885" s="16">
        <v>6.0</v>
      </c>
      <c r="B1885" s="17" t="s">
        <v>5944</v>
      </c>
      <c r="C1885" s="16">
        <v>17.0</v>
      </c>
      <c r="D1885" s="18" t="s">
        <v>4178</v>
      </c>
    </row>
    <row r="1886" ht="15.75" customHeight="1">
      <c r="A1886" s="16">
        <v>7.0</v>
      </c>
      <c r="B1886" s="17" t="s">
        <v>5945</v>
      </c>
      <c r="C1886" s="16">
        <v>11.0</v>
      </c>
      <c r="D1886" s="18" t="s">
        <v>4178</v>
      </c>
    </row>
    <row r="1887" ht="15.75" customHeight="1">
      <c r="A1887" s="16">
        <v>8.0</v>
      </c>
      <c r="B1887" s="17" t="s">
        <v>5946</v>
      </c>
      <c r="C1887" s="16">
        <v>43.0</v>
      </c>
      <c r="D1887" s="18" t="s">
        <v>4178</v>
      </c>
    </row>
    <row r="1888" ht="15.75" customHeight="1">
      <c r="A1888" s="16">
        <v>9.0</v>
      </c>
      <c r="B1888" s="17" t="s">
        <v>5947</v>
      </c>
      <c r="C1888" s="16">
        <v>1.0</v>
      </c>
      <c r="D1888" s="18" t="s">
        <v>4178</v>
      </c>
    </row>
    <row r="1889" ht="15.75" customHeight="1">
      <c r="A1889" s="16">
        <v>10.0</v>
      </c>
      <c r="B1889" s="17" t="s">
        <v>5948</v>
      </c>
      <c r="C1889" s="16">
        <v>10.0</v>
      </c>
      <c r="D1889" s="18" t="s">
        <v>4178</v>
      </c>
    </row>
    <row r="1890" ht="15.75" customHeight="1">
      <c r="A1890" s="16">
        <v>11.0</v>
      </c>
      <c r="B1890" s="17" t="s">
        <v>5949</v>
      </c>
      <c r="C1890" s="16">
        <v>27.0</v>
      </c>
      <c r="D1890" s="18" t="s">
        <v>4178</v>
      </c>
    </row>
    <row r="1891" ht="15.75" customHeight="1">
      <c r="A1891" s="16">
        <v>12.0</v>
      </c>
      <c r="B1891" s="17" t="s">
        <v>5950</v>
      </c>
      <c r="C1891" s="16">
        <v>2.0</v>
      </c>
      <c r="D1891" s="18" t="s">
        <v>4178</v>
      </c>
    </row>
    <row r="1892" ht="15.75" customHeight="1">
      <c r="A1892" s="16">
        <v>13.0</v>
      </c>
      <c r="B1892" s="17" t="s">
        <v>5951</v>
      </c>
      <c r="C1892" s="16">
        <v>34.0</v>
      </c>
      <c r="D1892" s="18" t="s">
        <v>4178</v>
      </c>
    </row>
    <row r="1893" ht="15.75" customHeight="1">
      <c r="A1893" s="16">
        <v>14.0</v>
      </c>
      <c r="B1893" s="17" t="s">
        <v>5952</v>
      </c>
      <c r="C1893" s="16">
        <v>19.0</v>
      </c>
      <c r="D1893" s="18" t="s">
        <v>4178</v>
      </c>
    </row>
    <row r="1894" ht="15.75" customHeight="1">
      <c r="A1894" s="16">
        <v>15.0</v>
      </c>
      <c r="B1894" s="17" t="s">
        <v>5953</v>
      </c>
      <c r="C1894" s="16">
        <v>5.0</v>
      </c>
      <c r="D1894" s="18" t="s">
        <v>4178</v>
      </c>
    </row>
    <row r="1895" ht="15.75" customHeight="1">
      <c r="A1895" s="20"/>
      <c r="B1895" s="21" t="s">
        <v>4273</v>
      </c>
      <c r="C1895" s="23">
        <v>263.0</v>
      </c>
      <c r="D1895" s="21" t="s">
        <v>4171</v>
      </c>
    </row>
    <row r="1896" ht="15.75" customHeight="1">
      <c r="A1896" s="11"/>
      <c r="B1896" s="12"/>
      <c r="C1896" s="12"/>
      <c r="D1896" s="13"/>
    </row>
    <row r="1897" ht="15.75" customHeight="1">
      <c r="A1897" s="14" t="s">
        <v>4082</v>
      </c>
      <c r="B1897" s="15"/>
      <c r="C1897" s="15"/>
      <c r="D1897" s="15"/>
    </row>
    <row r="1898" ht="15.75" customHeight="1">
      <c r="A1898" s="16">
        <v>1.0</v>
      </c>
      <c r="B1898" s="17" t="s">
        <v>5954</v>
      </c>
      <c r="C1898" s="16">
        <v>1.0</v>
      </c>
      <c r="D1898" s="18" t="s">
        <v>4183</v>
      </c>
    </row>
    <row r="1899" ht="15.75" customHeight="1">
      <c r="A1899" s="16">
        <v>2.0</v>
      </c>
      <c r="B1899" s="17" t="s">
        <v>5955</v>
      </c>
      <c r="C1899" s="16">
        <v>10.0</v>
      </c>
      <c r="D1899" s="18" t="s">
        <v>4183</v>
      </c>
    </row>
    <row r="1900" ht="15.75" customHeight="1">
      <c r="A1900" s="16">
        <v>3.0</v>
      </c>
      <c r="B1900" s="17" t="s">
        <v>5956</v>
      </c>
      <c r="C1900" s="16">
        <v>35.0</v>
      </c>
      <c r="D1900" s="18" t="s">
        <v>4183</v>
      </c>
    </row>
    <row r="1901" ht="15.75" customHeight="1">
      <c r="A1901" s="16">
        <v>4.0</v>
      </c>
      <c r="B1901" s="17" t="s">
        <v>5957</v>
      </c>
      <c r="C1901" s="16">
        <v>50.0</v>
      </c>
      <c r="D1901" s="18" t="s">
        <v>4183</v>
      </c>
    </row>
    <row r="1902" ht="15.75" customHeight="1">
      <c r="A1902" s="16">
        <v>5.0</v>
      </c>
      <c r="B1902" s="17" t="s">
        <v>5958</v>
      </c>
      <c r="C1902" s="16">
        <v>179.0</v>
      </c>
      <c r="D1902" s="18" t="s">
        <v>4183</v>
      </c>
    </row>
    <row r="1903" ht="15.75" customHeight="1">
      <c r="A1903" s="16">
        <v>6.0</v>
      </c>
      <c r="B1903" s="17" t="s">
        <v>5959</v>
      </c>
      <c r="C1903" s="16">
        <v>57.0</v>
      </c>
      <c r="D1903" s="18" t="s">
        <v>4183</v>
      </c>
    </row>
    <row r="1904" ht="15.75" customHeight="1">
      <c r="A1904" s="16">
        <v>7.0</v>
      </c>
      <c r="B1904" s="17" t="s">
        <v>5960</v>
      </c>
      <c r="C1904" s="16">
        <v>2.0</v>
      </c>
      <c r="D1904" s="18" t="s">
        <v>4178</v>
      </c>
    </row>
    <row r="1905" ht="15.75" customHeight="1">
      <c r="A1905" s="16">
        <v>8.0</v>
      </c>
      <c r="B1905" s="17" t="s">
        <v>5961</v>
      </c>
      <c r="C1905" s="16">
        <v>3.0</v>
      </c>
      <c r="D1905" s="18" t="s">
        <v>4178</v>
      </c>
    </row>
    <row r="1906" ht="15.75" customHeight="1">
      <c r="A1906" s="16">
        <v>9.0</v>
      </c>
      <c r="B1906" s="17" t="s">
        <v>5962</v>
      </c>
      <c r="C1906" s="16">
        <v>20.0</v>
      </c>
      <c r="D1906" s="18" t="s">
        <v>4183</v>
      </c>
    </row>
    <row r="1907" ht="15.75" customHeight="1">
      <c r="A1907" s="16">
        <v>10.0</v>
      </c>
      <c r="B1907" s="17" t="s">
        <v>5963</v>
      </c>
      <c r="C1907" s="16">
        <v>8.0</v>
      </c>
      <c r="D1907" s="18" t="s">
        <v>4183</v>
      </c>
    </row>
    <row r="1908" ht="15.75" customHeight="1">
      <c r="A1908" s="16">
        <v>11.0</v>
      </c>
      <c r="B1908" s="17" t="s">
        <v>5964</v>
      </c>
      <c r="C1908" s="16">
        <v>2.0</v>
      </c>
      <c r="D1908" s="18" t="s">
        <v>4183</v>
      </c>
    </row>
    <row r="1909" ht="15.75" customHeight="1">
      <c r="A1909" s="16">
        <v>12.0</v>
      </c>
      <c r="B1909" s="17" t="s">
        <v>5965</v>
      </c>
      <c r="C1909" s="16">
        <v>15.0</v>
      </c>
      <c r="D1909" s="18" t="s">
        <v>4183</v>
      </c>
    </row>
    <row r="1910" ht="15.75" customHeight="1">
      <c r="A1910" s="16">
        <v>13.0</v>
      </c>
      <c r="B1910" s="17" t="s">
        <v>5966</v>
      </c>
      <c r="C1910" s="16">
        <v>2.0</v>
      </c>
      <c r="D1910" s="18" t="s">
        <v>4183</v>
      </c>
    </row>
    <row r="1911" ht="15.75" customHeight="1">
      <c r="A1911" s="16">
        <v>14.0</v>
      </c>
      <c r="B1911" s="17" t="s">
        <v>5967</v>
      </c>
      <c r="C1911" s="16">
        <v>3.0</v>
      </c>
      <c r="D1911" s="18" t="s">
        <v>4178</v>
      </c>
    </row>
    <row r="1912" ht="15.75" customHeight="1">
      <c r="A1912" s="16">
        <v>15.0</v>
      </c>
      <c r="B1912" s="17" t="s">
        <v>5968</v>
      </c>
      <c r="C1912" s="16">
        <v>3.0</v>
      </c>
      <c r="D1912" s="18" t="s">
        <v>4183</v>
      </c>
    </row>
    <row r="1913" ht="15.75" customHeight="1">
      <c r="A1913" s="16">
        <v>16.0</v>
      </c>
      <c r="B1913" s="17" t="s">
        <v>5969</v>
      </c>
      <c r="C1913" s="16">
        <v>1.0</v>
      </c>
      <c r="D1913" s="18" t="s">
        <v>4183</v>
      </c>
    </row>
    <row r="1914" ht="15.75" customHeight="1">
      <c r="A1914" s="16">
        <v>17.0</v>
      </c>
      <c r="B1914" s="17" t="s">
        <v>5970</v>
      </c>
      <c r="C1914" s="16">
        <v>35.0</v>
      </c>
      <c r="D1914" s="18" t="s">
        <v>4183</v>
      </c>
    </row>
    <row r="1915" ht="15.75" customHeight="1">
      <c r="A1915" s="16">
        <v>18.0</v>
      </c>
      <c r="B1915" s="17" t="s">
        <v>5971</v>
      </c>
      <c r="C1915" s="16">
        <v>400.0</v>
      </c>
      <c r="D1915" s="18" t="s">
        <v>4183</v>
      </c>
    </row>
    <row r="1916" ht="15.75" customHeight="1">
      <c r="A1916" s="16">
        <v>19.0</v>
      </c>
      <c r="B1916" s="17" t="s">
        <v>5972</v>
      </c>
      <c r="C1916" s="16">
        <v>9.0</v>
      </c>
      <c r="D1916" s="18" t="s">
        <v>4183</v>
      </c>
    </row>
    <row r="1917" ht="15.75" customHeight="1">
      <c r="A1917" s="16">
        <v>20.0</v>
      </c>
      <c r="B1917" s="17" t="s">
        <v>5973</v>
      </c>
      <c r="C1917" s="16">
        <v>20.0</v>
      </c>
      <c r="D1917" s="18" t="s">
        <v>4183</v>
      </c>
    </row>
    <row r="1918" ht="15.75" customHeight="1">
      <c r="A1918" s="16">
        <v>21.0</v>
      </c>
      <c r="B1918" s="17" t="s">
        <v>5974</v>
      </c>
      <c r="C1918" s="16">
        <v>41.0</v>
      </c>
      <c r="D1918" s="18" t="s">
        <v>4183</v>
      </c>
    </row>
    <row r="1919" ht="15.75" customHeight="1">
      <c r="A1919" s="16">
        <v>22.0</v>
      </c>
      <c r="B1919" s="17" t="s">
        <v>5975</v>
      </c>
      <c r="C1919" s="16">
        <v>13.0</v>
      </c>
      <c r="D1919" s="18" t="s">
        <v>4183</v>
      </c>
    </row>
    <row r="1920" ht="15.75" customHeight="1">
      <c r="A1920" s="16">
        <v>23.0</v>
      </c>
      <c r="B1920" s="17" t="s">
        <v>5976</v>
      </c>
      <c r="C1920" s="16">
        <v>8.0</v>
      </c>
      <c r="D1920" s="18" t="s">
        <v>4183</v>
      </c>
    </row>
    <row r="1921" ht="15.75" customHeight="1">
      <c r="A1921" s="16">
        <v>24.0</v>
      </c>
      <c r="B1921" s="17" t="s">
        <v>5977</v>
      </c>
      <c r="C1921" s="16">
        <v>15.0</v>
      </c>
      <c r="D1921" s="18" t="s">
        <v>4183</v>
      </c>
    </row>
    <row r="1922" ht="15.75" customHeight="1">
      <c r="A1922" s="16">
        <v>25.0</v>
      </c>
      <c r="B1922" s="17" t="s">
        <v>5978</v>
      </c>
      <c r="C1922" s="16">
        <v>1.0</v>
      </c>
      <c r="D1922" s="18" t="s">
        <v>4178</v>
      </c>
    </row>
    <row r="1923" ht="15.75" customHeight="1">
      <c r="A1923" s="16">
        <v>26.0</v>
      </c>
      <c r="B1923" s="17" t="s">
        <v>5979</v>
      </c>
      <c r="C1923" s="16">
        <v>4.0</v>
      </c>
      <c r="D1923" s="18" t="s">
        <v>4183</v>
      </c>
    </row>
    <row r="1924" ht="15.75" customHeight="1">
      <c r="A1924" s="16">
        <v>27.0</v>
      </c>
      <c r="B1924" s="17" t="s">
        <v>5980</v>
      </c>
      <c r="C1924" s="16">
        <v>1.0</v>
      </c>
      <c r="D1924" s="18" t="s">
        <v>4183</v>
      </c>
    </row>
    <row r="1925" ht="15.75" customHeight="1">
      <c r="A1925" s="16">
        <v>28.0</v>
      </c>
      <c r="B1925" s="17" t="s">
        <v>5981</v>
      </c>
      <c r="C1925" s="16">
        <v>6.0</v>
      </c>
      <c r="D1925" s="18" t="s">
        <v>4183</v>
      </c>
    </row>
    <row r="1926" ht="15.75" customHeight="1">
      <c r="A1926" s="16">
        <v>29.0</v>
      </c>
      <c r="B1926" s="17" t="s">
        <v>5982</v>
      </c>
      <c r="C1926" s="16">
        <v>13.0</v>
      </c>
      <c r="D1926" s="18" t="s">
        <v>4183</v>
      </c>
    </row>
    <row r="1927" ht="15.75" customHeight="1">
      <c r="A1927" s="16">
        <v>30.0</v>
      </c>
      <c r="B1927" s="17" t="s">
        <v>5983</v>
      </c>
      <c r="C1927" s="16">
        <v>11.0</v>
      </c>
      <c r="D1927" s="18" t="s">
        <v>4183</v>
      </c>
    </row>
    <row r="1928" ht="15.75" customHeight="1">
      <c r="A1928" s="16">
        <v>31.0</v>
      </c>
      <c r="B1928" s="17" t="s">
        <v>5984</v>
      </c>
      <c r="C1928" s="16">
        <v>2.0</v>
      </c>
      <c r="D1928" s="18" t="s">
        <v>4183</v>
      </c>
    </row>
    <row r="1929" ht="15.75" customHeight="1">
      <c r="A1929" s="16">
        <v>32.0</v>
      </c>
      <c r="B1929" s="17" t="s">
        <v>5985</v>
      </c>
      <c r="C1929" s="16">
        <v>6.0</v>
      </c>
      <c r="D1929" s="18" t="s">
        <v>4178</v>
      </c>
    </row>
    <row r="1930" ht="15.75" customHeight="1">
      <c r="A1930" s="16">
        <v>33.0</v>
      </c>
      <c r="B1930" s="17" t="s">
        <v>5986</v>
      </c>
      <c r="C1930" s="16">
        <v>23.0</v>
      </c>
      <c r="D1930" s="18" t="s">
        <v>4183</v>
      </c>
    </row>
    <row r="1931" ht="15.75" customHeight="1">
      <c r="A1931" s="16">
        <v>34.0</v>
      </c>
      <c r="B1931" s="17" t="s">
        <v>5987</v>
      </c>
      <c r="C1931" s="16">
        <v>22.0</v>
      </c>
      <c r="D1931" s="18" t="s">
        <v>4183</v>
      </c>
    </row>
    <row r="1932" ht="15.75" customHeight="1">
      <c r="A1932" s="16">
        <v>35.0</v>
      </c>
      <c r="B1932" s="17" t="s">
        <v>5988</v>
      </c>
      <c r="C1932" s="16">
        <v>9.0</v>
      </c>
      <c r="D1932" s="18" t="s">
        <v>4183</v>
      </c>
    </row>
    <row r="1933" ht="15.75" customHeight="1">
      <c r="A1933" s="16">
        <v>36.0</v>
      </c>
      <c r="B1933" s="17" t="s">
        <v>5989</v>
      </c>
      <c r="C1933" s="16">
        <v>2.0</v>
      </c>
      <c r="D1933" s="18" t="s">
        <v>4178</v>
      </c>
    </row>
    <row r="1934" ht="15.75" customHeight="1">
      <c r="A1934" s="16">
        <v>37.0</v>
      </c>
      <c r="B1934" s="17" t="s">
        <v>5990</v>
      </c>
      <c r="C1934" s="16">
        <v>12.0</v>
      </c>
      <c r="D1934" s="18" t="s">
        <v>4183</v>
      </c>
    </row>
    <row r="1935" ht="15.75" customHeight="1">
      <c r="A1935" s="16">
        <v>38.0</v>
      </c>
      <c r="B1935" s="17" t="s">
        <v>5991</v>
      </c>
      <c r="C1935" s="16">
        <v>20.0</v>
      </c>
      <c r="D1935" s="18" t="s">
        <v>4183</v>
      </c>
    </row>
    <row r="1936" ht="15.75" customHeight="1">
      <c r="A1936" s="16">
        <v>39.0</v>
      </c>
      <c r="B1936" s="17" t="s">
        <v>5992</v>
      </c>
      <c r="C1936" s="16">
        <v>4.0</v>
      </c>
      <c r="D1936" s="18" t="s">
        <v>4183</v>
      </c>
    </row>
    <row r="1937" ht="15.75" customHeight="1">
      <c r="A1937" s="16">
        <v>40.0</v>
      </c>
      <c r="B1937" s="17" t="s">
        <v>5993</v>
      </c>
      <c r="C1937" s="16">
        <v>4.0</v>
      </c>
      <c r="D1937" s="18" t="s">
        <v>4178</v>
      </c>
    </row>
    <row r="1938" ht="15.75" customHeight="1">
      <c r="A1938" s="20"/>
      <c r="B1938" s="21" t="s">
        <v>4273</v>
      </c>
      <c r="C1938" s="23">
        <v>1072.0</v>
      </c>
      <c r="D1938" s="21" t="s">
        <v>4171</v>
      </c>
    </row>
    <row r="1939" ht="15.75" customHeight="1">
      <c r="A1939" s="11"/>
      <c r="B1939" s="12"/>
      <c r="C1939" s="12"/>
      <c r="D1939" s="13"/>
    </row>
    <row r="1940" ht="15.75" customHeight="1">
      <c r="A1940" s="14" t="s">
        <v>4102</v>
      </c>
      <c r="B1940" s="15"/>
      <c r="C1940" s="15"/>
      <c r="D1940" s="15"/>
    </row>
    <row r="1941" ht="15.75" customHeight="1">
      <c r="A1941" s="16">
        <v>1.0</v>
      </c>
      <c r="B1941" s="17" t="s">
        <v>5994</v>
      </c>
      <c r="C1941" s="16">
        <v>8.0</v>
      </c>
      <c r="D1941" s="18" t="s">
        <v>4183</v>
      </c>
    </row>
    <row r="1942" ht="15.75" customHeight="1">
      <c r="A1942" s="16">
        <v>2.0</v>
      </c>
      <c r="B1942" s="17" t="s">
        <v>5995</v>
      </c>
      <c r="C1942" s="16">
        <v>13.0</v>
      </c>
      <c r="D1942" s="18" t="s">
        <v>4183</v>
      </c>
    </row>
    <row r="1943" ht="15.75" customHeight="1">
      <c r="A1943" s="16">
        <v>3.0</v>
      </c>
      <c r="B1943" s="17" t="s">
        <v>5996</v>
      </c>
      <c r="C1943" s="16">
        <v>16.0</v>
      </c>
      <c r="D1943" s="18" t="s">
        <v>4183</v>
      </c>
    </row>
    <row r="1944" ht="15.75" customHeight="1">
      <c r="A1944" s="16">
        <v>4.0</v>
      </c>
      <c r="B1944" s="17" t="s">
        <v>5997</v>
      </c>
      <c r="C1944" s="16">
        <v>2.0</v>
      </c>
      <c r="D1944" s="18" t="s">
        <v>4178</v>
      </c>
    </row>
    <row r="1945" ht="15.75" customHeight="1">
      <c r="A1945" s="16">
        <v>5.0</v>
      </c>
      <c r="B1945" s="17" t="s">
        <v>5998</v>
      </c>
      <c r="C1945" s="16">
        <v>13.0</v>
      </c>
      <c r="D1945" s="18" t="s">
        <v>4183</v>
      </c>
    </row>
    <row r="1946" ht="15.75" customHeight="1">
      <c r="A1946" s="16">
        <v>6.0</v>
      </c>
      <c r="B1946" s="17" t="s">
        <v>5999</v>
      </c>
      <c r="C1946" s="16">
        <v>4.0</v>
      </c>
      <c r="D1946" s="18" t="s">
        <v>4178</v>
      </c>
    </row>
    <row r="1947" ht="15.75" customHeight="1">
      <c r="A1947" s="16">
        <v>7.0</v>
      </c>
      <c r="B1947" s="17" t="s">
        <v>6000</v>
      </c>
      <c r="C1947" s="16">
        <v>28.0</v>
      </c>
      <c r="D1947" s="18" t="s">
        <v>4183</v>
      </c>
    </row>
    <row r="1948" ht="15.75" customHeight="1">
      <c r="A1948" s="16">
        <v>8.0</v>
      </c>
      <c r="B1948" s="17" t="s">
        <v>6001</v>
      </c>
      <c r="C1948" s="16">
        <v>27.0</v>
      </c>
      <c r="D1948" s="18" t="s">
        <v>4183</v>
      </c>
    </row>
    <row r="1949" ht="15.75" customHeight="1">
      <c r="A1949" s="16">
        <v>9.0</v>
      </c>
      <c r="B1949" s="17" t="s">
        <v>6002</v>
      </c>
      <c r="C1949" s="16">
        <v>2.0</v>
      </c>
      <c r="D1949" s="18" t="s">
        <v>4183</v>
      </c>
    </row>
    <row r="1950" ht="15.75" customHeight="1">
      <c r="A1950" s="16">
        <v>10.0</v>
      </c>
      <c r="B1950" s="17" t="s">
        <v>6003</v>
      </c>
      <c r="C1950" s="16">
        <v>33.0</v>
      </c>
      <c r="D1950" s="18" t="s">
        <v>4183</v>
      </c>
    </row>
    <row r="1951" ht="15.75" customHeight="1">
      <c r="A1951" s="16">
        <v>11.0</v>
      </c>
      <c r="B1951" s="17" t="s">
        <v>6004</v>
      </c>
      <c r="C1951" s="16">
        <v>37.0</v>
      </c>
      <c r="D1951" s="18" t="s">
        <v>4183</v>
      </c>
    </row>
    <row r="1952" ht="15.75" customHeight="1">
      <c r="A1952" s="16">
        <v>12.0</v>
      </c>
      <c r="B1952" s="17" t="s">
        <v>6005</v>
      </c>
      <c r="C1952" s="16">
        <v>6.0</v>
      </c>
      <c r="D1952" s="18" t="s">
        <v>4183</v>
      </c>
    </row>
    <row r="1953" ht="15.75" customHeight="1">
      <c r="A1953" s="16">
        <v>13.0</v>
      </c>
      <c r="B1953" s="17" t="s">
        <v>6006</v>
      </c>
      <c r="C1953" s="16">
        <v>65.0</v>
      </c>
      <c r="D1953" s="18" t="s">
        <v>4183</v>
      </c>
    </row>
    <row r="1954" ht="15.75" customHeight="1">
      <c r="A1954" s="16">
        <v>14.0</v>
      </c>
      <c r="B1954" s="17" t="s">
        <v>6007</v>
      </c>
      <c r="C1954" s="16">
        <v>9.0</v>
      </c>
      <c r="D1954" s="18" t="s">
        <v>4183</v>
      </c>
    </row>
    <row r="1955" ht="15.75" customHeight="1">
      <c r="A1955" s="16">
        <v>15.0</v>
      </c>
      <c r="B1955" s="17" t="s">
        <v>6008</v>
      </c>
      <c r="C1955" s="16">
        <v>13.0</v>
      </c>
      <c r="D1955" s="18" t="s">
        <v>4183</v>
      </c>
    </row>
    <row r="1956" ht="15.75" customHeight="1">
      <c r="A1956" s="16">
        <v>16.0</v>
      </c>
      <c r="B1956" s="17" t="s">
        <v>6009</v>
      </c>
      <c r="C1956" s="16">
        <v>13.0</v>
      </c>
      <c r="D1956" s="18" t="s">
        <v>4183</v>
      </c>
    </row>
    <row r="1957" ht="15.75" customHeight="1">
      <c r="A1957" s="16">
        <v>17.0</v>
      </c>
      <c r="B1957" s="17" t="s">
        <v>6010</v>
      </c>
      <c r="C1957" s="16">
        <v>10.0</v>
      </c>
      <c r="D1957" s="18" t="s">
        <v>4178</v>
      </c>
    </row>
    <row r="1958" ht="15.75" customHeight="1">
      <c r="A1958" s="16">
        <v>18.0</v>
      </c>
      <c r="B1958" s="17" t="s">
        <v>6011</v>
      </c>
      <c r="C1958" s="16">
        <v>20.0</v>
      </c>
      <c r="D1958" s="18" t="s">
        <v>4183</v>
      </c>
    </row>
    <row r="1959" ht="15.75" customHeight="1">
      <c r="A1959" s="16">
        <v>19.0</v>
      </c>
      <c r="B1959" s="17" t="s">
        <v>6012</v>
      </c>
      <c r="C1959" s="16">
        <v>25.0</v>
      </c>
      <c r="D1959" s="18" t="s">
        <v>4183</v>
      </c>
    </row>
    <row r="1960" ht="15.75" customHeight="1">
      <c r="A1960" s="16">
        <v>20.0</v>
      </c>
      <c r="B1960" s="17" t="s">
        <v>6013</v>
      </c>
      <c r="C1960" s="16">
        <v>15.0</v>
      </c>
      <c r="D1960" s="18" t="s">
        <v>4183</v>
      </c>
    </row>
    <row r="1961" ht="15.75" customHeight="1">
      <c r="A1961" s="16">
        <v>21.0</v>
      </c>
      <c r="B1961" s="17" t="s">
        <v>6014</v>
      </c>
      <c r="C1961" s="16">
        <v>15.0</v>
      </c>
      <c r="D1961" s="18" t="s">
        <v>4178</v>
      </c>
    </row>
    <row r="1962" ht="15.75" customHeight="1">
      <c r="A1962" s="20"/>
      <c r="B1962" s="21" t="s">
        <v>4273</v>
      </c>
      <c r="C1962" s="23">
        <v>374.0</v>
      </c>
      <c r="D1962" s="21" t="s">
        <v>4171</v>
      </c>
    </row>
    <row r="1963" ht="15.75" customHeight="1">
      <c r="A1963" s="11"/>
      <c r="B1963" s="12"/>
      <c r="C1963" s="12"/>
      <c r="D1963" s="13"/>
    </row>
    <row r="1964" ht="15.75" customHeight="1">
      <c r="A1964" s="14" t="s">
        <v>4130</v>
      </c>
      <c r="B1964" s="15"/>
      <c r="C1964" s="15"/>
      <c r="D1964" s="15"/>
    </row>
    <row r="1965" ht="15.75" customHeight="1">
      <c r="A1965" s="16">
        <v>1.0</v>
      </c>
      <c r="B1965" s="17" t="s">
        <v>6015</v>
      </c>
      <c r="C1965" s="16">
        <v>13.0</v>
      </c>
      <c r="D1965" s="18" t="s">
        <v>4183</v>
      </c>
    </row>
    <row r="1966" ht="15.75" customHeight="1">
      <c r="A1966" s="16">
        <v>2.0</v>
      </c>
      <c r="B1966" s="17" t="s">
        <v>6016</v>
      </c>
      <c r="C1966" s="16">
        <v>16.0</v>
      </c>
      <c r="D1966" s="18" t="s">
        <v>4473</v>
      </c>
    </row>
    <row r="1967" ht="15.75" customHeight="1">
      <c r="A1967" s="16">
        <v>3.0</v>
      </c>
      <c r="B1967" s="17" t="s">
        <v>6017</v>
      </c>
      <c r="C1967" s="18" t="s">
        <v>6018</v>
      </c>
      <c r="D1967" s="18" t="s">
        <v>4183</v>
      </c>
    </row>
    <row r="1968" ht="15.75" customHeight="1">
      <c r="A1968" s="16">
        <v>4.0</v>
      </c>
      <c r="B1968" s="17" t="s">
        <v>6019</v>
      </c>
      <c r="C1968" s="16">
        <v>29.0</v>
      </c>
      <c r="D1968" s="18" t="s">
        <v>4183</v>
      </c>
    </row>
    <row r="1969" ht="15.75" customHeight="1">
      <c r="A1969" s="16">
        <v>5.0</v>
      </c>
      <c r="B1969" s="17" t="s">
        <v>6020</v>
      </c>
      <c r="C1969" s="16">
        <v>36.0</v>
      </c>
      <c r="D1969" s="18" t="s">
        <v>4183</v>
      </c>
    </row>
    <row r="1970" ht="15.75" customHeight="1">
      <c r="A1970" s="16">
        <v>6.0</v>
      </c>
      <c r="B1970" s="17" t="s">
        <v>6021</v>
      </c>
      <c r="C1970" s="16">
        <v>27.0</v>
      </c>
      <c r="D1970" s="18" t="s">
        <v>4473</v>
      </c>
    </row>
    <row r="1971" ht="15.75" customHeight="1">
      <c r="A1971" s="16">
        <v>7.0</v>
      </c>
      <c r="B1971" s="17" t="s">
        <v>6022</v>
      </c>
      <c r="C1971" s="16">
        <v>95.0</v>
      </c>
      <c r="D1971" s="18" t="s">
        <v>4183</v>
      </c>
    </row>
    <row r="1972" ht="15.75" customHeight="1">
      <c r="A1972" s="16">
        <v>8.0</v>
      </c>
      <c r="B1972" s="17" t="s">
        <v>6023</v>
      </c>
      <c r="C1972" s="16">
        <v>6.0</v>
      </c>
      <c r="D1972" s="18" t="s">
        <v>4183</v>
      </c>
    </row>
    <row r="1973" ht="15.75" customHeight="1">
      <c r="A1973" s="16">
        <v>9.0</v>
      </c>
      <c r="B1973" s="17" t="s">
        <v>6024</v>
      </c>
      <c r="C1973" s="16">
        <v>9.0</v>
      </c>
      <c r="D1973" s="18" t="s">
        <v>4183</v>
      </c>
    </row>
    <row r="1974" ht="15.75" customHeight="1">
      <c r="A1974" s="16">
        <v>10.0</v>
      </c>
      <c r="B1974" s="17" t="s">
        <v>6025</v>
      </c>
      <c r="C1974" s="16">
        <v>28.0</v>
      </c>
      <c r="D1974" s="18" t="s">
        <v>4183</v>
      </c>
    </row>
    <row r="1975" ht="15.75" customHeight="1">
      <c r="A1975" s="16">
        <v>11.0</v>
      </c>
      <c r="B1975" s="17" t="s">
        <v>6026</v>
      </c>
      <c r="C1975" s="16">
        <v>12.0</v>
      </c>
      <c r="D1975" s="18" t="s">
        <v>4183</v>
      </c>
    </row>
    <row r="1976" ht="15.75" customHeight="1">
      <c r="A1976" s="20"/>
      <c r="B1976" s="21" t="s">
        <v>4273</v>
      </c>
      <c r="C1976" s="23">
        <v>263.0</v>
      </c>
      <c r="D1976" s="21" t="s">
        <v>4171</v>
      </c>
    </row>
    <row r="1977" ht="15.75" customHeight="1">
      <c r="A1977" s="11"/>
      <c r="B1977" s="12"/>
      <c r="C1977" s="12"/>
      <c r="D1977" s="13"/>
    </row>
    <row r="1978" ht="15.75" customHeight="1">
      <c r="A1978" s="14" t="s">
        <v>4096</v>
      </c>
      <c r="B1978" s="15"/>
      <c r="C1978" s="15"/>
      <c r="D1978" s="15"/>
    </row>
    <row r="1979" ht="15.75" customHeight="1">
      <c r="A1979" s="16">
        <v>1.0</v>
      </c>
      <c r="B1979" s="17" t="s">
        <v>6027</v>
      </c>
      <c r="C1979" s="16">
        <v>9.0</v>
      </c>
      <c r="D1979" s="18" t="s">
        <v>4178</v>
      </c>
    </row>
    <row r="1980" ht="15.75" customHeight="1">
      <c r="A1980" s="16">
        <v>2.0</v>
      </c>
      <c r="B1980" s="17" t="s">
        <v>6028</v>
      </c>
      <c r="C1980" s="16">
        <v>1.0</v>
      </c>
      <c r="D1980" s="18" t="s">
        <v>4178</v>
      </c>
    </row>
    <row r="1981" ht="15.75" customHeight="1">
      <c r="A1981" s="16">
        <v>3.0</v>
      </c>
      <c r="B1981" s="17" t="s">
        <v>6029</v>
      </c>
      <c r="C1981" s="16">
        <v>9.0</v>
      </c>
      <c r="D1981" s="18" t="s">
        <v>4178</v>
      </c>
    </row>
    <row r="1982" ht="15.75" customHeight="1">
      <c r="A1982" s="16">
        <v>4.0</v>
      </c>
      <c r="B1982" s="17" t="s">
        <v>6030</v>
      </c>
      <c r="C1982" s="16">
        <v>11.0</v>
      </c>
      <c r="D1982" s="18" t="s">
        <v>4178</v>
      </c>
    </row>
    <row r="1983" ht="15.75" customHeight="1">
      <c r="A1983" s="16">
        <v>5.0</v>
      </c>
      <c r="B1983" s="17" t="s">
        <v>6031</v>
      </c>
      <c r="C1983" s="16">
        <v>7.0</v>
      </c>
      <c r="D1983" s="18" t="s">
        <v>4178</v>
      </c>
    </row>
    <row r="1984" ht="15.75" customHeight="1">
      <c r="A1984" s="16">
        <v>6.0</v>
      </c>
      <c r="B1984" s="17" t="s">
        <v>6032</v>
      </c>
      <c r="C1984" s="16">
        <v>6.0</v>
      </c>
      <c r="D1984" s="18" t="s">
        <v>4178</v>
      </c>
    </row>
    <row r="1985" ht="15.75" customHeight="1">
      <c r="A1985" s="16">
        <v>7.0</v>
      </c>
      <c r="B1985" s="17" t="s">
        <v>6033</v>
      </c>
      <c r="C1985" s="16">
        <v>1.0</v>
      </c>
      <c r="D1985" s="18" t="s">
        <v>4178</v>
      </c>
    </row>
    <row r="1986" ht="15.75" customHeight="1">
      <c r="A1986" s="16">
        <v>8.0</v>
      </c>
      <c r="B1986" s="17" t="s">
        <v>6034</v>
      </c>
      <c r="C1986" s="16">
        <v>8.0</v>
      </c>
      <c r="D1986" s="18" t="s">
        <v>4178</v>
      </c>
    </row>
    <row r="1987" ht="15.75" customHeight="1">
      <c r="A1987" s="16">
        <v>9.0</v>
      </c>
      <c r="B1987" s="17" t="s">
        <v>6035</v>
      </c>
      <c r="C1987" s="16">
        <v>17.0</v>
      </c>
      <c r="D1987" s="18" t="s">
        <v>4178</v>
      </c>
    </row>
    <row r="1988" ht="15.75" customHeight="1">
      <c r="A1988" s="16">
        <v>10.0</v>
      </c>
      <c r="B1988" s="17" t="s">
        <v>6036</v>
      </c>
      <c r="C1988" s="16">
        <v>4.0</v>
      </c>
      <c r="D1988" s="18" t="s">
        <v>4178</v>
      </c>
    </row>
    <row r="1989" ht="15.75" customHeight="1">
      <c r="A1989" s="16">
        <v>11.0</v>
      </c>
      <c r="B1989" s="17" t="s">
        <v>6037</v>
      </c>
      <c r="C1989" s="16">
        <v>2.0</v>
      </c>
      <c r="D1989" s="18" t="s">
        <v>4178</v>
      </c>
    </row>
    <row r="1990" ht="15.75" customHeight="1">
      <c r="A1990" s="16">
        <v>12.0</v>
      </c>
      <c r="B1990" s="17" t="s">
        <v>6038</v>
      </c>
      <c r="C1990" s="16">
        <v>3.0</v>
      </c>
      <c r="D1990" s="18" t="s">
        <v>4178</v>
      </c>
    </row>
    <row r="1991" ht="15.75" customHeight="1">
      <c r="A1991" s="16">
        <v>13.0</v>
      </c>
      <c r="B1991" s="17" t="s">
        <v>6039</v>
      </c>
      <c r="C1991" s="16">
        <v>2.0</v>
      </c>
      <c r="D1991" s="18" t="s">
        <v>4178</v>
      </c>
    </row>
    <row r="1992" ht="15.75" customHeight="1">
      <c r="A1992" s="16">
        <v>14.0</v>
      </c>
      <c r="B1992" s="17" t="s">
        <v>6040</v>
      </c>
      <c r="C1992" s="16">
        <v>9.0</v>
      </c>
      <c r="D1992" s="18" t="s">
        <v>4178</v>
      </c>
    </row>
    <row r="1993" ht="15.75" customHeight="1">
      <c r="A1993" s="16">
        <v>15.0</v>
      </c>
      <c r="B1993" s="17" t="s">
        <v>6041</v>
      </c>
      <c r="C1993" s="18" t="s">
        <v>5295</v>
      </c>
      <c r="D1993" s="18" t="s">
        <v>4178</v>
      </c>
    </row>
    <row r="1994" ht="15.75" customHeight="1">
      <c r="A1994" s="16">
        <v>16.0</v>
      </c>
      <c r="B1994" s="17" t="s">
        <v>6042</v>
      </c>
      <c r="C1994" s="16">
        <v>4.0</v>
      </c>
      <c r="D1994" s="18" t="s">
        <v>4178</v>
      </c>
    </row>
    <row r="1995" ht="15.75" customHeight="1">
      <c r="A1995" s="16">
        <v>17.0</v>
      </c>
      <c r="B1995" s="17" t="s">
        <v>6043</v>
      </c>
      <c r="C1995" s="16">
        <v>5.0</v>
      </c>
      <c r="D1995" s="18" t="s">
        <v>4178</v>
      </c>
    </row>
    <row r="1996" ht="15.75" customHeight="1">
      <c r="A1996" s="16">
        <v>18.0</v>
      </c>
      <c r="B1996" s="17" t="s">
        <v>6044</v>
      </c>
      <c r="C1996" s="16">
        <v>9.0</v>
      </c>
      <c r="D1996" s="18" t="s">
        <v>4178</v>
      </c>
    </row>
    <row r="1997" ht="15.75" customHeight="1">
      <c r="A1997" s="16">
        <v>19.0</v>
      </c>
      <c r="B1997" s="17" t="s">
        <v>6045</v>
      </c>
      <c r="C1997" s="16">
        <v>5.0</v>
      </c>
      <c r="D1997" s="18" t="s">
        <v>4178</v>
      </c>
    </row>
    <row r="1998" ht="15.75" customHeight="1">
      <c r="A1998" s="16">
        <v>20.0</v>
      </c>
      <c r="B1998" s="17" t="s">
        <v>6046</v>
      </c>
      <c r="C1998" s="16">
        <v>9.0</v>
      </c>
      <c r="D1998" s="18" t="s">
        <v>4178</v>
      </c>
    </row>
    <row r="1999" ht="15.75" customHeight="1">
      <c r="A1999" s="16">
        <v>21.0</v>
      </c>
      <c r="B1999" s="17" t="s">
        <v>6047</v>
      </c>
      <c r="C1999" s="16">
        <v>5.0</v>
      </c>
      <c r="D1999" s="18" t="s">
        <v>4178</v>
      </c>
    </row>
    <row r="2000" ht="15.75" customHeight="1">
      <c r="A2000" s="16">
        <v>22.0</v>
      </c>
      <c r="B2000" s="17" t="s">
        <v>6048</v>
      </c>
      <c r="C2000" s="16">
        <v>10.0</v>
      </c>
      <c r="D2000" s="18" t="s">
        <v>4178</v>
      </c>
    </row>
    <row r="2001" ht="15.75" customHeight="1">
      <c r="A2001" s="16">
        <v>23.0</v>
      </c>
      <c r="B2001" s="17" t="s">
        <v>6049</v>
      </c>
      <c r="C2001" s="16">
        <v>10.0</v>
      </c>
      <c r="D2001" s="18" t="s">
        <v>4178</v>
      </c>
    </row>
    <row r="2002" ht="15.75" customHeight="1">
      <c r="A2002" s="20"/>
      <c r="B2002" s="21" t="s">
        <v>4273</v>
      </c>
      <c r="C2002" s="23">
        <v>137.0</v>
      </c>
      <c r="D2002" s="21" t="s">
        <v>4171</v>
      </c>
    </row>
    <row r="2003" ht="15.75" customHeight="1">
      <c r="A2003" s="11"/>
      <c r="B2003" s="12"/>
      <c r="C2003" s="12"/>
      <c r="D2003" s="13"/>
    </row>
    <row r="2004" ht="15.75" customHeight="1">
      <c r="A2004" s="14" t="s">
        <v>4061</v>
      </c>
      <c r="B2004" s="15"/>
      <c r="C2004" s="15"/>
      <c r="D2004" s="15"/>
    </row>
    <row r="2005" ht="15.75" customHeight="1">
      <c r="A2005" s="16">
        <v>1.0</v>
      </c>
      <c r="B2005" s="17" t="s">
        <v>6050</v>
      </c>
      <c r="C2005" s="16">
        <v>1.0</v>
      </c>
      <c r="D2005" s="18" t="s">
        <v>4183</v>
      </c>
    </row>
    <row r="2006" ht="15.75" customHeight="1">
      <c r="A2006" s="16">
        <v>2.0</v>
      </c>
      <c r="B2006" s="17" t="s">
        <v>6051</v>
      </c>
      <c r="C2006" s="16">
        <v>12.0</v>
      </c>
      <c r="D2006" s="18" t="s">
        <v>4183</v>
      </c>
    </row>
    <row r="2007" ht="15.75" customHeight="1">
      <c r="A2007" s="16">
        <v>3.0</v>
      </c>
      <c r="B2007" s="17" t="s">
        <v>6052</v>
      </c>
      <c r="C2007" s="16">
        <v>10.0</v>
      </c>
      <c r="D2007" s="18" t="s">
        <v>4215</v>
      </c>
    </row>
    <row r="2008" ht="15.75" customHeight="1">
      <c r="A2008" s="16">
        <v>4.0</v>
      </c>
      <c r="B2008" s="17" t="s">
        <v>6053</v>
      </c>
      <c r="C2008" s="16">
        <v>10.0</v>
      </c>
      <c r="D2008" s="18" t="s">
        <v>4183</v>
      </c>
    </row>
    <row r="2009" ht="15.75" customHeight="1">
      <c r="A2009" s="16">
        <v>5.0</v>
      </c>
      <c r="B2009" s="17" t="s">
        <v>6054</v>
      </c>
      <c r="C2009" s="16">
        <v>4.0</v>
      </c>
      <c r="D2009" s="18" t="s">
        <v>4183</v>
      </c>
    </row>
    <row r="2010" ht="15.75" customHeight="1">
      <c r="A2010" s="16">
        <v>6.0</v>
      </c>
      <c r="B2010" s="17" t="s">
        <v>6055</v>
      </c>
      <c r="C2010" s="16">
        <v>15.0</v>
      </c>
      <c r="D2010" s="18" t="s">
        <v>4183</v>
      </c>
    </row>
    <row r="2011" ht="15.75" customHeight="1">
      <c r="A2011" s="16">
        <v>7.0</v>
      </c>
      <c r="B2011" s="17" t="s">
        <v>6056</v>
      </c>
      <c r="C2011" s="16">
        <v>4.0</v>
      </c>
      <c r="D2011" s="18" t="s">
        <v>4183</v>
      </c>
    </row>
    <row r="2012" ht="15.75" customHeight="1">
      <c r="A2012" s="16">
        <v>8.0</v>
      </c>
      <c r="B2012" s="17" t="s">
        <v>6057</v>
      </c>
      <c r="C2012" s="16">
        <v>7.0</v>
      </c>
      <c r="D2012" s="18" t="s">
        <v>4183</v>
      </c>
    </row>
    <row r="2013" ht="15.75" customHeight="1">
      <c r="A2013" s="16">
        <v>9.0</v>
      </c>
      <c r="B2013" s="17" t="s">
        <v>6058</v>
      </c>
      <c r="C2013" s="16">
        <v>11.0</v>
      </c>
      <c r="D2013" s="18" t="s">
        <v>4178</v>
      </c>
    </row>
    <row r="2014" ht="15.75" customHeight="1">
      <c r="A2014" s="16">
        <v>10.0</v>
      </c>
      <c r="B2014" s="17" t="s">
        <v>6059</v>
      </c>
      <c r="C2014" s="16">
        <v>21.0</v>
      </c>
      <c r="D2014" s="18" t="s">
        <v>4178</v>
      </c>
    </row>
    <row r="2015" ht="15.75" customHeight="1">
      <c r="A2015" s="16">
        <v>11.0</v>
      </c>
      <c r="B2015" s="17" t="s">
        <v>6060</v>
      </c>
      <c r="C2015" s="16">
        <v>11.0</v>
      </c>
      <c r="D2015" s="18" t="s">
        <v>4183</v>
      </c>
    </row>
    <row r="2016" ht="15.75" customHeight="1">
      <c r="A2016" s="16">
        <v>12.0</v>
      </c>
      <c r="B2016" s="17" t="s">
        <v>6061</v>
      </c>
      <c r="C2016" s="16">
        <v>10.0</v>
      </c>
      <c r="D2016" s="18" t="s">
        <v>4183</v>
      </c>
    </row>
    <row r="2017" ht="15.75" customHeight="1">
      <c r="A2017" s="16">
        <v>13.0</v>
      </c>
      <c r="B2017" s="17" t="s">
        <v>6062</v>
      </c>
      <c r="C2017" s="16">
        <v>2.0</v>
      </c>
      <c r="D2017" s="18" t="s">
        <v>4178</v>
      </c>
    </row>
    <row r="2018" ht="15.75" customHeight="1">
      <c r="A2018" s="16">
        <v>14.0</v>
      </c>
      <c r="B2018" s="17" t="s">
        <v>6063</v>
      </c>
      <c r="C2018" s="16">
        <v>1.0</v>
      </c>
      <c r="D2018" s="18" t="s">
        <v>4183</v>
      </c>
    </row>
    <row r="2019" ht="15.75" customHeight="1">
      <c r="A2019" s="16">
        <v>15.0</v>
      </c>
      <c r="B2019" s="17" t="s">
        <v>6064</v>
      </c>
      <c r="C2019" s="16">
        <v>8.0</v>
      </c>
      <c r="D2019" s="18" t="s">
        <v>4183</v>
      </c>
    </row>
    <row r="2020" ht="15.75" customHeight="1">
      <c r="A2020" s="16">
        <v>16.0</v>
      </c>
      <c r="B2020" s="17" t="s">
        <v>6065</v>
      </c>
      <c r="C2020" s="16">
        <v>6.0</v>
      </c>
      <c r="D2020" s="18" t="s">
        <v>4183</v>
      </c>
    </row>
    <row r="2021" ht="15.75" customHeight="1">
      <c r="A2021" s="16">
        <v>17.0</v>
      </c>
      <c r="B2021" s="17" t="s">
        <v>6066</v>
      </c>
      <c r="C2021" s="16">
        <v>10.0</v>
      </c>
      <c r="D2021" s="18" t="s">
        <v>4183</v>
      </c>
    </row>
    <row r="2022" ht="15.75" customHeight="1">
      <c r="A2022" s="16">
        <v>18.0</v>
      </c>
      <c r="B2022" s="17" t="s">
        <v>6067</v>
      </c>
      <c r="C2022" s="16">
        <v>11.0</v>
      </c>
      <c r="D2022" s="18" t="s">
        <v>4183</v>
      </c>
    </row>
    <row r="2023" ht="15.75" customHeight="1">
      <c r="A2023" s="16">
        <v>19.0</v>
      </c>
      <c r="B2023" s="17" t="s">
        <v>6068</v>
      </c>
      <c r="C2023" s="16">
        <v>6.0</v>
      </c>
      <c r="D2023" s="18" t="s">
        <v>4183</v>
      </c>
    </row>
    <row r="2024" ht="15.75" customHeight="1">
      <c r="A2024" s="16">
        <v>20.0</v>
      </c>
      <c r="B2024" s="17" t="s">
        <v>6069</v>
      </c>
      <c r="C2024" s="16">
        <v>11.0</v>
      </c>
      <c r="D2024" s="18" t="s">
        <v>4183</v>
      </c>
    </row>
    <row r="2025" ht="15.75" customHeight="1">
      <c r="A2025" s="16">
        <v>21.0</v>
      </c>
      <c r="B2025" s="17" t="s">
        <v>6070</v>
      </c>
      <c r="C2025" s="16">
        <v>16.0</v>
      </c>
      <c r="D2025" s="18" t="s">
        <v>4183</v>
      </c>
    </row>
    <row r="2026" ht="15.75" customHeight="1">
      <c r="A2026" s="16">
        <v>22.0</v>
      </c>
      <c r="B2026" s="17" t="s">
        <v>6071</v>
      </c>
      <c r="C2026" s="16">
        <v>6.0</v>
      </c>
      <c r="D2026" s="18" t="s">
        <v>4183</v>
      </c>
    </row>
    <row r="2027" ht="15.75" customHeight="1">
      <c r="A2027" s="16">
        <v>23.0</v>
      </c>
      <c r="B2027" s="17" t="s">
        <v>6072</v>
      </c>
      <c r="C2027" s="16">
        <v>7.0</v>
      </c>
      <c r="D2027" s="18" t="s">
        <v>4183</v>
      </c>
    </row>
    <row r="2028" ht="15.75" customHeight="1">
      <c r="A2028" s="16">
        <v>24.0</v>
      </c>
      <c r="B2028" s="17" t="s">
        <v>6073</v>
      </c>
      <c r="C2028" s="16">
        <v>12.0</v>
      </c>
      <c r="D2028" s="18" t="s">
        <v>4178</v>
      </c>
    </row>
    <row r="2029" ht="15.75" customHeight="1">
      <c r="A2029" s="16">
        <v>25.0</v>
      </c>
      <c r="B2029" s="17" t="s">
        <v>6074</v>
      </c>
      <c r="C2029" s="16">
        <v>4.0</v>
      </c>
      <c r="D2029" s="18" t="s">
        <v>4178</v>
      </c>
    </row>
    <row r="2030" ht="15.75" customHeight="1">
      <c r="A2030" s="16">
        <v>26.0</v>
      </c>
      <c r="B2030" s="17" t="s">
        <v>6075</v>
      </c>
      <c r="C2030" s="16">
        <v>24.0</v>
      </c>
      <c r="D2030" s="18" t="s">
        <v>4183</v>
      </c>
    </row>
    <row r="2031" ht="15.75" customHeight="1">
      <c r="A2031" s="16">
        <v>27.0</v>
      </c>
      <c r="B2031" s="17" t="s">
        <v>6076</v>
      </c>
      <c r="C2031" s="16">
        <v>6.0</v>
      </c>
      <c r="D2031" s="18" t="s">
        <v>4183</v>
      </c>
    </row>
    <row r="2032" ht="15.75" customHeight="1">
      <c r="A2032" s="16">
        <v>28.0</v>
      </c>
      <c r="B2032" s="17" t="s">
        <v>6077</v>
      </c>
      <c r="C2032" s="16">
        <v>1.0</v>
      </c>
      <c r="D2032" s="18" t="s">
        <v>4183</v>
      </c>
    </row>
    <row r="2033" ht="15.75" customHeight="1">
      <c r="A2033" s="16">
        <v>29.0</v>
      </c>
      <c r="B2033" s="17" t="s">
        <v>6078</v>
      </c>
      <c r="C2033" s="16">
        <v>2.0</v>
      </c>
      <c r="D2033" s="18" t="s">
        <v>4183</v>
      </c>
    </row>
    <row r="2034" ht="15.75" customHeight="1">
      <c r="A2034" s="16">
        <v>30.0</v>
      </c>
      <c r="B2034" s="17" t="s">
        <v>6079</v>
      </c>
      <c r="C2034" s="16">
        <v>5.0</v>
      </c>
      <c r="D2034" s="18" t="s">
        <v>4183</v>
      </c>
    </row>
    <row r="2035" ht="15.75" customHeight="1">
      <c r="A2035" s="16">
        <v>31.0</v>
      </c>
      <c r="B2035" s="17" t="s">
        <v>6080</v>
      </c>
      <c r="C2035" s="16">
        <v>4.0</v>
      </c>
      <c r="D2035" s="18" t="s">
        <v>4178</v>
      </c>
    </row>
    <row r="2036" ht="15.75" customHeight="1">
      <c r="A2036" s="16">
        <v>32.0</v>
      </c>
      <c r="B2036" s="17" t="s">
        <v>6081</v>
      </c>
      <c r="C2036" s="16">
        <v>5.0</v>
      </c>
      <c r="D2036" s="18" t="s">
        <v>4178</v>
      </c>
    </row>
    <row r="2037" ht="15.75" customHeight="1">
      <c r="A2037" s="16">
        <v>33.0</v>
      </c>
      <c r="B2037" s="17" t="s">
        <v>6082</v>
      </c>
      <c r="C2037" s="16">
        <v>4.0</v>
      </c>
      <c r="D2037" s="18" t="s">
        <v>4183</v>
      </c>
    </row>
    <row r="2038" ht="15.75" customHeight="1">
      <c r="A2038" s="16">
        <v>34.0</v>
      </c>
      <c r="B2038" s="17" t="s">
        <v>6083</v>
      </c>
      <c r="C2038" s="16">
        <v>13.0</v>
      </c>
      <c r="D2038" s="18" t="s">
        <v>4183</v>
      </c>
    </row>
    <row r="2039" ht="15.75" customHeight="1">
      <c r="A2039" s="16">
        <v>35.0</v>
      </c>
      <c r="B2039" s="17" t="s">
        <v>6084</v>
      </c>
      <c r="C2039" s="16">
        <v>12.0</v>
      </c>
      <c r="D2039" s="18" t="s">
        <v>4183</v>
      </c>
    </row>
    <row r="2040" ht="15.75" customHeight="1">
      <c r="A2040" s="16">
        <v>36.0</v>
      </c>
      <c r="B2040" s="17" t="s">
        <v>6085</v>
      </c>
      <c r="C2040" s="16">
        <v>2.0</v>
      </c>
      <c r="D2040" s="18" t="s">
        <v>4183</v>
      </c>
    </row>
    <row r="2041" ht="15.75" customHeight="1">
      <c r="A2041" s="16">
        <v>37.0</v>
      </c>
      <c r="B2041" s="17" t="s">
        <v>6086</v>
      </c>
      <c r="C2041" s="16">
        <v>3.0</v>
      </c>
      <c r="D2041" s="18" t="s">
        <v>4183</v>
      </c>
    </row>
    <row r="2042" ht="15.75" customHeight="1">
      <c r="A2042" s="16">
        <v>38.0</v>
      </c>
      <c r="B2042" s="17" t="s">
        <v>6087</v>
      </c>
      <c r="C2042" s="16">
        <v>2.0</v>
      </c>
      <c r="D2042" s="18" t="s">
        <v>4183</v>
      </c>
    </row>
    <row r="2043" ht="15.75" customHeight="1">
      <c r="A2043" s="16">
        <v>39.0</v>
      </c>
      <c r="B2043" s="17" t="s">
        <v>6088</v>
      </c>
      <c r="C2043" s="16">
        <v>7.0</v>
      </c>
      <c r="D2043" s="18" t="s">
        <v>4183</v>
      </c>
    </row>
    <row r="2044" ht="15.75" customHeight="1">
      <c r="A2044" s="16">
        <v>40.0</v>
      </c>
      <c r="B2044" s="17" t="s">
        <v>6089</v>
      </c>
      <c r="C2044" s="18" t="s">
        <v>6018</v>
      </c>
      <c r="D2044" s="18" t="s">
        <v>4183</v>
      </c>
    </row>
    <row r="2045" ht="15.75" customHeight="1">
      <c r="A2045" s="16">
        <v>41.0</v>
      </c>
      <c r="B2045" s="17" t="s">
        <v>6090</v>
      </c>
      <c r="C2045" s="16">
        <v>25.0</v>
      </c>
      <c r="D2045" s="18" t="s">
        <v>4183</v>
      </c>
    </row>
    <row r="2046" ht="15.75" customHeight="1">
      <c r="A2046" s="16">
        <v>42.0</v>
      </c>
      <c r="B2046" s="17" t="s">
        <v>6091</v>
      </c>
      <c r="C2046" s="16">
        <v>10.0</v>
      </c>
      <c r="D2046" s="18" t="s">
        <v>4183</v>
      </c>
    </row>
    <row r="2047" ht="15.75" customHeight="1">
      <c r="A2047" s="16">
        <v>43.0</v>
      </c>
      <c r="B2047" s="17" t="s">
        <v>6092</v>
      </c>
      <c r="C2047" s="16">
        <v>9.0</v>
      </c>
      <c r="D2047" s="18" t="s">
        <v>4183</v>
      </c>
    </row>
    <row r="2048" ht="15.75" customHeight="1">
      <c r="A2048" s="16">
        <v>44.0</v>
      </c>
      <c r="B2048" s="17" t="s">
        <v>6093</v>
      </c>
      <c r="C2048" s="16">
        <v>36.0</v>
      </c>
      <c r="D2048" s="18" t="s">
        <v>4183</v>
      </c>
    </row>
    <row r="2049" ht="15.75" customHeight="1">
      <c r="A2049" s="16">
        <v>45.0</v>
      </c>
      <c r="B2049" s="17" t="s">
        <v>6094</v>
      </c>
      <c r="C2049" s="16">
        <v>12.0</v>
      </c>
      <c r="D2049" s="18" t="s">
        <v>4183</v>
      </c>
    </row>
    <row r="2050" ht="15.75" customHeight="1">
      <c r="A2050" s="16">
        <v>46.0</v>
      </c>
      <c r="B2050" s="17" t="s">
        <v>6095</v>
      </c>
      <c r="C2050" s="16">
        <v>41.0</v>
      </c>
      <c r="D2050" s="18" t="s">
        <v>4183</v>
      </c>
    </row>
    <row r="2051" ht="15.75" customHeight="1">
      <c r="A2051" s="16">
        <v>47.0</v>
      </c>
      <c r="B2051" s="17" t="s">
        <v>6096</v>
      </c>
      <c r="C2051" s="16">
        <v>3.0</v>
      </c>
      <c r="D2051" s="18" t="s">
        <v>4183</v>
      </c>
    </row>
    <row r="2052" ht="15.75" customHeight="1">
      <c r="A2052" s="16">
        <v>48.0</v>
      </c>
      <c r="B2052" s="17" t="s">
        <v>6097</v>
      </c>
      <c r="C2052" s="16">
        <v>21.0</v>
      </c>
      <c r="D2052" s="18" t="s">
        <v>4183</v>
      </c>
    </row>
    <row r="2053" ht="15.75" customHeight="1">
      <c r="A2053" s="16">
        <v>49.0</v>
      </c>
      <c r="B2053" s="17" t="s">
        <v>6098</v>
      </c>
      <c r="C2053" s="16">
        <v>2.0</v>
      </c>
      <c r="D2053" s="18" t="s">
        <v>4183</v>
      </c>
    </row>
    <row r="2054" ht="15.75" customHeight="1">
      <c r="A2054" s="16">
        <v>50.0</v>
      </c>
      <c r="B2054" s="17" t="s">
        <v>6099</v>
      </c>
      <c r="C2054" s="16">
        <v>4.0</v>
      </c>
      <c r="D2054" s="18" t="s">
        <v>4183</v>
      </c>
    </row>
    <row r="2055" ht="15.75" customHeight="1">
      <c r="A2055" s="16">
        <v>51.0</v>
      </c>
      <c r="B2055" s="17" t="s">
        <v>6100</v>
      </c>
      <c r="C2055" s="16">
        <v>6.0</v>
      </c>
      <c r="D2055" s="18" t="s">
        <v>4183</v>
      </c>
    </row>
    <row r="2056" ht="15.75" customHeight="1">
      <c r="A2056" s="16">
        <v>52.0</v>
      </c>
      <c r="B2056" s="17" t="s">
        <v>6101</v>
      </c>
      <c r="C2056" s="16">
        <v>7.0</v>
      </c>
      <c r="D2056" s="18" t="s">
        <v>4183</v>
      </c>
    </row>
    <row r="2057" ht="15.75" customHeight="1">
      <c r="A2057" s="16">
        <v>53.0</v>
      </c>
      <c r="B2057" s="17" t="s">
        <v>6102</v>
      </c>
      <c r="C2057" s="16">
        <v>10.0</v>
      </c>
      <c r="D2057" s="18" t="s">
        <v>4183</v>
      </c>
    </row>
    <row r="2058" ht="15.75" customHeight="1">
      <c r="A2058" s="16">
        <v>54.0</v>
      </c>
      <c r="B2058" s="17" t="s">
        <v>6103</v>
      </c>
      <c r="C2058" s="16">
        <v>10.0</v>
      </c>
      <c r="D2058" s="18" t="s">
        <v>4183</v>
      </c>
    </row>
    <row r="2059" ht="15.75" customHeight="1">
      <c r="A2059" s="16">
        <v>55.0</v>
      </c>
      <c r="B2059" s="17" t="s">
        <v>6104</v>
      </c>
      <c r="C2059" s="16">
        <v>8.0</v>
      </c>
      <c r="D2059" s="18" t="s">
        <v>4183</v>
      </c>
    </row>
    <row r="2060" ht="15.75" customHeight="1">
      <c r="A2060" s="16">
        <v>56.0</v>
      </c>
      <c r="B2060" s="17" t="s">
        <v>6105</v>
      </c>
      <c r="C2060" s="16">
        <v>5.0</v>
      </c>
      <c r="D2060" s="18" t="s">
        <v>4178</v>
      </c>
    </row>
    <row r="2061" ht="15.75" customHeight="1">
      <c r="A2061" s="16">
        <v>57.0</v>
      </c>
      <c r="B2061" s="17" t="s">
        <v>6106</v>
      </c>
      <c r="C2061" s="16">
        <v>1.0</v>
      </c>
      <c r="D2061" s="18" t="s">
        <v>4178</v>
      </c>
    </row>
    <row r="2062" ht="15.75" customHeight="1">
      <c r="A2062" s="16">
        <v>58.0</v>
      </c>
      <c r="B2062" s="17" t="s">
        <v>6107</v>
      </c>
      <c r="C2062" s="16">
        <v>5.0</v>
      </c>
      <c r="D2062" s="18" t="s">
        <v>4183</v>
      </c>
    </row>
    <row r="2063" ht="15.75" customHeight="1">
      <c r="A2063" s="16">
        <v>59.0</v>
      </c>
      <c r="B2063" s="17" t="s">
        <v>6108</v>
      </c>
      <c r="C2063" s="16">
        <v>3.0</v>
      </c>
      <c r="D2063" s="18" t="s">
        <v>4183</v>
      </c>
    </row>
    <row r="2064" ht="15.75" customHeight="1">
      <c r="A2064" s="16">
        <v>60.0</v>
      </c>
      <c r="B2064" s="17" t="s">
        <v>6109</v>
      </c>
      <c r="C2064" s="16">
        <v>5.0</v>
      </c>
      <c r="D2064" s="18" t="s">
        <v>4183</v>
      </c>
    </row>
    <row r="2065" ht="15.75" customHeight="1">
      <c r="A2065" s="16">
        <v>61.0</v>
      </c>
      <c r="B2065" s="17" t="s">
        <v>6110</v>
      </c>
      <c r="C2065" s="16">
        <v>2.0</v>
      </c>
      <c r="D2065" s="18" t="s">
        <v>5818</v>
      </c>
    </row>
    <row r="2066" ht="15.75" customHeight="1">
      <c r="A2066" s="16">
        <v>62.0</v>
      </c>
      <c r="B2066" s="17" t="s">
        <v>6111</v>
      </c>
      <c r="C2066" s="16">
        <v>65.0</v>
      </c>
      <c r="D2066" s="18" t="s">
        <v>4183</v>
      </c>
    </row>
    <row r="2067" ht="15.75" customHeight="1">
      <c r="A2067" s="16">
        <v>63.0</v>
      </c>
      <c r="B2067" s="17" t="s">
        <v>6112</v>
      </c>
      <c r="C2067" s="16">
        <v>9.0</v>
      </c>
      <c r="D2067" s="18" t="s">
        <v>4183</v>
      </c>
    </row>
    <row r="2068" ht="15.75" customHeight="1">
      <c r="A2068" s="16">
        <v>64.0</v>
      </c>
      <c r="B2068" s="17" t="s">
        <v>6113</v>
      </c>
      <c r="C2068" s="16">
        <v>300.0</v>
      </c>
      <c r="D2068" s="18" t="s">
        <v>4183</v>
      </c>
    </row>
    <row r="2069" ht="15.75" customHeight="1">
      <c r="A2069" s="16">
        <v>65.0</v>
      </c>
      <c r="B2069" s="17" t="s">
        <v>6114</v>
      </c>
      <c r="C2069" s="16">
        <v>45.0</v>
      </c>
      <c r="D2069" s="18" t="s">
        <v>4183</v>
      </c>
    </row>
    <row r="2070" ht="15.75" customHeight="1">
      <c r="A2070" s="16">
        <v>66.0</v>
      </c>
      <c r="B2070" s="17" t="s">
        <v>6115</v>
      </c>
      <c r="C2070" s="16">
        <v>270.0</v>
      </c>
      <c r="D2070" s="18" t="s">
        <v>4183</v>
      </c>
    </row>
    <row r="2071" ht="15.75" customHeight="1">
      <c r="A2071" s="16">
        <v>67.0</v>
      </c>
      <c r="B2071" s="17" t="s">
        <v>6116</v>
      </c>
      <c r="C2071" s="16">
        <v>7.0</v>
      </c>
      <c r="D2071" s="18" t="s">
        <v>4183</v>
      </c>
    </row>
    <row r="2072" ht="15.75" customHeight="1">
      <c r="A2072" s="16">
        <v>68.0</v>
      </c>
      <c r="B2072" s="17" t="s">
        <v>6117</v>
      </c>
      <c r="C2072" s="16">
        <v>1.0</v>
      </c>
      <c r="D2072" s="18" t="s">
        <v>4183</v>
      </c>
    </row>
    <row r="2073" ht="15.75" customHeight="1">
      <c r="A2073" s="16">
        <v>69.0</v>
      </c>
      <c r="B2073" s="17" t="s">
        <v>6118</v>
      </c>
      <c r="C2073" s="16">
        <v>6.0</v>
      </c>
      <c r="D2073" s="18" t="s">
        <v>4183</v>
      </c>
    </row>
    <row r="2074" ht="15.75" customHeight="1">
      <c r="A2074" s="16">
        <v>70.0</v>
      </c>
      <c r="B2074" s="17" t="s">
        <v>6119</v>
      </c>
      <c r="C2074" s="16">
        <v>2.0</v>
      </c>
      <c r="D2074" s="18" t="s">
        <v>4183</v>
      </c>
    </row>
    <row r="2075" ht="15.75" customHeight="1">
      <c r="A2075" s="16">
        <v>71.0</v>
      </c>
      <c r="B2075" s="17" t="s">
        <v>6120</v>
      </c>
      <c r="C2075" s="16">
        <v>17.0</v>
      </c>
      <c r="D2075" s="18" t="s">
        <v>4183</v>
      </c>
    </row>
    <row r="2076" ht="15.75" customHeight="1">
      <c r="A2076" s="16">
        <v>72.0</v>
      </c>
      <c r="B2076" s="17" t="s">
        <v>6121</v>
      </c>
      <c r="C2076" s="16">
        <v>7.0</v>
      </c>
      <c r="D2076" s="18" t="s">
        <v>4183</v>
      </c>
    </row>
    <row r="2077" ht="15.75" customHeight="1">
      <c r="A2077" s="16">
        <v>73.0</v>
      </c>
      <c r="B2077" s="17" t="s">
        <v>6122</v>
      </c>
      <c r="C2077" s="16">
        <v>7.0</v>
      </c>
      <c r="D2077" s="18" t="s">
        <v>4183</v>
      </c>
    </row>
    <row r="2078" ht="15.75" customHeight="1">
      <c r="A2078" s="16">
        <v>74.0</v>
      </c>
      <c r="B2078" s="17" t="s">
        <v>6123</v>
      </c>
      <c r="C2078" s="16">
        <v>1.0</v>
      </c>
      <c r="D2078" s="18" t="s">
        <v>4183</v>
      </c>
    </row>
    <row r="2079" ht="15.75" customHeight="1">
      <c r="A2079" s="16">
        <v>75.0</v>
      </c>
      <c r="B2079" s="17" t="s">
        <v>6124</v>
      </c>
      <c r="C2079" s="16">
        <v>1.0</v>
      </c>
      <c r="D2079" s="18" t="s">
        <v>4183</v>
      </c>
    </row>
    <row r="2080" ht="15.75" customHeight="1">
      <c r="A2080" s="16">
        <v>76.0</v>
      </c>
      <c r="B2080" s="17" t="s">
        <v>6125</v>
      </c>
      <c r="C2080" s="18" t="s">
        <v>4736</v>
      </c>
      <c r="D2080" s="18" t="s">
        <v>4183</v>
      </c>
    </row>
    <row r="2081" ht="15.75" customHeight="1">
      <c r="A2081" s="16">
        <v>77.0</v>
      </c>
      <c r="B2081" s="17" t="s">
        <v>6126</v>
      </c>
      <c r="C2081" s="16">
        <v>5.0</v>
      </c>
      <c r="D2081" s="18" t="s">
        <v>4183</v>
      </c>
    </row>
    <row r="2082" ht="15.75" customHeight="1">
      <c r="A2082" s="16">
        <v>78.0</v>
      </c>
      <c r="B2082" s="17" t="s">
        <v>6127</v>
      </c>
      <c r="C2082" s="16">
        <v>10.0</v>
      </c>
      <c r="D2082" s="18" t="s">
        <v>4183</v>
      </c>
    </row>
    <row r="2083" ht="15.75" customHeight="1">
      <c r="A2083" s="16">
        <v>79.0</v>
      </c>
      <c r="B2083" s="17" t="s">
        <v>6128</v>
      </c>
      <c r="C2083" s="16">
        <v>2.0</v>
      </c>
      <c r="D2083" s="18" t="s">
        <v>4178</v>
      </c>
    </row>
    <row r="2084" ht="15.75" customHeight="1">
      <c r="A2084" s="16">
        <v>80.0</v>
      </c>
      <c r="B2084" s="17" t="s">
        <v>6129</v>
      </c>
      <c r="C2084" s="16">
        <v>19.0</v>
      </c>
      <c r="D2084" s="18" t="s">
        <v>4183</v>
      </c>
    </row>
    <row r="2085" ht="15.75" customHeight="1">
      <c r="A2085" s="16">
        <v>81.0</v>
      </c>
      <c r="B2085" s="17" t="s">
        <v>6130</v>
      </c>
      <c r="C2085" s="16">
        <v>6.0</v>
      </c>
      <c r="D2085" s="18" t="s">
        <v>4183</v>
      </c>
    </row>
    <row r="2086" ht="15.75" customHeight="1">
      <c r="A2086" s="16">
        <v>82.0</v>
      </c>
      <c r="B2086" s="17" t="s">
        <v>6131</v>
      </c>
      <c r="C2086" s="16">
        <v>21.0</v>
      </c>
      <c r="D2086" s="18" t="s">
        <v>4183</v>
      </c>
    </row>
    <row r="2087" ht="15.75" customHeight="1">
      <c r="A2087" s="16">
        <v>83.0</v>
      </c>
      <c r="B2087" s="17" t="s">
        <v>6132</v>
      </c>
      <c r="C2087" s="16">
        <v>11.0</v>
      </c>
      <c r="D2087" s="18" t="s">
        <v>4183</v>
      </c>
    </row>
    <row r="2088" ht="15.75" customHeight="1">
      <c r="A2088" s="16">
        <v>84.0</v>
      </c>
      <c r="B2088" s="17" t="s">
        <v>6133</v>
      </c>
      <c r="C2088" s="16">
        <v>4.0</v>
      </c>
      <c r="D2088" s="18" t="s">
        <v>4178</v>
      </c>
    </row>
    <row r="2089" ht="15.75" customHeight="1">
      <c r="A2089" s="16">
        <v>85.0</v>
      </c>
      <c r="B2089" s="17" t="s">
        <v>6134</v>
      </c>
      <c r="C2089" s="16">
        <v>8.0</v>
      </c>
      <c r="D2089" s="18" t="s">
        <v>4183</v>
      </c>
    </row>
    <row r="2090" ht="15.75" customHeight="1">
      <c r="A2090" s="16">
        <v>86.0</v>
      </c>
      <c r="B2090" s="17" t="s">
        <v>6135</v>
      </c>
      <c r="C2090" s="16">
        <v>4.0</v>
      </c>
      <c r="D2090" s="18" t="s">
        <v>4183</v>
      </c>
    </row>
    <row r="2091" ht="15.75" customHeight="1">
      <c r="A2091" s="16">
        <v>87.0</v>
      </c>
      <c r="B2091" s="17" t="s">
        <v>6136</v>
      </c>
      <c r="C2091" s="16">
        <v>4.0</v>
      </c>
      <c r="D2091" s="18" t="s">
        <v>4183</v>
      </c>
    </row>
    <row r="2092" ht="15.75" customHeight="1">
      <c r="A2092" s="16">
        <v>88.0</v>
      </c>
      <c r="B2092" s="17" t="s">
        <v>6137</v>
      </c>
      <c r="C2092" s="16">
        <v>96.0</v>
      </c>
      <c r="D2092" s="18" t="s">
        <v>4183</v>
      </c>
    </row>
    <row r="2093" ht="15.75" customHeight="1">
      <c r="A2093" s="16">
        <v>89.0</v>
      </c>
      <c r="B2093" s="17" t="s">
        <v>6138</v>
      </c>
      <c r="C2093" s="16">
        <v>5.0</v>
      </c>
      <c r="D2093" s="18" t="s">
        <v>4183</v>
      </c>
    </row>
    <row r="2094" ht="15.75" customHeight="1">
      <c r="A2094" s="16">
        <v>90.0</v>
      </c>
      <c r="B2094" s="17" t="s">
        <v>6139</v>
      </c>
      <c r="C2094" s="16">
        <v>3.0</v>
      </c>
      <c r="D2094" s="18" t="s">
        <v>4183</v>
      </c>
    </row>
    <row r="2095" ht="15.75" customHeight="1">
      <c r="A2095" s="16">
        <v>91.0</v>
      </c>
      <c r="B2095" s="17" t="s">
        <v>6140</v>
      </c>
      <c r="C2095" s="16">
        <v>1.0</v>
      </c>
      <c r="D2095" s="18" t="s">
        <v>4183</v>
      </c>
    </row>
    <row r="2096" ht="15.75" customHeight="1">
      <c r="A2096" s="16">
        <v>92.0</v>
      </c>
      <c r="B2096" s="17" t="s">
        <v>6141</v>
      </c>
      <c r="C2096" s="16">
        <v>7.0</v>
      </c>
      <c r="D2096" s="18" t="s">
        <v>4183</v>
      </c>
    </row>
    <row r="2097" ht="15.75" customHeight="1">
      <c r="A2097" s="16">
        <v>93.0</v>
      </c>
      <c r="B2097" s="17" t="s">
        <v>6142</v>
      </c>
      <c r="C2097" s="16">
        <v>1.0</v>
      </c>
      <c r="D2097" s="18" t="s">
        <v>4183</v>
      </c>
    </row>
    <row r="2098" ht="15.75" customHeight="1">
      <c r="A2098" s="16">
        <v>94.0</v>
      </c>
      <c r="B2098" s="17" t="s">
        <v>6143</v>
      </c>
      <c r="C2098" s="16">
        <v>5.0</v>
      </c>
      <c r="D2098" s="18" t="s">
        <v>4183</v>
      </c>
    </row>
    <row r="2099" ht="15.75" customHeight="1">
      <c r="A2099" s="16">
        <v>95.0</v>
      </c>
      <c r="B2099" s="17" t="s">
        <v>6144</v>
      </c>
      <c r="C2099" s="16">
        <v>3.0</v>
      </c>
      <c r="D2099" s="18" t="s">
        <v>4183</v>
      </c>
    </row>
    <row r="2100" ht="15.75" customHeight="1">
      <c r="A2100" s="16">
        <v>96.0</v>
      </c>
      <c r="B2100" s="17" t="s">
        <v>6145</v>
      </c>
      <c r="C2100" s="16">
        <v>8.0</v>
      </c>
      <c r="D2100" s="18" t="s">
        <v>4178</v>
      </c>
    </row>
    <row r="2101" ht="15.75" customHeight="1">
      <c r="A2101" s="16">
        <v>97.0</v>
      </c>
      <c r="B2101" s="17" t="s">
        <v>6146</v>
      </c>
      <c r="C2101" s="16">
        <v>1.0</v>
      </c>
      <c r="D2101" s="18" t="s">
        <v>4178</v>
      </c>
    </row>
    <row r="2102" ht="15.75" customHeight="1">
      <c r="A2102" s="16">
        <v>98.0</v>
      </c>
      <c r="B2102" s="17" t="s">
        <v>6147</v>
      </c>
      <c r="C2102" s="16">
        <v>8.0</v>
      </c>
      <c r="D2102" s="18" t="s">
        <v>4178</v>
      </c>
    </row>
    <row r="2103" ht="15.75" customHeight="1">
      <c r="A2103" s="16">
        <v>99.0</v>
      </c>
      <c r="B2103" s="17" t="s">
        <v>6148</v>
      </c>
      <c r="C2103" s="16">
        <v>9.0</v>
      </c>
      <c r="D2103" s="18" t="s">
        <v>4183</v>
      </c>
    </row>
    <row r="2104" ht="15.75" customHeight="1">
      <c r="A2104" s="16">
        <v>100.0</v>
      </c>
      <c r="B2104" s="17" t="s">
        <v>6149</v>
      </c>
      <c r="C2104" s="16">
        <v>13.0</v>
      </c>
      <c r="D2104" s="18" t="s">
        <v>4183</v>
      </c>
    </row>
    <row r="2105" ht="15.75" customHeight="1">
      <c r="A2105" s="16">
        <v>101.0</v>
      </c>
      <c r="B2105" s="17" t="s">
        <v>6150</v>
      </c>
      <c r="C2105" s="16">
        <v>18.0</v>
      </c>
      <c r="D2105" s="18" t="s">
        <v>4183</v>
      </c>
    </row>
    <row r="2106" ht="15.75" customHeight="1">
      <c r="A2106" s="16">
        <v>102.0</v>
      </c>
      <c r="B2106" s="17" t="s">
        <v>6151</v>
      </c>
      <c r="C2106" s="16">
        <v>4.0</v>
      </c>
      <c r="D2106" s="18" t="s">
        <v>4183</v>
      </c>
    </row>
    <row r="2107" ht="15.75" customHeight="1">
      <c r="A2107" s="16">
        <v>103.0</v>
      </c>
      <c r="B2107" s="17" t="s">
        <v>6152</v>
      </c>
      <c r="C2107" s="16">
        <v>17.0</v>
      </c>
      <c r="D2107" s="18" t="s">
        <v>4183</v>
      </c>
    </row>
    <row r="2108" ht="15.75" customHeight="1">
      <c r="A2108" s="16">
        <v>104.0</v>
      </c>
      <c r="B2108" s="17" t="s">
        <v>6153</v>
      </c>
      <c r="C2108" s="16">
        <v>12.0</v>
      </c>
      <c r="D2108" s="18" t="s">
        <v>4183</v>
      </c>
    </row>
    <row r="2109" ht="15.75" customHeight="1">
      <c r="A2109" s="16">
        <v>105.0</v>
      </c>
      <c r="B2109" s="17" t="s">
        <v>6154</v>
      </c>
      <c r="C2109" s="16">
        <v>8.0</v>
      </c>
      <c r="D2109" s="18" t="s">
        <v>4183</v>
      </c>
    </row>
    <row r="2110" ht="15.75" customHeight="1">
      <c r="A2110" s="16">
        <v>106.0</v>
      </c>
      <c r="B2110" s="17" t="s">
        <v>6155</v>
      </c>
      <c r="C2110" s="16">
        <v>4.0</v>
      </c>
      <c r="D2110" s="18" t="s">
        <v>4183</v>
      </c>
    </row>
    <row r="2111" ht="15.75" customHeight="1">
      <c r="A2111" s="16">
        <v>107.0</v>
      </c>
      <c r="B2111" s="17" t="s">
        <v>6156</v>
      </c>
      <c r="C2111" s="16">
        <v>9.0</v>
      </c>
      <c r="D2111" s="18" t="s">
        <v>4183</v>
      </c>
    </row>
    <row r="2112" ht="15.75" customHeight="1">
      <c r="A2112" s="16">
        <v>108.0</v>
      </c>
      <c r="B2112" s="17" t="s">
        <v>6157</v>
      </c>
      <c r="C2112" s="16">
        <v>14.0</v>
      </c>
      <c r="D2112" s="18" t="s">
        <v>4183</v>
      </c>
    </row>
    <row r="2113" ht="15.75" customHeight="1">
      <c r="A2113" s="16">
        <v>109.0</v>
      </c>
      <c r="B2113" s="17" t="s">
        <v>6158</v>
      </c>
      <c r="C2113" s="16">
        <v>10.0</v>
      </c>
      <c r="D2113" s="18" t="s">
        <v>4183</v>
      </c>
    </row>
    <row r="2114" ht="15.75" customHeight="1">
      <c r="A2114" s="16">
        <v>110.0</v>
      </c>
      <c r="B2114" s="17" t="s">
        <v>6159</v>
      </c>
      <c r="C2114" s="16">
        <v>4.0</v>
      </c>
      <c r="D2114" s="18" t="s">
        <v>4183</v>
      </c>
    </row>
    <row r="2115" ht="15.75" customHeight="1">
      <c r="A2115" s="16">
        <v>111.0</v>
      </c>
      <c r="B2115" s="17" t="s">
        <v>6160</v>
      </c>
      <c r="C2115" s="16">
        <v>4.0</v>
      </c>
      <c r="D2115" s="18" t="s">
        <v>4183</v>
      </c>
    </row>
    <row r="2116" ht="15.75" customHeight="1">
      <c r="A2116" s="16">
        <v>112.0</v>
      </c>
      <c r="B2116" s="17" t="s">
        <v>6161</v>
      </c>
      <c r="C2116" s="16">
        <v>8.0</v>
      </c>
      <c r="D2116" s="18" t="s">
        <v>4183</v>
      </c>
    </row>
    <row r="2117" ht="15.75" customHeight="1">
      <c r="A2117" s="16">
        <v>113.0</v>
      </c>
      <c r="B2117" s="17" t="s">
        <v>6162</v>
      </c>
      <c r="C2117" s="16">
        <v>3.0</v>
      </c>
      <c r="D2117" s="18" t="s">
        <v>4183</v>
      </c>
    </row>
    <row r="2118" ht="15.75" customHeight="1">
      <c r="A2118" s="16">
        <v>114.0</v>
      </c>
      <c r="B2118" s="17" t="s">
        <v>6163</v>
      </c>
      <c r="C2118" s="16">
        <v>5.0</v>
      </c>
      <c r="D2118" s="18" t="s">
        <v>4183</v>
      </c>
    </row>
    <row r="2119" ht="15.75" customHeight="1">
      <c r="A2119" s="16">
        <v>115.0</v>
      </c>
      <c r="B2119" s="17" t="s">
        <v>6164</v>
      </c>
      <c r="C2119" s="16">
        <v>10.0</v>
      </c>
      <c r="D2119" s="18" t="s">
        <v>4178</v>
      </c>
    </row>
    <row r="2120" ht="15.75" customHeight="1">
      <c r="A2120" s="16">
        <v>116.0</v>
      </c>
      <c r="B2120" s="17" t="s">
        <v>6165</v>
      </c>
      <c r="C2120" s="16">
        <v>1.0</v>
      </c>
      <c r="D2120" s="18" t="s">
        <v>4178</v>
      </c>
    </row>
    <row r="2121" ht="15.75" customHeight="1">
      <c r="A2121" s="16">
        <v>117.0</v>
      </c>
      <c r="B2121" s="17" t="s">
        <v>6166</v>
      </c>
      <c r="C2121" s="18" t="s">
        <v>4635</v>
      </c>
      <c r="D2121" s="18" t="s">
        <v>4183</v>
      </c>
    </row>
    <row r="2122" ht="15.75" customHeight="1">
      <c r="A2122" s="16">
        <v>118.0</v>
      </c>
      <c r="B2122" s="17" t="s">
        <v>6167</v>
      </c>
      <c r="C2122" s="18" t="s">
        <v>6168</v>
      </c>
      <c r="D2122" s="18" t="s">
        <v>4183</v>
      </c>
    </row>
    <row r="2123" ht="15.75" customHeight="1">
      <c r="A2123" s="16">
        <v>119.0</v>
      </c>
      <c r="B2123" s="17" t="s">
        <v>6169</v>
      </c>
      <c r="C2123" s="16">
        <v>3.0</v>
      </c>
      <c r="D2123" s="18" t="s">
        <v>4178</v>
      </c>
    </row>
    <row r="2124" ht="15.75" customHeight="1">
      <c r="A2124" s="16">
        <v>120.0</v>
      </c>
      <c r="B2124" s="17" t="s">
        <v>6170</v>
      </c>
      <c r="C2124" s="16">
        <v>11.0</v>
      </c>
      <c r="D2124" s="18" t="s">
        <v>4183</v>
      </c>
    </row>
    <row r="2125" ht="15.75" customHeight="1">
      <c r="A2125" s="16">
        <v>121.0</v>
      </c>
      <c r="B2125" s="17" t="s">
        <v>6171</v>
      </c>
      <c r="C2125" s="16">
        <v>2.0</v>
      </c>
      <c r="D2125" s="18" t="s">
        <v>4183</v>
      </c>
    </row>
    <row r="2126" ht="15.75" customHeight="1">
      <c r="A2126" s="16">
        <v>122.0</v>
      </c>
      <c r="B2126" s="17" t="s">
        <v>6172</v>
      </c>
      <c r="C2126" s="16">
        <v>4.0</v>
      </c>
      <c r="D2126" s="18" t="s">
        <v>4183</v>
      </c>
    </row>
    <row r="2127" ht="15.75" customHeight="1">
      <c r="A2127" s="16">
        <v>123.0</v>
      </c>
      <c r="B2127" s="17" t="s">
        <v>6173</v>
      </c>
      <c r="C2127" s="16">
        <v>11.0</v>
      </c>
      <c r="D2127" s="18" t="s">
        <v>4183</v>
      </c>
    </row>
    <row r="2128" ht="15.75" customHeight="1">
      <c r="A2128" s="16">
        <v>124.0</v>
      </c>
      <c r="B2128" s="17" t="s">
        <v>6174</v>
      </c>
      <c r="C2128" s="16">
        <v>1.0</v>
      </c>
      <c r="D2128" s="18" t="s">
        <v>4183</v>
      </c>
    </row>
    <row r="2129" ht="15.75" customHeight="1">
      <c r="A2129" s="16">
        <v>125.0</v>
      </c>
      <c r="B2129" s="17" t="s">
        <v>6175</v>
      </c>
      <c r="C2129" s="19">
        <v>13.5</v>
      </c>
      <c r="D2129" s="18" t="s">
        <v>4183</v>
      </c>
    </row>
    <row r="2130" ht="15.75" customHeight="1">
      <c r="A2130" s="16">
        <v>126.0</v>
      </c>
      <c r="B2130" s="17" t="s">
        <v>6176</v>
      </c>
      <c r="C2130" s="16">
        <v>5.0</v>
      </c>
      <c r="D2130" s="18" t="s">
        <v>4183</v>
      </c>
    </row>
    <row r="2131" ht="15.75" customHeight="1">
      <c r="A2131" s="16">
        <v>127.0</v>
      </c>
      <c r="B2131" s="17" t="s">
        <v>6177</v>
      </c>
      <c r="C2131" s="16">
        <v>2.0</v>
      </c>
      <c r="D2131" s="18" t="s">
        <v>4183</v>
      </c>
    </row>
    <row r="2132" ht="15.75" customHeight="1">
      <c r="A2132" s="16">
        <v>128.0</v>
      </c>
      <c r="B2132" s="17" t="s">
        <v>6178</v>
      </c>
      <c r="C2132" s="16">
        <v>4.0</v>
      </c>
      <c r="D2132" s="18" t="s">
        <v>4183</v>
      </c>
    </row>
    <row r="2133" ht="15.75" customHeight="1">
      <c r="A2133" s="16">
        <v>129.0</v>
      </c>
      <c r="B2133" s="17" t="s">
        <v>6179</v>
      </c>
      <c r="C2133" s="16">
        <v>2.0</v>
      </c>
      <c r="D2133" s="18" t="s">
        <v>4183</v>
      </c>
    </row>
    <row r="2134" ht="15.75" customHeight="1">
      <c r="A2134" s="16">
        <v>130.0</v>
      </c>
      <c r="B2134" s="17" t="s">
        <v>6180</v>
      </c>
      <c r="C2134" s="16">
        <v>2.0</v>
      </c>
      <c r="D2134" s="18" t="s">
        <v>4183</v>
      </c>
    </row>
    <row r="2135" ht="15.75" customHeight="1">
      <c r="A2135" s="16">
        <v>131.0</v>
      </c>
      <c r="B2135" s="17" t="s">
        <v>6181</v>
      </c>
      <c r="C2135" s="16">
        <v>7.0</v>
      </c>
      <c r="D2135" s="18" t="s">
        <v>4183</v>
      </c>
    </row>
    <row r="2136" ht="15.75" customHeight="1">
      <c r="A2136" s="16">
        <v>132.0</v>
      </c>
      <c r="B2136" s="17" t="s">
        <v>6182</v>
      </c>
      <c r="C2136" s="16">
        <v>12.0</v>
      </c>
      <c r="D2136" s="18" t="s">
        <v>4183</v>
      </c>
    </row>
    <row r="2137" ht="15.75" customHeight="1">
      <c r="A2137" s="16">
        <v>133.0</v>
      </c>
      <c r="B2137" s="17" t="s">
        <v>6183</v>
      </c>
      <c r="C2137" s="16">
        <v>6.0</v>
      </c>
      <c r="D2137" s="18" t="s">
        <v>4183</v>
      </c>
    </row>
    <row r="2138" ht="15.75" customHeight="1">
      <c r="A2138" s="16">
        <v>134.0</v>
      </c>
      <c r="B2138" s="17" t="s">
        <v>6184</v>
      </c>
      <c r="C2138" s="16">
        <v>8.0</v>
      </c>
      <c r="D2138" s="18" t="s">
        <v>4183</v>
      </c>
    </row>
    <row r="2139" ht="15.75" customHeight="1">
      <c r="A2139" s="16">
        <v>135.0</v>
      </c>
      <c r="B2139" s="17" t="s">
        <v>6185</v>
      </c>
      <c r="C2139" s="16">
        <v>6.0</v>
      </c>
      <c r="D2139" s="18" t="s">
        <v>4178</v>
      </c>
    </row>
    <row r="2140" ht="15.75" customHeight="1">
      <c r="A2140" s="16">
        <v>136.0</v>
      </c>
      <c r="B2140" s="17" t="s">
        <v>6186</v>
      </c>
      <c r="C2140" s="16">
        <v>3.0</v>
      </c>
      <c r="D2140" s="18" t="s">
        <v>4178</v>
      </c>
    </row>
    <row r="2141" ht="15.75" customHeight="1">
      <c r="A2141" s="16">
        <v>137.0</v>
      </c>
      <c r="B2141" s="17" t="s">
        <v>6187</v>
      </c>
      <c r="C2141" s="16">
        <v>3.0</v>
      </c>
      <c r="D2141" s="18" t="s">
        <v>4178</v>
      </c>
    </row>
    <row r="2142" ht="15.75" customHeight="1">
      <c r="A2142" s="16">
        <v>138.0</v>
      </c>
      <c r="B2142" s="17" t="s">
        <v>6188</v>
      </c>
      <c r="C2142" s="16">
        <v>2.0</v>
      </c>
      <c r="D2142" s="18" t="s">
        <v>4178</v>
      </c>
    </row>
    <row r="2143" ht="15.75" customHeight="1">
      <c r="A2143" s="16">
        <v>139.0</v>
      </c>
      <c r="B2143" s="17" t="s">
        <v>6189</v>
      </c>
      <c r="C2143" s="16">
        <v>3.0</v>
      </c>
      <c r="D2143" s="18" t="s">
        <v>4183</v>
      </c>
    </row>
    <row r="2144" ht="15.75" customHeight="1">
      <c r="A2144" s="16">
        <v>140.0</v>
      </c>
      <c r="B2144" s="17" t="s">
        <v>6190</v>
      </c>
      <c r="C2144" s="16">
        <v>26.0</v>
      </c>
      <c r="D2144" s="18" t="s">
        <v>4183</v>
      </c>
    </row>
    <row r="2145" ht="15.75" customHeight="1">
      <c r="A2145" s="16">
        <v>141.0</v>
      </c>
      <c r="B2145" s="17" t="s">
        <v>6191</v>
      </c>
      <c r="C2145" s="16">
        <v>12.0</v>
      </c>
      <c r="D2145" s="18" t="s">
        <v>4183</v>
      </c>
    </row>
    <row r="2146" ht="15.75" customHeight="1">
      <c r="A2146" s="16">
        <v>142.0</v>
      </c>
      <c r="B2146" s="17" t="s">
        <v>6192</v>
      </c>
      <c r="C2146" s="16">
        <v>10.0</v>
      </c>
      <c r="D2146" s="18" t="s">
        <v>4183</v>
      </c>
    </row>
    <row r="2147" ht="15.75" customHeight="1">
      <c r="A2147" s="16">
        <v>143.0</v>
      </c>
      <c r="B2147" s="17" t="s">
        <v>6193</v>
      </c>
      <c r="C2147" s="16">
        <v>5.0</v>
      </c>
      <c r="D2147" s="18" t="s">
        <v>4183</v>
      </c>
    </row>
    <row r="2148" ht="15.75" customHeight="1">
      <c r="A2148" s="16">
        <v>144.0</v>
      </c>
      <c r="B2148" s="17" t="s">
        <v>6194</v>
      </c>
      <c r="C2148" s="16">
        <v>5.0</v>
      </c>
      <c r="D2148" s="18" t="s">
        <v>4183</v>
      </c>
    </row>
    <row r="2149" ht="15.75" customHeight="1">
      <c r="A2149" s="16">
        <v>145.0</v>
      </c>
      <c r="B2149" s="17" t="s">
        <v>6195</v>
      </c>
      <c r="C2149" s="16">
        <v>10.0</v>
      </c>
      <c r="D2149" s="18" t="s">
        <v>4178</v>
      </c>
    </row>
    <row r="2150" ht="15.75" customHeight="1">
      <c r="A2150" s="16">
        <v>146.0</v>
      </c>
      <c r="B2150" s="17" t="s">
        <v>6196</v>
      </c>
      <c r="C2150" s="16">
        <v>11.0</v>
      </c>
      <c r="D2150" s="18" t="s">
        <v>4178</v>
      </c>
    </row>
    <row r="2151" ht="15.75" customHeight="1">
      <c r="A2151" s="16">
        <v>147.0</v>
      </c>
      <c r="B2151" s="17" t="s">
        <v>6197</v>
      </c>
      <c r="C2151" s="16">
        <v>16.0</v>
      </c>
      <c r="D2151" s="18" t="s">
        <v>4183</v>
      </c>
    </row>
    <row r="2152" ht="15.75" customHeight="1">
      <c r="A2152" s="16">
        <v>148.0</v>
      </c>
      <c r="B2152" s="17" t="s">
        <v>6198</v>
      </c>
      <c r="C2152" s="16">
        <v>4.0</v>
      </c>
      <c r="D2152" s="18" t="s">
        <v>4178</v>
      </c>
    </row>
    <row r="2153" ht="15.75" customHeight="1">
      <c r="A2153" s="16">
        <v>149.0</v>
      </c>
      <c r="B2153" s="17" t="s">
        <v>6199</v>
      </c>
      <c r="C2153" s="16">
        <v>8.0</v>
      </c>
      <c r="D2153" s="18" t="s">
        <v>4183</v>
      </c>
    </row>
    <row r="2154" ht="15.75" customHeight="1">
      <c r="A2154" s="16">
        <v>150.0</v>
      </c>
      <c r="B2154" s="17" t="s">
        <v>6200</v>
      </c>
      <c r="C2154" s="16">
        <v>8.0</v>
      </c>
      <c r="D2154" s="18" t="s">
        <v>4183</v>
      </c>
    </row>
    <row r="2155" ht="15.75" customHeight="1">
      <c r="A2155" s="16">
        <v>151.0</v>
      </c>
      <c r="B2155" s="17" t="s">
        <v>6201</v>
      </c>
      <c r="C2155" s="16">
        <v>28.0</v>
      </c>
      <c r="D2155" s="18" t="s">
        <v>4183</v>
      </c>
    </row>
    <row r="2156" ht="15.75" customHeight="1">
      <c r="A2156" s="16">
        <v>152.0</v>
      </c>
      <c r="B2156" s="17" t="s">
        <v>6202</v>
      </c>
      <c r="C2156" s="16">
        <v>6.0</v>
      </c>
      <c r="D2156" s="18" t="s">
        <v>4183</v>
      </c>
    </row>
    <row r="2157" ht="15.75" customHeight="1">
      <c r="A2157" s="16">
        <v>153.0</v>
      </c>
      <c r="B2157" s="17" t="s">
        <v>6203</v>
      </c>
      <c r="C2157" s="16">
        <v>40.0</v>
      </c>
      <c r="D2157" s="18" t="s">
        <v>4183</v>
      </c>
    </row>
    <row r="2158" ht="15.75" customHeight="1">
      <c r="A2158" s="16">
        <v>154.0</v>
      </c>
      <c r="B2158" s="17" t="s">
        <v>6204</v>
      </c>
      <c r="C2158" s="16">
        <v>3.0</v>
      </c>
      <c r="D2158" s="18" t="s">
        <v>4183</v>
      </c>
    </row>
    <row r="2159" ht="15.75" customHeight="1">
      <c r="A2159" s="16">
        <v>155.0</v>
      </c>
      <c r="B2159" s="17" t="s">
        <v>6205</v>
      </c>
      <c r="C2159" s="16">
        <v>43.0</v>
      </c>
      <c r="D2159" s="18" t="s">
        <v>4183</v>
      </c>
    </row>
    <row r="2160" ht="15.75" customHeight="1">
      <c r="A2160" s="16">
        <v>156.0</v>
      </c>
      <c r="B2160" s="17" t="s">
        <v>6206</v>
      </c>
      <c r="C2160" s="16">
        <v>6.0</v>
      </c>
      <c r="D2160" s="18" t="s">
        <v>4183</v>
      </c>
    </row>
    <row r="2161" ht="15.75" customHeight="1">
      <c r="A2161" s="16">
        <v>157.0</v>
      </c>
      <c r="B2161" s="17" t="s">
        <v>6207</v>
      </c>
      <c r="C2161" s="16">
        <v>9.0</v>
      </c>
      <c r="D2161" s="18" t="s">
        <v>4183</v>
      </c>
    </row>
    <row r="2162" ht="15.75" customHeight="1">
      <c r="A2162" s="20"/>
      <c r="B2162" s="21" t="s">
        <v>4273</v>
      </c>
      <c r="C2162" s="22">
        <v>1966.5</v>
      </c>
      <c r="D2162" s="21" t="s">
        <v>4171</v>
      </c>
    </row>
    <row r="2163" ht="15.75" customHeight="1">
      <c r="A2163" s="11"/>
      <c r="B2163" s="12"/>
      <c r="C2163" s="12"/>
      <c r="D2163" s="13"/>
    </row>
    <row r="2164" ht="15.75" customHeight="1">
      <c r="A2164" s="14" t="s">
        <v>4112</v>
      </c>
      <c r="B2164" s="15"/>
      <c r="C2164" s="15"/>
      <c r="D2164" s="15"/>
    </row>
    <row r="2165" ht="15.75" customHeight="1">
      <c r="A2165" s="16">
        <v>1.0</v>
      </c>
      <c r="B2165" s="17" t="s">
        <v>6208</v>
      </c>
      <c r="C2165" s="16">
        <v>48.0</v>
      </c>
      <c r="D2165" s="18" t="s">
        <v>4183</v>
      </c>
    </row>
    <row r="2166" ht="15.75" customHeight="1">
      <c r="A2166" s="16">
        <v>2.0</v>
      </c>
      <c r="B2166" s="17" t="s">
        <v>6209</v>
      </c>
      <c r="C2166" s="16">
        <v>2.0</v>
      </c>
      <c r="D2166" s="18" t="s">
        <v>4178</v>
      </c>
    </row>
    <row r="2167" ht="15.75" customHeight="1">
      <c r="A2167" s="16">
        <v>3.0</v>
      </c>
      <c r="B2167" s="17" t="s">
        <v>6210</v>
      </c>
      <c r="C2167" s="16">
        <v>2.0</v>
      </c>
      <c r="D2167" s="18" t="s">
        <v>4183</v>
      </c>
    </row>
    <row r="2168" ht="15.75" customHeight="1">
      <c r="A2168" s="16">
        <v>4.0</v>
      </c>
      <c r="B2168" s="17" t="s">
        <v>6211</v>
      </c>
      <c r="C2168" s="16">
        <v>22.0</v>
      </c>
      <c r="D2168" s="18" t="s">
        <v>4183</v>
      </c>
    </row>
    <row r="2169" ht="15.75" customHeight="1">
      <c r="A2169" s="16">
        <v>5.0</v>
      </c>
      <c r="B2169" s="17" t="s">
        <v>6212</v>
      </c>
      <c r="C2169" s="16">
        <v>6.0</v>
      </c>
      <c r="D2169" s="18" t="s">
        <v>4183</v>
      </c>
    </row>
    <row r="2170" ht="15.75" customHeight="1">
      <c r="A2170" s="16">
        <v>6.0</v>
      </c>
      <c r="B2170" s="17" t="s">
        <v>6213</v>
      </c>
      <c r="C2170" s="16">
        <v>2.0</v>
      </c>
      <c r="D2170" s="18" t="s">
        <v>4183</v>
      </c>
    </row>
    <row r="2171" ht="15.75" customHeight="1">
      <c r="A2171" s="16">
        <v>7.0</v>
      </c>
      <c r="B2171" s="17" t="s">
        <v>6214</v>
      </c>
      <c r="C2171" s="16">
        <v>1.0</v>
      </c>
      <c r="D2171" s="18" t="s">
        <v>4183</v>
      </c>
    </row>
    <row r="2172" ht="15.75" customHeight="1">
      <c r="A2172" s="16">
        <v>8.0</v>
      </c>
      <c r="B2172" s="17" t="s">
        <v>6215</v>
      </c>
      <c r="C2172" s="16">
        <v>16.0</v>
      </c>
      <c r="D2172" s="18" t="s">
        <v>4183</v>
      </c>
    </row>
    <row r="2173" ht="15.75" customHeight="1">
      <c r="A2173" s="16">
        <v>9.0</v>
      </c>
      <c r="B2173" s="17" t="s">
        <v>6216</v>
      </c>
      <c r="C2173" s="16">
        <v>2.0</v>
      </c>
      <c r="D2173" s="18" t="s">
        <v>4183</v>
      </c>
    </row>
    <row r="2174" ht="15.75" customHeight="1">
      <c r="A2174" s="16">
        <v>10.0</v>
      </c>
      <c r="B2174" s="17" t="s">
        <v>6217</v>
      </c>
      <c r="C2174" s="16">
        <v>4.0</v>
      </c>
      <c r="D2174" s="18" t="s">
        <v>4183</v>
      </c>
    </row>
    <row r="2175" ht="15.75" customHeight="1">
      <c r="A2175" s="16">
        <v>11.0</v>
      </c>
      <c r="B2175" s="17" t="s">
        <v>6218</v>
      </c>
      <c r="C2175" s="16">
        <v>8.0</v>
      </c>
      <c r="D2175" s="18" t="s">
        <v>4178</v>
      </c>
    </row>
    <row r="2176" ht="15.75" customHeight="1">
      <c r="A2176" s="16">
        <v>12.0</v>
      </c>
      <c r="B2176" s="17" t="s">
        <v>6219</v>
      </c>
      <c r="C2176" s="16">
        <v>2.0</v>
      </c>
      <c r="D2176" s="18" t="s">
        <v>4183</v>
      </c>
    </row>
    <row r="2177" ht="15.75" customHeight="1">
      <c r="A2177" s="16">
        <v>13.0</v>
      </c>
      <c r="B2177" s="17" t="s">
        <v>6220</v>
      </c>
      <c r="C2177" s="16">
        <v>8.0</v>
      </c>
      <c r="D2177" s="18" t="s">
        <v>4183</v>
      </c>
    </row>
    <row r="2178" ht="15.75" customHeight="1">
      <c r="A2178" s="16">
        <v>14.0</v>
      </c>
      <c r="B2178" s="17" t="s">
        <v>6221</v>
      </c>
      <c r="C2178" s="16">
        <v>21.0</v>
      </c>
      <c r="D2178" s="18" t="s">
        <v>4183</v>
      </c>
    </row>
    <row r="2179" ht="15.75" customHeight="1">
      <c r="A2179" s="16">
        <v>15.0</v>
      </c>
      <c r="B2179" s="17" t="s">
        <v>6222</v>
      </c>
      <c r="C2179" s="16">
        <v>9.0</v>
      </c>
      <c r="D2179" s="18" t="s">
        <v>4183</v>
      </c>
    </row>
    <row r="2180" ht="15.75" customHeight="1">
      <c r="A2180" s="16">
        <v>16.0</v>
      </c>
      <c r="B2180" s="17" t="s">
        <v>6223</v>
      </c>
      <c r="C2180" s="16">
        <v>15.0</v>
      </c>
      <c r="D2180" s="18" t="s">
        <v>4183</v>
      </c>
    </row>
    <row r="2181" ht="15.75" customHeight="1">
      <c r="A2181" s="16">
        <v>17.0</v>
      </c>
      <c r="B2181" s="17" t="s">
        <v>6224</v>
      </c>
      <c r="C2181" s="16">
        <v>8.0</v>
      </c>
      <c r="D2181" s="18" t="s">
        <v>4183</v>
      </c>
    </row>
    <row r="2182" ht="15.75" customHeight="1">
      <c r="A2182" s="16">
        <v>18.0</v>
      </c>
      <c r="B2182" s="17" t="s">
        <v>6225</v>
      </c>
      <c r="C2182" s="16">
        <v>24.0</v>
      </c>
      <c r="D2182" s="18" t="s">
        <v>4183</v>
      </c>
    </row>
    <row r="2183" ht="15.75" customHeight="1">
      <c r="A2183" s="16">
        <v>19.0</v>
      </c>
      <c r="B2183" s="17" t="s">
        <v>6226</v>
      </c>
      <c r="C2183" s="16">
        <v>281.0</v>
      </c>
      <c r="D2183" s="18" t="s">
        <v>4183</v>
      </c>
    </row>
    <row r="2184" ht="15.75" customHeight="1">
      <c r="A2184" s="20"/>
      <c r="B2184" s="21" t="s">
        <v>4273</v>
      </c>
      <c r="C2184" s="23">
        <v>481.0</v>
      </c>
      <c r="D2184" s="21" t="s">
        <v>4171</v>
      </c>
    </row>
    <row r="2185" ht="15.75" customHeight="1">
      <c r="A2185" s="11"/>
      <c r="B2185" s="12"/>
      <c r="C2185" s="12"/>
      <c r="D2185" s="13"/>
    </row>
    <row r="2186" ht="15.75" customHeight="1">
      <c r="A2186" s="14" t="s">
        <v>4140</v>
      </c>
      <c r="B2186" s="15"/>
      <c r="C2186" s="15"/>
      <c r="D2186" s="15"/>
    </row>
    <row r="2187" ht="15.75" customHeight="1">
      <c r="A2187" s="16">
        <v>1.0</v>
      </c>
      <c r="B2187" s="17" t="s">
        <v>6227</v>
      </c>
      <c r="C2187" s="16">
        <v>2.0</v>
      </c>
      <c r="D2187" s="18" t="s">
        <v>4178</v>
      </c>
    </row>
    <row r="2188" ht="15.75" customHeight="1">
      <c r="A2188" s="16">
        <v>2.0</v>
      </c>
      <c r="B2188" s="17" t="s">
        <v>6228</v>
      </c>
      <c r="C2188" s="16">
        <v>3.0</v>
      </c>
      <c r="D2188" s="18" t="s">
        <v>4178</v>
      </c>
    </row>
    <row r="2189" ht="15.75" customHeight="1">
      <c r="A2189" s="16">
        <v>3.0</v>
      </c>
      <c r="B2189" s="17" t="s">
        <v>6229</v>
      </c>
      <c r="C2189" s="16">
        <v>9.0</v>
      </c>
      <c r="D2189" s="18" t="s">
        <v>4178</v>
      </c>
    </row>
    <row r="2190" ht="15.75" customHeight="1">
      <c r="A2190" s="16">
        <v>4.0</v>
      </c>
      <c r="B2190" s="17" t="s">
        <v>6230</v>
      </c>
      <c r="C2190" s="16">
        <v>6.0</v>
      </c>
      <c r="D2190" s="18" t="s">
        <v>4178</v>
      </c>
    </row>
    <row r="2191" ht="15.75" customHeight="1">
      <c r="A2191" s="16">
        <v>5.0</v>
      </c>
      <c r="B2191" s="17" t="s">
        <v>6231</v>
      </c>
      <c r="C2191" s="16">
        <v>14.0</v>
      </c>
      <c r="D2191" s="18" t="s">
        <v>4178</v>
      </c>
    </row>
    <row r="2192" ht="15.75" customHeight="1">
      <c r="A2192" s="16">
        <v>6.0</v>
      </c>
      <c r="B2192" s="17" t="s">
        <v>6232</v>
      </c>
      <c r="C2192" s="16">
        <v>5.0</v>
      </c>
      <c r="D2192" s="18" t="s">
        <v>4178</v>
      </c>
    </row>
    <row r="2193" ht="15.75" customHeight="1">
      <c r="A2193" s="16">
        <v>7.0</v>
      </c>
      <c r="B2193" s="17" t="s">
        <v>6233</v>
      </c>
      <c r="C2193" s="16">
        <v>6.0</v>
      </c>
      <c r="D2193" s="18" t="s">
        <v>4178</v>
      </c>
    </row>
    <row r="2194" ht="15.75" customHeight="1">
      <c r="A2194" s="20"/>
      <c r="B2194" s="21" t="s">
        <v>4273</v>
      </c>
      <c r="C2194" s="23">
        <v>45.0</v>
      </c>
      <c r="D2194" s="21" t="s">
        <v>4171</v>
      </c>
    </row>
    <row r="2195" ht="15.75" customHeight="1">
      <c r="A2195" s="11"/>
      <c r="B2195" s="12"/>
      <c r="C2195" s="12"/>
      <c r="D2195" s="13"/>
    </row>
    <row r="2196" ht="15.75" customHeight="1">
      <c r="A2196" s="11"/>
      <c r="B2196" s="12"/>
      <c r="C2196" s="12"/>
      <c r="D2196" s="13"/>
    </row>
    <row r="2197" ht="15.75" customHeight="1">
      <c r="A2197" s="14" t="s">
        <v>4145</v>
      </c>
      <c r="B2197" s="15"/>
      <c r="C2197" s="15"/>
      <c r="D2197" s="15"/>
    </row>
    <row r="2198" ht="15.75" customHeight="1">
      <c r="A2198" s="16">
        <v>1.0</v>
      </c>
      <c r="B2198" s="17" t="s">
        <v>6234</v>
      </c>
      <c r="C2198" s="16">
        <v>2.0</v>
      </c>
      <c r="D2198" s="18" t="s">
        <v>4178</v>
      </c>
    </row>
    <row r="2199" ht="15.75" customHeight="1">
      <c r="A2199" s="16">
        <v>2.0</v>
      </c>
      <c r="B2199" s="17" t="s">
        <v>6235</v>
      </c>
      <c r="C2199" s="16">
        <v>3.0</v>
      </c>
      <c r="D2199" s="18" t="s">
        <v>4178</v>
      </c>
    </row>
    <row r="2200" ht="15.75" customHeight="1">
      <c r="A2200" s="16">
        <v>3.0</v>
      </c>
      <c r="B2200" s="17" t="s">
        <v>6236</v>
      </c>
      <c r="C2200" s="16">
        <v>1.0</v>
      </c>
      <c r="D2200" s="18" t="s">
        <v>4178</v>
      </c>
    </row>
    <row r="2201" ht="15.75" customHeight="1">
      <c r="A2201" s="16">
        <v>4.0</v>
      </c>
      <c r="B2201" s="17" t="s">
        <v>6237</v>
      </c>
      <c r="C2201" s="16">
        <v>3.0</v>
      </c>
      <c r="D2201" s="18" t="s">
        <v>4178</v>
      </c>
    </row>
    <row r="2202" ht="15.75" customHeight="1">
      <c r="A2202" s="16">
        <v>5.0</v>
      </c>
      <c r="B2202" s="17" t="s">
        <v>6238</v>
      </c>
      <c r="C2202" s="16">
        <v>3.0</v>
      </c>
      <c r="D2202" s="18" t="s">
        <v>4178</v>
      </c>
    </row>
    <row r="2203" ht="15.75" customHeight="1">
      <c r="A2203" s="16">
        <v>6.0</v>
      </c>
      <c r="B2203" s="17" t="s">
        <v>6239</v>
      </c>
      <c r="C2203" s="16">
        <v>4.0</v>
      </c>
      <c r="D2203" s="18" t="s">
        <v>4178</v>
      </c>
    </row>
    <row r="2204" ht="15.75" customHeight="1">
      <c r="A2204" s="20"/>
      <c r="B2204" s="21" t="s">
        <v>4273</v>
      </c>
      <c r="C2204" s="23">
        <v>16.0</v>
      </c>
      <c r="D2204" s="21" t="s">
        <v>4171</v>
      </c>
    </row>
    <row r="2205" ht="15.75" customHeight="1">
      <c r="A2205" s="11"/>
      <c r="B2205" s="12"/>
      <c r="C2205" s="12"/>
      <c r="D2205" s="13"/>
    </row>
    <row r="2206" ht="15.75" customHeight="1">
      <c r="A2206" s="14" t="s">
        <v>4108</v>
      </c>
      <c r="B2206" s="15"/>
      <c r="C2206" s="15"/>
      <c r="D2206" s="15"/>
    </row>
    <row r="2207" ht="15.75" customHeight="1">
      <c r="A2207" s="16">
        <v>1.0</v>
      </c>
      <c r="B2207" s="17" t="s">
        <v>6240</v>
      </c>
      <c r="C2207" s="16">
        <v>1.0</v>
      </c>
      <c r="D2207" s="18" t="s">
        <v>4183</v>
      </c>
    </row>
    <row r="2208" ht="15.75" customHeight="1">
      <c r="A2208" s="16">
        <v>2.0</v>
      </c>
      <c r="B2208" s="17" t="s">
        <v>6241</v>
      </c>
      <c r="C2208" s="16">
        <v>4.0</v>
      </c>
      <c r="D2208" s="18" t="s">
        <v>4183</v>
      </c>
    </row>
    <row r="2209" ht="15.75" customHeight="1">
      <c r="A2209" s="16">
        <v>3.0</v>
      </c>
      <c r="B2209" s="17" t="s">
        <v>6242</v>
      </c>
      <c r="C2209" s="16">
        <v>6.0</v>
      </c>
      <c r="D2209" s="18" t="s">
        <v>4183</v>
      </c>
    </row>
    <row r="2210" ht="15.75" customHeight="1">
      <c r="A2210" s="16">
        <v>4.0</v>
      </c>
      <c r="B2210" s="17" t="s">
        <v>6243</v>
      </c>
      <c r="C2210" s="18" t="s">
        <v>4213</v>
      </c>
      <c r="D2210" s="18" t="s">
        <v>4183</v>
      </c>
    </row>
    <row r="2211" ht="15.75" customHeight="1">
      <c r="A2211" s="16">
        <v>5.0</v>
      </c>
      <c r="B2211" s="17" t="s">
        <v>6244</v>
      </c>
      <c r="C2211" s="16">
        <v>3.0</v>
      </c>
      <c r="D2211" s="18" t="s">
        <v>4183</v>
      </c>
    </row>
    <row r="2212" ht="15.75" customHeight="1">
      <c r="A2212" s="16">
        <v>6.0</v>
      </c>
      <c r="B2212" s="17" t="s">
        <v>6245</v>
      </c>
      <c r="C2212" s="18" t="s">
        <v>4270</v>
      </c>
      <c r="D2212" s="18" t="s">
        <v>4183</v>
      </c>
    </row>
    <row r="2213" ht="15.75" customHeight="1">
      <c r="A2213" s="16">
        <v>7.0</v>
      </c>
      <c r="B2213" s="17" t="s">
        <v>6246</v>
      </c>
      <c r="C2213" s="16">
        <v>2.0</v>
      </c>
      <c r="D2213" s="18" t="s">
        <v>4183</v>
      </c>
    </row>
    <row r="2214" ht="15.75" customHeight="1">
      <c r="A2214" s="16">
        <v>8.0</v>
      </c>
      <c r="B2214" s="17" t="s">
        <v>6247</v>
      </c>
      <c r="C2214" s="18" t="s">
        <v>4635</v>
      </c>
      <c r="D2214" s="18" t="s">
        <v>4183</v>
      </c>
    </row>
    <row r="2215" ht="15.75" customHeight="1">
      <c r="A2215" s="16">
        <v>9.0</v>
      </c>
      <c r="B2215" s="17" t="s">
        <v>6248</v>
      </c>
      <c r="C2215" s="16">
        <v>1.0</v>
      </c>
      <c r="D2215" s="18" t="s">
        <v>4183</v>
      </c>
    </row>
    <row r="2216" ht="15.75" customHeight="1">
      <c r="A2216" s="16">
        <v>10.0</v>
      </c>
      <c r="B2216" s="17" t="s">
        <v>6249</v>
      </c>
      <c r="C2216" s="16">
        <v>95.0</v>
      </c>
      <c r="D2216" s="18" t="s">
        <v>4183</v>
      </c>
    </row>
    <row r="2217" ht="15.75" customHeight="1">
      <c r="A2217" s="16">
        <v>11.0</v>
      </c>
      <c r="B2217" s="17" t="s">
        <v>6250</v>
      </c>
      <c r="C2217" s="16">
        <v>1.0</v>
      </c>
      <c r="D2217" s="18" t="s">
        <v>4183</v>
      </c>
    </row>
    <row r="2218" ht="15.75" customHeight="1">
      <c r="A2218" s="16">
        <v>12.0</v>
      </c>
      <c r="B2218" s="17" t="s">
        <v>6251</v>
      </c>
      <c r="C2218" s="16">
        <v>1.0</v>
      </c>
      <c r="D2218" s="18" t="s">
        <v>4183</v>
      </c>
    </row>
    <row r="2219" ht="15.75" customHeight="1">
      <c r="A2219" s="16">
        <v>13.0</v>
      </c>
      <c r="B2219" s="17" t="s">
        <v>6252</v>
      </c>
      <c r="C2219" s="16">
        <v>1.0</v>
      </c>
      <c r="D2219" s="18" t="s">
        <v>4183</v>
      </c>
    </row>
    <row r="2220" ht="15.75" customHeight="1">
      <c r="A2220" s="16">
        <v>14.0</v>
      </c>
      <c r="B2220" s="17" t="s">
        <v>6253</v>
      </c>
      <c r="C2220" s="16">
        <v>5.0</v>
      </c>
      <c r="D2220" s="18" t="s">
        <v>4183</v>
      </c>
    </row>
    <row r="2221" ht="15.75" customHeight="1">
      <c r="A2221" s="16">
        <v>15.0</v>
      </c>
      <c r="B2221" s="17" t="s">
        <v>6254</v>
      </c>
      <c r="C2221" s="16">
        <v>1.0</v>
      </c>
      <c r="D2221" s="18" t="s">
        <v>4183</v>
      </c>
    </row>
    <row r="2222" ht="15.75" customHeight="1">
      <c r="A2222" s="16">
        <v>16.0</v>
      </c>
      <c r="B2222" s="17" t="s">
        <v>6255</v>
      </c>
      <c r="C2222" s="16">
        <v>5.0</v>
      </c>
      <c r="D2222" s="18" t="s">
        <v>4183</v>
      </c>
    </row>
    <row r="2223" ht="15.75" customHeight="1">
      <c r="A2223" s="16">
        <v>17.0</v>
      </c>
      <c r="B2223" s="17" t="s">
        <v>6256</v>
      </c>
      <c r="C2223" s="16">
        <v>2.0</v>
      </c>
      <c r="D2223" s="18" t="s">
        <v>4183</v>
      </c>
    </row>
    <row r="2224" ht="15.75" customHeight="1">
      <c r="A2224" s="16">
        <v>18.0</v>
      </c>
      <c r="B2224" s="17" t="s">
        <v>6257</v>
      </c>
      <c r="C2224" s="16">
        <v>6.0</v>
      </c>
      <c r="D2224" s="18" t="s">
        <v>4183</v>
      </c>
    </row>
    <row r="2225" ht="15.75" customHeight="1">
      <c r="A2225" s="16">
        <v>19.0</v>
      </c>
      <c r="B2225" s="17" t="s">
        <v>6258</v>
      </c>
      <c r="C2225" s="16">
        <v>9.0</v>
      </c>
      <c r="D2225" s="18" t="s">
        <v>4183</v>
      </c>
    </row>
    <row r="2226" ht="15.75" customHeight="1">
      <c r="A2226" s="16">
        <v>20.0</v>
      </c>
      <c r="B2226" s="17" t="s">
        <v>6259</v>
      </c>
      <c r="C2226" s="16">
        <v>21.0</v>
      </c>
      <c r="D2226" s="18" t="s">
        <v>4183</v>
      </c>
    </row>
    <row r="2227" ht="15.75" customHeight="1">
      <c r="A2227" s="20"/>
      <c r="B2227" s="21" t="s">
        <v>4273</v>
      </c>
      <c r="C2227" s="23">
        <v>153.0</v>
      </c>
      <c r="D2227" s="21" t="s">
        <v>4171</v>
      </c>
    </row>
    <row r="2228" ht="15.75" customHeight="1">
      <c r="A2228" s="11"/>
      <c r="B2228" s="12"/>
      <c r="C2228" s="12"/>
      <c r="D2228" s="13"/>
    </row>
    <row r="2229" ht="15.75" customHeight="1">
      <c r="A2229" s="14" t="s">
        <v>4155</v>
      </c>
      <c r="B2229" s="15"/>
      <c r="C2229" s="15"/>
      <c r="D2229" s="15"/>
    </row>
    <row r="2230" ht="15.75" customHeight="1">
      <c r="A2230" s="16">
        <v>1.0</v>
      </c>
      <c r="B2230" s="17" t="s">
        <v>6260</v>
      </c>
      <c r="C2230" s="16">
        <v>1.0</v>
      </c>
      <c r="D2230" s="18" t="s">
        <v>4178</v>
      </c>
    </row>
    <row r="2231" ht="15.75" customHeight="1">
      <c r="A2231" s="16">
        <v>2.0</v>
      </c>
      <c r="B2231" s="17" t="s">
        <v>6261</v>
      </c>
      <c r="C2231" s="16">
        <v>2.0</v>
      </c>
      <c r="D2231" s="18" t="s">
        <v>4178</v>
      </c>
    </row>
    <row r="2232" ht="15.75" customHeight="1">
      <c r="A2232" s="16">
        <v>3.0</v>
      </c>
      <c r="B2232" s="17" t="s">
        <v>6262</v>
      </c>
      <c r="C2232" s="16">
        <v>2.0</v>
      </c>
      <c r="D2232" s="18" t="s">
        <v>4178</v>
      </c>
    </row>
    <row r="2233" ht="15.75" customHeight="1">
      <c r="A2233" s="16">
        <v>4.0</v>
      </c>
      <c r="B2233" s="17" t="s">
        <v>6263</v>
      </c>
      <c r="C2233" s="16">
        <v>54.0</v>
      </c>
      <c r="D2233" s="18" t="s">
        <v>4178</v>
      </c>
    </row>
    <row r="2234" ht="15.75" customHeight="1">
      <c r="A2234" s="20"/>
      <c r="B2234" s="21" t="s">
        <v>4273</v>
      </c>
      <c r="C2234" s="23">
        <v>59.0</v>
      </c>
      <c r="D2234" s="21" t="s">
        <v>4171</v>
      </c>
    </row>
    <row r="2235" ht="15.75" customHeight="1">
      <c r="A2235" s="11"/>
      <c r="B2235" s="12"/>
      <c r="C2235" s="12"/>
      <c r="D2235" s="13"/>
    </row>
    <row r="2236" ht="15.75" customHeight="1">
      <c r="A2236" s="14" t="s">
        <v>4087</v>
      </c>
      <c r="B2236" s="15"/>
      <c r="C2236" s="15"/>
      <c r="D2236" s="15"/>
    </row>
    <row r="2237" ht="15.75" customHeight="1">
      <c r="A2237" s="16">
        <v>1.0</v>
      </c>
      <c r="B2237" s="17" t="s">
        <v>6264</v>
      </c>
      <c r="C2237" s="16">
        <v>5.0</v>
      </c>
      <c r="D2237" s="18" t="s">
        <v>4178</v>
      </c>
    </row>
    <row r="2238" ht="15.75" customHeight="1">
      <c r="A2238" s="16">
        <v>2.0</v>
      </c>
      <c r="B2238" s="17" t="s">
        <v>6265</v>
      </c>
      <c r="C2238" s="16">
        <v>4.0</v>
      </c>
      <c r="D2238" s="18" t="s">
        <v>4178</v>
      </c>
    </row>
    <row r="2239" ht="15.75" customHeight="1">
      <c r="A2239" s="16">
        <v>3.0</v>
      </c>
      <c r="B2239" s="17" t="s">
        <v>6266</v>
      </c>
      <c r="C2239" s="16">
        <v>3.0</v>
      </c>
      <c r="D2239" s="18" t="s">
        <v>4178</v>
      </c>
    </row>
    <row r="2240" ht="15.75" customHeight="1">
      <c r="A2240" s="16">
        <v>4.0</v>
      </c>
      <c r="B2240" s="17" t="s">
        <v>6267</v>
      </c>
      <c r="C2240" s="16">
        <v>11.0</v>
      </c>
      <c r="D2240" s="18" t="s">
        <v>4178</v>
      </c>
    </row>
    <row r="2241" ht="15.75" customHeight="1">
      <c r="A2241" s="16">
        <v>5.0</v>
      </c>
      <c r="B2241" s="17" t="s">
        <v>6268</v>
      </c>
      <c r="C2241" s="16">
        <v>5.0</v>
      </c>
      <c r="D2241" s="18" t="s">
        <v>4178</v>
      </c>
    </row>
    <row r="2242" ht="15.75" customHeight="1">
      <c r="A2242" s="16">
        <v>6.0</v>
      </c>
      <c r="B2242" s="17" t="s">
        <v>6269</v>
      </c>
      <c r="C2242" s="16">
        <v>3.0</v>
      </c>
      <c r="D2242" s="18" t="s">
        <v>4178</v>
      </c>
    </row>
    <row r="2243" ht="15.75" customHeight="1">
      <c r="A2243" s="16">
        <v>7.0</v>
      </c>
      <c r="B2243" s="17" t="s">
        <v>6270</v>
      </c>
      <c r="C2243" s="16">
        <v>4.0</v>
      </c>
      <c r="D2243" s="18" t="s">
        <v>4178</v>
      </c>
    </row>
    <row r="2244" ht="15.75" customHeight="1">
      <c r="A2244" s="16">
        <v>8.0</v>
      </c>
      <c r="B2244" s="17" t="s">
        <v>6271</v>
      </c>
      <c r="C2244" s="16">
        <v>6.0</v>
      </c>
      <c r="D2244" s="18" t="s">
        <v>4178</v>
      </c>
    </row>
    <row r="2245" ht="15.75" customHeight="1">
      <c r="A2245" s="16">
        <v>9.0</v>
      </c>
      <c r="B2245" s="17" t="s">
        <v>6272</v>
      </c>
      <c r="C2245" s="16">
        <v>1.0</v>
      </c>
      <c r="D2245" s="18" t="s">
        <v>4178</v>
      </c>
    </row>
    <row r="2246" ht="15.75" customHeight="1">
      <c r="A2246" s="16">
        <v>10.0</v>
      </c>
      <c r="B2246" s="17" t="s">
        <v>6273</v>
      </c>
      <c r="C2246" s="16">
        <v>10.0</v>
      </c>
      <c r="D2246" s="18" t="s">
        <v>4178</v>
      </c>
    </row>
    <row r="2247" ht="15.75" customHeight="1">
      <c r="A2247" s="16">
        <v>11.0</v>
      </c>
      <c r="B2247" s="17" t="s">
        <v>6274</v>
      </c>
      <c r="C2247" s="16">
        <v>11.0</v>
      </c>
      <c r="D2247" s="18" t="s">
        <v>4178</v>
      </c>
    </row>
    <row r="2248" ht="15.75" customHeight="1">
      <c r="A2248" s="16">
        <v>12.0</v>
      </c>
      <c r="B2248" s="17" t="s">
        <v>6275</v>
      </c>
      <c r="C2248" s="16">
        <v>19.0</v>
      </c>
      <c r="D2248" s="18" t="s">
        <v>4178</v>
      </c>
    </row>
    <row r="2249" ht="15.75" customHeight="1">
      <c r="A2249" s="16">
        <v>13.0</v>
      </c>
      <c r="B2249" s="17" t="s">
        <v>6276</v>
      </c>
      <c r="C2249" s="16">
        <v>2.0</v>
      </c>
      <c r="D2249" s="18" t="s">
        <v>4178</v>
      </c>
    </row>
    <row r="2250" ht="15.75" customHeight="1">
      <c r="A2250" s="16">
        <v>14.0</v>
      </c>
      <c r="B2250" s="17" t="s">
        <v>6277</v>
      </c>
      <c r="C2250" s="16">
        <v>14.0</v>
      </c>
      <c r="D2250" s="18" t="s">
        <v>4178</v>
      </c>
    </row>
    <row r="2251" ht="15.75" customHeight="1">
      <c r="A2251" s="16">
        <v>15.0</v>
      </c>
      <c r="B2251" s="17" t="s">
        <v>6278</v>
      </c>
      <c r="C2251" s="16">
        <v>4.0</v>
      </c>
      <c r="D2251" s="18" t="s">
        <v>4178</v>
      </c>
    </row>
    <row r="2252" ht="15.75" customHeight="1">
      <c r="A2252" s="16">
        <v>16.0</v>
      </c>
      <c r="B2252" s="17" t="s">
        <v>6279</v>
      </c>
      <c r="C2252" s="16">
        <v>10.0</v>
      </c>
      <c r="D2252" s="18" t="s">
        <v>4178</v>
      </c>
    </row>
    <row r="2253" ht="15.75" customHeight="1">
      <c r="A2253" s="16">
        <v>17.0</v>
      </c>
      <c r="B2253" s="17" t="s">
        <v>6280</v>
      </c>
      <c r="C2253" s="16">
        <v>10.0</v>
      </c>
      <c r="D2253" s="18" t="s">
        <v>4215</v>
      </c>
    </row>
    <row r="2254" ht="15.75" customHeight="1">
      <c r="A2254" s="16">
        <v>18.0</v>
      </c>
      <c r="B2254" s="17" t="s">
        <v>6281</v>
      </c>
      <c r="C2254" s="16">
        <v>9.0</v>
      </c>
      <c r="D2254" s="18" t="s">
        <v>4178</v>
      </c>
    </row>
    <row r="2255" ht="15.75" customHeight="1">
      <c r="A2255" s="16">
        <v>19.0</v>
      </c>
      <c r="B2255" s="17" t="s">
        <v>6282</v>
      </c>
      <c r="C2255" s="16">
        <v>3.0</v>
      </c>
      <c r="D2255" s="18" t="s">
        <v>4178</v>
      </c>
    </row>
    <row r="2256" ht="15.75" customHeight="1">
      <c r="A2256" s="16">
        <v>20.0</v>
      </c>
      <c r="B2256" s="17" t="s">
        <v>6283</v>
      </c>
      <c r="C2256" s="16">
        <v>3.0</v>
      </c>
      <c r="D2256" s="18" t="s">
        <v>4178</v>
      </c>
    </row>
    <row r="2257" ht="15.75" customHeight="1">
      <c r="A2257" s="16">
        <v>21.0</v>
      </c>
      <c r="B2257" s="17" t="s">
        <v>6284</v>
      </c>
      <c r="C2257" s="16">
        <v>6.0</v>
      </c>
      <c r="D2257" s="18" t="s">
        <v>4178</v>
      </c>
    </row>
    <row r="2258" ht="15.75" customHeight="1">
      <c r="A2258" s="16">
        <v>22.0</v>
      </c>
      <c r="B2258" s="17" t="s">
        <v>6285</v>
      </c>
      <c r="C2258" s="16">
        <v>4.0</v>
      </c>
      <c r="D2258" s="18" t="s">
        <v>4178</v>
      </c>
    </row>
    <row r="2259" ht="15.75" customHeight="1">
      <c r="A2259" s="16">
        <v>23.0</v>
      </c>
      <c r="B2259" s="17" t="s">
        <v>6286</v>
      </c>
      <c r="C2259" s="16">
        <v>8.0</v>
      </c>
      <c r="D2259" s="18" t="s">
        <v>4178</v>
      </c>
    </row>
    <row r="2260" ht="15.75" customHeight="1">
      <c r="A2260" s="16">
        <v>24.0</v>
      </c>
      <c r="B2260" s="17" t="s">
        <v>6287</v>
      </c>
      <c r="C2260" s="18" t="s">
        <v>4270</v>
      </c>
      <c r="D2260" s="18" t="s">
        <v>4178</v>
      </c>
    </row>
    <row r="2261" ht="15.75" customHeight="1">
      <c r="A2261" s="16">
        <v>25.0</v>
      </c>
      <c r="B2261" s="17" t="s">
        <v>6288</v>
      </c>
      <c r="C2261" s="16">
        <v>7.0</v>
      </c>
      <c r="D2261" s="18" t="s">
        <v>4178</v>
      </c>
    </row>
    <row r="2262" ht="15.75" customHeight="1">
      <c r="A2262" s="16">
        <v>26.0</v>
      </c>
      <c r="B2262" s="17" t="s">
        <v>6289</v>
      </c>
      <c r="C2262" s="16">
        <v>8.0</v>
      </c>
      <c r="D2262" s="18" t="s">
        <v>4178</v>
      </c>
    </row>
    <row r="2263" ht="15.75" customHeight="1">
      <c r="A2263" s="16">
        <v>27.0</v>
      </c>
      <c r="B2263" s="17" t="s">
        <v>6290</v>
      </c>
      <c r="C2263" s="16">
        <v>6.0</v>
      </c>
      <c r="D2263" s="18" t="s">
        <v>4215</v>
      </c>
    </row>
    <row r="2264" ht="15.75" customHeight="1">
      <c r="A2264" s="16">
        <v>28.0</v>
      </c>
      <c r="B2264" s="17" t="s">
        <v>6291</v>
      </c>
      <c r="C2264" s="16">
        <v>10.0</v>
      </c>
      <c r="D2264" s="18" t="s">
        <v>4215</v>
      </c>
    </row>
    <row r="2265" ht="15.75" customHeight="1">
      <c r="A2265" s="16">
        <v>29.0</v>
      </c>
      <c r="B2265" s="17" t="s">
        <v>6292</v>
      </c>
      <c r="C2265" s="16">
        <v>8.0</v>
      </c>
      <c r="D2265" s="18" t="s">
        <v>4178</v>
      </c>
    </row>
    <row r="2266" ht="15.75" customHeight="1">
      <c r="A2266" s="16">
        <v>30.0</v>
      </c>
      <c r="B2266" s="17" t="s">
        <v>6293</v>
      </c>
      <c r="C2266" s="16">
        <v>6.0</v>
      </c>
      <c r="D2266" s="18" t="s">
        <v>4178</v>
      </c>
    </row>
    <row r="2267" ht="15.75" customHeight="1">
      <c r="A2267" s="16">
        <v>31.0</v>
      </c>
      <c r="B2267" s="17" t="s">
        <v>6294</v>
      </c>
      <c r="C2267" s="16">
        <v>4.0</v>
      </c>
      <c r="D2267" s="18" t="s">
        <v>4178</v>
      </c>
    </row>
    <row r="2268" ht="15.75" customHeight="1">
      <c r="A2268" s="16">
        <v>32.0</v>
      </c>
      <c r="B2268" s="17" t="s">
        <v>6295</v>
      </c>
      <c r="C2268" s="16">
        <v>7.0</v>
      </c>
      <c r="D2268" s="18" t="s">
        <v>4178</v>
      </c>
    </row>
    <row r="2269" ht="15.75" customHeight="1">
      <c r="A2269" s="20"/>
      <c r="B2269" s="21" t="s">
        <v>4273</v>
      </c>
      <c r="C2269" s="23">
        <v>209.0</v>
      </c>
      <c r="D2269" s="21" t="s">
        <v>4171</v>
      </c>
    </row>
    <row r="2270" ht="15.75" customHeight="1">
      <c r="A2270" s="11"/>
      <c r="B2270" s="12"/>
      <c r="C2270" s="12"/>
      <c r="D2270" s="13"/>
    </row>
    <row r="2271" ht="15.75" customHeight="1">
      <c r="A2271" s="14" t="s">
        <v>4109</v>
      </c>
      <c r="B2271" s="15"/>
      <c r="C2271" s="15"/>
      <c r="D2271" s="15"/>
    </row>
    <row r="2272" ht="15.75" customHeight="1">
      <c r="A2272" s="16">
        <v>1.0</v>
      </c>
      <c r="B2272" s="17" t="s">
        <v>6296</v>
      </c>
      <c r="C2272" s="16">
        <v>2.0</v>
      </c>
      <c r="D2272" s="18" t="s">
        <v>4178</v>
      </c>
    </row>
    <row r="2273" ht="15.75" customHeight="1">
      <c r="A2273" s="16">
        <v>2.0</v>
      </c>
      <c r="B2273" s="17" t="s">
        <v>6297</v>
      </c>
      <c r="C2273" s="16">
        <v>7.0</v>
      </c>
      <c r="D2273" s="18" t="s">
        <v>4178</v>
      </c>
    </row>
    <row r="2274" ht="15.75" customHeight="1">
      <c r="A2274" s="16">
        <v>3.0</v>
      </c>
      <c r="B2274" s="17" t="s">
        <v>6298</v>
      </c>
      <c r="C2274" s="16">
        <v>3.0</v>
      </c>
      <c r="D2274" s="18" t="s">
        <v>4178</v>
      </c>
    </row>
    <row r="2275" ht="15.75" customHeight="1">
      <c r="A2275" s="16">
        <v>4.0</v>
      </c>
      <c r="B2275" s="17" t="s">
        <v>6299</v>
      </c>
      <c r="C2275" s="16">
        <v>10.0</v>
      </c>
      <c r="D2275" s="18" t="s">
        <v>4178</v>
      </c>
    </row>
    <row r="2276" ht="15.75" customHeight="1">
      <c r="A2276" s="16">
        <v>5.0</v>
      </c>
      <c r="B2276" s="17" t="s">
        <v>6300</v>
      </c>
      <c r="C2276" s="16">
        <v>5.0</v>
      </c>
      <c r="D2276" s="18" t="s">
        <v>4178</v>
      </c>
    </row>
    <row r="2277" ht="15.75" customHeight="1">
      <c r="A2277" s="16">
        <v>6.0</v>
      </c>
      <c r="B2277" s="17" t="s">
        <v>6301</v>
      </c>
      <c r="C2277" s="16">
        <v>5.0</v>
      </c>
      <c r="D2277" s="18" t="s">
        <v>4178</v>
      </c>
    </row>
    <row r="2278" ht="15.75" customHeight="1">
      <c r="A2278" s="16">
        <v>7.0</v>
      </c>
      <c r="B2278" s="17" t="s">
        <v>6302</v>
      </c>
      <c r="C2278" s="16">
        <v>5.0</v>
      </c>
      <c r="D2278" s="18" t="s">
        <v>4178</v>
      </c>
    </row>
    <row r="2279" ht="15.75" customHeight="1">
      <c r="A2279" s="16">
        <v>8.0</v>
      </c>
      <c r="B2279" s="17" t="s">
        <v>6303</v>
      </c>
      <c r="C2279" s="16">
        <v>3.0</v>
      </c>
      <c r="D2279" s="18" t="s">
        <v>4178</v>
      </c>
    </row>
    <row r="2280" ht="15.75" customHeight="1">
      <c r="A2280" s="16">
        <v>9.0</v>
      </c>
      <c r="B2280" s="17" t="s">
        <v>6304</v>
      </c>
      <c r="C2280" s="16">
        <v>12.0</v>
      </c>
      <c r="D2280" s="18" t="s">
        <v>4178</v>
      </c>
    </row>
    <row r="2281" ht="15.75" customHeight="1">
      <c r="A2281" s="16">
        <v>10.0</v>
      </c>
      <c r="B2281" s="17" t="s">
        <v>6305</v>
      </c>
      <c r="C2281" s="16">
        <v>10.0</v>
      </c>
      <c r="D2281" s="18" t="s">
        <v>4178</v>
      </c>
    </row>
    <row r="2282" ht="15.75" customHeight="1">
      <c r="A2282" s="16">
        <v>11.0</v>
      </c>
      <c r="B2282" s="17" t="s">
        <v>6306</v>
      </c>
      <c r="C2282" s="16">
        <v>15.0</v>
      </c>
      <c r="D2282" s="18" t="s">
        <v>4178</v>
      </c>
    </row>
    <row r="2283" ht="15.75" customHeight="1">
      <c r="A2283" s="16">
        <v>12.0</v>
      </c>
      <c r="B2283" s="17" t="s">
        <v>6307</v>
      </c>
      <c r="C2283" s="16">
        <v>15.0</v>
      </c>
      <c r="D2283" s="18" t="s">
        <v>4178</v>
      </c>
    </row>
    <row r="2284" ht="15.75" customHeight="1">
      <c r="A2284" s="16">
        <v>13.0</v>
      </c>
      <c r="B2284" s="17" t="s">
        <v>6308</v>
      </c>
      <c r="C2284" s="16">
        <v>1.0</v>
      </c>
      <c r="D2284" s="18" t="s">
        <v>4178</v>
      </c>
    </row>
    <row r="2285" ht="15.75" customHeight="1">
      <c r="A2285" s="16">
        <v>14.0</v>
      </c>
      <c r="B2285" s="17" t="s">
        <v>6309</v>
      </c>
      <c r="C2285" s="16">
        <v>5.0</v>
      </c>
      <c r="D2285" s="18" t="s">
        <v>4178</v>
      </c>
    </row>
    <row r="2286" ht="15.75" customHeight="1">
      <c r="A2286" s="16">
        <v>15.0</v>
      </c>
      <c r="B2286" s="17" t="s">
        <v>6310</v>
      </c>
      <c r="C2286" s="16">
        <v>1.0</v>
      </c>
      <c r="D2286" s="18" t="s">
        <v>4178</v>
      </c>
    </row>
    <row r="2287" ht="15.75" customHeight="1">
      <c r="A2287" s="16">
        <v>16.0</v>
      </c>
      <c r="B2287" s="17" t="s">
        <v>6311</v>
      </c>
      <c r="C2287" s="16">
        <v>1.0</v>
      </c>
      <c r="D2287" s="18" t="s">
        <v>4178</v>
      </c>
    </row>
    <row r="2288" ht="15.75" customHeight="1">
      <c r="A2288" s="16">
        <v>17.0</v>
      </c>
      <c r="B2288" s="17" t="s">
        <v>6312</v>
      </c>
      <c r="C2288" s="16">
        <v>6.0</v>
      </c>
      <c r="D2288" s="18" t="s">
        <v>4178</v>
      </c>
    </row>
    <row r="2289" ht="15.75" customHeight="1">
      <c r="A2289" s="16">
        <v>18.0</v>
      </c>
      <c r="B2289" s="17" t="s">
        <v>6313</v>
      </c>
      <c r="C2289" s="16">
        <v>67.0</v>
      </c>
      <c r="D2289" s="18" t="s">
        <v>4178</v>
      </c>
    </row>
    <row r="2290" ht="15.75" customHeight="1">
      <c r="A2290" s="16">
        <v>19.0</v>
      </c>
      <c r="B2290" s="17" t="s">
        <v>6314</v>
      </c>
      <c r="C2290" s="16">
        <v>10.0</v>
      </c>
      <c r="D2290" s="18" t="s">
        <v>4178</v>
      </c>
    </row>
    <row r="2291" ht="15.75" customHeight="1">
      <c r="A2291" s="16">
        <v>20.0</v>
      </c>
      <c r="B2291" s="17" t="s">
        <v>6315</v>
      </c>
      <c r="C2291" s="16">
        <v>6.0</v>
      </c>
      <c r="D2291" s="18" t="s">
        <v>4178</v>
      </c>
    </row>
    <row r="2292" ht="15.75" customHeight="1">
      <c r="A2292" s="20"/>
      <c r="B2292" s="21" t="s">
        <v>4273</v>
      </c>
      <c r="C2292" s="23">
        <v>189.0</v>
      </c>
      <c r="D2292" s="21" t="s">
        <v>4171</v>
      </c>
    </row>
    <row r="2293" ht="15.75" customHeight="1">
      <c r="A2293" s="11"/>
      <c r="B2293" s="12"/>
      <c r="C2293" s="12"/>
      <c r="D2293" s="13"/>
    </row>
    <row r="2294" ht="15.75" customHeight="1">
      <c r="A2294" s="11"/>
      <c r="B2294" s="12"/>
      <c r="C2294" s="12"/>
      <c r="D2294" s="13"/>
    </row>
    <row r="2295" ht="15.75" customHeight="1">
      <c r="A2295" s="14" t="s">
        <v>4059</v>
      </c>
      <c r="B2295" s="15"/>
      <c r="C2295" s="15"/>
      <c r="D2295" s="15"/>
    </row>
    <row r="2296" ht="15.75" customHeight="1">
      <c r="A2296" s="16">
        <v>1.0</v>
      </c>
      <c r="B2296" s="17" t="s">
        <v>6316</v>
      </c>
      <c r="C2296" s="18" t="s">
        <v>6317</v>
      </c>
      <c r="D2296" s="18" t="s">
        <v>4183</v>
      </c>
    </row>
    <row r="2297" ht="15.75" customHeight="1">
      <c r="A2297" s="16">
        <v>2.0</v>
      </c>
      <c r="B2297" s="17" t="s">
        <v>6318</v>
      </c>
      <c r="C2297" s="16">
        <v>11.0</v>
      </c>
      <c r="D2297" s="18" t="s">
        <v>4183</v>
      </c>
    </row>
    <row r="2298" ht="15.75" customHeight="1">
      <c r="A2298" s="16">
        <v>3.0</v>
      </c>
      <c r="B2298" s="17" t="s">
        <v>6319</v>
      </c>
      <c r="C2298" s="16">
        <v>7.0</v>
      </c>
      <c r="D2298" s="18" t="s">
        <v>4183</v>
      </c>
    </row>
    <row r="2299" ht="15.75" customHeight="1">
      <c r="A2299" s="16">
        <v>4.0</v>
      </c>
      <c r="B2299" s="17" t="s">
        <v>6320</v>
      </c>
      <c r="C2299" s="16">
        <v>9.0</v>
      </c>
      <c r="D2299" s="18" t="s">
        <v>4183</v>
      </c>
    </row>
    <row r="2300" ht="15.75" customHeight="1">
      <c r="A2300" s="16">
        <v>5.0</v>
      </c>
      <c r="B2300" s="17" t="s">
        <v>6321</v>
      </c>
      <c r="C2300" s="16">
        <v>9.0</v>
      </c>
      <c r="D2300" s="18" t="s">
        <v>4183</v>
      </c>
    </row>
    <row r="2301" ht="15.75" customHeight="1">
      <c r="A2301" s="16">
        <v>6.0</v>
      </c>
      <c r="B2301" s="17" t="s">
        <v>6322</v>
      </c>
      <c r="C2301" s="16">
        <v>26.0</v>
      </c>
      <c r="D2301" s="18" t="s">
        <v>4183</v>
      </c>
    </row>
    <row r="2302" ht="15.75" customHeight="1">
      <c r="A2302" s="16">
        <v>7.0</v>
      </c>
      <c r="B2302" s="17" t="s">
        <v>6323</v>
      </c>
      <c r="C2302" s="16">
        <v>32.0</v>
      </c>
      <c r="D2302" s="18" t="s">
        <v>4183</v>
      </c>
    </row>
    <row r="2303" ht="15.75" customHeight="1">
      <c r="A2303" s="16">
        <v>8.0</v>
      </c>
      <c r="B2303" s="17" t="s">
        <v>6324</v>
      </c>
      <c r="C2303" s="16">
        <v>6.0</v>
      </c>
      <c r="D2303" s="18" t="s">
        <v>4183</v>
      </c>
    </row>
    <row r="2304" ht="15.75" customHeight="1">
      <c r="A2304" s="16">
        <v>9.0</v>
      </c>
      <c r="B2304" s="17" t="s">
        <v>6325</v>
      </c>
      <c r="C2304" s="16">
        <v>16.0</v>
      </c>
      <c r="D2304" s="18" t="s">
        <v>4183</v>
      </c>
    </row>
    <row r="2305" ht="15.75" customHeight="1">
      <c r="A2305" s="16">
        <v>10.0</v>
      </c>
      <c r="B2305" s="17" t="s">
        <v>6326</v>
      </c>
      <c r="C2305" s="16">
        <v>10.0</v>
      </c>
      <c r="D2305" s="18" t="s">
        <v>4183</v>
      </c>
    </row>
    <row r="2306" ht="15.75" customHeight="1">
      <c r="A2306" s="16">
        <v>11.0</v>
      </c>
      <c r="B2306" s="17" t="s">
        <v>6327</v>
      </c>
      <c r="C2306" s="16">
        <v>13.0</v>
      </c>
      <c r="D2306" s="18" t="s">
        <v>4183</v>
      </c>
    </row>
    <row r="2307" ht="15.75" customHeight="1">
      <c r="A2307" s="16">
        <v>12.0</v>
      </c>
      <c r="B2307" s="17" t="s">
        <v>6328</v>
      </c>
      <c r="C2307" s="16">
        <v>10.0</v>
      </c>
      <c r="D2307" s="18" t="s">
        <v>4183</v>
      </c>
    </row>
    <row r="2308" ht="15.75" customHeight="1">
      <c r="A2308" s="16">
        <v>13.0</v>
      </c>
      <c r="B2308" s="17" t="s">
        <v>6329</v>
      </c>
      <c r="C2308" s="16">
        <v>3.0</v>
      </c>
      <c r="D2308" s="18" t="s">
        <v>4183</v>
      </c>
    </row>
    <row r="2309" ht="15.75" customHeight="1">
      <c r="A2309" s="16">
        <v>14.0</v>
      </c>
      <c r="B2309" s="17" t="s">
        <v>6330</v>
      </c>
      <c r="C2309" s="16">
        <v>6.0</v>
      </c>
      <c r="D2309" s="18" t="s">
        <v>4183</v>
      </c>
    </row>
    <row r="2310" ht="15.75" customHeight="1">
      <c r="A2310" s="16">
        <v>15.0</v>
      </c>
      <c r="B2310" s="17" t="s">
        <v>6331</v>
      </c>
      <c r="C2310" s="16">
        <v>1.0</v>
      </c>
      <c r="D2310" s="18" t="s">
        <v>4339</v>
      </c>
    </row>
    <row r="2311" ht="15.75" customHeight="1">
      <c r="A2311" s="16">
        <v>16.0</v>
      </c>
      <c r="B2311" s="17" t="s">
        <v>6332</v>
      </c>
      <c r="C2311" s="16">
        <v>1.0</v>
      </c>
      <c r="D2311" s="18" t="s">
        <v>4183</v>
      </c>
    </row>
    <row r="2312" ht="15.75" customHeight="1">
      <c r="A2312" s="16">
        <v>17.0</v>
      </c>
      <c r="B2312" s="17" t="s">
        <v>6333</v>
      </c>
      <c r="C2312" s="16">
        <v>1.0</v>
      </c>
      <c r="D2312" s="18" t="s">
        <v>4183</v>
      </c>
    </row>
    <row r="2313" ht="15.75" customHeight="1">
      <c r="A2313" s="16">
        <v>18.0</v>
      </c>
      <c r="B2313" s="17" t="s">
        <v>6334</v>
      </c>
      <c r="C2313" s="16">
        <v>9.0</v>
      </c>
      <c r="D2313" s="18" t="s">
        <v>4183</v>
      </c>
    </row>
    <row r="2314" ht="15.75" customHeight="1">
      <c r="A2314" s="16">
        <v>19.0</v>
      </c>
      <c r="B2314" s="17" t="s">
        <v>6335</v>
      </c>
      <c r="C2314" s="16">
        <v>8.0</v>
      </c>
      <c r="D2314" s="18" t="s">
        <v>4183</v>
      </c>
    </row>
    <row r="2315" ht="15.75" customHeight="1">
      <c r="A2315" s="16">
        <v>20.0</v>
      </c>
      <c r="B2315" s="17" t="s">
        <v>6336</v>
      </c>
      <c r="C2315" s="16">
        <v>2.0</v>
      </c>
      <c r="D2315" s="18" t="s">
        <v>4183</v>
      </c>
    </row>
    <row r="2316" ht="15.75" customHeight="1">
      <c r="A2316" s="16">
        <v>21.0</v>
      </c>
      <c r="B2316" s="17" t="s">
        <v>6337</v>
      </c>
      <c r="C2316" s="16">
        <v>7.0</v>
      </c>
      <c r="D2316" s="18" t="s">
        <v>4215</v>
      </c>
    </row>
    <row r="2317" ht="15.75" customHeight="1">
      <c r="A2317" s="16">
        <v>22.0</v>
      </c>
      <c r="B2317" s="17" t="s">
        <v>6338</v>
      </c>
      <c r="C2317" s="16">
        <v>1.0</v>
      </c>
      <c r="D2317" s="18" t="s">
        <v>4183</v>
      </c>
    </row>
    <row r="2318" ht="15.75" customHeight="1">
      <c r="A2318" s="16">
        <v>23.0</v>
      </c>
      <c r="B2318" s="17" t="s">
        <v>6339</v>
      </c>
      <c r="C2318" s="16">
        <v>8.0</v>
      </c>
      <c r="D2318" s="18" t="s">
        <v>4183</v>
      </c>
    </row>
    <row r="2319" ht="15.75" customHeight="1">
      <c r="A2319" s="16">
        <v>24.0</v>
      </c>
      <c r="B2319" s="17" t="s">
        <v>6340</v>
      </c>
      <c r="C2319" s="16">
        <v>7.0</v>
      </c>
      <c r="D2319" s="18" t="s">
        <v>4183</v>
      </c>
    </row>
    <row r="2320" ht="15.75" customHeight="1">
      <c r="A2320" s="16">
        <v>25.0</v>
      </c>
      <c r="B2320" s="17" t="s">
        <v>6341</v>
      </c>
      <c r="C2320" s="16">
        <v>4.0</v>
      </c>
      <c r="D2320" s="18" t="s">
        <v>4183</v>
      </c>
    </row>
    <row r="2321" ht="15.75" customHeight="1">
      <c r="A2321" s="16">
        <v>26.0</v>
      </c>
      <c r="B2321" s="17" t="s">
        <v>6342</v>
      </c>
      <c r="C2321" s="16">
        <v>10.0</v>
      </c>
      <c r="D2321" s="18" t="s">
        <v>4183</v>
      </c>
    </row>
    <row r="2322" ht="15.75" customHeight="1">
      <c r="A2322" s="16">
        <v>27.0</v>
      </c>
      <c r="B2322" s="17" t="s">
        <v>6343</v>
      </c>
      <c r="C2322" s="16">
        <v>5.0</v>
      </c>
      <c r="D2322" s="18" t="s">
        <v>4183</v>
      </c>
    </row>
    <row r="2323" ht="15.75" customHeight="1">
      <c r="A2323" s="16">
        <v>28.0</v>
      </c>
      <c r="B2323" s="17" t="s">
        <v>6344</v>
      </c>
      <c r="C2323" s="16">
        <v>2.0</v>
      </c>
      <c r="D2323" s="18" t="s">
        <v>4183</v>
      </c>
    </row>
    <row r="2324" ht="15.75" customHeight="1">
      <c r="A2324" s="16">
        <v>29.0</v>
      </c>
      <c r="B2324" s="17" t="s">
        <v>6345</v>
      </c>
      <c r="C2324" s="16">
        <v>2.0</v>
      </c>
      <c r="D2324" s="18" t="s">
        <v>4183</v>
      </c>
    </row>
    <row r="2325" ht="15.75" customHeight="1">
      <c r="A2325" s="16">
        <v>30.0</v>
      </c>
      <c r="B2325" s="17" t="s">
        <v>6346</v>
      </c>
      <c r="C2325" s="16">
        <v>24.0</v>
      </c>
      <c r="D2325" s="18" t="s">
        <v>4183</v>
      </c>
    </row>
    <row r="2326" ht="15.75" customHeight="1">
      <c r="A2326" s="16">
        <v>31.0</v>
      </c>
      <c r="B2326" s="17" t="s">
        <v>6347</v>
      </c>
      <c r="C2326" s="16">
        <v>2.0</v>
      </c>
      <c r="D2326" s="18" t="s">
        <v>4183</v>
      </c>
    </row>
    <row r="2327" ht="15.75" customHeight="1">
      <c r="A2327" s="16">
        <v>32.0</v>
      </c>
      <c r="B2327" s="17" t="s">
        <v>6348</v>
      </c>
      <c r="C2327" s="16">
        <v>13.0</v>
      </c>
      <c r="D2327" s="18" t="s">
        <v>4183</v>
      </c>
    </row>
    <row r="2328" ht="15.75" customHeight="1">
      <c r="A2328" s="16">
        <v>33.0</v>
      </c>
      <c r="B2328" s="17" t="s">
        <v>6349</v>
      </c>
      <c r="C2328" s="16">
        <v>8.0</v>
      </c>
      <c r="D2328" s="18" t="s">
        <v>4183</v>
      </c>
    </row>
    <row r="2329" ht="15.75" customHeight="1">
      <c r="A2329" s="16">
        <v>34.0</v>
      </c>
      <c r="B2329" s="17" t="s">
        <v>6350</v>
      </c>
      <c r="C2329" s="16">
        <v>8.0</v>
      </c>
      <c r="D2329" s="18" t="s">
        <v>4183</v>
      </c>
    </row>
    <row r="2330" ht="15.75" customHeight="1">
      <c r="A2330" s="16">
        <v>35.0</v>
      </c>
      <c r="B2330" s="17" t="s">
        <v>6351</v>
      </c>
      <c r="C2330" s="16">
        <v>4.0</v>
      </c>
      <c r="D2330" s="18" t="s">
        <v>4183</v>
      </c>
    </row>
    <row r="2331" ht="15.75" customHeight="1">
      <c r="A2331" s="16">
        <v>36.0</v>
      </c>
      <c r="B2331" s="17" t="s">
        <v>6352</v>
      </c>
      <c r="C2331" s="16">
        <v>3.0</v>
      </c>
      <c r="D2331" s="18" t="s">
        <v>4183</v>
      </c>
    </row>
    <row r="2332" ht="15.75" customHeight="1">
      <c r="A2332" s="16">
        <v>37.0</v>
      </c>
      <c r="B2332" s="17" t="s">
        <v>6353</v>
      </c>
      <c r="C2332" s="16">
        <v>4.0</v>
      </c>
      <c r="D2332" s="18" t="s">
        <v>4178</v>
      </c>
    </row>
    <row r="2333" ht="15.75" customHeight="1">
      <c r="A2333" s="16">
        <v>38.0</v>
      </c>
      <c r="B2333" s="17" t="s">
        <v>6354</v>
      </c>
      <c r="C2333" s="16">
        <v>3.0</v>
      </c>
      <c r="D2333" s="18" t="s">
        <v>4178</v>
      </c>
    </row>
    <row r="2334" ht="15.75" customHeight="1">
      <c r="A2334" s="16">
        <v>39.0</v>
      </c>
      <c r="B2334" s="17" t="s">
        <v>6355</v>
      </c>
      <c r="C2334" s="16">
        <v>4.0</v>
      </c>
      <c r="D2334" s="18" t="s">
        <v>4178</v>
      </c>
    </row>
    <row r="2335" ht="15.75" customHeight="1">
      <c r="A2335" s="16">
        <v>40.0</v>
      </c>
      <c r="B2335" s="17" t="s">
        <v>6356</v>
      </c>
      <c r="C2335" s="16">
        <v>8.0</v>
      </c>
      <c r="D2335" s="18" t="s">
        <v>4178</v>
      </c>
    </row>
    <row r="2336" ht="15.75" customHeight="1">
      <c r="A2336" s="16">
        <v>41.0</v>
      </c>
      <c r="B2336" s="17" t="s">
        <v>6357</v>
      </c>
      <c r="C2336" s="16">
        <v>8.0</v>
      </c>
      <c r="D2336" s="18" t="s">
        <v>4178</v>
      </c>
    </row>
    <row r="2337" ht="15.75" customHeight="1">
      <c r="A2337" s="16">
        <v>42.0</v>
      </c>
      <c r="B2337" s="17" t="s">
        <v>6358</v>
      </c>
      <c r="C2337" s="16">
        <v>9.0</v>
      </c>
      <c r="D2337" s="18" t="s">
        <v>4183</v>
      </c>
    </row>
    <row r="2338" ht="15.75" customHeight="1">
      <c r="A2338" s="16">
        <v>43.0</v>
      </c>
      <c r="B2338" s="17" t="s">
        <v>6359</v>
      </c>
      <c r="C2338" s="16">
        <v>4.0</v>
      </c>
      <c r="D2338" s="18" t="s">
        <v>4183</v>
      </c>
    </row>
    <row r="2339" ht="15.75" customHeight="1">
      <c r="A2339" s="16">
        <v>44.0</v>
      </c>
      <c r="B2339" s="17" t="s">
        <v>6360</v>
      </c>
      <c r="C2339" s="16">
        <v>4.0</v>
      </c>
      <c r="D2339" s="18" t="s">
        <v>4183</v>
      </c>
    </row>
    <row r="2340" ht="15.75" customHeight="1">
      <c r="A2340" s="16">
        <v>45.0</v>
      </c>
      <c r="B2340" s="17" t="s">
        <v>6361</v>
      </c>
      <c r="C2340" s="16">
        <v>20.0</v>
      </c>
      <c r="D2340" s="18" t="s">
        <v>4183</v>
      </c>
    </row>
    <row r="2341" ht="15.75" customHeight="1">
      <c r="A2341" s="16">
        <v>46.0</v>
      </c>
      <c r="B2341" s="17" t="s">
        <v>6362</v>
      </c>
      <c r="C2341" s="16">
        <v>40.0</v>
      </c>
      <c r="D2341" s="18" t="s">
        <v>4183</v>
      </c>
    </row>
    <row r="2342" ht="15.75" customHeight="1">
      <c r="A2342" s="16">
        <v>47.0</v>
      </c>
      <c r="B2342" s="17" t="s">
        <v>6363</v>
      </c>
      <c r="C2342" s="16">
        <v>7.0</v>
      </c>
      <c r="D2342" s="18" t="s">
        <v>4183</v>
      </c>
    </row>
    <row r="2343" ht="15.75" customHeight="1">
      <c r="A2343" s="16">
        <v>48.0</v>
      </c>
      <c r="B2343" s="17" t="s">
        <v>6364</v>
      </c>
      <c r="C2343" s="16">
        <v>6.0</v>
      </c>
      <c r="D2343" s="18" t="s">
        <v>4183</v>
      </c>
    </row>
    <row r="2344" ht="15.75" customHeight="1">
      <c r="A2344" s="16">
        <v>49.0</v>
      </c>
      <c r="B2344" s="17" t="s">
        <v>6365</v>
      </c>
      <c r="C2344" s="16">
        <v>5.0</v>
      </c>
      <c r="D2344" s="18" t="s">
        <v>4183</v>
      </c>
    </row>
    <row r="2345" ht="15.75" customHeight="1">
      <c r="A2345" s="16">
        <v>50.0</v>
      </c>
      <c r="B2345" s="17" t="s">
        <v>6366</v>
      </c>
      <c r="C2345" s="16">
        <v>25.0</v>
      </c>
      <c r="D2345" s="18" t="s">
        <v>4183</v>
      </c>
    </row>
    <row r="2346" ht="15.75" customHeight="1">
      <c r="A2346" s="16">
        <v>51.0</v>
      </c>
      <c r="B2346" s="17" t="s">
        <v>6367</v>
      </c>
      <c r="C2346" s="16">
        <v>36.0</v>
      </c>
      <c r="D2346" s="18" t="s">
        <v>4183</v>
      </c>
    </row>
    <row r="2347" ht="15.75" customHeight="1">
      <c r="A2347" s="16">
        <v>52.0</v>
      </c>
      <c r="B2347" s="17" t="s">
        <v>6368</v>
      </c>
      <c r="C2347" s="16">
        <v>8.0</v>
      </c>
      <c r="D2347" s="18" t="s">
        <v>4183</v>
      </c>
    </row>
    <row r="2348" ht="15.75" customHeight="1">
      <c r="A2348" s="16">
        <v>53.0</v>
      </c>
      <c r="B2348" s="17" t="s">
        <v>6369</v>
      </c>
      <c r="C2348" s="16">
        <v>10.0</v>
      </c>
      <c r="D2348" s="18" t="s">
        <v>4183</v>
      </c>
    </row>
    <row r="2349" ht="15.75" customHeight="1">
      <c r="A2349" s="16">
        <v>54.0</v>
      </c>
      <c r="B2349" s="17" t="s">
        <v>6370</v>
      </c>
      <c r="C2349" s="16">
        <v>2.0</v>
      </c>
      <c r="D2349" s="18" t="s">
        <v>4183</v>
      </c>
    </row>
    <row r="2350" ht="15.75" customHeight="1">
      <c r="A2350" s="16">
        <v>55.0</v>
      </c>
      <c r="B2350" s="17" t="s">
        <v>6371</v>
      </c>
      <c r="C2350" s="16">
        <v>7.0</v>
      </c>
      <c r="D2350" s="18" t="s">
        <v>4183</v>
      </c>
    </row>
    <row r="2351" ht="15.75" customHeight="1">
      <c r="A2351" s="16">
        <v>56.0</v>
      </c>
      <c r="B2351" s="17" t="s">
        <v>6372</v>
      </c>
      <c r="C2351" s="18" t="s">
        <v>6373</v>
      </c>
      <c r="D2351" s="18" t="s">
        <v>4178</v>
      </c>
    </row>
    <row r="2352" ht="15.75" customHeight="1">
      <c r="A2352" s="16">
        <v>57.0</v>
      </c>
      <c r="B2352" s="17" t="s">
        <v>6374</v>
      </c>
      <c r="C2352" s="16">
        <v>2.0</v>
      </c>
      <c r="D2352" s="18" t="s">
        <v>4183</v>
      </c>
    </row>
    <row r="2353" ht="15.75" customHeight="1">
      <c r="A2353" s="16">
        <v>58.0</v>
      </c>
      <c r="B2353" s="17" t="s">
        <v>6375</v>
      </c>
      <c r="C2353" s="16">
        <v>5.0</v>
      </c>
      <c r="D2353" s="18" t="s">
        <v>4183</v>
      </c>
    </row>
    <row r="2354" ht="15.75" customHeight="1">
      <c r="A2354" s="16">
        <v>59.0</v>
      </c>
      <c r="B2354" s="17" t="s">
        <v>6376</v>
      </c>
      <c r="C2354" s="16">
        <v>4.0</v>
      </c>
      <c r="D2354" s="18" t="s">
        <v>4183</v>
      </c>
    </row>
    <row r="2355" ht="15.75" customHeight="1">
      <c r="A2355" s="16">
        <v>60.0</v>
      </c>
      <c r="B2355" s="17" t="s">
        <v>6377</v>
      </c>
      <c r="C2355" s="16">
        <v>10.0</v>
      </c>
      <c r="D2355" s="18" t="s">
        <v>4183</v>
      </c>
    </row>
    <row r="2356" ht="15.75" customHeight="1">
      <c r="A2356" s="16">
        <v>61.0</v>
      </c>
      <c r="B2356" s="17" t="s">
        <v>6378</v>
      </c>
      <c r="C2356" s="16">
        <v>2.0</v>
      </c>
      <c r="D2356" s="18" t="s">
        <v>4183</v>
      </c>
    </row>
    <row r="2357" ht="15.75" customHeight="1">
      <c r="A2357" s="16">
        <v>62.0</v>
      </c>
      <c r="B2357" s="17" t="s">
        <v>6379</v>
      </c>
      <c r="C2357" s="16">
        <v>8.0</v>
      </c>
      <c r="D2357" s="18" t="s">
        <v>4183</v>
      </c>
    </row>
    <row r="2358" ht="15.75" customHeight="1">
      <c r="A2358" s="16">
        <v>63.0</v>
      </c>
      <c r="B2358" s="17" t="s">
        <v>6380</v>
      </c>
      <c r="C2358" s="16">
        <v>7.0</v>
      </c>
      <c r="D2358" s="18" t="s">
        <v>4183</v>
      </c>
    </row>
    <row r="2359" ht="15.75" customHeight="1">
      <c r="A2359" s="16">
        <v>64.0</v>
      </c>
      <c r="B2359" s="17" t="s">
        <v>6381</v>
      </c>
      <c r="C2359" s="16">
        <v>11.0</v>
      </c>
      <c r="D2359" s="18" t="s">
        <v>4183</v>
      </c>
    </row>
    <row r="2360" ht="15.75" customHeight="1">
      <c r="A2360" s="16">
        <v>65.0</v>
      </c>
      <c r="B2360" s="17" t="s">
        <v>6382</v>
      </c>
      <c r="C2360" s="16">
        <v>4.0</v>
      </c>
      <c r="D2360" s="18" t="s">
        <v>4183</v>
      </c>
    </row>
    <row r="2361" ht="15.75" customHeight="1">
      <c r="A2361" s="16">
        <v>66.0</v>
      </c>
      <c r="B2361" s="17" t="s">
        <v>6383</v>
      </c>
      <c r="C2361" s="16">
        <v>10.0</v>
      </c>
      <c r="D2361" s="18" t="s">
        <v>4178</v>
      </c>
    </row>
    <row r="2362" ht="15.75" customHeight="1">
      <c r="A2362" s="16">
        <v>67.0</v>
      </c>
      <c r="B2362" s="17" t="s">
        <v>6384</v>
      </c>
      <c r="C2362" s="16">
        <v>7.0</v>
      </c>
      <c r="D2362" s="18" t="s">
        <v>4183</v>
      </c>
    </row>
    <row r="2363" ht="15.75" customHeight="1">
      <c r="A2363" s="16">
        <v>68.0</v>
      </c>
      <c r="B2363" s="17" t="s">
        <v>6385</v>
      </c>
      <c r="C2363" s="16">
        <v>18.0</v>
      </c>
      <c r="D2363" s="18" t="s">
        <v>4183</v>
      </c>
    </row>
    <row r="2364" ht="15.75" customHeight="1">
      <c r="A2364" s="16">
        <v>69.0</v>
      </c>
      <c r="B2364" s="17" t="s">
        <v>6386</v>
      </c>
      <c r="C2364" s="16">
        <v>3.0</v>
      </c>
      <c r="D2364" s="18" t="s">
        <v>4178</v>
      </c>
    </row>
    <row r="2365" ht="15.75" customHeight="1">
      <c r="A2365" s="16">
        <v>70.0</v>
      </c>
      <c r="B2365" s="17" t="s">
        <v>6387</v>
      </c>
      <c r="C2365" s="16">
        <v>4.0</v>
      </c>
      <c r="D2365" s="18" t="s">
        <v>4178</v>
      </c>
    </row>
    <row r="2366" ht="15.75" customHeight="1">
      <c r="A2366" s="16">
        <v>71.0</v>
      </c>
      <c r="B2366" s="17" t="s">
        <v>6388</v>
      </c>
      <c r="C2366" s="18" t="s">
        <v>4681</v>
      </c>
      <c r="D2366" s="18" t="s">
        <v>4178</v>
      </c>
    </row>
    <row r="2367" ht="15.75" customHeight="1">
      <c r="A2367" s="16">
        <v>72.0</v>
      </c>
      <c r="B2367" s="17" t="s">
        <v>6389</v>
      </c>
      <c r="C2367" s="16">
        <v>5.0</v>
      </c>
      <c r="D2367" s="18" t="s">
        <v>4183</v>
      </c>
    </row>
    <row r="2368" ht="15.75" customHeight="1">
      <c r="A2368" s="16">
        <v>73.0</v>
      </c>
      <c r="B2368" s="17" t="s">
        <v>6390</v>
      </c>
      <c r="C2368" s="16">
        <v>2.0</v>
      </c>
      <c r="D2368" s="18" t="s">
        <v>4183</v>
      </c>
    </row>
    <row r="2369" ht="15.75" customHeight="1">
      <c r="A2369" s="16">
        <v>74.0</v>
      </c>
      <c r="B2369" s="17" t="s">
        <v>6391</v>
      </c>
      <c r="C2369" s="16">
        <v>2.0</v>
      </c>
      <c r="D2369" s="18" t="s">
        <v>4183</v>
      </c>
    </row>
    <row r="2370" ht="15.75" customHeight="1">
      <c r="A2370" s="16">
        <v>75.0</v>
      </c>
      <c r="B2370" s="17" t="s">
        <v>6392</v>
      </c>
      <c r="C2370" s="16">
        <v>1.0</v>
      </c>
      <c r="D2370" s="18" t="s">
        <v>4183</v>
      </c>
    </row>
    <row r="2371" ht="15.75" customHeight="1">
      <c r="A2371" s="16">
        <v>76.0</v>
      </c>
      <c r="B2371" s="17" t="s">
        <v>6393</v>
      </c>
      <c r="C2371" s="16">
        <v>16.0</v>
      </c>
      <c r="D2371" s="18" t="s">
        <v>4183</v>
      </c>
    </row>
    <row r="2372" ht="15.75" customHeight="1">
      <c r="A2372" s="16">
        <v>77.0</v>
      </c>
      <c r="B2372" s="17" t="s">
        <v>6394</v>
      </c>
      <c r="C2372" s="19">
        <v>5.05</v>
      </c>
      <c r="D2372" s="18" t="s">
        <v>4183</v>
      </c>
    </row>
    <row r="2373" ht="15.75" customHeight="1">
      <c r="A2373" s="16">
        <v>78.0</v>
      </c>
      <c r="B2373" s="17" t="s">
        <v>6395</v>
      </c>
      <c r="C2373" s="16">
        <v>4.0</v>
      </c>
      <c r="D2373" s="18" t="s">
        <v>4183</v>
      </c>
    </row>
    <row r="2374" ht="15.75" customHeight="1">
      <c r="A2374" s="16">
        <v>79.0</v>
      </c>
      <c r="B2374" s="17" t="s">
        <v>6396</v>
      </c>
      <c r="C2374" s="16">
        <v>2.0</v>
      </c>
      <c r="D2374" s="18" t="s">
        <v>4183</v>
      </c>
    </row>
    <row r="2375" ht="15.75" customHeight="1">
      <c r="A2375" s="16">
        <v>80.0</v>
      </c>
      <c r="B2375" s="17" t="s">
        <v>6397</v>
      </c>
      <c r="C2375" s="16">
        <v>2.0</v>
      </c>
      <c r="D2375" s="18" t="s">
        <v>4183</v>
      </c>
    </row>
    <row r="2376" ht="15.75" customHeight="1">
      <c r="A2376" s="16">
        <v>81.0</v>
      </c>
      <c r="B2376" s="17" t="s">
        <v>6398</v>
      </c>
      <c r="C2376" s="16">
        <v>5.0</v>
      </c>
      <c r="D2376" s="18" t="s">
        <v>4183</v>
      </c>
    </row>
    <row r="2377" ht="15.75" customHeight="1">
      <c r="A2377" s="16">
        <v>82.0</v>
      </c>
      <c r="B2377" s="17" t="s">
        <v>6399</v>
      </c>
      <c r="C2377" s="16">
        <v>5.0</v>
      </c>
      <c r="D2377" s="18" t="s">
        <v>4339</v>
      </c>
    </row>
    <row r="2378" ht="15.75" customHeight="1">
      <c r="A2378" s="16">
        <v>83.0</v>
      </c>
      <c r="B2378" s="17" t="s">
        <v>6400</v>
      </c>
      <c r="C2378" s="16">
        <v>3.0</v>
      </c>
      <c r="D2378" s="18" t="s">
        <v>6401</v>
      </c>
    </row>
    <row r="2379" ht="15.75" customHeight="1">
      <c r="A2379" s="16">
        <v>84.0</v>
      </c>
      <c r="B2379" s="17" t="s">
        <v>6402</v>
      </c>
      <c r="C2379" s="16">
        <v>2.0</v>
      </c>
      <c r="D2379" s="18" t="s">
        <v>4178</v>
      </c>
    </row>
    <row r="2380" ht="15.75" customHeight="1">
      <c r="A2380" s="16">
        <v>85.0</v>
      </c>
      <c r="B2380" s="17" t="s">
        <v>6403</v>
      </c>
      <c r="C2380" s="16">
        <v>3.0</v>
      </c>
      <c r="D2380" s="18" t="s">
        <v>4183</v>
      </c>
    </row>
    <row r="2381" ht="15.75" customHeight="1">
      <c r="A2381" s="16">
        <v>86.0</v>
      </c>
      <c r="B2381" s="17" t="s">
        <v>6404</v>
      </c>
      <c r="C2381" s="16">
        <v>2.0</v>
      </c>
      <c r="D2381" s="18" t="s">
        <v>4183</v>
      </c>
    </row>
    <row r="2382" ht="15.75" customHeight="1">
      <c r="A2382" s="16">
        <v>87.0</v>
      </c>
      <c r="B2382" s="17" t="s">
        <v>6405</v>
      </c>
      <c r="C2382" s="19">
        <v>3.05</v>
      </c>
      <c r="D2382" s="18" t="s">
        <v>6406</v>
      </c>
    </row>
    <row r="2383" ht="15.75" customHeight="1">
      <c r="A2383" s="16">
        <v>88.0</v>
      </c>
      <c r="B2383" s="17" t="s">
        <v>6407</v>
      </c>
      <c r="C2383" s="16">
        <v>3.0</v>
      </c>
      <c r="D2383" s="18" t="s">
        <v>4183</v>
      </c>
    </row>
    <row r="2384" ht="15.75" customHeight="1">
      <c r="A2384" s="16">
        <v>89.0</v>
      </c>
      <c r="B2384" s="17" t="s">
        <v>6408</v>
      </c>
      <c r="C2384" s="19">
        <v>8.9</v>
      </c>
      <c r="D2384" s="18" t="s">
        <v>4183</v>
      </c>
    </row>
    <row r="2385" ht="15.75" customHeight="1">
      <c r="A2385" s="16">
        <v>90.0</v>
      </c>
      <c r="B2385" s="17" t="s">
        <v>6409</v>
      </c>
      <c r="C2385" s="16">
        <v>10.0</v>
      </c>
      <c r="D2385" s="18" t="s">
        <v>4183</v>
      </c>
    </row>
    <row r="2386" ht="15.75" customHeight="1">
      <c r="A2386" s="16">
        <v>91.0</v>
      </c>
      <c r="B2386" s="17" t="s">
        <v>6410</v>
      </c>
      <c r="C2386" s="16">
        <v>2.0</v>
      </c>
      <c r="D2386" s="18" t="s">
        <v>4473</v>
      </c>
    </row>
    <row r="2387" ht="15.75" customHeight="1">
      <c r="A2387" s="16">
        <v>92.0</v>
      </c>
      <c r="B2387" s="17" t="s">
        <v>6411</v>
      </c>
      <c r="C2387" s="16">
        <v>6.0</v>
      </c>
      <c r="D2387" s="18" t="s">
        <v>4183</v>
      </c>
    </row>
    <row r="2388" ht="15.75" customHeight="1">
      <c r="A2388" s="16">
        <v>93.0</v>
      </c>
      <c r="B2388" s="17" t="s">
        <v>6412</v>
      </c>
      <c r="C2388" s="16">
        <v>10.0</v>
      </c>
      <c r="D2388" s="18" t="s">
        <v>4183</v>
      </c>
    </row>
    <row r="2389" ht="15.75" customHeight="1">
      <c r="A2389" s="16">
        <v>94.0</v>
      </c>
      <c r="B2389" s="17" t="s">
        <v>6413</v>
      </c>
      <c r="C2389" s="16">
        <v>4.0</v>
      </c>
      <c r="D2389" s="18" t="s">
        <v>4473</v>
      </c>
    </row>
    <row r="2390" ht="15.75" customHeight="1">
      <c r="A2390" s="16">
        <v>95.0</v>
      </c>
      <c r="B2390" s="17" t="s">
        <v>6414</v>
      </c>
      <c r="C2390" s="19">
        <v>31.75</v>
      </c>
      <c r="D2390" s="18" t="s">
        <v>4183</v>
      </c>
    </row>
    <row r="2391" ht="15.75" customHeight="1">
      <c r="A2391" s="16">
        <v>96.0</v>
      </c>
      <c r="B2391" s="17" t="s">
        <v>6415</v>
      </c>
      <c r="C2391" s="16">
        <v>1.0</v>
      </c>
      <c r="D2391" s="18" t="s">
        <v>4183</v>
      </c>
    </row>
    <row r="2392" ht="15.75" customHeight="1">
      <c r="A2392" s="16">
        <v>97.0</v>
      </c>
      <c r="B2392" s="17" t="s">
        <v>6416</v>
      </c>
      <c r="C2392" s="16">
        <v>5.0</v>
      </c>
      <c r="D2392" s="18" t="s">
        <v>4178</v>
      </c>
    </row>
    <row r="2393" ht="15.75" customHeight="1">
      <c r="A2393" s="16">
        <v>98.0</v>
      </c>
      <c r="B2393" s="17" t="s">
        <v>6417</v>
      </c>
      <c r="C2393" s="16">
        <v>4.0</v>
      </c>
      <c r="D2393" s="18" t="s">
        <v>4183</v>
      </c>
    </row>
    <row r="2394" ht="15.75" customHeight="1">
      <c r="A2394" s="16">
        <v>99.0</v>
      </c>
      <c r="B2394" s="17" t="s">
        <v>6418</v>
      </c>
      <c r="C2394" s="16">
        <v>5.0</v>
      </c>
      <c r="D2394" s="18" t="s">
        <v>4183</v>
      </c>
    </row>
    <row r="2395" ht="15.75" customHeight="1">
      <c r="A2395" s="16">
        <v>100.0</v>
      </c>
      <c r="B2395" s="17" t="s">
        <v>6419</v>
      </c>
      <c r="C2395" s="16">
        <v>2.0</v>
      </c>
      <c r="D2395" s="18" t="s">
        <v>4183</v>
      </c>
    </row>
    <row r="2396" ht="15.75" customHeight="1">
      <c r="A2396" s="16">
        <v>101.0</v>
      </c>
      <c r="B2396" s="17" t="s">
        <v>6420</v>
      </c>
      <c r="C2396" s="16">
        <v>5.0</v>
      </c>
      <c r="D2396" s="18" t="s">
        <v>4183</v>
      </c>
    </row>
    <row r="2397" ht="15.75" customHeight="1">
      <c r="A2397" s="16">
        <v>102.0</v>
      </c>
      <c r="B2397" s="17" t="s">
        <v>6421</v>
      </c>
      <c r="C2397" s="16">
        <v>3.0</v>
      </c>
      <c r="D2397" s="18" t="s">
        <v>4183</v>
      </c>
    </row>
    <row r="2398" ht="15.75" customHeight="1">
      <c r="A2398" s="16">
        <v>103.0</v>
      </c>
      <c r="B2398" s="17" t="s">
        <v>6422</v>
      </c>
      <c r="C2398" s="16">
        <v>20.0</v>
      </c>
      <c r="D2398" s="18" t="s">
        <v>4183</v>
      </c>
    </row>
    <row r="2399" ht="15.75" customHeight="1">
      <c r="A2399" s="16">
        <v>104.0</v>
      </c>
      <c r="B2399" s="17" t="s">
        <v>6423</v>
      </c>
      <c r="C2399" s="16">
        <v>1.0</v>
      </c>
      <c r="D2399" s="18" t="s">
        <v>4183</v>
      </c>
    </row>
    <row r="2400" ht="15.75" customHeight="1">
      <c r="A2400" s="16">
        <v>105.0</v>
      </c>
      <c r="B2400" s="17" t="s">
        <v>6424</v>
      </c>
      <c r="C2400" s="16">
        <v>10.0</v>
      </c>
      <c r="D2400" s="18" t="s">
        <v>4183</v>
      </c>
    </row>
    <row r="2401" ht="15.75" customHeight="1">
      <c r="A2401" s="16">
        <v>106.0</v>
      </c>
      <c r="B2401" s="17" t="s">
        <v>6425</v>
      </c>
      <c r="C2401" s="16">
        <v>9.0</v>
      </c>
      <c r="D2401" s="18" t="s">
        <v>4183</v>
      </c>
    </row>
    <row r="2402" ht="15.75" customHeight="1">
      <c r="A2402" s="16">
        <v>107.0</v>
      </c>
      <c r="B2402" s="17" t="s">
        <v>6426</v>
      </c>
      <c r="C2402" s="16">
        <v>6.0</v>
      </c>
      <c r="D2402" s="18" t="s">
        <v>4183</v>
      </c>
    </row>
    <row r="2403" ht="15.75" customHeight="1">
      <c r="A2403" s="16">
        <v>108.0</v>
      </c>
      <c r="B2403" s="17" t="s">
        <v>6427</v>
      </c>
      <c r="C2403" s="16">
        <v>8.0</v>
      </c>
      <c r="D2403" s="18" t="s">
        <v>4183</v>
      </c>
    </row>
    <row r="2404" ht="15.75" customHeight="1">
      <c r="A2404" s="16">
        <v>109.0</v>
      </c>
      <c r="B2404" s="17" t="s">
        <v>6428</v>
      </c>
      <c r="C2404" s="19">
        <v>19.88</v>
      </c>
      <c r="D2404" s="18" t="s">
        <v>4183</v>
      </c>
    </row>
    <row r="2405" ht="15.75" customHeight="1">
      <c r="A2405" s="16">
        <v>110.0</v>
      </c>
      <c r="B2405" s="17" t="s">
        <v>6429</v>
      </c>
      <c r="C2405" s="16">
        <v>5.0</v>
      </c>
      <c r="D2405" s="18" t="s">
        <v>4178</v>
      </c>
    </row>
    <row r="2406" ht="15.75" customHeight="1">
      <c r="A2406" s="16">
        <v>111.0</v>
      </c>
      <c r="B2406" s="17" t="s">
        <v>6430</v>
      </c>
      <c r="C2406" s="18" t="s">
        <v>4384</v>
      </c>
      <c r="D2406" s="18" t="s">
        <v>4178</v>
      </c>
    </row>
    <row r="2407" ht="15.75" customHeight="1">
      <c r="A2407" s="16">
        <v>112.0</v>
      </c>
      <c r="B2407" s="17" t="s">
        <v>6431</v>
      </c>
      <c r="C2407" s="16">
        <v>2.0</v>
      </c>
      <c r="D2407" s="18" t="s">
        <v>4183</v>
      </c>
    </row>
    <row r="2408" ht="15.75" customHeight="1">
      <c r="A2408" s="16">
        <v>113.0</v>
      </c>
      <c r="B2408" s="17" t="s">
        <v>6432</v>
      </c>
      <c r="C2408" s="16">
        <v>12.0</v>
      </c>
      <c r="D2408" s="18" t="s">
        <v>4183</v>
      </c>
    </row>
    <row r="2409" ht="15.75" customHeight="1">
      <c r="A2409" s="16">
        <v>114.0</v>
      </c>
      <c r="B2409" s="17" t="s">
        <v>6433</v>
      </c>
      <c r="C2409" s="16">
        <v>6.0</v>
      </c>
      <c r="D2409" s="18" t="s">
        <v>4183</v>
      </c>
    </row>
    <row r="2410" ht="15.75" customHeight="1">
      <c r="A2410" s="16">
        <v>115.0</v>
      </c>
      <c r="B2410" s="17" t="s">
        <v>6434</v>
      </c>
      <c r="C2410" s="16">
        <v>4.0</v>
      </c>
      <c r="D2410" s="18" t="s">
        <v>4183</v>
      </c>
    </row>
    <row r="2411" ht="15.75" customHeight="1">
      <c r="A2411" s="16">
        <v>116.0</v>
      </c>
      <c r="B2411" s="17" t="s">
        <v>6435</v>
      </c>
      <c r="C2411" s="16">
        <v>18.0</v>
      </c>
      <c r="D2411" s="18" t="s">
        <v>4183</v>
      </c>
    </row>
    <row r="2412" ht="15.75" customHeight="1">
      <c r="A2412" s="16">
        <v>117.0</v>
      </c>
      <c r="B2412" s="17" t="s">
        <v>6436</v>
      </c>
      <c r="C2412" s="16">
        <v>2.0</v>
      </c>
      <c r="D2412" s="18" t="s">
        <v>4183</v>
      </c>
    </row>
    <row r="2413" ht="15.75" customHeight="1">
      <c r="A2413" s="16">
        <v>118.0</v>
      </c>
      <c r="B2413" s="17" t="s">
        <v>6437</v>
      </c>
      <c r="C2413" s="16">
        <v>4.0</v>
      </c>
      <c r="D2413" s="18" t="s">
        <v>4183</v>
      </c>
    </row>
    <row r="2414" ht="15.75" customHeight="1">
      <c r="A2414" s="16">
        <v>119.0</v>
      </c>
      <c r="B2414" s="17" t="s">
        <v>6438</v>
      </c>
      <c r="C2414" s="16">
        <v>7.0</v>
      </c>
      <c r="D2414" s="18" t="s">
        <v>4183</v>
      </c>
    </row>
    <row r="2415" ht="15.75" customHeight="1">
      <c r="A2415" s="16">
        <v>120.0</v>
      </c>
      <c r="B2415" s="17" t="s">
        <v>6439</v>
      </c>
      <c r="C2415" s="16">
        <v>8.0</v>
      </c>
      <c r="D2415" s="18" t="s">
        <v>4183</v>
      </c>
    </row>
    <row r="2416" ht="15.75" customHeight="1">
      <c r="A2416" s="16">
        <v>121.0</v>
      </c>
      <c r="B2416" s="17" t="s">
        <v>6440</v>
      </c>
      <c r="C2416" s="16">
        <v>13.0</v>
      </c>
      <c r="D2416" s="18" t="s">
        <v>4183</v>
      </c>
    </row>
    <row r="2417" ht="15.75" customHeight="1">
      <c r="A2417" s="16">
        <v>122.0</v>
      </c>
      <c r="B2417" s="17" t="s">
        <v>6441</v>
      </c>
      <c r="C2417" s="16">
        <v>3.0</v>
      </c>
      <c r="D2417" s="18" t="s">
        <v>4183</v>
      </c>
    </row>
    <row r="2418" ht="15.75" customHeight="1">
      <c r="A2418" s="16">
        <v>123.0</v>
      </c>
      <c r="B2418" s="17" t="s">
        <v>6442</v>
      </c>
      <c r="C2418" s="16">
        <v>1.0</v>
      </c>
      <c r="D2418" s="18" t="s">
        <v>4183</v>
      </c>
    </row>
    <row r="2419" ht="15.75" customHeight="1">
      <c r="A2419" s="16">
        <v>124.0</v>
      </c>
      <c r="B2419" s="17" t="s">
        <v>6443</v>
      </c>
      <c r="C2419" s="16">
        <v>13.0</v>
      </c>
      <c r="D2419" s="18" t="s">
        <v>4183</v>
      </c>
    </row>
    <row r="2420" ht="15.75" customHeight="1">
      <c r="A2420" s="16">
        <v>125.0</v>
      </c>
      <c r="B2420" s="17" t="s">
        <v>6444</v>
      </c>
      <c r="C2420" s="16">
        <v>18.0</v>
      </c>
      <c r="D2420" s="18" t="s">
        <v>4183</v>
      </c>
    </row>
    <row r="2421" ht="15.75" customHeight="1">
      <c r="A2421" s="16">
        <v>126.0</v>
      </c>
      <c r="B2421" s="17" t="s">
        <v>6445</v>
      </c>
      <c r="C2421" s="19">
        <v>25.2</v>
      </c>
      <c r="D2421" s="18" t="s">
        <v>4183</v>
      </c>
    </row>
    <row r="2422" ht="15.75" customHeight="1">
      <c r="A2422" s="16">
        <v>127.0</v>
      </c>
      <c r="B2422" s="17" t="s">
        <v>6446</v>
      </c>
      <c r="C2422" s="16">
        <v>3.0</v>
      </c>
      <c r="D2422" s="18" t="s">
        <v>4178</v>
      </c>
    </row>
    <row r="2423" ht="15.75" customHeight="1">
      <c r="A2423" s="16">
        <v>128.0</v>
      </c>
      <c r="B2423" s="17" t="s">
        <v>6447</v>
      </c>
      <c r="C2423" s="16">
        <v>11.0</v>
      </c>
      <c r="D2423" s="18" t="s">
        <v>4183</v>
      </c>
    </row>
    <row r="2424" ht="15.75" customHeight="1">
      <c r="A2424" s="16">
        <v>129.0</v>
      </c>
      <c r="B2424" s="17" t="s">
        <v>6448</v>
      </c>
      <c r="C2424" s="19">
        <v>2.96</v>
      </c>
      <c r="D2424" s="18" t="s">
        <v>4183</v>
      </c>
    </row>
    <row r="2425" ht="15.75" customHeight="1">
      <c r="A2425" s="16">
        <v>130.0</v>
      </c>
      <c r="B2425" s="17" t="s">
        <v>6449</v>
      </c>
      <c r="C2425" s="16">
        <v>10.0</v>
      </c>
      <c r="D2425" s="18" t="s">
        <v>4183</v>
      </c>
    </row>
    <row r="2426" ht="15.75" customHeight="1">
      <c r="A2426" s="16">
        <v>131.0</v>
      </c>
      <c r="B2426" s="17" t="s">
        <v>6450</v>
      </c>
      <c r="C2426" s="16">
        <v>10.0</v>
      </c>
      <c r="D2426" s="18" t="s">
        <v>4183</v>
      </c>
    </row>
    <row r="2427" ht="15.75" customHeight="1">
      <c r="A2427" s="16">
        <v>132.0</v>
      </c>
      <c r="B2427" s="17" t="s">
        <v>6451</v>
      </c>
      <c r="C2427" s="18" t="s">
        <v>4681</v>
      </c>
      <c r="D2427" s="18" t="s">
        <v>4178</v>
      </c>
    </row>
    <row r="2428" ht="15.75" customHeight="1">
      <c r="A2428" s="16">
        <v>133.0</v>
      </c>
      <c r="B2428" s="17" t="s">
        <v>6452</v>
      </c>
      <c r="C2428" s="16">
        <v>10.0</v>
      </c>
      <c r="D2428" s="18" t="s">
        <v>4183</v>
      </c>
    </row>
    <row r="2429" ht="15.75" customHeight="1">
      <c r="A2429" s="16">
        <v>134.0</v>
      </c>
      <c r="B2429" s="17" t="s">
        <v>6453</v>
      </c>
      <c r="C2429" s="16">
        <v>7.0</v>
      </c>
      <c r="D2429" s="18" t="s">
        <v>4183</v>
      </c>
    </row>
    <row r="2430" ht="15.75" customHeight="1">
      <c r="A2430" s="16">
        <v>135.0</v>
      </c>
      <c r="B2430" s="17" t="s">
        <v>6454</v>
      </c>
      <c r="C2430" s="16">
        <v>7.0</v>
      </c>
      <c r="D2430" s="18" t="s">
        <v>4183</v>
      </c>
    </row>
    <row r="2431" ht="15.75" customHeight="1">
      <c r="A2431" s="16">
        <v>136.0</v>
      </c>
      <c r="B2431" s="17" t="s">
        <v>6455</v>
      </c>
      <c r="C2431" s="18" t="s">
        <v>4384</v>
      </c>
      <c r="D2431" s="18" t="s">
        <v>4183</v>
      </c>
    </row>
    <row r="2432" ht="15.75" customHeight="1">
      <c r="A2432" s="16">
        <v>137.0</v>
      </c>
      <c r="B2432" s="17" t="s">
        <v>6456</v>
      </c>
      <c r="C2432" s="16">
        <v>10.0</v>
      </c>
      <c r="D2432" s="18" t="s">
        <v>4183</v>
      </c>
    </row>
    <row r="2433" ht="15.75" customHeight="1">
      <c r="A2433" s="16">
        <v>138.0</v>
      </c>
      <c r="B2433" s="17" t="s">
        <v>6457</v>
      </c>
      <c r="C2433" s="16">
        <v>20.0</v>
      </c>
      <c r="D2433" s="18" t="s">
        <v>4183</v>
      </c>
    </row>
    <row r="2434" ht="15.75" customHeight="1">
      <c r="A2434" s="16">
        <v>139.0</v>
      </c>
      <c r="B2434" s="17" t="s">
        <v>6458</v>
      </c>
      <c r="C2434" s="16">
        <v>2.0</v>
      </c>
      <c r="D2434" s="18" t="s">
        <v>4183</v>
      </c>
    </row>
    <row r="2435" ht="15.75" customHeight="1">
      <c r="A2435" s="16">
        <v>140.0</v>
      </c>
      <c r="B2435" s="17" t="s">
        <v>6459</v>
      </c>
      <c r="C2435" s="16">
        <v>18.0</v>
      </c>
      <c r="D2435" s="18" t="s">
        <v>4183</v>
      </c>
    </row>
    <row r="2436" ht="15.75" customHeight="1">
      <c r="A2436" s="16">
        <v>141.0</v>
      </c>
      <c r="B2436" s="17" t="s">
        <v>6460</v>
      </c>
      <c r="C2436" s="16">
        <v>5.0</v>
      </c>
      <c r="D2436" s="18" t="s">
        <v>4178</v>
      </c>
    </row>
    <row r="2437" ht="15.75" customHeight="1">
      <c r="A2437" s="16">
        <v>142.0</v>
      </c>
      <c r="B2437" s="17" t="s">
        <v>6461</v>
      </c>
      <c r="C2437" s="16">
        <v>9.0</v>
      </c>
      <c r="D2437" s="18" t="s">
        <v>4178</v>
      </c>
    </row>
    <row r="2438" ht="15.75" customHeight="1">
      <c r="A2438" s="16">
        <v>143.0</v>
      </c>
      <c r="B2438" s="17" t="s">
        <v>6462</v>
      </c>
      <c r="C2438" s="16">
        <v>3.0</v>
      </c>
      <c r="D2438" s="18" t="s">
        <v>4215</v>
      </c>
    </row>
    <row r="2439" ht="15.75" customHeight="1">
      <c r="A2439" s="16">
        <v>144.0</v>
      </c>
      <c r="B2439" s="17" t="s">
        <v>6463</v>
      </c>
      <c r="C2439" s="16">
        <v>6.0</v>
      </c>
      <c r="D2439" s="18" t="s">
        <v>4215</v>
      </c>
    </row>
    <row r="2440" ht="15.75" customHeight="1">
      <c r="A2440" s="16">
        <v>145.0</v>
      </c>
      <c r="B2440" s="17" t="s">
        <v>6464</v>
      </c>
      <c r="C2440" s="16">
        <v>1.0</v>
      </c>
      <c r="D2440" s="18" t="s">
        <v>4178</v>
      </c>
    </row>
    <row r="2441" ht="15.75" customHeight="1">
      <c r="A2441" s="16">
        <v>146.0</v>
      </c>
      <c r="B2441" s="17" t="s">
        <v>6465</v>
      </c>
      <c r="C2441" s="16">
        <v>1.0</v>
      </c>
      <c r="D2441" s="18" t="s">
        <v>4215</v>
      </c>
    </row>
    <row r="2442" ht="15.75" customHeight="1">
      <c r="A2442" s="16">
        <v>147.0</v>
      </c>
      <c r="B2442" s="17" t="s">
        <v>6466</v>
      </c>
      <c r="C2442" s="16">
        <v>8.0</v>
      </c>
      <c r="D2442" s="18" t="s">
        <v>4183</v>
      </c>
    </row>
    <row r="2443" ht="15.75" customHeight="1">
      <c r="A2443" s="16">
        <v>148.0</v>
      </c>
      <c r="B2443" s="17" t="s">
        <v>6467</v>
      </c>
      <c r="C2443" s="16">
        <v>7.0</v>
      </c>
      <c r="D2443" s="18" t="s">
        <v>4183</v>
      </c>
    </row>
    <row r="2444" ht="15.75" customHeight="1">
      <c r="A2444" s="16">
        <v>149.0</v>
      </c>
      <c r="B2444" s="17" t="s">
        <v>6468</v>
      </c>
      <c r="C2444" s="16">
        <v>10.0</v>
      </c>
      <c r="D2444" s="18" t="s">
        <v>4183</v>
      </c>
    </row>
    <row r="2445" ht="15.75" customHeight="1">
      <c r="A2445" s="16">
        <v>150.0</v>
      </c>
      <c r="B2445" s="17" t="s">
        <v>6469</v>
      </c>
      <c r="C2445" s="19">
        <v>16.98</v>
      </c>
      <c r="D2445" s="18" t="s">
        <v>4183</v>
      </c>
    </row>
    <row r="2446" ht="15.75" customHeight="1">
      <c r="A2446" s="16">
        <v>151.0</v>
      </c>
      <c r="B2446" s="17" t="s">
        <v>6470</v>
      </c>
      <c r="C2446" s="16">
        <v>19.0</v>
      </c>
      <c r="D2446" s="18" t="s">
        <v>4183</v>
      </c>
    </row>
    <row r="2447" ht="15.75" customHeight="1">
      <c r="A2447" s="16">
        <v>152.0</v>
      </c>
      <c r="B2447" s="17" t="s">
        <v>6471</v>
      </c>
      <c r="C2447" s="16">
        <v>7.0</v>
      </c>
      <c r="D2447" s="18" t="s">
        <v>4183</v>
      </c>
    </row>
    <row r="2448" ht="15.75" customHeight="1">
      <c r="A2448" s="16">
        <v>153.0</v>
      </c>
      <c r="B2448" s="17" t="s">
        <v>6472</v>
      </c>
      <c r="C2448" s="16">
        <v>10.0</v>
      </c>
      <c r="D2448" s="18" t="s">
        <v>4183</v>
      </c>
    </row>
    <row r="2449" ht="15.75" customHeight="1">
      <c r="A2449" s="16">
        <v>154.0</v>
      </c>
      <c r="B2449" s="17" t="s">
        <v>6473</v>
      </c>
      <c r="C2449" s="16">
        <v>9.0</v>
      </c>
      <c r="D2449" s="18" t="s">
        <v>4183</v>
      </c>
    </row>
    <row r="2450" ht="15.75" customHeight="1">
      <c r="A2450" s="16">
        <v>155.0</v>
      </c>
      <c r="B2450" s="17" t="s">
        <v>6474</v>
      </c>
      <c r="C2450" s="18" t="s">
        <v>4384</v>
      </c>
      <c r="D2450" s="18" t="s">
        <v>4183</v>
      </c>
    </row>
    <row r="2451" ht="15.75" customHeight="1">
      <c r="A2451" s="16">
        <v>156.0</v>
      </c>
      <c r="B2451" s="17" t="s">
        <v>6475</v>
      </c>
      <c r="C2451" s="16">
        <v>1.0</v>
      </c>
      <c r="D2451" s="18" t="s">
        <v>4183</v>
      </c>
    </row>
    <row r="2452" ht="15.75" customHeight="1">
      <c r="A2452" s="16">
        <v>157.0</v>
      </c>
      <c r="B2452" s="17" t="s">
        <v>6476</v>
      </c>
      <c r="C2452" s="16">
        <v>6.0</v>
      </c>
      <c r="D2452" s="18" t="s">
        <v>4178</v>
      </c>
    </row>
    <row r="2453" ht="15.75" customHeight="1">
      <c r="A2453" s="16">
        <v>158.0</v>
      </c>
      <c r="B2453" s="17" t="s">
        <v>6477</v>
      </c>
      <c r="C2453" s="16">
        <v>6.0</v>
      </c>
      <c r="D2453" s="18" t="s">
        <v>4183</v>
      </c>
    </row>
    <row r="2454" ht="15.75" customHeight="1">
      <c r="A2454" s="16">
        <v>159.0</v>
      </c>
      <c r="B2454" s="17" t="s">
        <v>6478</v>
      </c>
      <c r="C2454" s="16">
        <v>13.0</v>
      </c>
      <c r="D2454" s="18" t="s">
        <v>4183</v>
      </c>
    </row>
    <row r="2455" ht="15.75" customHeight="1">
      <c r="A2455" s="16">
        <v>160.0</v>
      </c>
      <c r="B2455" s="17" t="s">
        <v>6479</v>
      </c>
      <c r="C2455" s="16">
        <v>2.0</v>
      </c>
      <c r="D2455" s="18" t="s">
        <v>4183</v>
      </c>
    </row>
    <row r="2456" ht="15.75" customHeight="1">
      <c r="A2456" s="16">
        <v>161.0</v>
      </c>
      <c r="B2456" s="17" t="s">
        <v>6480</v>
      </c>
      <c r="C2456" s="16">
        <v>4.0</v>
      </c>
      <c r="D2456" s="18" t="s">
        <v>4183</v>
      </c>
    </row>
    <row r="2457" ht="15.75" customHeight="1">
      <c r="A2457" s="16">
        <v>162.0</v>
      </c>
      <c r="B2457" s="17" t="s">
        <v>6481</v>
      </c>
      <c r="C2457" s="16">
        <v>6.0</v>
      </c>
      <c r="D2457" s="18" t="s">
        <v>4183</v>
      </c>
    </row>
    <row r="2458" ht="15.75" customHeight="1">
      <c r="A2458" s="16">
        <v>163.0</v>
      </c>
      <c r="B2458" s="17" t="s">
        <v>6482</v>
      </c>
      <c r="C2458" s="16">
        <v>23.0</v>
      </c>
      <c r="D2458" s="18" t="s">
        <v>4183</v>
      </c>
    </row>
    <row r="2459" ht="15.75" customHeight="1">
      <c r="A2459" s="16">
        <v>164.0</v>
      </c>
      <c r="B2459" s="17" t="s">
        <v>6483</v>
      </c>
      <c r="C2459" s="16">
        <v>5.0</v>
      </c>
      <c r="D2459" s="18" t="s">
        <v>4183</v>
      </c>
    </row>
    <row r="2460" ht="15.75" customHeight="1">
      <c r="A2460" s="16">
        <v>165.0</v>
      </c>
      <c r="B2460" s="17" t="s">
        <v>6484</v>
      </c>
      <c r="C2460" s="16">
        <v>4.0</v>
      </c>
      <c r="D2460" s="18" t="s">
        <v>4183</v>
      </c>
    </row>
    <row r="2461" ht="15.75" customHeight="1">
      <c r="A2461" s="16">
        <v>166.0</v>
      </c>
      <c r="B2461" s="17" t="s">
        <v>6485</v>
      </c>
      <c r="C2461" s="16">
        <v>27.0</v>
      </c>
      <c r="D2461" s="18" t="s">
        <v>4183</v>
      </c>
    </row>
    <row r="2462" ht="15.75" customHeight="1">
      <c r="A2462" s="16">
        <v>167.0</v>
      </c>
      <c r="B2462" s="17" t="s">
        <v>6486</v>
      </c>
      <c r="C2462" s="16">
        <v>80.0</v>
      </c>
      <c r="D2462" s="18" t="s">
        <v>4183</v>
      </c>
    </row>
    <row r="2463" ht="15.75" customHeight="1">
      <c r="A2463" s="16">
        <v>168.0</v>
      </c>
      <c r="B2463" s="17" t="s">
        <v>6487</v>
      </c>
      <c r="C2463" s="16">
        <v>74.0</v>
      </c>
      <c r="D2463" s="18" t="s">
        <v>4183</v>
      </c>
    </row>
    <row r="2464" ht="15.75" customHeight="1">
      <c r="A2464" s="16">
        <v>169.0</v>
      </c>
      <c r="B2464" s="17" t="s">
        <v>6488</v>
      </c>
      <c r="C2464" s="16">
        <v>9.0</v>
      </c>
      <c r="D2464" s="18" t="s">
        <v>4183</v>
      </c>
    </row>
    <row r="2465" ht="15.75" customHeight="1">
      <c r="A2465" s="16">
        <v>170.0</v>
      </c>
      <c r="B2465" s="17" t="s">
        <v>6489</v>
      </c>
      <c r="C2465" s="16">
        <v>13.0</v>
      </c>
      <c r="D2465" s="18" t="s">
        <v>4183</v>
      </c>
    </row>
    <row r="2466" ht="15.75" customHeight="1">
      <c r="A2466" s="16">
        <v>171.0</v>
      </c>
      <c r="B2466" s="17" t="s">
        <v>6490</v>
      </c>
      <c r="C2466" s="16">
        <v>26.0</v>
      </c>
      <c r="D2466" s="18" t="s">
        <v>4183</v>
      </c>
    </row>
    <row r="2467" ht="15.75" customHeight="1">
      <c r="A2467" s="16">
        <v>172.0</v>
      </c>
      <c r="B2467" s="17" t="s">
        <v>6491</v>
      </c>
      <c r="C2467" s="16">
        <v>5.0</v>
      </c>
      <c r="D2467" s="18" t="s">
        <v>4183</v>
      </c>
    </row>
    <row r="2468" ht="15.75" customHeight="1">
      <c r="A2468" s="16">
        <v>173.0</v>
      </c>
      <c r="B2468" s="17" t="s">
        <v>6492</v>
      </c>
      <c r="C2468" s="16">
        <v>4.0</v>
      </c>
      <c r="D2468" s="18" t="s">
        <v>4183</v>
      </c>
    </row>
    <row r="2469" ht="15.75" customHeight="1">
      <c r="A2469" s="16">
        <v>174.0</v>
      </c>
      <c r="B2469" s="17" t="s">
        <v>6493</v>
      </c>
      <c r="C2469" s="16">
        <v>6.0</v>
      </c>
      <c r="D2469" s="18" t="s">
        <v>4183</v>
      </c>
    </row>
    <row r="2470" ht="15.75" customHeight="1">
      <c r="A2470" s="16">
        <v>175.0</v>
      </c>
      <c r="B2470" s="17" t="s">
        <v>6494</v>
      </c>
      <c r="C2470" s="16">
        <v>10.0</v>
      </c>
      <c r="D2470" s="18" t="s">
        <v>4183</v>
      </c>
    </row>
    <row r="2471" ht="15.75" customHeight="1">
      <c r="A2471" s="16">
        <v>176.0</v>
      </c>
      <c r="B2471" s="17" t="s">
        <v>6495</v>
      </c>
      <c r="C2471" s="16">
        <v>4.0</v>
      </c>
      <c r="D2471" s="18" t="s">
        <v>4183</v>
      </c>
    </row>
    <row r="2472" ht="15.75" customHeight="1">
      <c r="A2472" s="16">
        <v>177.0</v>
      </c>
      <c r="B2472" s="17" t="s">
        <v>6496</v>
      </c>
      <c r="C2472" s="16">
        <v>8.0</v>
      </c>
      <c r="D2472" s="18" t="s">
        <v>4183</v>
      </c>
    </row>
    <row r="2473" ht="15.75" customHeight="1">
      <c r="A2473" s="16">
        <v>178.0</v>
      </c>
      <c r="B2473" s="17" t="s">
        <v>6497</v>
      </c>
      <c r="C2473" s="16">
        <v>3.0</v>
      </c>
      <c r="D2473" s="18" t="s">
        <v>4183</v>
      </c>
    </row>
    <row r="2474" ht="15.75" customHeight="1">
      <c r="A2474" s="16">
        <v>179.0</v>
      </c>
      <c r="B2474" s="17" t="s">
        <v>6498</v>
      </c>
      <c r="C2474" s="16">
        <v>7.0</v>
      </c>
      <c r="D2474" s="18" t="s">
        <v>4183</v>
      </c>
    </row>
    <row r="2475" ht="15.75" customHeight="1">
      <c r="A2475" s="16">
        <v>180.0</v>
      </c>
      <c r="B2475" s="17" t="s">
        <v>6499</v>
      </c>
      <c r="C2475" s="16">
        <v>2.0</v>
      </c>
      <c r="D2475" s="18" t="s">
        <v>4178</v>
      </c>
    </row>
    <row r="2476" ht="15.75" customHeight="1">
      <c r="A2476" s="16">
        <v>181.0</v>
      </c>
      <c r="B2476" s="17" t="s">
        <v>6500</v>
      </c>
      <c r="C2476" s="16">
        <v>120.0</v>
      </c>
      <c r="D2476" s="18" t="s">
        <v>4178</v>
      </c>
    </row>
    <row r="2477" ht="15.75" customHeight="1">
      <c r="A2477" s="16">
        <v>182.0</v>
      </c>
      <c r="B2477" s="17" t="s">
        <v>6501</v>
      </c>
      <c r="C2477" s="16">
        <v>2.0</v>
      </c>
      <c r="D2477" s="18" t="s">
        <v>4183</v>
      </c>
    </row>
    <row r="2478" ht="15.75" customHeight="1">
      <c r="A2478" s="16">
        <v>183.0</v>
      </c>
      <c r="B2478" s="17" t="s">
        <v>6502</v>
      </c>
      <c r="C2478" s="16">
        <v>3.0</v>
      </c>
      <c r="D2478" s="18" t="s">
        <v>4178</v>
      </c>
    </row>
    <row r="2479" ht="15.75" customHeight="1">
      <c r="A2479" s="16">
        <v>184.0</v>
      </c>
      <c r="B2479" s="17" t="s">
        <v>6503</v>
      </c>
      <c r="C2479" s="16">
        <v>6.0</v>
      </c>
      <c r="D2479" s="18" t="s">
        <v>4183</v>
      </c>
    </row>
    <row r="2480" ht="15.75" customHeight="1">
      <c r="A2480" s="16">
        <v>185.0</v>
      </c>
      <c r="B2480" s="17" t="s">
        <v>6504</v>
      </c>
      <c r="C2480" s="16">
        <v>6.0</v>
      </c>
      <c r="D2480" s="18" t="s">
        <v>4183</v>
      </c>
    </row>
    <row r="2481" ht="15.75" customHeight="1">
      <c r="A2481" s="16">
        <v>186.0</v>
      </c>
      <c r="B2481" s="17" t="s">
        <v>6505</v>
      </c>
      <c r="C2481" s="16">
        <v>10.0</v>
      </c>
      <c r="D2481" s="18" t="s">
        <v>4183</v>
      </c>
    </row>
    <row r="2482" ht="15.75" customHeight="1">
      <c r="A2482" s="16">
        <v>187.0</v>
      </c>
      <c r="B2482" s="17" t="s">
        <v>6506</v>
      </c>
      <c r="C2482" s="16">
        <v>8.0</v>
      </c>
      <c r="D2482" s="18" t="s">
        <v>4178</v>
      </c>
    </row>
    <row r="2483" ht="15.75" customHeight="1">
      <c r="A2483" s="16">
        <v>188.0</v>
      </c>
      <c r="B2483" s="17" t="s">
        <v>6507</v>
      </c>
      <c r="C2483" s="16">
        <v>16.0</v>
      </c>
      <c r="D2483" s="18" t="s">
        <v>4183</v>
      </c>
    </row>
    <row r="2484" ht="15.75" customHeight="1">
      <c r="A2484" s="16">
        <v>189.0</v>
      </c>
      <c r="B2484" s="17" t="s">
        <v>6508</v>
      </c>
      <c r="C2484" s="16">
        <v>2.0</v>
      </c>
      <c r="D2484" s="18" t="s">
        <v>4183</v>
      </c>
    </row>
    <row r="2485" ht="15.75" customHeight="1">
      <c r="A2485" s="16">
        <v>190.0</v>
      </c>
      <c r="B2485" s="17" t="s">
        <v>6509</v>
      </c>
      <c r="C2485" s="16">
        <v>3.0</v>
      </c>
      <c r="D2485" s="18" t="s">
        <v>4183</v>
      </c>
    </row>
    <row r="2486" ht="15.75" customHeight="1">
      <c r="A2486" s="16">
        <v>191.0</v>
      </c>
      <c r="B2486" s="17" t="s">
        <v>6510</v>
      </c>
      <c r="C2486" s="16">
        <v>7.0</v>
      </c>
      <c r="D2486" s="18" t="s">
        <v>4183</v>
      </c>
    </row>
    <row r="2487" ht="15.75" customHeight="1">
      <c r="A2487" s="16">
        <v>192.0</v>
      </c>
      <c r="B2487" s="17" t="s">
        <v>6511</v>
      </c>
      <c r="C2487" s="16">
        <v>10.0</v>
      </c>
      <c r="D2487" s="18" t="s">
        <v>4183</v>
      </c>
    </row>
    <row r="2488" ht="15.75" customHeight="1">
      <c r="A2488" s="16">
        <v>193.0</v>
      </c>
      <c r="B2488" s="17" t="s">
        <v>6512</v>
      </c>
      <c r="C2488" s="16">
        <v>7.0</v>
      </c>
      <c r="D2488" s="18" t="s">
        <v>4183</v>
      </c>
    </row>
    <row r="2489" ht="15.75" customHeight="1">
      <c r="A2489" s="16">
        <v>194.0</v>
      </c>
      <c r="B2489" s="17" t="s">
        <v>6513</v>
      </c>
      <c r="C2489" s="16">
        <v>1.0</v>
      </c>
      <c r="D2489" s="18" t="s">
        <v>4183</v>
      </c>
    </row>
    <row r="2490" ht="15.75" customHeight="1">
      <c r="A2490" s="16">
        <v>195.0</v>
      </c>
      <c r="B2490" s="17" t="s">
        <v>6514</v>
      </c>
      <c r="C2490" s="16">
        <v>10.0</v>
      </c>
      <c r="D2490" s="18" t="s">
        <v>4183</v>
      </c>
    </row>
    <row r="2491" ht="15.75" customHeight="1">
      <c r="A2491" s="16">
        <v>196.0</v>
      </c>
      <c r="B2491" s="17" t="s">
        <v>6515</v>
      </c>
      <c r="C2491" s="16">
        <v>3.0</v>
      </c>
      <c r="D2491" s="18" t="s">
        <v>4215</v>
      </c>
    </row>
    <row r="2492" ht="15.75" customHeight="1">
      <c r="A2492" s="16">
        <v>197.0</v>
      </c>
      <c r="B2492" s="17" t="s">
        <v>6516</v>
      </c>
      <c r="C2492" s="16">
        <v>6.0</v>
      </c>
      <c r="D2492" s="18" t="s">
        <v>4215</v>
      </c>
    </row>
    <row r="2493" ht="15.75" customHeight="1">
      <c r="A2493" s="16">
        <v>198.0</v>
      </c>
      <c r="B2493" s="17" t="s">
        <v>6517</v>
      </c>
      <c r="C2493" s="16">
        <v>10.0</v>
      </c>
      <c r="D2493" s="18" t="s">
        <v>4183</v>
      </c>
    </row>
    <row r="2494" ht="15.75" customHeight="1">
      <c r="A2494" s="16">
        <v>199.0</v>
      </c>
      <c r="B2494" s="17" t="s">
        <v>6518</v>
      </c>
      <c r="C2494" s="16">
        <v>3.0</v>
      </c>
      <c r="D2494" s="18" t="s">
        <v>4183</v>
      </c>
    </row>
    <row r="2495" ht="15.75" customHeight="1">
      <c r="A2495" s="16">
        <v>200.0</v>
      </c>
      <c r="B2495" s="17" t="s">
        <v>6519</v>
      </c>
      <c r="C2495" s="16">
        <v>2.0</v>
      </c>
      <c r="D2495" s="18" t="s">
        <v>4183</v>
      </c>
    </row>
    <row r="2496" ht="15.75" customHeight="1">
      <c r="A2496" s="16">
        <v>201.0</v>
      </c>
      <c r="B2496" s="17" t="s">
        <v>6520</v>
      </c>
      <c r="C2496" s="16">
        <v>9.0</v>
      </c>
      <c r="D2496" s="18" t="s">
        <v>4183</v>
      </c>
    </row>
    <row r="2497" ht="15.75" customHeight="1">
      <c r="A2497" s="16">
        <v>202.0</v>
      </c>
      <c r="B2497" s="17" t="s">
        <v>6521</v>
      </c>
      <c r="C2497" s="16">
        <v>5.0</v>
      </c>
      <c r="D2497" s="18" t="s">
        <v>4183</v>
      </c>
    </row>
    <row r="2498" ht="15.75" customHeight="1">
      <c r="A2498" s="16">
        <v>203.0</v>
      </c>
      <c r="B2498" s="17" t="s">
        <v>6522</v>
      </c>
      <c r="C2498" s="16">
        <v>2.0</v>
      </c>
      <c r="D2498" s="18" t="s">
        <v>4183</v>
      </c>
    </row>
    <row r="2499" ht="15.75" customHeight="1">
      <c r="A2499" s="16">
        <v>204.0</v>
      </c>
      <c r="B2499" s="17" t="s">
        <v>6523</v>
      </c>
      <c r="C2499" s="16">
        <v>4.0</v>
      </c>
      <c r="D2499" s="18" t="s">
        <v>4183</v>
      </c>
    </row>
    <row r="2500" ht="15.75" customHeight="1">
      <c r="A2500" s="16">
        <v>205.0</v>
      </c>
      <c r="B2500" s="17" t="s">
        <v>6524</v>
      </c>
      <c r="C2500" s="16">
        <v>6.0</v>
      </c>
      <c r="D2500" s="18" t="s">
        <v>4183</v>
      </c>
    </row>
    <row r="2501" ht="15.75" customHeight="1">
      <c r="A2501" s="16">
        <v>206.0</v>
      </c>
      <c r="B2501" s="17" t="s">
        <v>6525</v>
      </c>
      <c r="C2501" s="16">
        <v>1.0</v>
      </c>
      <c r="D2501" s="18" t="s">
        <v>4178</v>
      </c>
    </row>
    <row r="2502" ht="15.75" customHeight="1">
      <c r="A2502" s="16">
        <v>207.0</v>
      </c>
      <c r="B2502" s="17" t="s">
        <v>6526</v>
      </c>
      <c r="C2502" s="16">
        <v>4.0</v>
      </c>
      <c r="D2502" s="18" t="s">
        <v>4183</v>
      </c>
    </row>
    <row r="2503" ht="15.75" customHeight="1">
      <c r="A2503" s="16">
        <v>208.0</v>
      </c>
      <c r="B2503" s="17" t="s">
        <v>6527</v>
      </c>
      <c r="C2503" s="16">
        <v>5.0</v>
      </c>
      <c r="D2503" s="18" t="s">
        <v>4183</v>
      </c>
    </row>
    <row r="2504" ht="15.75" customHeight="1">
      <c r="A2504" s="16">
        <v>209.0</v>
      </c>
      <c r="B2504" s="17" t="s">
        <v>6528</v>
      </c>
      <c r="C2504" s="16">
        <v>16.0</v>
      </c>
      <c r="D2504" s="18" t="s">
        <v>4183</v>
      </c>
    </row>
    <row r="2505" ht="15.75" customHeight="1">
      <c r="A2505" s="16">
        <v>210.0</v>
      </c>
      <c r="B2505" s="17" t="s">
        <v>6529</v>
      </c>
      <c r="C2505" s="16">
        <v>1.0</v>
      </c>
      <c r="D2505" s="18" t="s">
        <v>4183</v>
      </c>
    </row>
    <row r="2506" ht="15.75" customHeight="1">
      <c r="A2506" s="16">
        <v>211.0</v>
      </c>
      <c r="B2506" s="17" t="s">
        <v>6530</v>
      </c>
      <c r="C2506" s="16">
        <v>9.0</v>
      </c>
      <c r="D2506" s="18" t="s">
        <v>4183</v>
      </c>
    </row>
    <row r="2507" ht="15.75" customHeight="1">
      <c r="A2507" s="16">
        <v>212.0</v>
      </c>
      <c r="B2507" s="17" t="s">
        <v>6531</v>
      </c>
      <c r="C2507" s="16">
        <v>1.0</v>
      </c>
      <c r="D2507" s="18" t="s">
        <v>4178</v>
      </c>
    </row>
    <row r="2508" ht="15.75" customHeight="1">
      <c r="A2508" s="16">
        <v>213.0</v>
      </c>
      <c r="B2508" s="17" t="s">
        <v>6532</v>
      </c>
      <c r="C2508" s="16">
        <v>6.0</v>
      </c>
      <c r="D2508" s="18" t="s">
        <v>4183</v>
      </c>
    </row>
    <row r="2509" ht="15.75" customHeight="1">
      <c r="A2509" s="16">
        <v>214.0</v>
      </c>
      <c r="B2509" s="17" t="s">
        <v>6533</v>
      </c>
      <c r="C2509" s="16">
        <v>10.0</v>
      </c>
      <c r="D2509" s="18" t="s">
        <v>4215</v>
      </c>
    </row>
    <row r="2510" ht="15.75" customHeight="1">
      <c r="A2510" s="16">
        <v>215.0</v>
      </c>
      <c r="B2510" s="17" t="s">
        <v>6534</v>
      </c>
      <c r="C2510" s="16">
        <v>8.0</v>
      </c>
      <c r="D2510" s="18" t="s">
        <v>4215</v>
      </c>
    </row>
    <row r="2511" ht="15.75" customHeight="1">
      <c r="A2511" s="16">
        <v>216.0</v>
      </c>
      <c r="B2511" s="17" t="s">
        <v>6535</v>
      </c>
      <c r="C2511" s="16">
        <v>16.0</v>
      </c>
      <c r="D2511" s="18" t="s">
        <v>4215</v>
      </c>
    </row>
    <row r="2512" ht="15.75" customHeight="1">
      <c r="A2512" s="16">
        <v>217.0</v>
      </c>
      <c r="B2512" s="17" t="s">
        <v>6536</v>
      </c>
      <c r="C2512" s="16">
        <v>12.0</v>
      </c>
      <c r="D2512" s="18" t="s">
        <v>4215</v>
      </c>
    </row>
    <row r="2513" ht="15.75" customHeight="1">
      <c r="A2513" s="16">
        <v>218.0</v>
      </c>
      <c r="B2513" s="17" t="s">
        <v>6537</v>
      </c>
      <c r="C2513" s="16">
        <v>5.0</v>
      </c>
      <c r="D2513" s="18" t="s">
        <v>4178</v>
      </c>
    </row>
    <row r="2514" ht="15.75" customHeight="1">
      <c r="A2514" s="16">
        <v>219.0</v>
      </c>
      <c r="B2514" s="17" t="s">
        <v>6538</v>
      </c>
      <c r="C2514" s="16">
        <v>3.0</v>
      </c>
      <c r="D2514" s="18" t="s">
        <v>4215</v>
      </c>
    </row>
    <row r="2515" ht="15.75" customHeight="1">
      <c r="A2515" s="16">
        <v>220.0</v>
      </c>
      <c r="B2515" s="17" t="s">
        <v>6539</v>
      </c>
      <c r="C2515" s="16">
        <v>10.0</v>
      </c>
      <c r="D2515" s="18" t="s">
        <v>4183</v>
      </c>
    </row>
    <row r="2516" ht="15.75" customHeight="1">
      <c r="A2516" s="16">
        <v>221.0</v>
      </c>
      <c r="B2516" s="17" t="s">
        <v>6540</v>
      </c>
      <c r="C2516" s="16">
        <v>17.0</v>
      </c>
      <c r="D2516" s="18" t="s">
        <v>4183</v>
      </c>
    </row>
    <row r="2517" ht="15.75" customHeight="1">
      <c r="A2517" s="16">
        <v>222.0</v>
      </c>
      <c r="B2517" s="17" t="s">
        <v>6541</v>
      </c>
      <c r="C2517" s="16">
        <v>25.0</v>
      </c>
      <c r="D2517" s="18" t="s">
        <v>4183</v>
      </c>
    </row>
    <row r="2518" ht="15.75" customHeight="1">
      <c r="A2518" s="16">
        <v>223.0</v>
      </c>
      <c r="B2518" s="17" t="s">
        <v>6542</v>
      </c>
      <c r="C2518" s="16">
        <v>7.0</v>
      </c>
      <c r="D2518" s="18" t="s">
        <v>4215</v>
      </c>
    </row>
    <row r="2519" ht="15.75" customHeight="1">
      <c r="A2519" s="16">
        <v>224.0</v>
      </c>
      <c r="B2519" s="17" t="s">
        <v>6543</v>
      </c>
      <c r="C2519" s="16">
        <v>3.0</v>
      </c>
      <c r="D2519" s="18" t="s">
        <v>4178</v>
      </c>
    </row>
    <row r="2520" ht="15.75" customHeight="1">
      <c r="A2520" s="16">
        <v>225.0</v>
      </c>
      <c r="B2520" s="17" t="s">
        <v>6544</v>
      </c>
      <c r="C2520" s="16">
        <v>3.0</v>
      </c>
      <c r="D2520" s="18" t="s">
        <v>4178</v>
      </c>
    </row>
    <row r="2521" ht="15.75" customHeight="1">
      <c r="A2521" s="16">
        <v>226.0</v>
      </c>
      <c r="B2521" s="17" t="s">
        <v>6545</v>
      </c>
      <c r="C2521" s="16">
        <v>7.0</v>
      </c>
      <c r="D2521" s="18" t="s">
        <v>4183</v>
      </c>
    </row>
    <row r="2522" ht="15.75" customHeight="1">
      <c r="A2522" s="16">
        <v>227.0</v>
      </c>
      <c r="B2522" s="17" t="s">
        <v>6546</v>
      </c>
      <c r="C2522" s="16">
        <v>1.0</v>
      </c>
      <c r="D2522" s="18" t="s">
        <v>4183</v>
      </c>
    </row>
    <row r="2523" ht="15.75" customHeight="1">
      <c r="A2523" s="16">
        <v>228.0</v>
      </c>
      <c r="B2523" s="17" t="s">
        <v>6547</v>
      </c>
      <c r="C2523" s="16">
        <v>2.0</v>
      </c>
      <c r="D2523" s="18" t="s">
        <v>4183</v>
      </c>
    </row>
    <row r="2524" ht="15.75" customHeight="1">
      <c r="A2524" s="16">
        <v>229.0</v>
      </c>
      <c r="B2524" s="17" t="s">
        <v>6548</v>
      </c>
      <c r="C2524" s="16">
        <v>3.0</v>
      </c>
      <c r="D2524" s="18" t="s">
        <v>4183</v>
      </c>
    </row>
    <row r="2525" ht="15.75" customHeight="1">
      <c r="A2525" s="16">
        <v>230.0</v>
      </c>
      <c r="B2525" s="17" t="s">
        <v>6549</v>
      </c>
      <c r="C2525" s="16">
        <v>2.0</v>
      </c>
      <c r="D2525" s="18" t="s">
        <v>4183</v>
      </c>
    </row>
    <row r="2526" ht="15.75" customHeight="1">
      <c r="A2526" s="16">
        <v>231.0</v>
      </c>
      <c r="B2526" s="17" t="s">
        <v>6550</v>
      </c>
      <c r="C2526" s="16">
        <v>2.0</v>
      </c>
      <c r="D2526" s="18" t="s">
        <v>4183</v>
      </c>
    </row>
    <row r="2527" ht="15.75" customHeight="1">
      <c r="A2527" s="16">
        <v>232.0</v>
      </c>
      <c r="B2527" s="17" t="s">
        <v>6551</v>
      </c>
      <c r="C2527" s="16">
        <v>2.0</v>
      </c>
      <c r="D2527" s="18" t="s">
        <v>4183</v>
      </c>
    </row>
    <row r="2528" ht="15.75" customHeight="1">
      <c r="A2528" s="16">
        <v>233.0</v>
      </c>
      <c r="B2528" s="17" t="s">
        <v>6552</v>
      </c>
      <c r="C2528" s="16">
        <v>1.0</v>
      </c>
      <c r="D2528" s="18" t="s">
        <v>4183</v>
      </c>
    </row>
    <row r="2529" ht="15.75" customHeight="1">
      <c r="A2529" s="16">
        <v>234.0</v>
      </c>
      <c r="B2529" s="17" t="s">
        <v>6553</v>
      </c>
      <c r="C2529" s="16">
        <v>4.0</v>
      </c>
      <c r="D2529" s="18" t="s">
        <v>4178</v>
      </c>
    </row>
    <row r="2530" ht="15.75" customHeight="1">
      <c r="A2530" s="16">
        <v>235.0</v>
      </c>
      <c r="B2530" s="17" t="s">
        <v>6554</v>
      </c>
      <c r="C2530" s="16">
        <v>10.0</v>
      </c>
      <c r="D2530" s="18" t="s">
        <v>4183</v>
      </c>
    </row>
    <row r="2531" ht="15.75" customHeight="1">
      <c r="A2531" s="16">
        <v>236.0</v>
      </c>
      <c r="B2531" s="17" t="s">
        <v>6555</v>
      </c>
      <c r="C2531" s="16">
        <v>10.0</v>
      </c>
      <c r="D2531" s="18" t="s">
        <v>4183</v>
      </c>
    </row>
    <row r="2532" ht="15.75" customHeight="1">
      <c r="A2532" s="16">
        <v>237.0</v>
      </c>
      <c r="B2532" s="17" t="s">
        <v>6556</v>
      </c>
      <c r="C2532" s="16">
        <v>10.0</v>
      </c>
      <c r="D2532" s="18" t="s">
        <v>4183</v>
      </c>
    </row>
    <row r="2533" ht="15.75" customHeight="1">
      <c r="A2533" s="16">
        <v>238.0</v>
      </c>
      <c r="B2533" s="17" t="s">
        <v>6557</v>
      </c>
      <c r="C2533" s="16">
        <v>20.0</v>
      </c>
      <c r="D2533" s="18" t="s">
        <v>4183</v>
      </c>
    </row>
    <row r="2534" ht="15.75" customHeight="1">
      <c r="A2534" s="16">
        <v>239.0</v>
      </c>
      <c r="B2534" s="17" t="s">
        <v>6558</v>
      </c>
      <c r="C2534" s="16">
        <v>2.0</v>
      </c>
      <c r="D2534" s="18" t="s">
        <v>4183</v>
      </c>
    </row>
    <row r="2535" ht="15.75" customHeight="1">
      <c r="A2535" s="16">
        <v>240.0</v>
      </c>
      <c r="B2535" s="17" t="s">
        <v>6559</v>
      </c>
      <c r="C2535" s="16">
        <v>4.0</v>
      </c>
      <c r="D2535" s="18" t="s">
        <v>4183</v>
      </c>
    </row>
    <row r="2536" ht="15.75" customHeight="1">
      <c r="A2536" s="16">
        <v>241.0</v>
      </c>
      <c r="B2536" s="17" t="s">
        <v>6560</v>
      </c>
      <c r="C2536" s="16">
        <v>10.0</v>
      </c>
      <c r="D2536" s="18" t="s">
        <v>4183</v>
      </c>
    </row>
    <row r="2537" ht="15.75" customHeight="1">
      <c r="A2537" s="16">
        <v>242.0</v>
      </c>
      <c r="B2537" s="17" t="s">
        <v>6561</v>
      </c>
      <c r="C2537" s="16">
        <v>4.0</v>
      </c>
      <c r="D2537" s="18" t="s">
        <v>4183</v>
      </c>
    </row>
    <row r="2538" ht="15.75" customHeight="1">
      <c r="A2538" s="16">
        <v>243.0</v>
      </c>
      <c r="B2538" s="17" t="s">
        <v>6562</v>
      </c>
      <c r="C2538" s="16">
        <v>9.0</v>
      </c>
      <c r="D2538" s="18" t="s">
        <v>4183</v>
      </c>
    </row>
    <row r="2539" ht="15.75" customHeight="1">
      <c r="A2539" s="16">
        <v>244.0</v>
      </c>
      <c r="B2539" s="17" t="s">
        <v>6563</v>
      </c>
      <c r="C2539" s="16">
        <v>4.0</v>
      </c>
      <c r="D2539" s="18" t="s">
        <v>4183</v>
      </c>
    </row>
    <row r="2540" ht="15.75" customHeight="1">
      <c r="A2540" s="16">
        <v>245.0</v>
      </c>
      <c r="B2540" s="17" t="s">
        <v>6564</v>
      </c>
      <c r="C2540" s="16">
        <v>14.0</v>
      </c>
      <c r="D2540" s="18" t="s">
        <v>4178</v>
      </c>
    </row>
    <row r="2541" ht="15.75" customHeight="1">
      <c r="A2541" s="16">
        <v>246.0</v>
      </c>
      <c r="B2541" s="17" t="s">
        <v>6565</v>
      </c>
      <c r="C2541" s="16">
        <v>5.0</v>
      </c>
      <c r="D2541" s="18" t="s">
        <v>4178</v>
      </c>
    </row>
    <row r="2542" ht="15.75" customHeight="1">
      <c r="A2542" s="16">
        <v>247.0</v>
      </c>
      <c r="B2542" s="17" t="s">
        <v>6566</v>
      </c>
      <c r="C2542" s="16">
        <v>10.0</v>
      </c>
      <c r="D2542" s="18" t="s">
        <v>4178</v>
      </c>
    </row>
    <row r="2543" ht="15.75" customHeight="1">
      <c r="A2543" s="16">
        <v>248.0</v>
      </c>
      <c r="B2543" s="17" t="s">
        <v>6567</v>
      </c>
      <c r="C2543" s="16">
        <v>2.0</v>
      </c>
      <c r="D2543" s="18" t="s">
        <v>4178</v>
      </c>
    </row>
    <row r="2544" ht="15.75" customHeight="1">
      <c r="A2544" s="16">
        <v>249.0</v>
      </c>
      <c r="B2544" s="17" t="s">
        <v>6568</v>
      </c>
      <c r="C2544" s="16">
        <v>4.0</v>
      </c>
      <c r="D2544" s="18" t="s">
        <v>4178</v>
      </c>
    </row>
    <row r="2545" ht="15.75" customHeight="1">
      <c r="A2545" s="16">
        <v>250.0</v>
      </c>
      <c r="B2545" s="17" t="s">
        <v>6569</v>
      </c>
      <c r="C2545" s="16">
        <v>2.0</v>
      </c>
      <c r="D2545" s="18" t="s">
        <v>4183</v>
      </c>
    </row>
    <row r="2546" ht="15.75" customHeight="1">
      <c r="A2546" s="16">
        <v>251.0</v>
      </c>
      <c r="B2546" s="17" t="s">
        <v>6570</v>
      </c>
      <c r="C2546" s="16">
        <v>7.0</v>
      </c>
      <c r="D2546" s="18" t="s">
        <v>4183</v>
      </c>
    </row>
    <row r="2547" ht="15.75" customHeight="1">
      <c r="A2547" s="16">
        <v>252.0</v>
      </c>
      <c r="B2547" s="17" t="s">
        <v>6571</v>
      </c>
      <c r="C2547" s="16">
        <v>12.0</v>
      </c>
      <c r="D2547" s="18" t="s">
        <v>4183</v>
      </c>
    </row>
    <row r="2548" ht="15.75" customHeight="1">
      <c r="A2548" s="16">
        <v>253.0</v>
      </c>
      <c r="B2548" s="17" t="s">
        <v>6572</v>
      </c>
      <c r="C2548" s="16">
        <v>10.0</v>
      </c>
      <c r="D2548" s="18" t="s">
        <v>4183</v>
      </c>
    </row>
    <row r="2549" ht="15.75" customHeight="1">
      <c r="A2549" s="16">
        <v>254.0</v>
      </c>
      <c r="B2549" s="17" t="s">
        <v>6573</v>
      </c>
      <c r="C2549" s="16">
        <v>1.0</v>
      </c>
      <c r="D2549" s="18" t="s">
        <v>4183</v>
      </c>
    </row>
    <row r="2550" ht="15.75" customHeight="1">
      <c r="A2550" s="16">
        <v>255.0</v>
      </c>
      <c r="B2550" s="17" t="s">
        <v>6574</v>
      </c>
      <c r="C2550" s="16">
        <v>2.0</v>
      </c>
      <c r="D2550" s="18" t="s">
        <v>4183</v>
      </c>
    </row>
    <row r="2551" ht="15.75" customHeight="1">
      <c r="A2551" s="16">
        <v>256.0</v>
      </c>
      <c r="B2551" s="17" t="s">
        <v>6575</v>
      </c>
      <c r="C2551" s="16">
        <v>5.0</v>
      </c>
      <c r="D2551" s="18" t="s">
        <v>4183</v>
      </c>
    </row>
    <row r="2552" ht="15.75" customHeight="1">
      <c r="A2552" s="16">
        <v>257.0</v>
      </c>
      <c r="B2552" s="17" t="s">
        <v>6576</v>
      </c>
      <c r="C2552" s="16">
        <v>9.0</v>
      </c>
      <c r="D2552" s="18" t="s">
        <v>4183</v>
      </c>
    </row>
    <row r="2553" ht="15.75" customHeight="1">
      <c r="A2553" s="16">
        <v>258.0</v>
      </c>
      <c r="B2553" s="17" t="s">
        <v>6577</v>
      </c>
      <c r="C2553" s="16">
        <v>5.0</v>
      </c>
      <c r="D2553" s="18" t="s">
        <v>4183</v>
      </c>
    </row>
    <row r="2554" ht="15.75" customHeight="1">
      <c r="A2554" s="16">
        <v>259.0</v>
      </c>
      <c r="B2554" s="17" t="s">
        <v>6578</v>
      </c>
      <c r="C2554" s="16">
        <v>14.0</v>
      </c>
      <c r="D2554" s="18" t="s">
        <v>4183</v>
      </c>
    </row>
    <row r="2555" ht="15.75" customHeight="1">
      <c r="A2555" s="20"/>
      <c r="B2555" s="21" t="s">
        <v>4273</v>
      </c>
      <c r="C2555" s="22">
        <v>2160.69</v>
      </c>
      <c r="D2555" s="21" t="s">
        <v>4171</v>
      </c>
    </row>
    <row r="2556" ht="15.75" customHeight="1">
      <c r="A2556" s="11"/>
      <c r="B2556" s="12"/>
      <c r="C2556" s="12"/>
      <c r="D2556" s="13"/>
    </row>
    <row r="2557" ht="15.75" customHeight="1">
      <c r="A2557" s="14" t="s">
        <v>2323</v>
      </c>
      <c r="B2557" s="15"/>
      <c r="C2557" s="15"/>
      <c r="D2557" s="15"/>
    </row>
    <row r="2558" ht="15.75" customHeight="1">
      <c r="A2558" s="16">
        <v>1.0</v>
      </c>
      <c r="B2558" s="17" t="s">
        <v>6579</v>
      </c>
      <c r="C2558" s="16">
        <v>24.0</v>
      </c>
      <c r="D2558" s="18" t="s">
        <v>4183</v>
      </c>
    </row>
    <row r="2559" ht="15.75" customHeight="1">
      <c r="A2559" s="16">
        <v>2.0</v>
      </c>
      <c r="B2559" s="17" t="s">
        <v>6580</v>
      </c>
      <c r="C2559" s="18" t="s">
        <v>4384</v>
      </c>
      <c r="D2559" s="18" t="s">
        <v>4178</v>
      </c>
    </row>
    <row r="2560" ht="15.75" customHeight="1">
      <c r="A2560" s="16">
        <v>3.0</v>
      </c>
      <c r="B2560" s="17" t="s">
        <v>6581</v>
      </c>
      <c r="C2560" s="16">
        <v>68.0</v>
      </c>
      <c r="D2560" s="18" t="s">
        <v>4215</v>
      </c>
    </row>
    <row r="2561" ht="15.75" customHeight="1">
      <c r="A2561" s="16">
        <v>4.0</v>
      </c>
      <c r="B2561" s="17" t="s">
        <v>6582</v>
      </c>
      <c r="C2561" s="16">
        <v>19.0</v>
      </c>
      <c r="D2561" s="18" t="s">
        <v>4215</v>
      </c>
    </row>
    <row r="2562" ht="15.75" customHeight="1">
      <c r="A2562" s="16">
        <v>5.0</v>
      </c>
      <c r="B2562" s="17" t="s">
        <v>6583</v>
      </c>
      <c r="C2562" s="16">
        <v>24.0</v>
      </c>
      <c r="D2562" s="18" t="s">
        <v>4215</v>
      </c>
    </row>
    <row r="2563" ht="15.75" customHeight="1">
      <c r="A2563" s="16">
        <v>6.0</v>
      </c>
      <c r="B2563" s="17" t="s">
        <v>6584</v>
      </c>
      <c r="C2563" s="19">
        <v>114.55</v>
      </c>
      <c r="D2563" s="18" t="s">
        <v>4183</v>
      </c>
    </row>
    <row r="2564" ht="15.75" customHeight="1">
      <c r="A2564" s="16">
        <v>7.0</v>
      </c>
      <c r="B2564" s="17" t="s">
        <v>6585</v>
      </c>
      <c r="C2564" s="16">
        <v>46.0</v>
      </c>
      <c r="D2564" s="18" t="s">
        <v>4183</v>
      </c>
    </row>
    <row r="2565" ht="15.75" customHeight="1">
      <c r="A2565" s="16">
        <v>8.0</v>
      </c>
      <c r="B2565" s="17" t="s">
        <v>6586</v>
      </c>
      <c r="C2565" s="16">
        <v>15.0</v>
      </c>
      <c r="D2565" s="18" t="s">
        <v>4178</v>
      </c>
    </row>
    <row r="2566" ht="15.75" customHeight="1">
      <c r="A2566" s="16">
        <v>9.0</v>
      </c>
      <c r="B2566" s="17" t="s">
        <v>6587</v>
      </c>
      <c r="C2566" s="16">
        <v>95.0</v>
      </c>
      <c r="D2566" s="18" t="s">
        <v>4183</v>
      </c>
    </row>
    <row r="2567" ht="15.75" customHeight="1">
      <c r="A2567" s="16">
        <v>10.0</v>
      </c>
      <c r="B2567" s="17" t="s">
        <v>6588</v>
      </c>
      <c r="C2567" s="16">
        <v>68.0</v>
      </c>
      <c r="D2567" s="18" t="s">
        <v>4183</v>
      </c>
    </row>
    <row r="2568" ht="15.75" customHeight="1">
      <c r="A2568" s="16">
        <v>11.0</v>
      </c>
      <c r="B2568" s="17" t="s">
        <v>6589</v>
      </c>
      <c r="C2568" s="16">
        <v>50.0</v>
      </c>
      <c r="D2568" s="18" t="s">
        <v>4178</v>
      </c>
    </row>
    <row r="2569" ht="15.75" customHeight="1">
      <c r="A2569" s="16">
        <v>12.0</v>
      </c>
      <c r="B2569" s="17" t="s">
        <v>6590</v>
      </c>
      <c r="C2569" s="16">
        <v>51.0</v>
      </c>
      <c r="D2569" s="18" t="s">
        <v>4178</v>
      </c>
    </row>
    <row r="2570" ht="15.75" customHeight="1">
      <c r="A2570" s="16">
        <v>13.0</v>
      </c>
      <c r="B2570" s="17" t="s">
        <v>6591</v>
      </c>
      <c r="C2570" s="16">
        <v>72.0</v>
      </c>
      <c r="D2570" s="18" t="s">
        <v>4178</v>
      </c>
    </row>
    <row r="2571" ht="15.75" customHeight="1">
      <c r="A2571" s="16">
        <v>14.0</v>
      </c>
      <c r="B2571" s="17" t="s">
        <v>6592</v>
      </c>
      <c r="C2571" s="16">
        <v>253.0</v>
      </c>
      <c r="D2571" s="18" t="s">
        <v>4178</v>
      </c>
    </row>
    <row r="2572" ht="15.75" customHeight="1">
      <c r="A2572" s="16">
        <v>15.0</v>
      </c>
      <c r="B2572" s="17" t="s">
        <v>6593</v>
      </c>
      <c r="C2572" s="16">
        <v>34.0</v>
      </c>
      <c r="D2572" s="18" t="s">
        <v>4215</v>
      </c>
    </row>
    <row r="2573" ht="15.75" customHeight="1">
      <c r="A2573" s="16">
        <v>16.0</v>
      </c>
      <c r="B2573" s="17" t="s">
        <v>6594</v>
      </c>
      <c r="C2573" s="16">
        <v>18.0</v>
      </c>
      <c r="D2573" s="18" t="s">
        <v>4215</v>
      </c>
    </row>
    <row r="2574" ht="15.75" customHeight="1">
      <c r="A2574" s="16">
        <v>17.0</v>
      </c>
      <c r="B2574" s="17" t="s">
        <v>6595</v>
      </c>
      <c r="C2574" s="18" t="s">
        <v>6596</v>
      </c>
      <c r="D2574" s="18" t="s">
        <v>6597</v>
      </c>
    </row>
    <row r="2575" ht="15.75" customHeight="1">
      <c r="A2575" s="16">
        <v>18.0</v>
      </c>
      <c r="B2575" s="17" t="s">
        <v>6598</v>
      </c>
      <c r="C2575" s="16">
        <v>8.0</v>
      </c>
      <c r="D2575" s="18" t="s">
        <v>4183</v>
      </c>
    </row>
    <row r="2576" ht="15.75" customHeight="1">
      <c r="A2576" s="16">
        <v>19.0</v>
      </c>
      <c r="B2576" s="17" t="s">
        <v>6599</v>
      </c>
      <c r="C2576" s="19">
        <v>14.75</v>
      </c>
      <c r="D2576" s="18" t="s">
        <v>4183</v>
      </c>
    </row>
    <row r="2577" ht="15.75" customHeight="1">
      <c r="A2577" s="16">
        <v>20.0</v>
      </c>
      <c r="B2577" s="17" t="s">
        <v>6600</v>
      </c>
      <c r="C2577" s="16">
        <v>1.0</v>
      </c>
      <c r="D2577" s="18" t="s">
        <v>4183</v>
      </c>
    </row>
    <row r="2578" ht="15.75" customHeight="1">
      <c r="A2578" s="16">
        <v>21.0</v>
      </c>
      <c r="B2578" s="17" t="s">
        <v>6601</v>
      </c>
      <c r="C2578" s="16">
        <v>41.0</v>
      </c>
      <c r="D2578" s="18" t="s">
        <v>4215</v>
      </c>
    </row>
    <row r="2579" ht="15.75" customHeight="1">
      <c r="A2579" s="16">
        <v>22.0</v>
      </c>
      <c r="B2579" s="17" t="s">
        <v>6602</v>
      </c>
      <c r="C2579" s="16">
        <v>98.0</v>
      </c>
      <c r="D2579" s="18" t="s">
        <v>4183</v>
      </c>
    </row>
    <row r="2580" ht="15.75" customHeight="1">
      <c r="A2580" s="16">
        <v>23.0</v>
      </c>
      <c r="B2580" s="17" t="s">
        <v>6603</v>
      </c>
      <c r="C2580" s="16">
        <v>9.0</v>
      </c>
      <c r="D2580" s="18" t="s">
        <v>4178</v>
      </c>
    </row>
    <row r="2581" ht="15.75" customHeight="1">
      <c r="A2581" s="16">
        <v>24.0</v>
      </c>
      <c r="B2581" s="17" t="s">
        <v>6604</v>
      </c>
      <c r="C2581" s="16">
        <v>153.0</v>
      </c>
      <c r="D2581" s="18" t="s">
        <v>4183</v>
      </c>
    </row>
    <row r="2582" ht="15.75" customHeight="1">
      <c r="A2582" s="16">
        <v>25.0</v>
      </c>
      <c r="B2582" s="17" t="s">
        <v>6605</v>
      </c>
      <c r="C2582" s="16">
        <v>114.0</v>
      </c>
      <c r="D2582" s="18" t="s">
        <v>4183</v>
      </c>
    </row>
    <row r="2583" ht="15.75" customHeight="1">
      <c r="A2583" s="16">
        <v>26.0</v>
      </c>
      <c r="B2583" s="17" t="s">
        <v>6606</v>
      </c>
      <c r="C2583" s="16">
        <v>33.0</v>
      </c>
      <c r="D2583" s="18" t="s">
        <v>4183</v>
      </c>
    </row>
    <row r="2584" ht="15.75" customHeight="1">
      <c r="A2584" s="16">
        <v>27.0</v>
      </c>
      <c r="B2584" s="17" t="s">
        <v>6607</v>
      </c>
      <c r="C2584" s="18" t="s">
        <v>5059</v>
      </c>
      <c r="D2584" s="18" t="s">
        <v>4178</v>
      </c>
    </row>
    <row r="2585" ht="15.75" customHeight="1">
      <c r="A2585" s="16">
        <v>28.0</v>
      </c>
      <c r="B2585" s="17" t="s">
        <v>6608</v>
      </c>
      <c r="C2585" s="16">
        <v>47.0</v>
      </c>
      <c r="D2585" s="18" t="s">
        <v>4215</v>
      </c>
    </row>
    <row r="2586" ht="15.75" customHeight="1">
      <c r="A2586" s="16">
        <v>29.0</v>
      </c>
      <c r="B2586" s="17" t="s">
        <v>6609</v>
      </c>
      <c r="C2586" s="19">
        <v>60.05</v>
      </c>
      <c r="D2586" s="18" t="s">
        <v>4183</v>
      </c>
    </row>
    <row r="2587" ht="15.75" customHeight="1">
      <c r="A2587" s="16">
        <v>30.0</v>
      </c>
      <c r="B2587" s="17" t="s">
        <v>6610</v>
      </c>
      <c r="C2587" s="16">
        <v>73.0</v>
      </c>
      <c r="D2587" s="18" t="s">
        <v>6611</v>
      </c>
    </row>
    <row r="2588" ht="15.75" customHeight="1">
      <c r="A2588" s="16">
        <v>31.0</v>
      </c>
      <c r="B2588" s="17" t="s">
        <v>6612</v>
      </c>
      <c r="C2588" s="16">
        <v>44.0</v>
      </c>
      <c r="D2588" s="18" t="s">
        <v>4183</v>
      </c>
    </row>
    <row r="2589" ht="15.75" customHeight="1">
      <c r="A2589" s="16">
        <v>32.0</v>
      </c>
      <c r="B2589" s="17" t="s">
        <v>6613</v>
      </c>
      <c r="C2589" s="16">
        <v>29.0</v>
      </c>
      <c r="D2589" s="18" t="s">
        <v>4178</v>
      </c>
    </row>
    <row r="2590" ht="15.75" customHeight="1">
      <c r="A2590" s="20"/>
      <c r="B2590" s="21" t="s">
        <v>4273</v>
      </c>
      <c r="C2590" s="22">
        <v>1614.35</v>
      </c>
      <c r="D2590" s="21" t="s">
        <v>4171</v>
      </c>
    </row>
    <row r="2591" ht="15.75" customHeight="1">
      <c r="A2591" s="11"/>
      <c r="B2591" s="12"/>
      <c r="C2591" s="12"/>
      <c r="D2591" s="13"/>
    </row>
    <row r="2592" ht="15.75" customHeight="1">
      <c r="A2592" s="14" t="s">
        <v>4103</v>
      </c>
      <c r="B2592" s="15"/>
      <c r="C2592" s="15"/>
      <c r="D2592" s="15"/>
    </row>
    <row r="2593" ht="15.75" customHeight="1">
      <c r="A2593" s="16">
        <v>1.0</v>
      </c>
      <c r="B2593" s="17" t="s">
        <v>6614</v>
      </c>
      <c r="C2593" s="16">
        <v>54.0</v>
      </c>
      <c r="D2593" s="18" t="s">
        <v>4178</v>
      </c>
    </row>
    <row r="2594" ht="15.75" customHeight="1">
      <c r="A2594" s="16">
        <v>2.0</v>
      </c>
      <c r="B2594" s="17" t="s">
        <v>6615</v>
      </c>
      <c r="C2594" s="16">
        <v>20.0</v>
      </c>
      <c r="D2594" s="18" t="s">
        <v>4178</v>
      </c>
    </row>
    <row r="2595" ht="15.75" customHeight="1">
      <c r="A2595" s="16">
        <v>3.0</v>
      </c>
      <c r="B2595" s="17" t="s">
        <v>6616</v>
      </c>
      <c r="C2595" s="16">
        <v>3.0</v>
      </c>
      <c r="D2595" s="18" t="s">
        <v>4178</v>
      </c>
    </row>
    <row r="2596" ht="15.75" customHeight="1">
      <c r="A2596" s="16">
        <v>4.0</v>
      </c>
      <c r="B2596" s="17" t="s">
        <v>6617</v>
      </c>
      <c r="C2596" s="16">
        <v>6.0</v>
      </c>
      <c r="D2596" s="18" t="s">
        <v>4178</v>
      </c>
    </row>
    <row r="2597" ht="15.75" customHeight="1">
      <c r="A2597" s="16">
        <v>5.0</v>
      </c>
      <c r="B2597" s="17" t="s">
        <v>6618</v>
      </c>
      <c r="C2597" s="16">
        <v>59.0</v>
      </c>
      <c r="D2597" s="18" t="s">
        <v>4178</v>
      </c>
    </row>
    <row r="2598" ht="15.75" customHeight="1">
      <c r="A2598" s="16">
        <v>6.0</v>
      </c>
      <c r="B2598" s="17" t="s">
        <v>6619</v>
      </c>
      <c r="C2598" s="16">
        <v>30.0</v>
      </c>
      <c r="D2598" s="18" t="s">
        <v>4178</v>
      </c>
    </row>
    <row r="2599" ht="15.75" customHeight="1">
      <c r="A2599" s="16">
        <v>7.0</v>
      </c>
      <c r="B2599" s="17" t="s">
        <v>6620</v>
      </c>
      <c r="C2599" s="16">
        <v>3.0</v>
      </c>
      <c r="D2599" s="18" t="s">
        <v>4178</v>
      </c>
    </row>
    <row r="2600" ht="15.75" customHeight="1">
      <c r="A2600" s="16">
        <v>8.0</v>
      </c>
      <c r="B2600" s="17" t="s">
        <v>6621</v>
      </c>
      <c r="C2600" s="16">
        <v>3.0</v>
      </c>
      <c r="D2600" s="18" t="s">
        <v>4178</v>
      </c>
    </row>
    <row r="2601" ht="15.75" customHeight="1">
      <c r="A2601" s="16">
        <v>9.0</v>
      </c>
      <c r="B2601" s="17" t="s">
        <v>6622</v>
      </c>
      <c r="C2601" s="18" t="s">
        <v>4213</v>
      </c>
      <c r="D2601" s="18" t="s">
        <v>4178</v>
      </c>
    </row>
    <row r="2602" ht="15.75" customHeight="1">
      <c r="A2602" s="16">
        <v>10.0</v>
      </c>
      <c r="B2602" s="17" t="s">
        <v>6623</v>
      </c>
      <c r="C2602" s="16">
        <v>1.0</v>
      </c>
      <c r="D2602" s="18" t="s">
        <v>4178</v>
      </c>
    </row>
    <row r="2603" ht="15.75" customHeight="1">
      <c r="A2603" s="16">
        <v>11.0</v>
      </c>
      <c r="B2603" s="17" t="s">
        <v>6624</v>
      </c>
      <c r="C2603" s="16">
        <v>9.0</v>
      </c>
      <c r="D2603" s="18" t="s">
        <v>4178</v>
      </c>
    </row>
    <row r="2604" ht="15.75" customHeight="1">
      <c r="A2604" s="16">
        <v>12.0</v>
      </c>
      <c r="B2604" s="17" t="s">
        <v>6625</v>
      </c>
      <c r="C2604" s="16">
        <v>5.0</v>
      </c>
      <c r="D2604" s="18" t="s">
        <v>4178</v>
      </c>
    </row>
    <row r="2605" ht="15.75" customHeight="1">
      <c r="A2605" s="16">
        <v>13.0</v>
      </c>
      <c r="B2605" s="17" t="s">
        <v>6626</v>
      </c>
      <c r="C2605" s="16">
        <v>20.0</v>
      </c>
      <c r="D2605" s="18" t="s">
        <v>4178</v>
      </c>
    </row>
    <row r="2606" ht="15.75" customHeight="1">
      <c r="A2606" s="16">
        <v>14.0</v>
      </c>
      <c r="B2606" s="17" t="s">
        <v>6627</v>
      </c>
      <c r="C2606" s="16">
        <v>5.0</v>
      </c>
      <c r="D2606" s="18" t="s">
        <v>4178</v>
      </c>
    </row>
    <row r="2607" ht="15.75" customHeight="1">
      <c r="A2607" s="16">
        <v>15.0</v>
      </c>
      <c r="B2607" s="17" t="s">
        <v>6628</v>
      </c>
      <c r="C2607" s="16">
        <v>4.0</v>
      </c>
      <c r="D2607" s="18" t="s">
        <v>4178</v>
      </c>
    </row>
    <row r="2608" ht="15.75" customHeight="1">
      <c r="A2608" s="16">
        <v>16.0</v>
      </c>
      <c r="B2608" s="17" t="s">
        <v>6629</v>
      </c>
      <c r="C2608" s="18" t="s">
        <v>5295</v>
      </c>
      <c r="D2608" s="18" t="s">
        <v>4178</v>
      </c>
    </row>
    <row r="2609" ht="15.75" customHeight="1">
      <c r="A2609" s="16">
        <v>17.0</v>
      </c>
      <c r="B2609" s="17" t="s">
        <v>6630</v>
      </c>
      <c r="C2609" s="16">
        <v>5.0</v>
      </c>
      <c r="D2609" s="18" t="s">
        <v>4178</v>
      </c>
    </row>
    <row r="2610" ht="15.75" customHeight="1">
      <c r="A2610" s="16">
        <v>18.0</v>
      </c>
      <c r="B2610" s="17" t="s">
        <v>6631</v>
      </c>
      <c r="C2610" s="16">
        <v>28.0</v>
      </c>
      <c r="D2610" s="18" t="s">
        <v>4178</v>
      </c>
    </row>
    <row r="2611" ht="15.75" customHeight="1">
      <c r="A2611" s="16">
        <v>19.0</v>
      </c>
      <c r="B2611" s="17" t="s">
        <v>6632</v>
      </c>
      <c r="C2611" s="16">
        <v>5.0</v>
      </c>
      <c r="D2611" s="18" t="s">
        <v>4178</v>
      </c>
    </row>
    <row r="2612" ht="15.75" customHeight="1">
      <c r="A2612" s="16">
        <v>20.0</v>
      </c>
      <c r="B2612" s="17" t="s">
        <v>6633</v>
      </c>
      <c r="C2612" s="16">
        <v>7.0</v>
      </c>
      <c r="D2612" s="18" t="s">
        <v>4178</v>
      </c>
    </row>
    <row r="2613" ht="15.75" customHeight="1">
      <c r="A2613" s="16">
        <v>21.0</v>
      </c>
      <c r="B2613" s="17" t="s">
        <v>6634</v>
      </c>
      <c r="C2613" s="16">
        <v>49.0</v>
      </c>
      <c r="D2613" s="18" t="s">
        <v>4178</v>
      </c>
    </row>
    <row r="2614" ht="15.75" customHeight="1">
      <c r="A2614" s="20"/>
      <c r="B2614" s="21" t="s">
        <v>4273</v>
      </c>
      <c r="C2614" s="23">
        <v>304.0</v>
      </c>
      <c r="D2614" s="21" t="s">
        <v>4171</v>
      </c>
    </row>
    <row r="2615" ht="15.75" customHeight="1">
      <c r="A2615" s="11"/>
      <c r="B2615" s="12"/>
      <c r="C2615" s="12"/>
      <c r="D2615" s="13"/>
    </row>
    <row r="2616" ht="15.75" customHeight="1">
      <c r="A2616" s="14" t="s">
        <v>2378</v>
      </c>
      <c r="B2616" s="15"/>
      <c r="C2616" s="15"/>
      <c r="D2616" s="15"/>
    </row>
    <row r="2617" ht="15.75" customHeight="1">
      <c r="A2617" s="16">
        <v>1.0</v>
      </c>
      <c r="B2617" s="17" t="s">
        <v>6635</v>
      </c>
      <c r="C2617" s="16">
        <v>14.0</v>
      </c>
      <c r="D2617" s="18" t="s">
        <v>4178</v>
      </c>
    </row>
    <row r="2618" ht="15.75" customHeight="1">
      <c r="A2618" s="16">
        <v>2.0</v>
      </c>
      <c r="B2618" s="17" t="s">
        <v>6636</v>
      </c>
      <c r="C2618" s="16">
        <v>1.0</v>
      </c>
      <c r="D2618" s="18" t="s">
        <v>4178</v>
      </c>
    </row>
    <row r="2619" ht="15.75" customHeight="1">
      <c r="A2619" s="16">
        <v>3.0</v>
      </c>
      <c r="B2619" s="17" t="s">
        <v>6637</v>
      </c>
      <c r="C2619" s="16">
        <v>20.0</v>
      </c>
      <c r="D2619" s="18" t="s">
        <v>4178</v>
      </c>
    </row>
    <row r="2620" ht="15.75" customHeight="1">
      <c r="A2620" s="16">
        <v>4.0</v>
      </c>
      <c r="B2620" s="17" t="s">
        <v>6638</v>
      </c>
      <c r="C2620" s="16">
        <v>16.0</v>
      </c>
      <c r="D2620" s="18" t="s">
        <v>4178</v>
      </c>
    </row>
    <row r="2621" ht="15.75" customHeight="1">
      <c r="A2621" s="16">
        <v>5.0</v>
      </c>
      <c r="B2621" s="17" t="s">
        <v>6639</v>
      </c>
      <c r="C2621" s="16">
        <v>88.0</v>
      </c>
      <c r="D2621" s="18" t="s">
        <v>4178</v>
      </c>
    </row>
    <row r="2622" ht="15.75" customHeight="1">
      <c r="A2622" s="16">
        <v>6.0</v>
      </c>
      <c r="B2622" s="17" t="s">
        <v>6640</v>
      </c>
      <c r="C2622" s="16">
        <v>42.0</v>
      </c>
      <c r="D2622" s="18" t="s">
        <v>4178</v>
      </c>
    </row>
    <row r="2623" ht="15.75" customHeight="1">
      <c r="A2623" s="16">
        <v>7.0</v>
      </c>
      <c r="B2623" s="17" t="s">
        <v>6641</v>
      </c>
      <c r="C2623" s="16">
        <v>10.0</v>
      </c>
      <c r="D2623" s="18" t="s">
        <v>4178</v>
      </c>
    </row>
    <row r="2624" ht="15.75" customHeight="1">
      <c r="A2624" s="16">
        <v>8.0</v>
      </c>
      <c r="B2624" s="17" t="s">
        <v>6642</v>
      </c>
      <c r="C2624" s="16">
        <v>10.0</v>
      </c>
      <c r="D2624" s="18" t="s">
        <v>4178</v>
      </c>
    </row>
    <row r="2625" ht="15.75" customHeight="1">
      <c r="A2625" s="16">
        <v>9.0</v>
      </c>
      <c r="B2625" s="17" t="s">
        <v>6643</v>
      </c>
      <c r="C2625" s="16">
        <v>15.0</v>
      </c>
      <c r="D2625" s="18" t="s">
        <v>4178</v>
      </c>
    </row>
    <row r="2626" ht="15.75" customHeight="1">
      <c r="A2626" s="16">
        <v>10.0</v>
      </c>
      <c r="B2626" s="17" t="s">
        <v>6644</v>
      </c>
      <c r="C2626" s="16">
        <v>13.0</v>
      </c>
      <c r="D2626" s="18" t="s">
        <v>4178</v>
      </c>
    </row>
    <row r="2627" ht="15.75" customHeight="1">
      <c r="A2627" s="16">
        <v>11.0</v>
      </c>
      <c r="B2627" s="17" t="s">
        <v>6645</v>
      </c>
      <c r="C2627" s="16">
        <v>4.0</v>
      </c>
      <c r="D2627" s="18" t="s">
        <v>4178</v>
      </c>
    </row>
    <row r="2628" ht="15.75" customHeight="1">
      <c r="A2628" s="16">
        <v>12.0</v>
      </c>
      <c r="B2628" s="17" t="s">
        <v>6646</v>
      </c>
      <c r="C2628" s="16">
        <v>23.0</v>
      </c>
      <c r="D2628" s="18" t="s">
        <v>4178</v>
      </c>
    </row>
    <row r="2629" ht="15.75" customHeight="1">
      <c r="A2629" s="16">
        <v>13.0</v>
      </c>
      <c r="B2629" s="17" t="s">
        <v>6647</v>
      </c>
      <c r="C2629" s="16">
        <v>29.0</v>
      </c>
      <c r="D2629" s="18" t="s">
        <v>4178</v>
      </c>
    </row>
    <row r="2630" ht="15.75" customHeight="1">
      <c r="A2630" s="16">
        <v>14.0</v>
      </c>
      <c r="B2630" s="17" t="s">
        <v>6648</v>
      </c>
      <c r="C2630" s="16">
        <v>10.0</v>
      </c>
      <c r="D2630" s="18" t="s">
        <v>4178</v>
      </c>
    </row>
    <row r="2631" ht="15.75" customHeight="1">
      <c r="A2631" s="16">
        <v>15.0</v>
      </c>
      <c r="B2631" s="17" t="s">
        <v>6649</v>
      </c>
      <c r="C2631" s="16">
        <v>16.0</v>
      </c>
      <c r="D2631" s="18" t="s">
        <v>4178</v>
      </c>
    </row>
    <row r="2632" ht="15.75" customHeight="1">
      <c r="A2632" s="16">
        <v>16.0</v>
      </c>
      <c r="B2632" s="17" t="s">
        <v>6650</v>
      </c>
      <c r="C2632" s="16">
        <v>23.0</v>
      </c>
      <c r="D2632" s="18" t="s">
        <v>4178</v>
      </c>
    </row>
    <row r="2633" ht="15.75" customHeight="1">
      <c r="A2633" s="16">
        <v>17.0</v>
      </c>
      <c r="B2633" s="17" t="s">
        <v>6651</v>
      </c>
      <c r="C2633" s="16">
        <v>24.0</v>
      </c>
      <c r="D2633" s="18" t="s">
        <v>4178</v>
      </c>
    </row>
    <row r="2634" ht="15.75" customHeight="1">
      <c r="A2634" s="16">
        <v>18.0</v>
      </c>
      <c r="B2634" s="17" t="s">
        <v>6652</v>
      </c>
      <c r="C2634" s="16">
        <v>47.0</v>
      </c>
      <c r="D2634" s="18" t="s">
        <v>4178</v>
      </c>
    </row>
    <row r="2635" ht="15.75" customHeight="1">
      <c r="A2635" s="16">
        <v>19.0</v>
      </c>
      <c r="B2635" s="17" t="s">
        <v>6653</v>
      </c>
      <c r="C2635" s="16">
        <v>23.0</v>
      </c>
      <c r="D2635" s="18" t="s">
        <v>4178</v>
      </c>
    </row>
    <row r="2636" ht="15.75" customHeight="1">
      <c r="A2636" s="16">
        <v>20.0</v>
      </c>
      <c r="B2636" s="17" t="s">
        <v>6654</v>
      </c>
      <c r="C2636" s="16">
        <v>8.0</v>
      </c>
      <c r="D2636" s="18" t="s">
        <v>4178</v>
      </c>
    </row>
    <row r="2637" ht="15.75" customHeight="1">
      <c r="A2637" s="16">
        <v>21.0</v>
      </c>
      <c r="B2637" s="17" t="s">
        <v>6655</v>
      </c>
      <c r="C2637" s="16">
        <v>2.0</v>
      </c>
      <c r="D2637" s="18" t="s">
        <v>4178</v>
      </c>
    </row>
    <row r="2638" ht="15.75" customHeight="1">
      <c r="A2638" s="16">
        <v>22.0</v>
      </c>
      <c r="B2638" s="17" t="s">
        <v>6656</v>
      </c>
      <c r="C2638" s="16">
        <v>27.0</v>
      </c>
      <c r="D2638" s="18" t="s">
        <v>4178</v>
      </c>
    </row>
    <row r="2639" ht="15.75" customHeight="1">
      <c r="A2639" s="16">
        <v>23.0</v>
      </c>
      <c r="B2639" s="17" t="s">
        <v>6657</v>
      </c>
      <c r="C2639" s="16">
        <v>60.0</v>
      </c>
      <c r="D2639" s="18" t="s">
        <v>4178</v>
      </c>
    </row>
    <row r="2640" ht="15.75" customHeight="1">
      <c r="A2640" s="16">
        <v>24.0</v>
      </c>
      <c r="B2640" s="17" t="s">
        <v>6658</v>
      </c>
      <c r="C2640" s="16">
        <v>47.0</v>
      </c>
      <c r="D2640" s="18" t="s">
        <v>4178</v>
      </c>
    </row>
    <row r="2641" ht="15.75" customHeight="1">
      <c r="A2641" s="16">
        <v>25.0</v>
      </c>
      <c r="B2641" s="17" t="s">
        <v>6659</v>
      </c>
      <c r="C2641" s="16">
        <v>52.0</v>
      </c>
      <c r="D2641" s="18" t="s">
        <v>4178</v>
      </c>
    </row>
    <row r="2642" ht="15.75" customHeight="1">
      <c r="A2642" s="16">
        <v>26.0</v>
      </c>
      <c r="B2642" s="17" t="s">
        <v>6660</v>
      </c>
      <c r="C2642" s="16">
        <v>16.0</v>
      </c>
      <c r="D2642" s="18" t="s">
        <v>4178</v>
      </c>
    </row>
    <row r="2643" ht="15.75" customHeight="1">
      <c r="A2643" s="16">
        <v>27.0</v>
      </c>
      <c r="B2643" s="17" t="s">
        <v>6661</v>
      </c>
      <c r="C2643" s="16">
        <v>47.0</v>
      </c>
      <c r="D2643" s="18" t="s">
        <v>4178</v>
      </c>
    </row>
    <row r="2644" ht="15.75" customHeight="1">
      <c r="A2644" s="16">
        <v>28.0</v>
      </c>
      <c r="B2644" s="17" t="s">
        <v>6662</v>
      </c>
      <c r="C2644" s="16">
        <v>33.0</v>
      </c>
      <c r="D2644" s="18" t="s">
        <v>4178</v>
      </c>
    </row>
    <row r="2645" ht="15.75" customHeight="1">
      <c r="A2645" s="20"/>
      <c r="B2645" s="21" t="s">
        <v>4273</v>
      </c>
      <c r="C2645" s="23">
        <v>720.0</v>
      </c>
      <c r="D2645" s="21" t="s">
        <v>4171</v>
      </c>
    </row>
    <row r="2646" ht="15.75" customHeight="1">
      <c r="A2646" s="11"/>
      <c r="B2646" s="12"/>
      <c r="C2646" s="12"/>
      <c r="D2646" s="13"/>
    </row>
    <row r="2647" ht="15.75" customHeight="1">
      <c r="A2647" s="14" t="s">
        <v>4117</v>
      </c>
      <c r="B2647" s="15"/>
      <c r="C2647" s="15"/>
      <c r="D2647" s="15"/>
    </row>
    <row r="2648" ht="15.75" customHeight="1">
      <c r="A2648" s="16">
        <v>1.0</v>
      </c>
      <c r="B2648" s="17" t="s">
        <v>6663</v>
      </c>
      <c r="C2648" s="16">
        <v>18.0</v>
      </c>
      <c r="D2648" s="18" t="s">
        <v>4178</v>
      </c>
    </row>
    <row r="2649" ht="15.75" customHeight="1">
      <c r="A2649" s="16">
        <v>2.0</v>
      </c>
      <c r="B2649" s="17" t="s">
        <v>6664</v>
      </c>
      <c r="C2649" s="16">
        <v>7.0</v>
      </c>
      <c r="D2649" s="18" t="s">
        <v>4178</v>
      </c>
    </row>
    <row r="2650" ht="15.75" customHeight="1">
      <c r="A2650" s="16">
        <v>3.0</v>
      </c>
      <c r="B2650" s="17" t="s">
        <v>6665</v>
      </c>
      <c r="C2650" s="16">
        <v>8.0</v>
      </c>
      <c r="D2650" s="18" t="s">
        <v>6666</v>
      </c>
    </row>
    <row r="2651" ht="15.75" customHeight="1">
      <c r="A2651" s="16">
        <v>4.0</v>
      </c>
      <c r="B2651" s="17" t="s">
        <v>6667</v>
      </c>
      <c r="C2651" s="16">
        <v>4.0</v>
      </c>
      <c r="D2651" s="18" t="s">
        <v>4178</v>
      </c>
    </row>
    <row r="2652" ht="15.75" customHeight="1">
      <c r="A2652" s="16">
        <v>5.0</v>
      </c>
      <c r="B2652" s="17" t="s">
        <v>6668</v>
      </c>
      <c r="C2652" s="16">
        <v>3.0</v>
      </c>
      <c r="D2652" s="18" t="s">
        <v>4178</v>
      </c>
    </row>
    <row r="2653" ht="15.75" customHeight="1">
      <c r="A2653" s="16">
        <v>6.0</v>
      </c>
      <c r="B2653" s="17" t="s">
        <v>6669</v>
      </c>
      <c r="C2653" s="16">
        <v>4.0</v>
      </c>
      <c r="D2653" s="18" t="s">
        <v>4178</v>
      </c>
    </row>
    <row r="2654" ht="15.75" customHeight="1">
      <c r="A2654" s="16">
        <v>7.0</v>
      </c>
      <c r="B2654" s="17" t="s">
        <v>6670</v>
      </c>
      <c r="C2654" s="16">
        <v>6.0</v>
      </c>
      <c r="D2654" s="18" t="s">
        <v>4178</v>
      </c>
    </row>
    <row r="2655" ht="15.75" customHeight="1">
      <c r="A2655" s="16">
        <v>8.0</v>
      </c>
      <c r="B2655" s="17" t="s">
        <v>6671</v>
      </c>
      <c r="C2655" s="18" t="s">
        <v>4635</v>
      </c>
      <c r="D2655" s="18" t="s">
        <v>4178</v>
      </c>
    </row>
    <row r="2656" ht="15.75" customHeight="1">
      <c r="A2656" s="16">
        <v>9.0</v>
      </c>
      <c r="B2656" s="17" t="s">
        <v>6672</v>
      </c>
      <c r="C2656" s="16">
        <v>2.0</v>
      </c>
      <c r="D2656" s="18" t="s">
        <v>4178</v>
      </c>
    </row>
    <row r="2657" ht="15.75" customHeight="1">
      <c r="A2657" s="16">
        <v>10.0</v>
      </c>
      <c r="B2657" s="17" t="s">
        <v>6673</v>
      </c>
      <c r="C2657" s="16">
        <v>16.0</v>
      </c>
      <c r="D2657" s="18" t="s">
        <v>4178</v>
      </c>
    </row>
    <row r="2658" ht="15.75" customHeight="1">
      <c r="A2658" s="16">
        <v>11.0</v>
      </c>
      <c r="B2658" s="17" t="s">
        <v>6674</v>
      </c>
      <c r="C2658" s="16">
        <v>13.0</v>
      </c>
      <c r="D2658" s="18" t="s">
        <v>4178</v>
      </c>
    </row>
    <row r="2659" ht="15.75" customHeight="1">
      <c r="A2659" s="16">
        <v>12.0</v>
      </c>
      <c r="B2659" s="17" t="s">
        <v>6675</v>
      </c>
      <c r="C2659" s="16">
        <v>6.0</v>
      </c>
      <c r="D2659" s="18" t="s">
        <v>4178</v>
      </c>
    </row>
    <row r="2660" ht="15.75" customHeight="1">
      <c r="A2660" s="16">
        <v>13.0</v>
      </c>
      <c r="B2660" s="17" t="s">
        <v>6676</v>
      </c>
      <c r="C2660" s="16">
        <v>5.0</v>
      </c>
      <c r="D2660" s="18" t="s">
        <v>4178</v>
      </c>
    </row>
    <row r="2661" ht="15.75" customHeight="1">
      <c r="A2661" s="16">
        <v>14.0</v>
      </c>
      <c r="B2661" s="17" t="s">
        <v>6677</v>
      </c>
      <c r="C2661" s="16">
        <v>2.0</v>
      </c>
      <c r="D2661" s="18" t="s">
        <v>4178</v>
      </c>
    </row>
    <row r="2662" ht="15.75" customHeight="1">
      <c r="A2662" s="16">
        <v>15.0</v>
      </c>
      <c r="B2662" s="17" t="s">
        <v>6678</v>
      </c>
      <c r="C2662" s="16">
        <v>22.0</v>
      </c>
      <c r="D2662" s="18" t="s">
        <v>4178</v>
      </c>
    </row>
    <row r="2663" ht="15.75" customHeight="1">
      <c r="A2663" s="16">
        <v>16.0</v>
      </c>
      <c r="B2663" s="17" t="s">
        <v>6679</v>
      </c>
      <c r="C2663" s="16">
        <v>1.0</v>
      </c>
      <c r="D2663" s="18" t="s">
        <v>4178</v>
      </c>
    </row>
    <row r="2664" ht="15.75" customHeight="1">
      <c r="A2664" s="16">
        <v>17.0</v>
      </c>
      <c r="B2664" s="17" t="s">
        <v>6680</v>
      </c>
      <c r="C2664" s="16">
        <v>4.0</v>
      </c>
      <c r="D2664" s="18" t="s">
        <v>4178</v>
      </c>
    </row>
    <row r="2665" ht="15.75" customHeight="1">
      <c r="A2665" s="20"/>
      <c r="B2665" s="21" t="s">
        <v>4273</v>
      </c>
      <c r="C2665" s="23">
        <v>115.0</v>
      </c>
      <c r="D2665" s="21" t="s">
        <v>4171</v>
      </c>
    </row>
    <row r="2666" ht="15.75" customHeight="1">
      <c r="A2666" s="11"/>
      <c r="B2666" s="12"/>
      <c r="C2666" s="12"/>
      <c r="D2666" s="13"/>
    </row>
    <row r="2667" ht="15.75" customHeight="1">
      <c r="A2667" s="11"/>
      <c r="B2667" s="12"/>
      <c r="C2667" s="12"/>
      <c r="D2667" s="13"/>
    </row>
    <row r="2668" ht="15.75" customHeight="1">
      <c r="A2668" s="14" t="s">
        <v>4097</v>
      </c>
      <c r="B2668" s="15"/>
      <c r="C2668" s="15"/>
      <c r="D2668" s="15"/>
    </row>
    <row r="2669" ht="15.75" customHeight="1">
      <c r="A2669" s="16">
        <v>1.0</v>
      </c>
      <c r="B2669" s="17" t="s">
        <v>6681</v>
      </c>
      <c r="C2669" s="16">
        <v>2.0</v>
      </c>
      <c r="D2669" s="18" t="s">
        <v>4183</v>
      </c>
    </row>
    <row r="2670" ht="15.75" customHeight="1">
      <c r="A2670" s="16">
        <v>2.0</v>
      </c>
      <c r="B2670" s="17" t="s">
        <v>6682</v>
      </c>
      <c r="C2670" s="16">
        <v>2.0</v>
      </c>
      <c r="D2670" s="18" t="s">
        <v>4183</v>
      </c>
    </row>
    <row r="2671" ht="15.75" customHeight="1">
      <c r="A2671" s="16">
        <v>3.0</v>
      </c>
      <c r="B2671" s="17" t="s">
        <v>6683</v>
      </c>
      <c r="C2671" s="16">
        <v>11.0</v>
      </c>
      <c r="D2671" s="18" t="s">
        <v>4183</v>
      </c>
    </row>
    <row r="2672" ht="15.75" customHeight="1">
      <c r="A2672" s="16">
        <v>4.0</v>
      </c>
      <c r="B2672" s="17" t="s">
        <v>6684</v>
      </c>
      <c r="C2672" s="16">
        <v>5.0</v>
      </c>
      <c r="D2672" s="18" t="s">
        <v>4178</v>
      </c>
    </row>
    <row r="2673" ht="15.75" customHeight="1">
      <c r="A2673" s="16">
        <v>5.0</v>
      </c>
      <c r="B2673" s="17" t="s">
        <v>6685</v>
      </c>
      <c r="C2673" s="16">
        <v>1.0</v>
      </c>
      <c r="D2673" s="18" t="s">
        <v>4178</v>
      </c>
    </row>
    <row r="2674" ht="15.75" customHeight="1">
      <c r="A2674" s="16">
        <v>6.0</v>
      </c>
      <c r="B2674" s="17" t="s">
        <v>6686</v>
      </c>
      <c r="C2674" s="16">
        <v>15.0</v>
      </c>
      <c r="D2674" s="18" t="s">
        <v>4183</v>
      </c>
    </row>
    <row r="2675" ht="15.75" customHeight="1">
      <c r="A2675" s="16">
        <v>7.0</v>
      </c>
      <c r="B2675" s="17" t="s">
        <v>6687</v>
      </c>
      <c r="C2675" s="16">
        <v>9.0</v>
      </c>
      <c r="D2675" s="18" t="s">
        <v>4183</v>
      </c>
    </row>
    <row r="2676" ht="15.75" customHeight="1">
      <c r="A2676" s="16">
        <v>8.0</v>
      </c>
      <c r="B2676" s="17" t="s">
        <v>6688</v>
      </c>
      <c r="C2676" s="16">
        <v>4.0</v>
      </c>
      <c r="D2676" s="18" t="s">
        <v>4178</v>
      </c>
    </row>
    <row r="2677" ht="15.75" customHeight="1">
      <c r="A2677" s="16">
        <v>9.0</v>
      </c>
      <c r="B2677" s="17" t="s">
        <v>6689</v>
      </c>
      <c r="C2677" s="16">
        <v>3.0</v>
      </c>
      <c r="D2677" s="18" t="s">
        <v>4178</v>
      </c>
    </row>
    <row r="2678" ht="15.75" customHeight="1">
      <c r="A2678" s="16">
        <v>10.0</v>
      </c>
      <c r="B2678" s="17" t="s">
        <v>6690</v>
      </c>
      <c r="C2678" s="16">
        <v>2.0</v>
      </c>
      <c r="D2678" s="18" t="s">
        <v>4178</v>
      </c>
    </row>
    <row r="2679" ht="15.75" customHeight="1">
      <c r="A2679" s="16">
        <v>11.0</v>
      </c>
      <c r="B2679" s="17" t="s">
        <v>6691</v>
      </c>
      <c r="C2679" s="16">
        <v>10.0</v>
      </c>
      <c r="D2679" s="18" t="s">
        <v>4178</v>
      </c>
    </row>
    <row r="2680" ht="15.75" customHeight="1">
      <c r="A2680" s="16">
        <v>12.0</v>
      </c>
      <c r="B2680" s="17" t="s">
        <v>6692</v>
      </c>
      <c r="C2680" s="16">
        <v>6.0</v>
      </c>
      <c r="D2680" s="18" t="s">
        <v>4178</v>
      </c>
    </row>
    <row r="2681" ht="15.75" customHeight="1">
      <c r="A2681" s="16">
        <v>13.0</v>
      </c>
      <c r="B2681" s="17" t="s">
        <v>6693</v>
      </c>
      <c r="C2681" s="16">
        <v>11.0</v>
      </c>
      <c r="D2681" s="18" t="s">
        <v>4178</v>
      </c>
    </row>
    <row r="2682" ht="15.75" customHeight="1">
      <c r="A2682" s="16">
        <v>14.0</v>
      </c>
      <c r="B2682" s="17" t="s">
        <v>6694</v>
      </c>
      <c r="C2682" s="16">
        <v>8.0</v>
      </c>
      <c r="D2682" s="18" t="s">
        <v>4178</v>
      </c>
    </row>
    <row r="2683" ht="15.75" customHeight="1">
      <c r="A2683" s="16">
        <v>15.0</v>
      </c>
      <c r="B2683" s="17" t="s">
        <v>6695</v>
      </c>
      <c r="C2683" s="16">
        <v>10.0</v>
      </c>
      <c r="D2683" s="18" t="s">
        <v>4178</v>
      </c>
    </row>
    <row r="2684" ht="15.75" customHeight="1">
      <c r="A2684" s="16">
        <v>16.0</v>
      </c>
      <c r="B2684" s="17" t="s">
        <v>6696</v>
      </c>
      <c r="C2684" s="16">
        <v>10.0</v>
      </c>
      <c r="D2684" s="18" t="s">
        <v>4178</v>
      </c>
    </row>
    <row r="2685" ht="15.75" customHeight="1">
      <c r="A2685" s="16">
        <v>17.0</v>
      </c>
      <c r="B2685" s="17" t="s">
        <v>6697</v>
      </c>
      <c r="C2685" s="16">
        <v>6.0</v>
      </c>
      <c r="D2685" s="18" t="s">
        <v>4178</v>
      </c>
    </row>
    <row r="2686" ht="15.75" customHeight="1">
      <c r="A2686" s="16">
        <v>18.0</v>
      </c>
      <c r="B2686" s="17" t="s">
        <v>6698</v>
      </c>
      <c r="C2686" s="16">
        <v>1.0</v>
      </c>
      <c r="D2686" s="18" t="s">
        <v>4178</v>
      </c>
    </row>
    <row r="2687" ht="15.75" customHeight="1">
      <c r="A2687" s="16">
        <v>19.0</v>
      </c>
      <c r="B2687" s="17" t="s">
        <v>6699</v>
      </c>
      <c r="C2687" s="16">
        <v>7.0</v>
      </c>
      <c r="D2687" s="18" t="s">
        <v>4178</v>
      </c>
    </row>
    <row r="2688" ht="15.75" customHeight="1">
      <c r="A2688" s="16">
        <v>20.0</v>
      </c>
      <c r="B2688" s="17" t="s">
        <v>6700</v>
      </c>
      <c r="C2688" s="16">
        <v>6.0</v>
      </c>
      <c r="D2688" s="18" t="s">
        <v>4178</v>
      </c>
    </row>
    <row r="2689" ht="15.75" customHeight="1">
      <c r="A2689" s="16">
        <v>21.0</v>
      </c>
      <c r="B2689" s="17" t="s">
        <v>6701</v>
      </c>
      <c r="C2689" s="16">
        <v>17.0</v>
      </c>
      <c r="D2689" s="18" t="s">
        <v>4178</v>
      </c>
    </row>
    <row r="2690" ht="15.75" customHeight="1">
      <c r="A2690" s="16">
        <v>22.0</v>
      </c>
      <c r="B2690" s="17" t="s">
        <v>6702</v>
      </c>
      <c r="C2690" s="16">
        <v>8.0</v>
      </c>
      <c r="D2690" s="18" t="s">
        <v>4178</v>
      </c>
    </row>
    <row r="2691" ht="15.75" customHeight="1">
      <c r="A2691" s="16">
        <v>23.0</v>
      </c>
      <c r="B2691" s="17" t="s">
        <v>6703</v>
      </c>
      <c r="C2691" s="16">
        <v>3.0</v>
      </c>
      <c r="D2691" s="18" t="s">
        <v>4178</v>
      </c>
    </row>
    <row r="2692" ht="15.75" customHeight="1">
      <c r="A2692" s="20"/>
      <c r="B2692" s="21" t="s">
        <v>4273</v>
      </c>
      <c r="C2692" s="23">
        <v>157.0</v>
      </c>
      <c r="D2692" s="21" t="s">
        <v>4171</v>
      </c>
    </row>
    <row r="2693" ht="15.75" customHeight="1">
      <c r="A2693" s="11"/>
      <c r="B2693" s="12"/>
      <c r="C2693" s="12"/>
      <c r="D2693" s="13"/>
    </row>
    <row r="2694" ht="15.75" customHeight="1">
      <c r="A2694" s="14" t="s">
        <v>4126</v>
      </c>
      <c r="B2694" s="15"/>
      <c r="C2694" s="15"/>
      <c r="D2694" s="15"/>
    </row>
    <row r="2695" ht="15.75" customHeight="1">
      <c r="A2695" s="16">
        <v>1.0</v>
      </c>
      <c r="B2695" s="17" t="s">
        <v>6704</v>
      </c>
      <c r="C2695" s="16">
        <v>5.0</v>
      </c>
      <c r="D2695" s="18" t="s">
        <v>4183</v>
      </c>
    </row>
    <row r="2696" ht="15.75" customHeight="1">
      <c r="A2696" s="16">
        <v>2.0</v>
      </c>
      <c r="B2696" s="17" t="s">
        <v>6705</v>
      </c>
      <c r="C2696" s="16">
        <v>3.0</v>
      </c>
      <c r="D2696" s="18" t="s">
        <v>4183</v>
      </c>
    </row>
    <row r="2697" ht="15.75" customHeight="1">
      <c r="A2697" s="16">
        <v>3.0</v>
      </c>
      <c r="B2697" s="17" t="s">
        <v>6706</v>
      </c>
      <c r="C2697" s="16">
        <v>12.0</v>
      </c>
      <c r="D2697" s="18" t="s">
        <v>4183</v>
      </c>
    </row>
    <row r="2698" ht="15.75" customHeight="1">
      <c r="A2698" s="16">
        <v>4.0</v>
      </c>
      <c r="B2698" s="17" t="s">
        <v>6707</v>
      </c>
      <c r="C2698" s="16">
        <v>4.0</v>
      </c>
      <c r="D2698" s="18" t="s">
        <v>4183</v>
      </c>
    </row>
    <row r="2699" ht="15.75" customHeight="1">
      <c r="A2699" s="16">
        <v>5.0</v>
      </c>
      <c r="B2699" s="17" t="s">
        <v>6708</v>
      </c>
      <c r="C2699" s="16">
        <v>12.0</v>
      </c>
      <c r="D2699" s="18" t="s">
        <v>4183</v>
      </c>
    </row>
    <row r="2700" ht="15.75" customHeight="1">
      <c r="A2700" s="16">
        <v>6.0</v>
      </c>
      <c r="B2700" s="17" t="s">
        <v>6709</v>
      </c>
      <c r="C2700" s="16">
        <v>11.0</v>
      </c>
      <c r="D2700" s="18" t="s">
        <v>4183</v>
      </c>
    </row>
    <row r="2701" ht="15.75" customHeight="1">
      <c r="A2701" s="16">
        <v>7.0</v>
      </c>
      <c r="B2701" s="17" t="s">
        <v>6710</v>
      </c>
      <c r="C2701" s="16">
        <v>7.0</v>
      </c>
      <c r="D2701" s="18" t="s">
        <v>4183</v>
      </c>
    </row>
    <row r="2702" ht="15.75" customHeight="1">
      <c r="A2702" s="16">
        <v>8.0</v>
      </c>
      <c r="B2702" s="17" t="s">
        <v>6711</v>
      </c>
      <c r="C2702" s="16">
        <v>9.0</v>
      </c>
      <c r="D2702" s="18" t="s">
        <v>4183</v>
      </c>
    </row>
    <row r="2703" ht="15.75" customHeight="1">
      <c r="A2703" s="20"/>
      <c r="B2703" s="21" t="s">
        <v>4273</v>
      </c>
      <c r="C2703" s="23">
        <v>63.0</v>
      </c>
      <c r="D2703" s="21" t="s">
        <v>4171</v>
      </c>
    </row>
    <row r="2704" ht="15.75" customHeight="1">
      <c r="A2704" s="11"/>
      <c r="B2704" s="12"/>
      <c r="C2704" s="12"/>
      <c r="D2704" s="13"/>
    </row>
    <row r="2705" ht="15.75" customHeight="1">
      <c r="A2705" s="14" t="s">
        <v>4126</v>
      </c>
      <c r="B2705" s="15"/>
      <c r="C2705" s="15"/>
      <c r="D2705" s="15"/>
    </row>
    <row r="2706" ht="15.75" customHeight="1">
      <c r="A2706" s="16">
        <v>1.0</v>
      </c>
      <c r="B2706" s="17" t="s">
        <v>6712</v>
      </c>
      <c r="C2706" s="16">
        <v>2.0</v>
      </c>
      <c r="D2706" s="18" t="s">
        <v>4183</v>
      </c>
    </row>
    <row r="2707" ht="15.75" customHeight="1">
      <c r="A2707" s="16">
        <v>2.0</v>
      </c>
      <c r="B2707" s="17" t="s">
        <v>6713</v>
      </c>
      <c r="C2707" s="16">
        <v>5.0</v>
      </c>
      <c r="D2707" s="18" t="s">
        <v>4183</v>
      </c>
    </row>
    <row r="2708" ht="15.75" customHeight="1">
      <c r="A2708" s="16">
        <v>3.0</v>
      </c>
      <c r="B2708" s="17" t="s">
        <v>6714</v>
      </c>
      <c r="C2708" s="16">
        <v>350.0</v>
      </c>
      <c r="D2708" s="18" t="s">
        <v>4183</v>
      </c>
    </row>
    <row r="2709" ht="15.75" customHeight="1">
      <c r="A2709" s="16">
        <v>4.0</v>
      </c>
      <c r="B2709" s="17" t="s">
        <v>6715</v>
      </c>
      <c r="C2709" s="16">
        <v>19.0</v>
      </c>
      <c r="D2709" s="18" t="s">
        <v>4183</v>
      </c>
    </row>
    <row r="2710" ht="15.75" customHeight="1">
      <c r="A2710" s="20"/>
      <c r="B2710" s="21" t="s">
        <v>4273</v>
      </c>
      <c r="C2710" s="23">
        <v>376.0</v>
      </c>
      <c r="D2710" s="21" t="s">
        <v>4171</v>
      </c>
    </row>
    <row r="2711" ht="15.75" customHeight="1">
      <c r="A2711" s="11"/>
      <c r="B2711" s="12"/>
      <c r="C2711" s="12"/>
      <c r="D2711" s="13"/>
    </row>
    <row r="2712" ht="15.75" customHeight="1">
      <c r="A2712" s="14" t="s">
        <v>4146</v>
      </c>
      <c r="B2712" s="15"/>
      <c r="C2712" s="15"/>
      <c r="D2712" s="15"/>
    </row>
    <row r="2713" ht="15.75" customHeight="1">
      <c r="A2713" s="16">
        <v>1.0</v>
      </c>
      <c r="B2713" s="17" t="s">
        <v>6716</v>
      </c>
      <c r="C2713" s="16">
        <v>2.0</v>
      </c>
      <c r="D2713" s="18" t="s">
        <v>4178</v>
      </c>
    </row>
    <row r="2714" ht="15.75" customHeight="1">
      <c r="A2714" s="16">
        <v>2.0</v>
      </c>
      <c r="B2714" s="17" t="s">
        <v>6717</v>
      </c>
      <c r="C2714" s="16">
        <v>2.0</v>
      </c>
      <c r="D2714" s="18" t="s">
        <v>4178</v>
      </c>
    </row>
    <row r="2715" ht="15.75" customHeight="1">
      <c r="A2715" s="16">
        <v>3.0</v>
      </c>
      <c r="B2715" s="17" t="s">
        <v>6718</v>
      </c>
      <c r="C2715" s="16">
        <v>36.0</v>
      </c>
      <c r="D2715" s="18" t="s">
        <v>4178</v>
      </c>
    </row>
    <row r="2716" ht="15.75" customHeight="1">
      <c r="A2716" s="16">
        <v>4.0</v>
      </c>
      <c r="B2716" s="17" t="s">
        <v>6719</v>
      </c>
      <c r="C2716" s="16">
        <v>36.0</v>
      </c>
      <c r="D2716" s="18" t="s">
        <v>4178</v>
      </c>
    </row>
    <row r="2717" ht="15.75" customHeight="1">
      <c r="A2717" s="16">
        <v>5.0</v>
      </c>
      <c r="B2717" s="17" t="s">
        <v>6720</v>
      </c>
      <c r="C2717" s="16">
        <v>18.0</v>
      </c>
      <c r="D2717" s="18" t="s">
        <v>4178</v>
      </c>
    </row>
    <row r="2718" ht="15.75" customHeight="1">
      <c r="A2718" s="16">
        <v>6.0</v>
      </c>
      <c r="B2718" s="17" t="s">
        <v>6721</v>
      </c>
      <c r="C2718" s="16">
        <v>1.0</v>
      </c>
      <c r="D2718" s="18" t="s">
        <v>4178</v>
      </c>
    </row>
    <row r="2719" ht="15.75" customHeight="1">
      <c r="A2719" s="20"/>
      <c r="B2719" s="21" t="s">
        <v>4273</v>
      </c>
      <c r="C2719" s="21" t="s">
        <v>6722</v>
      </c>
      <c r="D2719" s="21" t="s">
        <v>4171</v>
      </c>
    </row>
    <row r="2720" ht="15.75" customHeight="1">
      <c r="A2720" s="14" t="s">
        <v>4156</v>
      </c>
      <c r="B2720" s="15"/>
      <c r="C2720" s="15"/>
      <c r="D2720" s="15"/>
    </row>
    <row r="2721" ht="15.75" customHeight="1">
      <c r="A2721" s="16">
        <v>1.0</v>
      </c>
      <c r="B2721" s="17" t="s">
        <v>6723</v>
      </c>
      <c r="C2721" s="16">
        <v>1.0</v>
      </c>
      <c r="D2721" s="18" t="s">
        <v>4183</v>
      </c>
    </row>
    <row r="2722" ht="15.75" customHeight="1">
      <c r="A2722" s="16">
        <v>2.0</v>
      </c>
      <c r="B2722" s="17" t="s">
        <v>6724</v>
      </c>
      <c r="C2722" s="16">
        <v>32.0</v>
      </c>
      <c r="D2722" s="18" t="s">
        <v>4183</v>
      </c>
    </row>
    <row r="2723" ht="15.75" customHeight="1">
      <c r="A2723" s="16">
        <v>3.0</v>
      </c>
      <c r="B2723" s="17" t="s">
        <v>6725</v>
      </c>
      <c r="C2723" s="16">
        <v>8.0</v>
      </c>
      <c r="D2723" s="18" t="s">
        <v>4183</v>
      </c>
    </row>
    <row r="2724" ht="15.75" customHeight="1">
      <c r="A2724" s="16">
        <v>4.0</v>
      </c>
      <c r="B2724" s="17" t="s">
        <v>6726</v>
      </c>
      <c r="C2724" s="16">
        <v>8.0</v>
      </c>
      <c r="D2724" s="18" t="s">
        <v>4183</v>
      </c>
    </row>
    <row r="2725" ht="15.75" customHeight="1">
      <c r="A2725" s="20"/>
      <c r="B2725" s="21" t="s">
        <v>4273</v>
      </c>
      <c r="C2725" s="23">
        <v>49.0</v>
      </c>
      <c r="D2725" s="21" t="s">
        <v>4171</v>
      </c>
    </row>
    <row r="2726" ht="15.75" customHeight="1">
      <c r="A2726" s="11"/>
      <c r="B2726" s="12"/>
      <c r="C2726" s="12"/>
      <c r="D2726" s="13"/>
    </row>
    <row r="2727" ht="15.75" customHeight="1">
      <c r="A2727" s="14" t="s">
        <v>4110</v>
      </c>
      <c r="B2727" s="15"/>
      <c r="C2727" s="15"/>
      <c r="D2727" s="15"/>
    </row>
    <row r="2728" ht="15.75" customHeight="1">
      <c r="A2728" s="16">
        <v>1.0</v>
      </c>
      <c r="B2728" s="17" t="s">
        <v>6727</v>
      </c>
      <c r="C2728" s="16">
        <v>6.0</v>
      </c>
      <c r="D2728" s="18" t="s">
        <v>4183</v>
      </c>
    </row>
    <row r="2729" ht="15.75" customHeight="1">
      <c r="A2729" s="16">
        <v>2.0</v>
      </c>
      <c r="B2729" s="17" t="s">
        <v>6728</v>
      </c>
      <c r="C2729" s="16">
        <v>5.0</v>
      </c>
      <c r="D2729" s="18" t="s">
        <v>4183</v>
      </c>
    </row>
    <row r="2730" ht="15.75" customHeight="1">
      <c r="A2730" s="16">
        <v>3.0</v>
      </c>
      <c r="B2730" s="17" t="s">
        <v>6729</v>
      </c>
      <c r="C2730" s="16">
        <v>5.0</v>
      </c>
      <c r="D2730" s="18" t="s">
        <v>4183</v>
      </c>
    </row>
    <row r="2731" ht="15.75" customHeight="1">
      <c r="A2731" s="16">
        <v>4.0</v>
      </c>
      <c r="B2731" s="17" t="s">
        <v>6730</v>
      </c>
      <c r="C2731" s="16">
        <v>25.0</v>
      </c>
      <c r="D2731" s="18" t="s">
        <v>4183</v>
      </c>
    </row>
    <row r="2732" ht="15.75" customHeight="1">
      <c r="A2732" s="16">
        <v>5.0</v>
      </c>
      <c r="B2732" s="17" t="s">
        <v>6731</v>
      </c>
      <c r="C2732" s="16">
        <v>14.0</v>
      </c>
      <c r="D2732" s="18" t="s">
        <v>4183</v>
      </c>
    </row>
    <row r="2733" ht="15.75" customHeight="1">
      <c r="A2733" s="16">
        <v>6.0</v>
      </c>
      <c r="B2733" s="17" t="s">
        <v>6732</v>
      </c>
      <c r="C2733" s="16">
        <v>13.0</v>
      </c>
      <c r="D2733" s="18" t="s">
        <v>4183</v>
      </c>
    </row>
    <row r="2734" ht="15.75" customHeight="1">
      <c r="A2734" s="16">
        <v>7.0</v>
      </c>
      <c r="B2734" s="17" t="s">
        <v>6733</v>
      </c>
      <c r="C2734" s="16">
        <v>4.0</v>
      </c>
      <c r="D2734" s="18" t="s">
        <v>4178</v>
      </c>
    </row>
    <row r="2735" ht="15.75" customHeight="1">
      <c r="A2735" s="16">
        <v>8.0</v>
      </c>
      <c r="B2735" s="17" t="s">
        <v>6734</v>
      </c>
      <c r="C2735" s="16">
        <v>4.0</v>
      </c>
      <c r="D2735" s="18" t="s">
        <v>4215</v>
      </c>
    </row>
    <row r="2736" ht="15.75" customHeight="1">
      <c r="A2736" s="16">
        <v>9.0</v>
      </c>
      <c r="B2736" s="17" t="s">
        <v>6735</v>
      </c>
      <c r="C2736" s="16">
        <v>1.0</v>
      </c>
      <c r="D2736" s="18" t="s">
        <v>4178</v>
      </c>
    </row>
    <row r="2737" ht="15.75" customHeight="1">
      <c r="A2737" s="16">
        <v>10.0</v>
      </c>
      <c r="B2737" s="17" t="s">
        <v>6736</v>
      </c>
      <c r="C2737" s="16">
        <v>20.0</v>
      </c>
      <c r="D2737" s="18" t="s">
        <v>4183</v>
      </c>
    </row>
    <row r="2738" ht="15.75" customHeight="1">
      <c r="A2738" s="16">
        <v>11.0</v>
      </c>
      <c r="B2738" s="17" t="s">
        <v>6737</v>
      </c>
      <c r="C2738" s="16">
        <v>9.0</v>
      </c>
      <c r="D2738" s="18" t="s">
        <v>4183</v>
      </c>
    </row>
    <row r="2739" ht="15.75" customHeight="1">
      <c r="A2739" s="16">
        <v>12.0</v>
      </c>
      <c r="B2739" s="17" t="s">
        <v>6738</v>
      </c>
      <c r="C2739" s="16">
        <v>18.0</v>
      </c>
      <c r="D2739" s="18" t="s">
        <v>4183</v>
      </c>
    </row>
    <row r="2740" ht="15.75" customHeight="1">
      <c r="A2740" s="16">
        <v>13.0</v>
      </c>
      <c r="B2740" s="17" t="s">
        <v>6739</v>
      </c>
      <c r="C2740" s="16">
        <v>9.0</v>
      </c>
      <c r="D2740" s="18" t="s">
        <v>4183</v>
      </c>
    </row>
    <row r="2741" ht="15.75" customHeight="1">
      <c r="A2741" s="16">
        <v>14.0</v>
      </c>
      <c r="B2741" s="17" t="s">
        <v>6740</v>
      </c>
      <c r="C2741" s="16">
        <v>2.0</v>
      </c>
      <c r="D2741" s="18" t="s">
        <v>4183</v>
      </c>
    </row>
    <row r="2742" ht="15.75" customHeight="1">
      <c r="A2742" s="16">
        <v>15.0</v>
      </c>
      <c r="B2742" s="17" t="s">
        <v>6741</v>
      </c>
      <c r="C2742" s="16">
        <v>5.0</v>
      </c>
      <c r="D2742" s="18" t="s">
        <v>4183</v>
      </c>
    </row>
    <row r="2743" ht="15.75" customHeight="1">
      <c r="A2743" s="16">
        <v>16.0</v>
      </c>
      <c r="B2743" s="17" t="s">
        <v>6742</v>
      </c>
      <c r="C2743" s="16">
        <v>14.0</v>
      </c>
      <c r="D2743" s="18" t="s">
        <v>4183</v>
      </c>
    </row>
    <row r="2744" ht="15.75" customHeight="1">
      <c r="A2744" s="16">
        <v>17.0</v>
      </c>
      <c r="B2744" s="17" t="s">
        <v>6743</v>
      </c>
      <c r="C2744" s="16">
        <v>3.0</v>
      </c>
      <c r="D2744" s="18" t="s">
        <v>4178</v>
      </c>
    </row>
    <row r="2745" ht="15.75" customHeight="1">
      <c r="A2745" s="16">
        <v>18.0</v>
      </c>
      <c r="B2745" s="17" t="s">
        <v>6744</v>
      </c>
      <c r="C2745" s="16">
        <v>7.0</v>
      </c>
      <c r="D2745" s="18" t="s">
        <v>4178</v>
      </c>
    </row>
    <row r="2746" ht="15.75" customHeight="1">
      <c r="A2746" s="16">
        <v>19.0</v>
      </c>
      <c r="B2746" s="17" t="s">
        <v>6745</v>
      </c>
      <c r="C2746" s="16">
        <v>5.0</v>
      </c>
      <c r="D2746" s="18" t="s">
        <v>4183</v>
      </c>
    </row>
    <row r="2747" ht="15.75" customHeight="1">
      <c r="A2747" s="16">
        <v>20.0</v>
      </c>
      <c r="B2747" s="17" t="s">
        <v>6746</v>
      </c>
      <c r="C2747" s="16">
        <v>1.0</v>
      </c>
      <c r="D2747" s="18" t="s">
        <v>6747</v>
      </c>
    </row>
    <row r="2748" ht="15.75" customHeight="1">
      <c r="A2748" s="20"/>
      <c r="B2748" s="21" t="s">
        <v>4273</v>
      </c>
      <c r="C2748" s="23">
        <v>170.0</v>
      </c>
      <c r="D2748" s="21" t="s">
        <v>4171</v>
      </c>
    </row>
    <row r="2749" ht="15.75" customHeight="1">
      <c r="A2749" s="11"/>
      <c r="B2749" s="12"/>
      <c r="C2749" s="12"/>
      <c r="D2749" s="13"/>
    </row>
    <row r="2750" ht="15.75" customHeight="1">
      <c r="A2750" s="14" t="s">
        <v>4062</v>
      </c>
      <c r="B2750" s="15"/>
      <c r="C2750" s="15"/>
      <c r="D2750" s="15"/>
    </row>
    <row r="2751" ht="15.75" customHeight="1">
      <c r="A2751" s="16">
        <v>1.0</v>
      </c>
      <c r="B2751" s="17" t="s">
        <v>6748</v>
      </c>
      <c r="C2751" s="16">
        <v>4.0</v>
      </c>
      <c r="D2751" s="18" t="s">
        <v>4178</v>
      </c>
    </row>
    <row r="2752" ht="15.75" customHeight="1">
      <c r="A2752" s="16">
        <v>2.0</v>
      </c>
      <c r="B2752" s="17" t="s">
        <v>6749</v>
      </c>
      <c r="C2752" s="16">
        <v>2.0</v>
      </c>
      <c r="D2752" s="18" t="s">
        <v>4183</v>
      </c>
    </row>
    <row r="2753" ht="15.75" customHeight="1">
      <c r="A2753" s="16">
        <v>3.0</v>
      </c>
      <c r="B2753" s="17" t="s">
        <v>6750</v>
      </c>
      <c r="C2753" s="16">
        <v>6.0</v>
      </c>
      <c r="D2753" s="18" t="s">
        <v>4183</v>
      </c>
    </row>
    <row r="2754" ht="15.75" customHeight="1">
      <c r="A2754" s="16">
        <v>4.0</v>
      </c>
      <c r="B2754" s="17" t="s">
        <v>6751</v>
      </c>
      <c r="C2754" s="16">
        <v>25.0</v>
      </c>
      <c r="D2754" s="18" t="s">
        <v>4183</v>
      </c>
    </row>
    <row r="2755" ht="15.75" customHeight="1">
      <c r="A2755" s="16">
        <v>5.0</v>
      </c>
      <c r="B2755" s="17" t="s">
        <v>6752</v>
      </c>
      <c r="C2755" s="16">
        <v>4.0</v>
      </c>
      <c r="D2755" s="18" t="s">
        <v>4183</v>
      </c>
    </row>
    <row r="2756" ht="15.75" customHeight="1">
      <c r="A2756" s="16">
        <v>6.0</v>
      </c>
      <c r="B2756" s="17" t="s">
        <v>6753</v>
      </c>
      <c r="C2756" s="16">
        <v>5.0</v>
      </c>
      <c r="D2756" s="18" t="s">
        <v>4183</v>
      </c>
    </row>
    <row r="2757" ht="15.75" customHeight="1">
      <c r="A2757" s="16">
        <v>7.0</v>
      </c>
      <c r="B2757" s="17" t="s">
        <v>6754</v>
      </c>
      <c r="C2757" s="16">
        <v>31.0</v>
      </c>
      <c r="D2757" s="18" t="s">
        <v>4183</v>
      </c>
    </row>
    <row r="2758" ht="15.75" customHeight="1">
      <c r="A2758" s="16">
        <v>8.0</v>
      </c>
      <c r="B2758" s="17" t="s">
        <v>6755</v>
      </c>
      <c r="C2758" s="16">
        <v>19.0</v>
      </c>
      <c r="D2758" s="18" t="s">
        <v>4183</v>
      </c>
    </row>
    <row r="2759" ht="15.75" customHeight="1">
      <c r="A2759" s="16">
        <v>9.0</v>
      </c>
      <c r="B2759" s="17" t="s">
        <v>6756</v>
      </c>
      <c r="C2759" s="16">
        <v>4.0</v>
      </c>
      <c r="D2759" s="18" t="s">
        <v>4183</v>
      </c>
    </row>
    <row r="2760" ht="15.75" customHeight="1">
      <c r="A2760" s="16">
        <v>10.0</v>
      </c>
      <c r="B2760" s="17" t="s">
        <v>6757</v>
      </c>
      <c r="C2760" s="16">
        <v>63.0</v>
      </c>
      <c r="D2760" s="18" t="s">
        <v>4183</v>
      </c>
    </row>
    <row r="2761" ht="15.75" customHeight="1">
      <c r="A2761" s="16">
        <v>11.0</v>
      </c>
      <c r="B2761" s="17" t="s">
        <v>6758</v>
      </c>
      <c r="C2761" s="16">
        <v>46.0</v>
      </c>
      <c r="D2761" s="18" t="s">
        <v>4183</v>
      </c>
    </row>
    <row r="2762" ht="15.75" customHeight="1">
      <c r="A2762" s="16">
        <v>12.0</v>
      </c>
      <c r="B2762" s="17" t="s">
        <v>6759</v>
      </c>
      <c r="C2762" s="16">
        <v>1.0</v>
      </c>
      <c r="D2762" s="18" t="s">
        <v>4183</v>
      </c>
    </row>
    <row r="2763" ht="15.75" customHeight="1">
      <c r="A2763" s="16">
        <v>13.0</v>
      </c>
      <c r="B2763" s="17" t="s">
        <v>6760</v>
      </c>
      <c r="C2763" s="16">
        <v>5.0</v>
      </c>
      <c r="D2763" s="18" t="s">
        <v>4183</v>
      </c>
    </row>
    <row r="2764" ht="15.75" customHeight="1">
      <c r="A2764" s="16">
        <v>14.0</v>
      </c>
      <c r="B2764" s="17" t="s">
        <v>6761</v>
      </c>
      <c r="C2764" s="16">
        <v>2.0</v>
      </c>
      <c r="D2764" s="18" t="s">
        <v>4183</v>
      </c>
    </row>
    <row r="2765" ht="15.75" customHeight="1">
      <c r="A2765" s="16">
        <v>15.0</v>
      </c>
      <c r="B2765" s="17" t="s">
        <v>6762</v>
      </c>
      <c r="C2765" s="16">
        <v>3.0</v>
      </c>
      <c r="D2765" s="18" t="s">
        <v>4183</v>
      </c>
    </row>
    <row r="2766" ht="15.75" customHeight="1">
      <c r="A2766" s="16">
        <v>16.0</v>
      </c>
      <c r="B2766" s="17" t="s">
        <v>6763</v>
      </c>
      <c r="C2766" s="16">
        <v>25.0</v>
      </c>
      <c r="D2766" s="18" t="s">
        <v>4183</v>
      </c>
    </row>
    <row r="2767" ht="15.75" customHeight="1">
      <c r="A2767" s="16">
        <v>17.0</v>
      </c>
      <c r="B2767" s="17" t="s">
        <v>6764</v>
      </c>
      <c r="C2767" s="16">
        <v>25.0</v>
      </c>
      <c r="D2767" s="18" t="s">
        <v>4183</v>
      </c>
    </row>
    <row r="2768" ht="15.75" customHeight="1">
      <c r="A2768" s="16">
        <v>18.0</v>
      </c>
      <c r="B2768" s="17" t="s">
        <v>6765</v>
      </c>
      <c r="C2768" s="16">
        <v>11.0</v>
      </c>
      <c r="D2768" s="18" t="s">
        <v>4183</v>
      </c>
    </row>
    <row r="2769" ht="15.75" customHeight="1">
      <c r="A2769" s="16">
        <v>19.0</v>
      </c>
      <c r="B2769" s="17" t="s">
        <v>6766</v>
      </c>
      <c r="C2769" s="16">
        <v>1.0</v>
      </c>
      <c r="D2769" s="18" t="s">
        <v>4178</v>
      </c>
    </row>
    <row r="2770" ht="15.75" customHeight="1">
      <c r="A2770" s="16">
        <v>20.0</v>
      </c>
      <c r="B2770" s="17" t="s">
        <v>6767</v>
      </c>
      <c r="C2770" s="16">
        <v>3.0</v>
      </c>
      <c r="D2770" s="18" t="s">
        <v>4183</v>
      </c>
    </row>
    <row r="2771" ht="15.75" customHeight="1">
      <c r="A2771" s="16">
        <v>21.0</v>
      </c>
      <c r="B2771" s="17" t="s">
        <v>6768</v>
      </c>
      <c r="C2771" s="16">
        <v>1.0</v>
      </c>
      <c r="D2771" s="18" t="s">
        <v>4183</v>
      </c>
    </row>
    <row r="2772" ht="15.75" customHeight="1">
      <c r="A2772" s="16">
        <v>22.0</v>
      </c>
      <c r="B2772" s="17" t="s">
        <v>6769</v>
      </c>
      <c r="C2772" s="16">
        <v>23.0</v>
      </c>
      <c r="D2772" s="18" t="s">
        <v>4183</v>
      </c>
    </row>
    <row r="2773" ht="15.75" customHeight="1">
      <c r="A2773" s="16">
        <v>23.0</v>
      </c>
      <c r="B2773" s="17" t="s">
        <v>6770</v>
      </c>
      <c r="C2773" s="16">
        <v>26.0</v>
      </c>
      <c r="D2773" s="18" t="s">
        <v>4183</v>
      </c>
    </row>
    <row r="2774" ht="15.75" customHeight="1">
      <c r="A2774" s="16">
        <v>24.0</v>
      </c>
      <c r="B2774" s="17" t="s">
        <v>6771</v>
      </c>
      <c r="C2774" s="16">
        <v>10.0</v>
      </c>
      <c r="D2774" s="18" t="s">
        <v>4183</v>
      </c>
    </row>
    <row r="2775" ht="15.75" customHeight="1">
      <c r="A2775" s="16">
        <v>25.0</v>
      </c>
      <c r="B2775" s="17" t="s">
        <v>6772</v>
      </c>
      <c r="C2775" s="16">
        <v>8.0</v>
      </c>
      <c r="D2775" s="18" t="s">
        <v>4183</v>
      </c>
    </row>
    <row r="2776" ht="15.75" customHeight="1">
      <c r="A2776" s="16">
        <v>26.0</v>
      </c>
      <c r="B2776" s="17" t="s">
        <v>6773</v>
      </c>
      <c r="C2776" s="16">
        <v>6.0</v>
      </c>
      <c r="D2776" s="18" t="s">
        <v>4183</v>
      </c>
    </row>
    <row r="2777" ht="15.75" customHeight="1">
      <c r="A2777" s="16">
        <v>27.0</v>
      </c>
      <c r="B2777" s="17" t="s">
        <v>6774</v>
      </c>
      <c r="C2777" s="16">
        <v>28.0</v>
      </c>
      <c r="D2777" s="18" t="s">
        <v>4183</v>
      </c>
    </row>
    <row r="2778" ht="15.75" customHeight="1">
      <c r="A2778" s="16">
        <v>28.0</v>
      </c>
      <c r="B2778" s="17" t="s">
        <v>6775</v>
      </c>
      <c r="C2778" s="16">
        <v>7.0</v>
      </c>
      <c r="D2778" s="18" t="s">
        <v>4183</v>
      </c>
    </row>
    <row r="2779" ht="15.75" customHeight="1">
      <c r="A2779" s="16">
        <v>29.0</v>
      </c>
      <c r="B2779" s="17" t="s">
        <v>6776</v>
      </c>
      <c r="C2779" s="16">
        <v>12.0</v>
      </c>
      <c r="D2779" s="18" t="s">
        <v>4183</v>
      </c>
    </row>
    <row r="2780" ht="15.75" customHeight="1">
      <c r="A2780" s="16">
        <v>30.0</v>
      </c>
      <c r="B2780" s="17" t="s">
        <v>6777</v>
      </c>
      <c r="C2780" s="16">
        <v>9.0</v>
      </c>
      <c r="D2780" s="18" t="s">
        <v>4183</v>
      </c>
    </row>
    <row r="2781" ht="15.75" customHeight="1">
      <c r="A2781" s="16">
        <v>31.0</v>
      </c>
      <c r="B2781" s="17" t="s">
        <v>6778</v>
      </c>
      <c r="C2781" s="16">
        <v>5.0</v>
      </c>
      <c r="D2781" s="18" t="s">
        <v>4183</v>
      </c>
    </row>
    <row r="2782" ht="15.75" customHeight="1">
      <c r="A2782" s="16">
        <v>32.0</v>
      </c>
      <c r="B2782" s="17" t="s">
        <v>6779</v>
      </c>
      <c r="C2782" s="16">
        <v>1.0</v>
      </c>
      <c r="D2782" s="18" t="s">
        <v>4183</v>
      </c>
    </row>
    <row r="2783" ht="15.75" customHeight="1">
      <c r="A2783" s="16">
        <v>33.0</v>
      </c>
      <c r="B2783" s="17" t="s">
        <v>6780</v>
      </c>
      <c r="C2783" s="16">
        <v>2.0</v>
      </c>
      <c r="D2783" s="18" t="s">
        <v>4183</v>
      </c>
    </row>
    <row r="2784" ht="15.75" customHeight="1">
      <c r="A2784" s="16">
        <v>34.0</v>
      </c>
      <c r="B2784" s="17" t="s">
        <v>6781</v>
      </c>
      <c r="C2784" s="16">
        <v>5.0</v>
      </c>
      <c r="D2784" s="18" t="s">
        <v>4183</v>
      </c>
    </row>
    <row r="2785" ht="15.75" customHeight="1">
      <c r="A2785" s="16">
        <v>35.0</v>
      </c>
      <c r="B2785" s="17" t="s">
        <v>6782</v>
      </c>
      <c r="C2785" s="16">
        <v>22.0</v>
      </c>
      <c r="D2785" s="18" t="s">
        <v>4183</v>
      </c>
    </row>
    <row r="2786" ht="15.75" customHeight="1">
      <c r="A2786" s="16">
        <v>36.0</v>
      </c>
      <c r="B2786" s="17" t="s">
        <v>6783</v>
      </c>
      <c r="C2786" s="16">
        <v>15.0</v>
      </c>
      <c r="D2786" s="18" t="s">
        <v>4183</v>
      </c>
    </row>
    <row r="2787" ht="15.75" customHeight="1">
      <c r="A2787" s="16">
        <v>37.0</v>
      </c>
      <c r="B2787" s="17" t="s">
        <v>6784</v>
      </c>
      <c r="C2787" s="16">
        <v>26.0</v>
      </c>
      <c r="D2787" s="18" t="s">
        <v>4183</v>
      </c>
    </row>
    <row r="2788" ht="15.75" customHeight="1">
      <c r="A2788" s="16">
        <v>38.0</v>
      </c>
      <c r="B2788" s="17" t="s">
        <v>6785</v>
      </c>
      <c r="C2788" s="16">
        <v>19.0</v>
      </c>
      <c r="D2788" s="18" t="s">
        <v>4178</v>
      </c>
    </row>
    <row r="2789" ht="15.75" customHeight="1">
      <c r="A2789" s="16">
        <v>39.0</v>
      </c>
      <c r="B2789" s="17" t="s">
        <v>6786</v>
      </c>
      <c r="C2789" s="16">
        <v>59.0</v>
      </c>
      <c r="D2789" s="18" t="s">
        <v>4183</v>
      </c>
    </row>
    <row r="2790" ht="15.75" customHeight="1">
      <c r="A2790" s="16">
        <v>40.0</v>
      </c>
      <c r="B2790" s="17" t="s">
        <v>6787</v>
      </c>
      <c r="C2790" s="16">
        <v>73.0</v>
      </c>
      <c r="D2790" s="18" t="s">
        <v>4183</v>
      </c>
    </row>
    <row r="2791" ht="15.75" customHeight="1">
      <c r="A2791" s="16">
        <v>41.0</v>
      </c>
      <c r="B2791" s="17" t="s">
        <v>6788</v>
      </c>
      <c r="C2791" s="16">
        <v>3.0</v>
      </c>
      <c r="D2791" s="18" t="s">
        <v>4183</v>
      </c>
    </row>
    <row r="2792" ht="15.75" customHeight="1">
      <c r="A2792" s="16">
        <v>42.0</v>
      </c>
      <c r="B2792" s="17" t="s">
        <v>6789</v>
      </c>
      <c r="C2792" s="16">
        <v>6.0</v>
      </c>
      <c r="D2792" s="18" t="s">
        <v>4183</v>
      </c>
    </row>
    <row r="2793" ht="15.75" customHeight="1">
      <c r="A2793" s="16">
        <v>43.0</v>
      </c>
      <c r="B2793" s="17" t="s">
        <v>6790</v>
      </c>
      <c r="C2793" s="16">
        <v>5.0</v>
      </c>
      <c r="D2793" s="18" t="s">
        <v>4183</v>
      </c>
    </row>
    <row r="2794" ht="15.75" customHeight="1">
      <c r="A2794" s="16">
        <v>44.0</v>
      </c>
      <c r="B2794" s="17" t="s">
        <v>6791</v>
      </c>
      <c r="C2794" s="16">
        <v>5.0</v>
      </c>
      <c r="D2794" s="18" t="s">
        <v>4183</v>
      </c>
    </row>
    <row r="2795" ht="15.75" customHeight="1">
      <c r="A2795" s="16">
        <v>45.0</v>
      </c>
      <c r="B2795" s="17" t="s">
        <v>6792</v>
      </c>
      <c r="C2795" s="16">
        <v>6.0</v>
      </c>
      <c r="D2795" s="18" t="s">
        <v>4183</v>
      </c>
    </row>
    <row r="2796" ht="15.75" customHeight="1">
      <c r="A2796" s="16">
        <v>46.0</v>
      </c>
      <c r="B2796" s="17" t="s">
        <v>6793</v>
      </c>
      <c r="C2796" s="16">
        <v>24.0</v>
      </c>
      <c r="D2796" s="18" t="s">
        <v>4183</v>
      </c>
    </row>
    <row r="2797" ht="15.75" customHeight="1">
      <c r="A2797" s="16">
        <v>47.0</v>
      </c>
      <c r="B2797" s="17" t="s">
        <v>6794</v>
      </c>
      <c r="C2797" s="16">
        <v>50.0</v>
      </c>
      <c r="D2797" s="18" t="s">
        <v>4183</v>
      </c>
    </row>
    <row r="2798" ht="15.75" customHeight="1">
      <c r="A2798" s="16">
        <v>48.0</v>
      </c>
      <c r="B2798" s="17" t="s">
        <v>6795</v>
      </c>
      <c r="C2798" s="16">
        <v>2.0</v>
      </c>
      <c r="D2798" s="18" t="s">
        <v>4183</v>
      </c>
    </row>
    <row r="2799" ht="15.75" customHeight="1">
      <c r="A2799" s="16">
        <v>49.0</v>
      </c>
      <c r="B2799" s="17" t="s">
        <v>6796</v>
      </c>
      <c r="C2799" s="16">
        <v>10.0</v>
      </c>
      <c r="D2799" s="18" t="s">
        <v>4183</v>
      </c>
    </row>
    <row r="2800" ht="15.75" customHeight="1">
      <c r="A2800" s="16">
        <v>50.0</v>
      </c>
      <c r="B2800" s="17" t="s">
        <v>6797</v>
      </c>
      <c r="C2800" s="16">
        <v>38.0</v>
      </c>
      <c r="D2800" s="18" t="s">
        <v>4183</v>
      </c>
    </row>
    <row r="2801" ht="15.75" customHeight="1">
      <c r="A2801" s="16">
        <v>51.0</v>
      </c>
      <c r="B2801" s="17" t="s">
        <v>6798</v>
      </c>
      <c r="C2801" s="16">
        <v>20.0</v>
      </c>
      <c r="D2801" s="18" t="s">
        <v>4183</v>
      </c>
    </row>
    <row r="2802" ht="15.75" customHeight="1">
      <c r="A2802" s="16">
        <v>52.0</v>
      </c>
      <c r="B2802" s="17" t="s">
        <v>6799</v>
      </c>
      <c r="C2802" s="16">
        <v>27.0</v>
      </c>
      <c r="D2802" s="18" t="s">
        <v>4183</v>
      </c>
    </row>
    <row r="2803" ht="15.75" customHeight="1">
      <c r="A2803" s="16">
        <v>53.0</v>
      </c>
      <c r="B2803" s="17" t="s">
        <v>6800</v>
      </c>
      <c r="C2803" s="16">
        <v>11.0</v>
      </c>
      <c r="D2803" s="18" t="s">
        <v>4183</v>
      </c>
    </row>
    <row r="2804" ht="15.75" customHeight="1">
      <c r="A2804" s="16">
        <v>54.0</v>
      </c>
      <c r="B2804" s="17" t="s">
        <v>6801</v>
      </c>
      <c r="C2804" s="16">
        <v>1.0</v>
      </c>
      <c r="D2804" s="18" t="s">
        <v>4183</v>
      </c>
    </row>
    <row r="2805" ht="15.75" customHeight="1">
      <c r="A2805" s="16">
        <v>55.0</v>
      </c>
      <c r="B2805" s="17" t="s">
        <v>6802</v>
      </c>
      <c r="C2805" s="16">
        <v>9.0</v>
      </c>
      <c r="D2805" s="18" t="s">
        <v>4183</v>
      </c>
    </row>
    <row r="2806" ht="15.75" customHeight="1">
      <c r="A2806" s="16">
        <v>56.0</v>
      </c>
      <c r="B2806" s="17" t="s">
        <v>6803</v>
      </c>
      <c r="C2806" s="16">
        <v>8.0</v>
      </c>
      <c r="D2806" s="18" t="s">
        <v>4183</v>
      </c>
    </row>
    <row r="2807" ht="15.75" customHeight="1">
      <c r="A2807" s="16">
        <v>57.0</v>
      </c>
      <c r="B2807" s="17" t="s">
        <v>6804</v>
      </c>
      <c r="C2807" s="16">
        <v>26.0</v>
      </c>
      <c r="D2807" s="18" t="s">
        <v>4183</v>
      </c>
    </row>
    <row r="2808" ht="15.75" customHeight="1">
      <c r="A2808" s="16">
        <v>58.0</v>
      </c>
      <c r="B2808" s="17" t="s">
        <v>6805</v>
      </c>
      <c r="C2808" s="16">
        <v>2.0</v>
      </c>
      <c r="D2808" s="18" t="s">
        <v>4183</v>
      </c>
    </row>
    <row r="2809" ht="15.75" customHeight="1">
      <c r="A2809" s="16">
        <v>59.0</v>
      </c>
      <c r="B2809" s="17" t="s">
        <v>6806</v>
      </c>
      <c r="C2809" s="16">
        <v>11.0</v>
      </c>
      <c r="D2809" s="18" t="s">
        <v>6807</v>
      </c>
    </row>
    <row r="2810" ht="15.75" customHeight="1">
      <c r="A2810" s="16">
        <v>60.0</v>
      </c>
      <c r="B2810" s="17" t="s">
        <v>6808</v>
      </c>
      <c r="C2810" s="16">
        <v>25.0</v>
      </c>
      <c r="D2810" s="18" t="s">
        <v>4183</v>
      </c>
    </row>
    <row r="2811" ht="15.75" customHeight="1">
      <c r="A2811" s="16">
        <v>61.0</v>
      </c>
      <c r="B2811" s="17" t="s">
        <v>6809</v>
      </c>
      <c r="C2811" s="16">
        <v>5.0</v>
      </c>
      <c r="D2811" s="18" t="s">
        <v>4183</v>
      </c>
    </row>
    <row r="2812" ht="15.75" customHeight="1">
      <c r="A2812" s="16">
        <v>62.0</v>
      </c>
      <c r="B2812" s="17" t="s">
        <v>6810</v>
      </c>
      <c r="C2812" s="16">
        <v>13.0</v>
      </c>
      <c r="D2812" s="18" t="s">
        <v>4183</v>
      </c>
    </row>
    <row r="2813" ht="15.75" customHeight="1">
      <c r="A2813" s="16">
        <v>63.0</v>
      </c>
      <c r="B2813" s="17" t="s">
        <v>6811</v>
      </c>
      <c r="C2813" s="16">
        <v>2.0</v>
      </c>
      <c r="D2813" s="18" t="s">
        <v>4183</v>
      </c>
    </row>
    <row r="2814" ht="15.75" customHeight="1">
      <c r="A2814" s="16">
        <v>64.0</v>
      </c>
      <c r="B2814" s="17" t="s">
        <v>6812</v>
      </c>
      <c r="C2814" s="16">
        <v>40.0</v>
      </c>
      <c r="D2814" s="18" t="s">
        <v>4183</v>
      </c>
    </row>
    <row r="2815" ht="15.75" customHeight="1">
      <c r="A2815" s="16">
        <v>65.0</v>
      </c>
      <c r="B2815" s="17" t="s">
        <v>6813</v>
      </c>
      <c r="C2815" s="16">
        <v>1.0</v>
      </c>
      <c r="D2815" s="18" t="s">
        <v>4183</v>
      </c>
    </row>
    <row r="2816" ht="15.75" customHeight="1">
      <c r="A2816" s="16">
        <v>66.0</v>
      </c>
      <c r="B2816" s="17" t="s">
        <v>6814</v>
      </c>
      <c r="C2816" s="16">
        <v>62.0</v>
      </c>
      <c r="D2816" s="18" t="s">
        <v>4183</v>
      </c>
    </row>
    <row r="2817" ht="15.75" customHeight="1">
      <c r="A2817" s="16">
        <v>67.0</v>
      </c>
      <c r="B2817" s="17" t="s">
        <v>6815</v>
      </c>
      <c r="C2817" s="16">
        <v>7.0</v>
      </c>
      <c r="D2817" s="18" t="s">
        <v>4183</v>
      </c>
    </row>
    <row r="2818" ht="15.75" customHeight="1">
      <c r="A2818" s="16">
        <v>68.0</v>
      </c>
      <c r="B2818" s="17" t="s">
        <v>6816</v>
      </c>
      <c r="C2818" s="16">
        <v>37.0</v>
      </c>
      <c r="D2818" s="18" t="s">
        <v>4183</v>
      </c>
    </row>
    <row r="2819" ht="15.75" customHeight="1">
      <c r="A2819" s="16">
        <v>69.0</v>
      </c>
      <c r="B2819" s="17" t="s">
        <v>6817</v>
      </c>
      <c r="C2819" s="16">
        <v>13.0</v>
      </c>
      <c r="D2819" s="18" t="s">
        <v>4183</v>
      </c>
    </row>
    <row r="2820" ht="15.75" customHeight="1">
      <c r="A2820" s="16">
        <v>70.0</v>
      </c>
      <c r="B2820" s="17" t="s">
        <v>6818</v>
      </c>
      <c r="C2820" s="16">
        <v>6.0</v>
      </c>
      <c r="D2820" s="18" t="s">
        <v>4183</v>
      </c>
    </row>
    <row r="2821" ht="15.75" customHeight="1">
      <c r="A2821" s="16">
        <v>71.0</v>
      </c>
      <c r="B2821" s="17" t="s">
        <v>6819</v>
      </c>
      <c r="C2821" s="16">
        <v>25.0</v>
      </c>
      <c r="D2821" s="18" t="s">
        <v>4183</v>
      </c>
    </row>
    <row r="2822" ht="15.75" customHeight="1">
      <c r="A2822" s="16">
        <v>72.0</v>
      </c>
      <c r="B2822" s="17" t="s">
        <v>6820</v>
      </c>
      <c r="C2822" s="16">
        <v>11.0</v>
      </c>
      <c r="D2822" s="18" t="s">
        <v>4183</v>
      </c>
    </row>
    <row r="2823" ht="15.75" customHeight="1">
      <c r="A2823" s="16">
        <v>73.0</v>
      </c>
      <c r="B2823" s="17" t="s">
        <v>6821</v>
      </c>
      <c r="C2823" s="18" t="s">
        <v>4384</v>
      </c>
      <c r="D2823" s="18" t="s">
        <v>4183</v>
      </c>
    </row>
    <row r="2824" ht="15.75" customHeight="1">
      <c r="A2824" s="16">
        <v>74.0</v>
      </c>
      <c r="B2824" s="17" t="s">
        <v>6822</v>
      </c>
      <c r="C2824" s="16">
        <v>15.0</v>
      </c>
      <c r="D2824" s="18" t="s">
        <v>4183</v>
      </c>
    </row>
    <row r="2825" ht="15.75" customHeight="1">
      <c r="A2825" s="16">
        <v>75.0</v>
      </c>
      <c r="B2825" s="17" t="s">
        <v>6823</v>
      </c>
      <c r="C2825" s="16">
        <v>1.0</v>
      </c>
      <c r="D2825" s="18" t="s">
        <v>6824</v>
      </c>
    </row>
    <row r="2826" ht="15.75" customHeight="1">
      <c r="A2826" s="16">
        <v>76.0</v>
      </c>
      <c r="B2826" s="17" t="s">
        <v>6825</v>
      </c>
      <c r="C2826" s="16">
        <v>4.0</v>
      </c>
      <c r="D2826" s="18" t="s">
        <v>4183</v>
      </c>
    </row>
    <row r="2827" ht="15.75" customHeight="1">
      <c r="A2827" s="16">
        <v>77.0</v>
      </c>
      <c r="B2827" s="17" t="s">
        <v>6826</v>
      </c>
      <c r="C2827" s="16">
        <v>1.0</v>
      </c>
      <c r="D2827" s="18" t="s">
        <v>4183</v>
      </c>
    </row>
    <row r="2828" ht="15.75" customHeight="1">
      <c r="A2828" s="16">
        <v>78.0</v>
      </c>
      <c r="B2828" s="17" t="s">
        <v>6827</v>
      </c>
      <c r="C2828" s="16">
        <v>2.0</v>
      </c>
      <c r="D2828" s="18" t="s">
        <v>4183</v>
      </c>
    </row>
    <row r="2829" ht="15.75" customHeight="1">
      <c r="A2829" s="16">
        <v>79.0</v>
      </c>
      <c r="B2829" s="17" t="s">
        <v>6828</v>
      </c>
      <c r="C2829" s="16">
        <v>14.0</v>
      </c>
      <c r="D2829" s="18" t="s">
        <v>4183</v>
      </c>
    </row>
    <row r="2830" ht="15.75" customHeight="1">
      <c r="A2830" s="16">
        <v>80.0</v>
      </c>
      <c r="B2830" s="17" t="s">
        <v>6829</v>
      </c>
      <c r="C2830" s="16">
        <v>4.0</v>
      </c>
      <c r="D2830" s="18" t="s">
        <v>4183</v>
      </c>
    </row>
    <row r="2831" ht="15.75" customHeight="1">
      <c r="A2831" s="16">
        <v>81.0</v>
      </c>
      <c r="B2831" s="17" t="s">
        <v>6830</v>
      </c>
      <c r="C2831" s="16">
        <v>6.0</v>
      </c>
      <c r="D2831" s="18" t="s">
        <v>4183</v>
      </c>
    </row>
    <row r="2832" ht="15.75" customHeight="1">
      <c r="A2832" s="16">
        <v>82.0</v>
      </c>
      <c r="B2832" s="17" t="s">
        <v>6831</v>
      </c>
      <c r="C2832" s="16">
        <v>4.0</v>
      </c>
      <c r="D2832" s="18" t="s">
        <v>4183</v>
      </c>
    </row>
    <row r="2833" ht="15.75" customHeight="1">
      <c r="A2833" s="16">
        <v>83.0</v>
      </c>
      <c r="B2833" s="17" t="s">
        <v>6832</v>
      </c>
      <c r="C2833" s="16">
        <v>1.0</v>
      </c>
      <c r="D2833" s="18" t="s">
        <v>4183</v>
      </c>
    </row>
    <row r="2834" ht="15.75" customHeight="1">
      <c r="A2834" s="16">
        <v>84.0</v>
      </c>
      <c r="B2834" s="17" t="s">
        <v>6833</v>
      </c>
      <c r="C2834" s="16">
        <v>4.0</v>
      </c>
      <c r="D2834" s="18" t="s">
        <v>4183</v>
      </c>
    </row>
    <row r="2835" ht="15.75" customHeight="1">
      <c r="A2835" s="16">
        <v>85.0</v>
      </c>
      <c r="B2835" s="17" t="s">
        <v>6834</v>
      </c>
      <c r="C2835" s="16">
        <v>2.0</v>
      </c>
      <c r="D2835" s="18" t="s">
        <v>4183</v>
      </c>
    </row>
    <row r="2836" ht="15.75" customHeight="1">
      <c r="A2836" s="16">
        <v>86.0</v>
      </c>
      <c r="B2836" s="17" t="s">
        <v>6835</v>
      </c>
      <c r="C2836" s="16">
        <v>2.0</v>
      </c>
      <c r="D2836" s="18" t="s">
        <v>4183</v>
      </c>
    </row>
    <row r="2837" ht="15.75" customHeight="1">
      <c r="A2837" s="16">
        <v>87.0</v>
      </c>
      <c r="B2837" s="17" t="s">
        <v>6836</v>
      </c>
      <c r="C2837" s="16">
        <v>6.0</v>
      </c>
      <c r="D2837" s="18" t="s">
        <v>4183</v>
      </c>
    </row>
    <row r="2838" ht="15.75" customHeight="1">
      <c r="A2838" s="16">
        <v>88.0</v>
      </c>
      <c r="B2838" s="17" t="s">
        <v>6837</v>
      </c>
      <c r="C2838" s="16">
        <v>2.0</v>
      </c>
      <c r="D2838" s="18" t="s">
        <v>4183</v>
      </c>
    </row>
    <row r="2839" ht="15.75" customHeight="1">
      <c r="A2839" s="16">
        <v>89.0</v>
      </c>
      <c r="B2839" s="17" t="s">
        <v>6838</v>
      </c>
      <c r="C2839" s="16">
        <v>6.0</v>
      </c>
      <c r="D2839" s="18" t="s">
        <v>4183</v>
      </c>
    </row>
    <row r="2840" ht="15.75" customHeight="1">
      <c r="A2840" s="16">
        <v>90.0</v>
      </c>
      <c r="B2840" s="17" t="s">
        <v>6839</v>
      </c>
      <c r="C2840" s="16">
        <v>5.0</v>
      </c>
      <c r="D2840" s="18" t="s">
        <v>4183</v>
      </c>
    </row>
    <row r="2841" ht="15.75" customHeight="1">
      <c r="A2841" s="16">
        <v>91.0</v>
      </c>
      <c r="B2841" s="17" t="s">
        <v>6840</v>
      </c>
      <c r="C2841" s="16">
        <v>3.0</v>
      </c>
      <c r="D2841" s="18" t="s">
        <v>4183</v>
      </c>
    </row>
    <row r="2842" ht="15.75" customHeight="1">
      <c r="A2842" s="16">
        <v>92.0</v>
      </c>
      <c r="B2842" s="17" t="s">
        <v>6841</v>
      </c>
      <c r="C2842" s="16">
        <v>9.0</v>
      </c>
      <c r="D2842" s="18" t="s">
        <v>4183</v>
      </c>
    </row>
    <row r="2843" ht="15.75" customHeight="1">
      <c r="A2843" s="16">
        <v>93.0</v>
      </c>
      <c r="B2843" s="17" t="s">
        <v>6842</v>
      </c>
      <c r="C2843" s="16">
        <v>5.0</v>
      </c>
      <c r="D2843" s="18" t="s">
        <v>4183</v>
      </c>
    </row>
    <row r="2844" ht="15.75" customHeight="1">
      <c r="A2844" s="16">
        <v>94.0</v>
      </c>
      <c r="B2844" s="17" t="s">
        <v>6843</v>
      </c>
      <c r="C2844" s="16">
        <v>2.0</v>
      </c>
      <c r="D2844" s="18" t="s">
        <v>4183</v>
      </c>
    </row>
    <row r="2845" ht="15.75" customHeight="1">
      <c r="A2845" s="16">
        <v>95.0</v>
      </c>
      <c r="B2845" s="17" t="s">
        <v>6844</v>
      </c>
      <c r="C2845" s="16">
        <v>8.0</v>
      </c>
      <c r="D2845" s="18" t="s">
        <v>4183</v>
      </c>
    </row>
    <row r="2846" ht="15.75" customHeight="1">
      <c r="A2846" s="16">
        <v>96.0</v>
      </c>
      <c r="B2846" s="17" t="s">
        <v>6845</v>
      </c>
      <c r="C2846" s="16">
        <v>4.0</v>
      </c>
      <c r="D2846" s="18" t="s">
        <v>4183</v>
      </c>
    </row>
    <row r="2847" ht="15.75" customHeight="1">
      <c r="A2847" s="16">
        <v>97.0</v>
      </c>
      <c r="B2847" s="17" t="s">
        <v>6846</v>
      </c>
      <c r="C2847" s="16">
        <v>22.0</v>
      </c>
      <c r="D2847" s="18" t="s">
        <v>4183</v>
      </c>
    </row>
    <row r="2848" ht="15.75" customHeight="1">
      <c r="A2848" s="16">
        <v>98.0</v>
      </c>
      <c r="B2848" s="17" t="s">
        <v>6847</v>
      </c>
      <c r="C2848" s="16">
        <v>8.0</v>
      </c>
      <c r="D2848" s="18" t="s">
        <v>4183</v>
      </c>
    </row>
    <row r="2849" ht="15.75" customHeight="1">
      <c r="A2849" s="16">
        <v>99.0</v>
      </c>
      <c r="B2849" s="17" t="s">
        <v>6848</v>
      </c>
      <c r="C2849" s="18" t="s">
        <v>5295</v>
      </c>
      <c r="D2849" s="18" t="s">
        <v>4183</v>
      </c>
    </row>
    <row r="2850" ht="15.75" customHeight="1">
      <c r="A2850" s="16">
        <v>100.0</v>
      </c>
      <c r="B2850" s="17" t="s">
        <v>6849</v>
      </c>
      <c r="C2850" s="16">
        <v>28.0</v>
      </c>
      <c r="D2850" s="18" t="s">
        <v>4183</v>
      </c>
    </row>
    <row r="2851" ht="15.75" customHeight="1">
      <c r="A2851" s="16">
        <v>101.0</v>
      </c>
      <c r="B2851" s="17" t="s">
        <v>6850</v>
      </c>
      <c r="C2851" s="16">
        <v>100.0</v>
      </c>
      <c r="D2851" s="18" t="s">
        <v>4183</v>
      </c>
    </row>
    <row r="2852" ht="15.75" customHeight="1">
      <c r="A2852" s="16">
        <v>102.0</v>
      </c>
      <c r="B2852" s="17" t="s">
        <v>6851</v>
      </c>
      <c r="C2852" s="16">
        <v>22.0</v>
      </c>
      <c r="D2852" s="18" t="s">
        <v>4183</v>
      </c>
    </row>
    <row r="2853" ht="15.75" customHeight="1">
      <c r="A2853" s="16">
        <v>103.0</v>
      </c>
      <c r="B2853" s="17" t="s">
        <v>6852</v>
      </c>
      <c r="C2853" s="16">
        <v>9.0</v>
      </c>
      <c r="D2853" s="18" t="s">
        <v>4183</v>
      </c>
    </row>
    <row r="2854" ht="15.75" customHeight="1">
      <c r="A2854" s="16">
        <v>104.0</v>
      </c>
      <c r="B2854" s="17" t="s">
        <v>6853</v>
      </c>
      <c r="C2854" s="16">
        <v>1.0</v>
      </c>
      <c r="D2854" s="18" t="s">
        <v>4183</v>
      </c>
    </row>
    <row r="2855" ht="15.75" customHeight="1">
      <c r="A2855" s="16">
        <v>105.0</v>
      </c>
      <c r="B2855" s="17" t="s">
        <v>6854</v>
      </c>
      <c r="C2855" s="16">
        <v>9.0</v>
      </c>
      <c r="D2855" s="18" t="s">
        <v>4183</v>
      </c>
    </row>
    <row r="2856" ht="15.75" customHeight="1">
      <c r="A2856" s="16">
        <v>106.0</v>
      </c>
      <c r="B2856" s="17" t="s">
        <v>6855</v>
      </c>
      <c r="C2856" s="16">
        <v>5.0</v>
      </c>
      <c r="D2856" s="18" t="s">
        <v>4183</v>
      </c>
    </row>
    <row r="2857" ht="15.75" customHeight="1">
      <c r="A2857" s="16">
        <v>107.0</v>
      </c>
      <c r="B2857" s="17" t="s">
        <v>6856</v>
      </c>
      <c r="C2857" s="16">
        <v>42.0</v>
      </c>
      <c r="D2857" s="18" t="s">
        <v>4183</v>
      </c>
    </row>
    <row r="2858" ht="15.75" customHeight="1">
      <c r="A2858" s="16">
        <v>108.0</v>
      </c>
      <c r="B2858" s="17" t="s">
        <v>6857</v>
      </c>
      <c r="C2858" s="16">
        <v>29.0</v>
      </c>
      <c r="D2858" s="18" t="s">
        <v>4183</v>
      </c>
    </row>
    <row r="2859" ht="15.75" customHeight="1">
      <c r="A2859" s="16">
        <v>109.0</v>
      </c>
      <c r="B2859" s="17" t="s">
        <v>6858</v>
      </c>
      <c r="C2859" s="16">
        <v>7.0</v>
      </c>
      <c r="D2859" s="18" t="s">
        <v>4183</v>
      </c>
    </row>
    <row r="2860" ht="15.75" customHeight="1">
      <c r="A2860" s="16">
        <v>110.0</v>
      </c>
      <c r="B2860" s="17" t="s">
        <v>6859</v>
      </c>
      <c r="C2860" s="16">
        <v>2.0</v>
      </c>
      <c r="D2860" s="18" t="s">
        <v>4183</v>
      </c>
    </row>
    <row r="2861" ht="15.75" customHeight="1">
      <c r="A2861" s="16">
        <v>111.0</v>
      </c>
      <c r="B2861" s="17" t="s">
        <v>6860</v>
      </c>
      <c r="C2861" s="16">
        <v>40.0</v>
      </c>
      <c r="D2861" s="18" t="s">
        <v>4183</v>
      </c>
    </row>
    <row r="2862" ht="15.75" customHeight="1">
      <c r="A2862" s="16">
        <v>112.0</v>
      </c>
      <c r="B2862" s="17" t="s">
        <v>6861</v>
      </c>
      <c r="C2862" s="16">
        <v>14.0</v>
      </c>
      <c r="D2862" s="18" t="s">
        <v>4183</v>
      </c>
    </row>
    <row r="2863" ht="15.75" customHeight="1">
      <c r="A2863" s="16">
        <v>113.0</v>
      </c>
      <c r="B2863" s="17" t="s">
        <v>6862</v>
      </c>
      <c r="C2863" s="16">
        <v>18.0</v>
      </c>
      <c r="D2863" s="18" t="s">
        <v>4183</v>
      </c>
    </row>
    <row r="2864" ht="15.75" customHeight="1">
      <c r="A2864" s="16">
        <v>114.0</v>
      </c>
      <c r="B2864" s="17" t="s">
        <v>6863</v>
      </c>
      <c r="C2864" s="16">
        <v>4.0</v>
      </c>
      <c r="D2864" s="18" t="s">
        <v>4183</v>
      </c>
    </row>
    <row r="2865" ht="15.75" customHeight="1">
      <c r="A2865" s="16">
        <v>115.0</v>
      </c>
      <c r="B2865" s="17" t="s">
        <v>6864</v>
      </c>
      <c r="C2865" s="16">
        <v>11.0</v>
      </c>
      <c r="D2865" s="18" t="s">
        <v>4183</v>
      </c>
    </row>
    <row r="2866" ht="15.75" customHeight="1">
      <c r="A2866" s="16">
        <v>116.0</v>
      </c>
      <c r="B2866" s="17" t="s">
        <v>6865</v>
      </c>
      <c r="C2866" s="16">
        <v>4.0</v>
      </c>
      <c r="D2866" s="18" t="s">
        <v>4183</v>
      </c>
    </row>
    <row r="2867" ht="15.75" customHeight="1">
      <c r="A2867" s="16">
        <v>117.0</v>
      </c>
      <c r="B2867" s="17" t="s">
        <v>6866</v>
      </c>
      <c r="C2867" s="16">
        <v>4.0</v>
      </c>
      <c r="D2867" s="18" t="s">
        <v>4183</v>
      </c>
    </row>
    <row r="2868" ht="15.75" customHeight="1">
      <c r="A2868" s="16">
        <v>118.0</v>
      </c>
      <c r="B2868" s="17" t="s">
        <v>6867</v>
      </c>
      <c r="C2868" s="16">
        <v>56.0</v>
      </c>
      <c r="D2868" s="18" t="s">
        <v>4183</v>
      </c>
    </row>
    <row r="2869" ht="15.75" customHeight="1">
      <c r="A2869" s="16">
        <v>119.0</v>
      </c>
      <c r="B2869" s="17" t="s">
        <v>6868</v>
      </c>
      <c r="C2869" s="16">
        <v>1.0</v>
      </c>
      <c r="D2869" s="18" t="s">
        <v>4183</v>
      </c>
    </row>
    <row r="2870" ht="15.75" customHeight="1">
      <c r="A2870" s="16">
        <v>120.0</v>
      </c>
      <c r="B2870" s="17" t="s">
        <v>6869</v>
      </c>
      <c r="C2870" s="16">
        <v>8.0</v>
      </c>
      <c r="D2870" s="18" t="s">
        <v>4183</v>
      </c>
    </row>
    <row r="2871" ht="15.75" customHeight="1">
      <c r="A2871" s="16">
        <v>121.0</v>
      </c>
      <c r="B2871" s="17" t="s">
        <v>6870</v>
      </c>
      <c r="C2871" s="16">
        <v>16.0</v>
      </c>
      <c r="D2871" s="18" t="s">
        <v>4183</v>
      </c>
    </row>
    <row r="2872" ht="15.75" customHeight="1">
      <c r="A2872" s="16">
        <v>122.0</v>
      </c>
      <c r="B2872" s="17" t="s">
        <v>6871</v>
      </c>
      <c r="C2872" s="16">
        <v>11.0</v>
      </c>
      <c r="D2872" s="18" t="s">
        <v>4183</v>
      </c>
    </row>
    <row r="2873" ht="15.75" customHeight="1">
      <c r="A2873" s="16">
        <v>123.0</v>
      </c>
      <c r="B2873" s="17" t="s">
        <v>6872</v>
      </c>
      <c r="C2873" s="16">
        <v>4.0</v>
      </c>
      <c r="D2873" s="18" t="s">
        <v>4178</v>
      </c>
    </row>
    <row r="2874" ht="15.75" customHeight="1">
      <c r="A2874" s="16">
        <v>124.0</v>
      </c>
      <c r="B2874" s="17" t="s">
        <v>6873</v>
      </c>
      <c r="C2874" s="16">
        <v>15.0</v>
      </c>
      <c r="D2874" s="18" t="s">
        <v>4178</v>
      </c>
    </row>
    <row r="2875" ht="15.75" customHeight="1">
      <c r="A2875" s="16">
        <v>125.0</v>
      </c>
      <c r="B2875" s="17" t="s">
        <v>6874</v>
      </c>
      <c r="C2875" s="18" t="s">
        <v>4396</v>
      </c>
      <c r="D2875" s="18" t="s">
        <v>4183</v>
      </c>
    </row>
    <row r="2876" ht="15.75" customHeight="1">
      <c r="A2876" s="16">
        <v>126.0</v>
      </c>
      <c r="B2876" s="17" t="s">
        <v>6875</v>
      </c>
      <c r="C2876" s="16">
        <v>10.0</v>
      </c>
      <c r="D2876" s="18" t="s">
        <v>4183</v>
      </c>
    </row>
    <row r="2877" ht="15.75" customHeight="1">
      <c r="A2877" s="16">
        <v>127.0</v>
      </c>
      <c r="B2877" s="17" t="s">
        <v>6876</v>
      </c>
      <c r="C2877" s="16">
        <v>7.0</v>
      </c>
      <c r="D2877" s="18" t="s">
        <v>4183</v>
      </c>
    </row>
    <row r="2878" ht="15.75" customHeight="1">
      <c r="A2878" s="16">
        <v>128.0</v>
      </c>
      <c r="B2878" s="17" t="s">
        <v>6877</v>
      </c>
      <c r="C2878" s="16">
        <v>7.0</v>
      </c>
      <c r="D2878" s="18" t="s">
        <v>4183</v>
      </c>
    </row>
    <row r="2879" ht="15.75" customHeight="1">
      <c r="A2879" s="16">
        <v>129.0</v>
      </c>
      <c r="B2879" s="17" t="s">
        <v>6878</v>
      </c>
      <c r="C2879" s="16">
        <v>3.0</v>
      </c>
      <c r="D2879" s="18" t="s">
        <v>4183</v>
      </c>
    </row>
    <row r="2880" ht="15.75" customHeight="1">
      <c r="A2880" s="16">
        <v>130.0</v>
      </c>
      <c r="B2880" s="17" t="s">
        <v>6879</v>
      </c>
      <c r="C2880" s="16">
        <v>10.0</v>
      </c>
      <c r="D2880" s="18" t="s">
        <v>4183</v>
      </c>
    </row>
    <row r="2881" ht="15.75" customHeight="1">
      <c r="A2881" s="16">
        <v>131.0</v>
      </c>
      <c r="B2881" s="17" t="s">
        <v>6880</v>
      </c>
      <c r="C2881" s="16">
        <v>5.0</v>
      </c>
      <c r="D2881" s="18" t="s">
        <v>4183</v>
      </c>
    </row>
    <row r="2882" ht="15.75" customHeight="1">
      <c r="A2882" s="16">
        <v>132.0</v>
      </c>
      <c r="B2882" s="17" t="s">
        <v>6881</v>
      </c>
      <c r="C2882" s="16">
        <v>10.0</v>
      </c>
      <c r="D2882" s="18" t="s">
        <v>4183</v>
      </c>
    </row>
    <row r="2883" ht="15.75" customHeight="1">
      <c r="A2883" s="16">
        <v>133.0</v>
      </c>
      <c r="B2883" s="17" t="s">
        <v>6882</v>
      </c>
      <c r="C2883" s="16">
        <v>9.0</v>
      </c>
      <c r="D2883" s="18" t="s">
        <v>4183</v>
      </c>
    </row>
    <row r="2884" ht="15.75" customHeight="1">
      <c r="A2884" s="16">
        <v>134.0</v>
      </c>
      <c r="B2884" s="17" t="s">
        <v>6883</v>
      </c>
      <c r="C2884" s="16">
        <v>7.0</v>
      </c>
      <c r="D2884" s="18" t="s">
        <v>4183</v>
      </c>
    </row>
    <row r="2885" ht="15.75" customHeight="1">
      <c r="A2885" s="16">
        <v>135.0</v>
      </c>
      <c r="B2885" s="17" t="s">
        <v>6884</v>
      </c>
      <c r="C2885" s="16">
        <v>4.0</v>
      </c>
      <c r="D2885" s="18" t="s">
        <v>4178</v>
      </c>
    </row>
    <row r="2886" ht="15.75" customHeight="1">
      <c r="A2886" s="16">
        <v>136.0</v>
      </c>
      <c r="B2886" s="17" t="s">
        <v>6885</v>
      </c>
      <c r="C2886" s="16">
        <v>2.0</v>
      </c>
      <c r="D2886" s="18" t="s">
        <v>4183</v>
      </c>
    </row>
    <row r="2887" ht="15.75" customHeight="1">
      <c r="A2887" s="16">
        <v>137.0</v>
      </c>
      <c r="B2887" s="17" t="s">
        <v>6886</v>
      </c>
      <c r="C2887" s="16">
        <v>4.0</v>
      </c>
      <c r="D2887" s="18" t="s">
        <v>4183</v>
      </c>
    </row>
    <row r="2888" ht="15.75" customHeight="1">
      <c r="A2888" s="16">
        <v>138.0</v>
      </c>
      <c r="B2888" s="17" t="s">
        <v>6887</v>
      </c>
      <c r="C2888" s="16">
        <v>10.0</v>
      </c>
      <c r="D2888" s="18" t="s">
        <v>4178</v>
      </c>
    </row>
    <row r="2889" ht="15.75" customHeight="1">
      <c r="A2889" s="16">
        <v>139.0</v>
      </c>
      <c r="B2889" s="17" t="s">
        <v>6888</v>
      </c>
      <c r="C2889" s="16">
        <v>11.0</v>
      </c>
      <c r="D2889" s="18" t="s">
        <v>4183</v>
      </c>
    </row>
    <row r="2890" ht="15.75" customHeight="1">
      <c r="A2890" s="16">
        <v>140.0</v>
      </c>
      <c r="B2890" s="17" t="s">
        <v>6889</v>
      </c>
      <c r="C2890" s="16">
        <v>20.0</v>
      </c>
      <c r="D2890" s="18" t="s">
        <v>4183</v>
      </c>
    </row>
    <row r="2891" ht="15.75" customHeight="1">
      <c r="A2891" s="16">
        <v>141.0</v>
      </c>
      <c r="B2891" s="17" t="s">
        <v>6890</v>
      </c>
      <c r="C2891" s="16">
        <v>13.0</v>
      </c>
      <c r="D2891" s="18" t="s">
        <v>4183</v>
      </c>
    </row>
    <row r="2892" ht="15.75" customHeight="1">
      <c r="A2892" s="16">
        <v>142.0</v>
      </c>
      <c r="B2892" s="17" t="s">
        <v>6891</v>
      </c>
      <c r="C2892" s="16">
        <v>1.0</v>
      </c>
      <c r="D2892" s="18" t="s">
        <v>4183</v>
      </c>
    </row>
    <row r="2893" ht="15.75" customHeight="1">
      <c r="A2893" s="16">
        <v>143.0</v>
      </c>
      <c r="B2893" s="17" t="s">
        <v>6892</v>
      </c>
      <c r="C2893" s="16">
        <v>3.0</v>
      </c>
      <c r="D2893" s="18" t="s">
        <v>4183</v>
      </c>
    </row>
    <row r="2894" ht="15.75" customHeight="1">
      <c r="A2894" s="16">
        <v>144.0</v>
      </c>
      <c r="B2894" s="17" t="s">
        <v>6893</v>
      </c>
      <c r="C2894" s="16">
        <v>5.0</v>
      </c>
      <c r="D2894" s="18" t="s">
        <v>4183</v>
      </c>
    </row>
    <row r="2895" ht="15.75" customHeight="1">
      <c r="A2895" s="16">
        <v>145.0</v>
      </c>
      <c r="B2895" s="17" t="s">
        <v>6894</v>
      </c>
      <c r="C2895" s="16">
        <v>5.0</v>
      </c>
      <c r="D2895" s="18" t="s">
        <v>4183</v>
      </c>
    </row>
    <row r="2896" ht="15.75" customHeight="1">
      <c r="A2896" s="16">
        <v>146.0</v>
      </c>
      <c r="B2896" s="17" t="s">
        <v>6895</v>
      </c>
      <c r="C2896" s="16">
        <v>6.0</v>
      </c>
      <c r="D2896" s="18" t="s">
        <v>4183</v>
      </c>
    </row>
    <row r="2897" ht="15.75" customHeight="1">
      <c r="A2897" s="16">
        <v>147.0</v>
      </c>
      <c r="B2897" s="17" t="s">
        <v>6896</v>
      </c>
      <c r="C2897" s="16">
        <v>3.0</v>
      </c>
      <c r="D2897" s="18" t="s">
        <v>4183</v>
      </c>
    </row>
    <row r="2898" ht="15.75" customHeight="1">
      <c r="A2898" s="16">
        <v>148.0</v>
      </c>
      <c r="B2898" s="17" t="s">
        <v>6897</v>
      </c>
      <c r="C2898" s="16">
        <v>6.0</v>
      </c>
      <c r="D2898" s="18" t="s">
        <v>4183</v>
      </c>
    </row>
    <row r="2899" ht="15.75" customHeight="1">
      <c r="A2899" s="16">
        <v>149.0</v>
      </c>
      <c r="B2899" s="17" t="s">
        <v>6898</v>
      </c>
      <c r="C2899" s="16">
        <v>5.0</v>
      </c>
      <c r="D2899" s="18" t="s">
        <v>4183</v>
      </c>
    </row>
    <row r="2900" ht="15.75" customHeight="1">
      <c r="A2900" s="16">
        <v>150.0</v>
      </c>
      <c r="B2900" s="17" t="s">
        <v>6899</v>
      </c>
      <c r="C2900" s="16">
        <v>14.0</v>
      </c>
      <c r="D2900" s="18" t="s">
        <v>4183</v>
      </c>
    </row>
    <row r="2901" ht="15.75" customHeight="1">
      <c r="A2901" s="16">
        <v>151.0</v>
      </c>
      <c r="B2901" s="17" t="s">
        <v>6900</v>
      </c>
      <c r="C2901" s="16">
        <v>9.0</v>
      </c>
      <c r="D2901" s="18" t="s">
        <v>4183</v>
      </c>
    </row>
    <row r="2902" ht="15.75" customHeight="1">
      <c r="A2902" s="20"/>
      <c r="B2902" s="21" t="s">
        <v>4273</v>
      </c>
      <c r="C2902" s="23">
        <v>1925.0</v>
      </c>
      <c r="D2902" s="21" t="s">
        <v>4171</v>
      </c>
    </row>
    <row r="2903" ht="15.75" customHeight="1">
      <c r="A2903" s="11"/>
      <c r="B2903" s="12"/>
      <c r="C2903" s="12"/>
      <c r="D2903" s="13"/>
    </row>
    <row r="2904" ht="15.75" customHeight="1">
      <c r="A2904" s="14" t="s">
        <v>4160</v>
      </c>
      <c r="B2904" s="15"/>
      <c r="C2904" s="15"/>
      <c r="D2904" s="15"/>
    </row>
    <row r="2905" ht="15.75" customHeight="1">
      <c r="A2905" s="16">
        <v>1.0</v>
      </c>
      <c r="B2905" s="17" t="s">
        <v>6901</v>
      </c>
      <c r="C2905" s="16">
        <v>7.0</v>
      </c>
      <c r="D2905" s="18" t="s">
        <v>4178</v>
      </c>
    </row>
    <row r="2906" ht="15.75" customHeight="1">
      <c r="A2906" s="16">
        <v>2.0</v>
      </c>
      <c r="B2906" s="17" t="s">
        <v>6902</v>
      </c>
      <c r="C2906" s="16">
        <v>4.0</v>
      </c>
      <c r="D2906" s="18" t="s">
        <v>4178</v>
      </c>
    </row>
    <row r="2907" ht="15.75" customHeight="1">
      <c r="A2907" s="16">
        <v>3.0</v>
      </c>
      <c r="B2907" s="17" t="s">
        <v>6903</v>
      </c>
      <c r="C2907" s="16">
        <v>40.0</v>
      </c>
      <c r="D2907" s="18" t="s">
        <v>4178</v>
      </c>
    </row>
    <row r="2908" ht="15.75" customHeight="1">
      <c r="A2908" s="20"/>
      <c r="B2908" s="21" t="s">
        <v>4273</v>
      </c>
      <c r="C2908" s="23">
        <v>51.0</v>
      </c>
      <c r="D2908" s="21" t="s">
        <v>4171</v>
      </c>
    </row>
    <row r="2909" ht="15.75" customHeight="1">
      <c r="A2909" s="11"/>
      <c r="B2909" s="12"/>
      <c r="C2909" s="12"/>
      <c r="D2909" s="13"/>
    </row>
    <row r="2910" ht="15.75" customHeight="1">
      <c r="A2910" s="14" t="s">
        <v>4088</v>
      </c>
      <c r="B2910" s="15"/>
      <c r="C2910" s="15"/>
      <c r="D2910" s="15"/>
    </row>
    <row r="2911" ht="15.75" customHeight="1">
      <c r="A2911" s="16">
        <v>1.0</v>
      </c>
      <c r="B2911" s="17" t="s">
        <v>6904</v>
      </c>
      <c r="C2911" s="16">
        <v>10.0</v>
      </c>
      <c r="D2911" s="18" t="s">
        <v>4183</v>
      </c>
    </row>
    <row r="2912" ht="15.75" customHeight="1">
      <c r="A2912" s="16">
        <v>2.0</v>
      </c>
      <c r="B2912" s="17" t="s">
        <v>6905</v>
      </c>
      <c r="C2912" s="16">
        <v>3.0</v>
      </c>
      <c r="D2912" s="18" t="s">
        <v>4178</v>
      </c>
    </row>
    <row r="2913" ht="15.75" customHeight="1">
      <c r="A2913" s="16">
        <v>3.0</v>
      </c>
      <c r="B2913" s="17" t="s">
        <v>6906</v>
      </c>
      <c r="C2913" s="16">
        <v>16.0</v>
      </c>
      <c r="D2913" s="18" t="s">
        <v>4183</v>
      </c>
    </row>
    <row r="2914" ht="15.75" customHeight="1">
      <c r="A2914" s="16">
        <v>4.0</v>
      </c>
      <c r="B2914" s="17" t="s">
        <v>6907</v>
      </c>
      <c r="C2914" s="16">
        <v>15.0</v>
      </c>
      <c r="D2914" s="18" t="s">
        <v>4183</v>
      </c>
    </row>
    <row r="2915" ht="15.75" customHeight="1">
      <c r="A2915" s="16">
        <v>5.0</v>
      </c>
      <c r="B2915" s="17" t="s">
        <v>6908</v>
      </c>
      <c r="C2915" s="16">
        <v>12.0</v>
      </c>
      <c r="D2915" s="18" t="s">
        <v>4183</v>
      </c>
    </row>
    <row r="2916" ht="15.75" customHeight="1">
      <c r="A2916" s="16">
        <v>6.0</v>
      </c>
      <c r="B2916" s="17" t="s">
        <v>6909</v>
      </c>
      <c r="C2916" s="16">
        <v>2.0</v>
      </c>
      <c r="D2916" s="18" t="s">
        <v>4183</v>
      </c>
    </row>
    <row r="2917" ht="15.75" customHeight="1">
      <c r="A2917" s="16">
        <v>7.0</v>
      </c>
      <c r="B2917" s="17" t="s">
        <v>6910</v>
      </c>
      <c r="C2917" s="16">
        <v>2.0</v>
      </c>
      <c r="D2917" s="18" t="s">
        <v>4183</v>
      </c>
    </row>
    <row r="2918" ht="15.75" customHeight="1">
      <c r="A2918" s="16">
        <v>8.0</v>
      </c>
      <c r="B2918" s="17" t="s">
        <v>6911</v>
      </c>
      <c r="C2918" s="16">
        <v>8.0</v>
      </c>
      <c r="D2918" s="18" t="s">
        <v>4183</v>
      </c>
    </row>
    <row r="2919" ht="15.75" customHeight="1">
      <c r="A2919" s="16">
        <v>9.0</v>
      </c>
      <c r="B2919" s="17" t="s">
        <v>6912</v>
      </c>
      <c r="C2919" s="16">
        <v>20.0</v>
      </c>
      <c r="D2919" s="18" t="s">
        <v>4183</v>
      </c>
    </row>
    <row r="2920" ht="15.75" customHeight="1">
      <c r="A2920" s="16">
        <v>10.0</v>
      </c>
      <c r="B2920" s="17" t="s">
        <v>6913</v>
      </c>
      <c r="C2920" s="16">
        <v>4.0</v>
      </c>
      <c r="D2920" s="18" t="s">
        <v>4183</v>
      </c>
    </row>
    <row r="2921" ht="15.75" customHeight="1">
      <c r="A2921" s="16">
        <v>11.0</v>
      </c>
      <c r="B2921" s="17" t="s">
        <v>6914</v>
      </c>
      <c r="C2921" s="16">
        <v>85.0</v>
      </c>
      <c r="D2921" s="18" t="s">
        <v>4183</v>
      </c>
    </row>
    <row r="2922" ht="15.75" customHeight="1">
      <c r="A2922" s="16">
        <v>12.0</v>
      </c>
      <c r="B2922" s="17" t="s">
        <v>6915</v>
      </c>
      <c r="C2922" s="16">
        <v>37.0</v>
      </c>
      <c r="D2922" s="18" t="s">
        <v>4183</v>
      </c>
    </row>
    <row r="2923" ht="15.75" customHeight="1">
      <c r="A2923" s="16">
        <v>13.0</v>
      </c>
      <c r="B2923" s="17" t="s">
        <v>6916</v>
      </c>
      <c r="C2923" s="16">
        <v>11.0</v>
      </c>
      <c r="D2923" s="18" t="s">
        <v>4215</v>
      </c>
    </row>
    <row r="2924" ht="15.75" customHeight="1">
      <c r="A2924" s="16">
        <v>14.0</v>
      </c>
      <c r="B2924" s="17" t="s">
        <v>6917</v>
      </c>
      <c r="C2924" s="16">
        <v>9.0</v>
      </c>
      <c r="D2924" s="18" t="s">
        <v>4183</v>
      </c>
    </row>
    <row r="2925" ht="15.75" customHeight="1">
      <c r="A2925" s="16">
        <v>15.0</v>
      </c>
      <c r="B2925" s="17" t="s">
        <v>6918</v>
      </c>
      <c r="C2925" s="16">
        <v>7.0</v>
      </c>
      <c r="D2925" s="18" t="s">
        <v>4183</v>
      </c>
    </row>
    <row r="2926" ht="15.75" customHeight="1">
      <c r="A2926" s="16">
        <v>16.0</v>
      </c>
      <c r="B2926" s="17" t="s">
        <v>6919</v>
      </c>
      <c r="C2926" s="16">
        <v>33.0</v>
      </c>
      <c r="D2926" s="18" t="s">
        <v>4183</v>
      </c>
    </row>
    <row r="2927" ht="15.75" customHeight="1">
      <c r="A2927" s="16">
        <v>17.0</v>
      </c>
      <c r="B2927" s="17" t="s">
        <v>6920</v>
      </c>
      <c r="C2927" s="18" t="s">
        <v>5377</v>
      </c>
      <c r="D2927" s="18" t="s">
        <v>4183</v>
      </c>
    </row>
    <row r="2928" ht="15.75" customHeight="1">
      <c r="A2928" s="16">
        <v>18.0</v>
      </c>
      <c r="B2928" s="17" t="s">
        <v>6921</v>
      </c>
      <c r="C2928" s="16">
        <v>15.0</v>
      </c>
      <c r="D2928" s="18" t="s">
        <v>4183</v>
      </c>
    </row>
    <row r="2929" ht="15.75" customHeight="1">
      <c r="A2929" s="16">
        <v>19.0</v>
      </c>
      <c r="B2929" s="17" t="s">
        <v>6922</v>
      </c>
      <c r="C2929" s="16">
        <v>56.0</v>
      </c>
      <c r="D2929" s="18" t="s">
        <v>4183</v>
      </c>
    </row>
    <row r="2930" ht="15.75" customHeight="1">
      <c r="A2930" s="16">
        <v>20.0</v>
      </c>
      <c r="B2930" s="17" t="s">
        <v>6923</v>
      </c>
      <c r="C2930" s="16">
        <v>56.0</v>
      </c>
      <c r="D2930" s="18" t="s">
        <v>4183</v>
      </c>
    </row>
    <row r="2931" ht="15.75" customHeight="1">
      <c r="A2931" s="16">
        <v>21.0</v>
      </c>
      <c r="B2931" s="17" t="s">
        <v>6924</v>
      </c>
      <c r="C2931" s="16">
        <v>18.0</v>
      </c>
      <c r="D2931" s="18" t="s">
        <v>4183</v>
      </c>
    </row>
    <row r="2932" ht="15.75" customHeight="1">
      <c r="A2932" s="16">
        <v>22.0</v>
      </c>
      <c r="B2932" s="17" t="s">
        <v>6925</v>
      </c>
      <c r="C2932" s="16">
        <v>1.0</v>
      </c>
      <c r="D2932" s="18" t="s">
        <v>4183</v>
      </c>
    </row>
    <row r="2933" ht="15.75" customHeight="1">
      <c r="A2933" s="16">
        <v>23.0</v>
      </c>
      <c r="B2933" s="17" t="s">
        <v>6926</v>
      </c>
      <c r="C2933" s="16">
        <v>5.0</v>
      </c>
      <c r="D2933" s="18" t="s">
        <v>4183</v>
      </c>
    </row>
    <row r="2934" ht="15.75" customHeight="1">
      <c r="A2934" s="16">
        <v>24.0</v>
      </c>
      <c r="B2934" s="17" t="s">
        <v>6927</v>
      </c>
      <c r="C2934" s="16">
        <v>6.0</v>
      </c>
      <c r="D2934" s="18" t="s">
        <v>4183</v>
      </c>
    </row>
    <row r="2935" ht="15.75" customHeight="1">
      <c r="A2935" s="16">
        <v>25.0</v>
      </c>
      <c r="B2935" s="17" t="s">
        <v>6928</v>
      </c>
      <c r="C2935" s="16">
        <v>2.0</v>
      </c>
      <c r="D2935" s="18" t="s">
        <v>4183</v>
      </c>
    </row>
    <row r="2936" ht="15.75" customHeight="1">
      <c r="A2936" s="16">
        <v>26.0</v>
      </c>
      <c r="B2936" s="17" t="s">
        <v>6929</v>
      </c>
      <c r="C2936" s="16">
        <v>1.0</v>
      </c>
      <c r="D2936" s="18" t="s">
        <v>4183</v>
      </c>
    </row>
    <row r="2937" ht="15.75" customHeight="1">
      <c r="A2937" s="16">
        <v>27.0</v>
      </c>
      <c r="B2937" s="17" t="s">
        <v>6930</v>
      </c>
      <c r="C2937" s="16">
        <v>15.0</v>
      </c>
      <c r="D2937" s="18" t="s">
        <v>4183</v>
      </c>
    </row>
    <row r="2938" ht="15.75" customHeight="1">
      <c r="A2938" s="16">
        <v>28.0</v>
      </c>
      <c r="B2938" s="17" t="s">
        <v>6931</v>
      </c>
      <c r="C2938" s="16">
        <v>28.0</v>
      </c>
      <c r="D2938" s="18" t="s">
        <v>4183</v>
      </c>
    </row>
    <row r="2939" ht="15.75" customHeight="1">
      <c r="A2939" s="16">
        <v>29.0</v>
      </c>
      <c r="B2939" s="17" t="s">
        <v>6932</v>
      </c>
      <c r="C2939" s="16">
        <v>28.0</v>
      </c>
      <c r="D2939" s="18" t="s">
        <v>4183</v>
      </c>
    </row>
    <row r="2940" ht="15.75" customHeight="1">
      <c r="A2940" s="16">
        <v>30.0</v>
      </c>
      <c r="B2940" s="17" t="s">
        <v>6933</v>
      </c>
      <c r="C2940" s="16">
        <v>6.0</v>
      </c>
      <c r="D2940" s="18" t="s">
        <v>4183</v>
      </c>
    </row>
    <row r="2941" ht="15.75" customHeight="1">
      <c r="A2941" s="16">
        <v>31.0</v>
      </c>
      <c r="B2941" s="17" t="s">
        <v>6934</v>
      </c>
      <c r="C2941" s="16">
        <v>2.0</v>
      </c>
      <c r="D2941" s="18" t="s">
        <v>4178</v>
      </c>
    </row>
    <row r="2942" ht="15.75" customHeight="1">
      <c r="A2942" s="16">
        <v>32.0</v>
      </c>
      <c r="B2942" s="17" t="s">
        <v>6935</v>
      </c>
      <c r="C2942" s="16">
        <v>6.0</v>
      </c>
      <c r="D2942" s="18" t="s">
        <v>4178</v>
      </c>
    </row>
    <row r="2943" ht="15.75" customHeight="1">
      <c r="A2943" s="20"/>
      <c r="B2943" s="21" t="s">
        <v>4273</v>
      </c>
      <c r="C2943" s="23">
        <v>507.0</v>
      </c>
      <c r="D2943" s="21" t="s">
        <v>4171</v>
      </c>
    </row>
    <row r="2944" ht="15.75" customHeight="1">
      <c r="A2944" s="11"/>
      <c r="B2944" s="12"/>
      <c r="C2944" s="12"/>
      <c r="D2944" s="13"/>
    </row>
    <row r="2945" ht="15.75" customHeight="1">
      <c r="A2945" s="14" t="s">
        <v>4141</v>
      </c>
      <c r="B2945" s="15"/>
      <c r="C2945" s="15"/>
      <c r="D2945" s="15"/>
    </row>
    <row r="2946" ht="15.75" customHeight="1">
      <c r="A2946" s="16">
        <v>1.0</v>
      </c>
      <c r="B2946" s="17" t="s">
        <v>6936</v>
      </c>
      <c r="C2946" s="16">
        <v>2.0</v>
      </c>
      <c r="D2946" s="18" t="s">
        <v>4183</v>
      </c>
    </row>
    <row r="2947" ht="15.75" customHeight="1">
      <c r="A2947" s="16">
        <v>2.0</v>
      </c>
      <c r="B2947" s="17" t="s">
        <v>6937</v>
      </c>
      <c r="C2947" s="16">
        <v>2.0</v>
      </c>
      <c r="D2947" s="18" t="s">
        <v>4183</v>
      </c>
    </row>
    <row r="2948" ht="15.75" customHeight="1">
      <c r="A2948" s="16">
        <v>3.0</v>
      </c>
      <c r="B2948" s="17" t="s">
        <v>6938</v>
      </c>
      <c r="C2948" s="16">
        <v>7.0</v>
      </c>
      <c r="D2948" s="18" t="s">
        <v>4183</v>
      </c>
    </row>
    <row r="2949" ht="15.75" customHeight="1">
      <c r="A2949" s="16">
        <v>4.0</v>
      </c>
      <c r="B2949" s="17" t="s">
        <v>6939</v>
      </c>
      <c r="C2949" s="16">
        <v>2.0</v>
      </c>
      <c r="D2949" s="18" t="s">
        <v>4183</v>
      </c>
    </row>
    <row r="2950" ht="15.75" customHeight="1">
      <c r="A2950" s="16">
        <v>5.0</v>
      </c>
      <c r="B2950" s="17" t="s">
        <v>6940</v>
      </c>
      <c r="C2950" s="16">
        <v>5.0</v>
      </c>
      <c r="D2950" s="18" t="s">
        <v>4183</v>
      </c>
    </row>
    <row r="2951" ht="15.75" customHeight="1">
      <c r="A2951" s="16">
        <v>6.0</v>
      </c>
      <c r="B2951" s="17" t="s">
        <v>6941</v>
      </c>
      <c r="C2951" s="16">
        <v>7.0</v>
      </c>
      <c r="D2951" s="18" t="s">
        <v>4183</v>
      </c>
    </row>
    <row r="2952" ht="15.75" customHeight="1">
      <c r="A2952" s="16">
        <v>7.0</v>
      </c>
      <c r="B2952" s="17" t="s">
        <v>6942</v>
      </c>
      <c r="C2952" s="16">
        <v>24.0</v>
      </c>
      <c r="D2952" s="18" t="s">
        <v>4183</v>
      </c>
    </row>
    <row r="2953" ht="15.75" customHeight="1">
      <c r="A2953" s="20"/>
      <c r="B2953" s="21" t="s">
        <v>4273</v>
      </c>
      <c r="C2953" s="23">
        <v>49.0</v>
      </c>
      <c r="D2953" s="21" t="s">
        <v>4171</v>
      </c>
    </row>
    <row r="2954" ht="15.75" customHeight="1">
      <c r="A2954" s="11"/>
      <c r="B2954" s="12"/>
      <c r="C2954" s="12"/>
      <c r="D2954" s="13"/>
    </row>
    <row r="2955" ht="15.75" customHeight="1">
      <c r="A2955" s="11"/>
      <c r="B2955" s="12"/>
      <c r="C2955" s="12"/>
      <c r="D2955" s="13"/>
    </row>
    <row r="2956" ht="15.75" customHeight="1">
      <c r="A2956" s="14" t="s">
        <v>2690</v>
      </c>
      <c r="B2956" s="15"/>
      <c r="C2956" s="15"/>
      <c r="D2956" s="15"/>
    </row>
    <row r="2957" ht="15.75" customHeight="1">
      <c r="A2957" s="16">
        <v>1.0</v>
      </c>
      <c r="B2957" s="17" t="s">
        <v>6943</v>
      </c>
      <c r="C2957" s="16">
        <v>6.0</v>
      </c>
      <c r="D2957" s="18" t="s">
        <v>4183</v>
      </c>
    </row>
    <row r="2958" ht="15.75" customHeight="1">
      <c r="A2958" s="16">
        <v>2.0</v>
      </c>
      <c r="B2958" s="17" t="s">
        <v>6944</v>
      </c>
      <c r="C2958" s="16">
        <v>2.0</v>
      </c>
      <c r="D2958" s="18" t="s">
        <v>4183</v>
      </c>
    </row>
    <row r="2959" ht="15.75" customHeight="1">
      <c r="A2959" s="16">
        <v>3.0</v>
      </c>
      <c r="B2959" s="17" t="s">
        <v>6945</v>
      </c>
      <c r="C2959" s="16">
        <v>7.0</v>
      </c>
      <c r="D2959" s="18" t="s">
        <v>4183</v>
      </c>
    </row>
    <row r="2960" ht="15.75" customHeight="1">
      <c r="A2960" s="16">
        <v>4.0</v>
      </c>
      <c r="B2960" s="17" t="s">
        <v>6946</v>
      </c>
      <c r="C2960" s="16">
        <v>33.0</v>
      </c>
      <c r="D2960" s="18" t="s">
        <v>4183</v>
      </c>
    </row>
    <row r="2961" ht="15.75" customHeight="1">
      <c r="A2961" s="16">
        <v>5.0</v>
      </c>
      <c r="B2961" s="17" t="s">
        <v>6947</v>
      </c>
      <c r="C2961" s="16">
        <v>11.0</v>
      </c>
      <c r="D2961" s="18" t="s">
        <v>4183</v>
      </c>
    </row>
    <row r="2962" ht="15.75" customHeight="1">
      <c r="A2962" s="20"/>
      <c r="B2962" s="21" t="s">
        <v>4273</v>
      </c>
      <c r="C2962" s="23">
        <v>59.0</v>
      </c>
      <c r="D2962" s="21" t="s">
        <v>4171</v>
      </c>
    </row>
    <row r="2963" ht="15.75" customHeight="1">
      <c r="A2963" s="11"/>
      <c r="B2963" s="12"/>
      <c r="C2963" s="12"/>
      <c r="D2963" s="13"/>
    </row>
    <row r="2964" ht="15.75" customHeight="1">
      <c r="A2964" s="14" t="s">
        <v>2690</v>
      </c>
      <c r="B2964" s="15"/>
      <c r="C2964" s="15"/>
      <c r="D2964" s="15"/>
    </row>
    <row r="2965" ht="15.75" customHeight="1">
      <c r="A2965" s="16">
        <v>1.0</v>
      </c>
      <c r="B2965" s="17" t="s">
        <v>6948</v>
      </c>
      <c r="C2965" s="16">
        <v>10.0</v>
      </c>
      <c r="D2965" s="18" t="s">
        <v>4183</v>
      </c>
    </row>
    <row r="2966" ht="15.75" customHeight="1">
      <c r="A2966" s="16">
        <v>2.0</v>
      </c>
      <c r="B2966" s="17" t="s">
        <v>6949</v>
      </c>
      <c r="C2966" s="16">
        <v>22.0</v>
      </c>
      <c r="D2966" s="18" t="s">
        <v>4183</v>
      </c>
    </row>
    <row r="2967" ht="15.75" customHeight="1">
      <c r="A2967" s="16">
        <v>3.0</v>
      </c>
      <c r="B2967" s="17" t="s">
        <v>6950</v>
      </c>
      <c r="C2967" s="16">
        <v>16.0</v>
      </c>
      <c r="D2967" s="18" t="s">
        <v>4183</v>
      </c>
    </row>
    <row r="2968" ht="15.75" customHeight="1">
      <c r="A2968" s="16">
        <v>4.0</v>
      </c>
      <c r="B2968" s="17" t="s">
        <v>6951</v>
      </c>
      <c r="C2968" s="16">
        <v>11.0</v>
      </c>
      <c r="D2968" s="18" t="s">
        <v>4183</v>
      </c>
    </row>
    <row r="2969" ht="15.75" customHeight="1">
      <c r="A2969" s="16">
        <v>5.0</v>
      </c>
      <c r="B2969" s="17" t="s">
        <v>6952</v>
      </c>
      <c r="C2969" s="16">
        <v>3.0</v>
      </c>
      <c r="D2969" s="18" t="s">
        <v>4183</v>
      </c>
    </row>
    <row r="2970" ht="15.75" customHeight="1">
      <c r="A2970" s="16">
        <v>6.0</v>
      </c>
      <c r="B2970" s="17" t="s">
        <v>6953</v>
      </c>
      <c r="C2970" s="16">
        <v>1.0</v>
      </c>
      <c r="D2970" s="18" t="s">
        <v>4183</v>
      </c>
    </row>
    <row r="2971" ht="15.75" customHeight="1">
      <c r="A2971" s="16">
        <v>7.0</v>
      </c>
      <c r="B2971" s="17" t="s">
        <v>6954</v>
      </c>
      <c r="C2971" s="16">
        <v>3.0</v>
      </c>
      <c r="D2971" s="18" t="s">
        <v>4183</v>
      </c>
    </row>
    <row r="2972" ht="15.75" customHeight="1">
      <c r="A2972" s="16">
        <v>8.0</v>
      </c>
      <c r="B2972" s="17" t="s">
        <v>6955</v>
      </c>
      <c r="C2972" s="16">
        <v>4.0</v>
      </c>
      <c r="D2972" s="18" t="s">
        <v>4183</v>
      </c>
    </row>
    <row r="2973" ht="15.75" customHeight="1">
      <c r="A2973" s="16">
        <v>9.0</v>
      </c>
      <c r="B2973" s="17" t="s">
        <v>6956</v>
      </c>
      <c r="C2973" s="16">
        <v>2.0</v>
      </c>
      <c r="D2973" s="18" t="s">
        <v>4183</v>
      </c>
    </row>
    <row r="2974" ht="15.75" customHeight="1">
      <c r="A2974" s="16">
        <v>10.0</v>
      </c>
      <c r="B2974" s="17" t="s">
        <v>6957</v>
      </c>
      <c r="C2974" s="16">
        <v>15.0</v>
      </c>
      <c r="D2974" s="18" t="s">
        <v>4183</v>
      </c>
    </row>
    <row r="2975" ht="15.75" customHeight="1">
      <c r="A2975" s="16">
        <v>11.0</v>
      </c>
      <c r="B2975" s="17" t="s">
        <v>6958</v>
      </c>
      <c r="C2975" s="16">
        <v>1.0</v>
      </c>
      <c r="D2975" s="18" t="s">
        <v>4183</v>
      </c>
    </row>
    <row r="2976" ht="15.75" customHeight="1">
      <c r="A2976" s="16">
        <v>12.0</v>
      </c>
      <c r="B2976" s="17" t="s">
        <v>6959</v>
      </c>
      <c r="C2976" s="16">
        <v>8.0</v>
      </c>
      <c r="D2976" s="18" t="s">
        <v>4183</v>
      </c>
    </row>
    <row r="2977" ht="15.75" customHeight="1">
      <c r="A2977" s="16">
        <v>13.0</v>
      </c>
      <c r="B2977" s="17" t="s">
        <v>6960</v>
      </c>
      <c r="C2977" s="18" t="s">
        <v>4736</v>
      </c>
      <c r="D2977" s="18" t="s">
        <v>4183</v>
      </c>
    </row>
    <row r="2978" ht="15.75" customHeight="1">
      <c r="A2978" s="16">
        <v>14.0</v>
      </c>
      <c r="B2978" s="17" t="s">
        <v>6961</v>
      </c>
      <c r="C2978" s="16">
        <v>5.0</v>
      </c>
      <c r="D2978" s="18" t="s">
        <v>4183</v>
      </c>
    </row>
    <row r="2979" ht="15.75" customHeight="1">
      <c r="A2979" s="16">
        <v>15.0</v>
      </c>
      <c r="B2979" s="17" t="s">
        <v>6962</v>
      </c>
      <c r="C2979" s="16">
        <v>8.0</v>
      </c>
      <c r="D2979" s="18" t="s">
        <v>4178</v>
      </c>
    </row>
    <row r="2980" ht="15.75" customHeight="1">
      <c r="A2980" s="16">
        <v>16.0</v>
      </c>
      <c r="B2980" s="17" t="s">
        <v>6963</v>
      </c>
      <c r="C2980" s="16">
        <v>3.0</v>
      </c>
      <c r="D2980" s="18" t="s">
        <v>4178</v>
      </c>
    </row>
    <row r="2981" ht="15.75" customHeight="1">
      <c r="A2981" s="16">
        <v>17.0</v>
      </c>
      <c r="B2981" s="17" t="s">
        <v>6964</v>
      </c>
      <c r="C2981" s="16">
        <v>24.0</v>
      </c>
      <c r="D2981" s="18" t="s">
        <v>4178</v>
      </c>
    </row>
    <row r="2982" ht="15.75" customHeight="1">
      <c r="A2982" s="20"/>
      <c r="B2982" s="21" t="s">
        <v>4273</v>
      </c>
      <c r="C2982" s="23">
        <v>132.0</v>
      </c>
      <c r="D2982" s="21" t="s">
        <v>4171</v>
      </c>
    </row>
    <row r="2983" ht="15.75" customHeight="1">
      <c r="A2983" s="11"/>
      <c r="B2983" s="12"/>
      <c r="C2983" s="12"/>
      <c r="D2983" s="13"/>
    </row>
    <row r="2984" ht="15.75" customHeight="1">
      <c r="A2984" s="14" t="s">
        <v>4131</v>
      </c>
      <c r="B2984" s="15"/>
      <c r="C2984" s="15"/>
      <c r="D2984" s="15"/>
    </row>
    <row r="2985" ht="15.75" customHeight="1">
      <c r="A2985" s="16">
        <v>1.0</v>
      </c>
      <c r="B2985" s="17" t="s">
        <v>6965</v>
      </c>
      <c r="C2985" s="16">
        <v>16.0</v>
      </c>
      <c r="D2985" s="18" t="s">
        <v>4183</v>
      </c>
    </row>
    <row r="2986" ht="15.75" customHeight="1">
      <c r="A2986" s="16">
        <v>2.0</v>
      </c>
      <c r="B2986" s="17" t="s">
        <v>6966</v>
      </c>
      <c r="C2986" s="16">
        <v>11.0</v>
      </c>
      <c r="D2986" s="18" t="s">
        <v>4183</v>
      </c>
    </row>
    <row r="2987" ht="15.75" customHeight="1">
      <c r="A2987" s="16">
        <v>3.0</v>
      </c>
      <c r="B2987" s="17" t="s">
        <v>6967</v>
      </c>
      <c r="C2987" s="16">
        <v>8.0</v>
      </c>
      <c r="D2987" s="18" t="s">
        <v>4183</v>
      </c>
    </row>
    <row r="2988" ht="15.75" customHeight="1">
      <c r="A2988" s="16">
        <v>4.0</v>
      </c>
      <c r="B2988" s="17" t="s">
        <v>6968</v>
      </c>
      <c r="C2988" s="16">
        <v>150.0</v>
      </c>
      <c r="D2988" s="18" t="s">
        <v>4183</v>
      </c>
    </row>
    <row r="2989" ht="15.75" customHeight="1">
      <c r="A2989" s="16">
        <v>5.0</v>
      </c>
      <c r="B2989" s="17" t="s">
        <v>6969</v>
      </c>
      <c r="C2989" s="16">
        <v>11.0</v>
      </c>
      <c r="D2989" s="18" t="s">
        <v>4183</v>
      </c>
    </row>
    <row r="2990" ht="15.75" customHeight="1">
      <c r="A2990" s="16">
        <v>6.0</v>
      </c>
      <c r="B2990" s="17" t="s">
        <v>6970</v>
      </c>
      <c r="C2990" s="16">
        <v>24.0</v>
      </c>
      <c r="D2990" s="18" t="s">
        <v>4183</v>
      </c>
    </row>
    <row r="2991" ht="15.75" customHeight="1">
      <c r="A2991" s="16">
        <v>7.0</v>
      </c>
      <c r="B2991" s="17" t="s">
        <v>6971</v>
      </c>
      <c r="C2991" s="16">
        <v>6.0</v>
      </c>
      <c r="D2991" s="18" t="s">
        <v>4183</v>
      </c>
    </row>
    <row r="2992" ht="15.75" customHeight="1">
      <c r="A2992" s="16">
        <v>8.0</v>
      </c>
      <c r="B2992" s="17" t="s">
        <v>6972</v>
      </c>
      <c r="C2992" s="16">
        <v>30.0</v>
      </c>
      <c r="D2992" s="18" t="s">
        <v>4183</v>
      </c>
    </row>
    <row r="2993" ht="15.75" customHeight="1">
      <c r="A2993" s="16">
        <v>9.0</v>
      </c>
      <c r="B2993" s="17" t="s">
        <v>6973</v>
      </c>
      <c r="C2993" s="16">
        <v>7.0</v>
      </c>
      <c r="D2993" s="18" t="s">
        <v>4183</v>
      </c>
    </row>
    <row r="2994" ht="15.75" customHeight="1">
      <c r="A2994" s="16">
        <v>10.0</v>
      </c>
      <c r="B2994" s="17" t="s">
        <v>6974</v>
      </c>
      <c r="C2994" s="16">
        <v>10.0</v>
      </c>
      <c r="D2994" s="18" t="s">
        <v>4183</v>
      </c>
    </row>
    <row r="2995" ht="15.75" customHeight="1">
      <c r="A2995" s="16">
        <v>11.0</v>
      </c>
      <c r="B2995" s="17" t="s">
        <v>6975</v>
      </c>
      <c r="C2995" s="16">
        <v>3.0</v>
      </c>
      <c r="D2995" s="18" t="s">
        <v>4183</v>
      </c>
    </row>
    <row r="2996" ht="15.75" customHeight="1">
      <c r="A2996" s="20"/>
      <c r="B2996" s="21" t="s">
        <v>4273</v>
      </c>
      <c r="C2996" s="23">
        <v>276.0</v>
      </c>
      <c r="D2996" s="21" t="s">
        <v>4171</v>
      </c>
    </row>
    <row r="2997" ht="15.75" customHeight="1">
      <c r="A2997" s="11"/>
      <c r="B2997" s="12"/>
      <c r="C2997" s="12"/>
      <c r="D2997" s="13"/>
    </row>
    <row r="2998" ht="15.75" customHeight="1">
      <c r="A2998" s="14" t="s">
        <v>4085</v>
      </c>
      <c r="B2998" s="15"/>
      <c r="C2998" s="15"/>
      <c r="D2998" s="15"/>
    </row>
    <row r="2999" ht="15.75" customHeight="1">
      <c r="A2999" s="16">
        <v>1.0</v>
      </c>
      <c r="B2999" s="17" t="s">
        <v>6976</v>
      </c>
      <c r="C2999" s="16">
        <v>5.0</v>
      </c>
      <c r="D2999" s="18" t="s">
        <v>4183</v>
      </c>
    </row>
    <row r="3000" ht="15.75" customHeight="1">
      <c r="A3000" s="16">
        <v>2.0</v>
      </c>
      <c r="B3000" s="17" t="s">
        <v>6977</v>
      </c>
      <c r="C3000" s="16">
        <v>6.0</v>
      </c>
      <c r="D3000" s="18" t="s">
        <v>4183</v>
      </c>
    </row>
    <row r="3001" ht="15.75" customHeight="1">
      <c r="A3001" s="16">
        <v>3.0</v>
      </c>
      <c r="B3001" s="17" t="s">
        <v>6978</v>
      </c>
      <c r="C3001" s="16">
        <v>10.0</v>
      </c>
      <c r="D3001" s="18" t="s">
        <v>4183</v>
      </c>
    </row>
    <row r="3002" ht="15.75" customHeight="1">
      <c r="A3002" s="16">
        <v>4.0</v>
      </c>
      <c r="B3002" s="17" t="s">
        <v>6979</v>
      </c>
      <c r="C3002" s="16">
        <v>78.0</v>
      </c>
      <c r="D3002" s="18" t="s">
        <v>4183</v>
      </c>
    </row>
    <row r="3003" ht="15.75" customHeight="1">
      <c r="A3003" s="16">
        <v>5.0</v>
      </c>
      <c r="B3003" s="17" t="s">
        <v>6980</v>
      </c>
      <c r="C3003" s="16">
        <v>230.0</v>
      </c>
      <c r="D3003" s="18" t="s">
        <v>4183</v>
      </c>
    </row>
    <row r="3004" ht="15.75" customHeight="1">
      <c r="A3004" s="16">
        <v>6.0</v>
      </c>
      <c r="B3004" s="17" t="s">
        <v>6981</v>
      </c>
      <c r="C3004" s="16">
        <v>7.0</v>
      </c>
      <c r="D3004" s="18" t="s">
        <v>4183</v>
      </c>
    </row>
    <row r="3005" ht="15.75" customHeight="1">
      <c r="A3005" s="16">
        <v>7.0</v>
      </c>
      <c r="B3005" s="17" t="s">
        <v>6982</v>
      </c>
      <c r="C3005" s="16">
        <v>83.0</v>
      </c>
      <c r="D3005" s="18" t="s">
        <v>4183</v>
      </c>
    </row>
    <row r="3006" ht="15.75" customHeight="1">
      <c r="A3006" s="16">
        <v>8.0</v>
      </c>
      <c r="B3006" s="17" t="s">
        <v>6983</v>
      </c>
      <c r="C3006" s="16">
        <v>3.0</v>
      </c>
      <c r="D3006" s="18" t="s">
        <v>4183</v>
      </c>
    </row>
    <row r="3007" ht="15.75" customHeight="1">
      <c r="A3007" s="16">
        <v>9.0</v>
      </c>
      <c r="B3007" s="17" t="s">
        <v>6984</v>
      </c>
      <c r="C3007" s="16">
        <v>12.0</v>
      </c>
      <c r="D3007" s="18" t="s">
        <v>4183</v>
      </c>
    </row>
    <row r="3008" ht="15.75" customHeight="1">
      <c r="A3008" s="16">
        <v>10.0</v>
      </c>
      <c r="B3008" s="17" t="s">
        <v>6985</v>
      </c>
      <c r="C3008" s="16">
        <v>31.0</v>
      </c>
      <c r="D3008" s="18" t="s">
        <v>4183</v>
      </c>
    </row>
    <row r="3009" ht="15.75" customHeight="1">
      <c r="A3009" s="16">
        <v>11.0</v>
      </c>
      <c r="B3009" s="17" t="s">
        <v>6986</v>
      </c>
      <c r="C3009" s="16">
        <v>4.0</v>
      </c>
      <c r="D3009" s="18" t="s">
        <v>4183</v>
      </c>
    </row>
    <row r="3010" ht="15.75" customHeight="1">
      <c r="A3010" s="16">
        <v>12.0</v>
      </c>
      <c r="B3010" s="17" t="s">
        <v>6987</v>
      </c>
      <c r="C3010" s="16">
        <v>6.0</v>
      </c>
      <c r="D3010" s="18" t="s">
        <v>4183</v>
      </c>
    </row>
    <row r="3011" ht="15.75" customHeight="1">
      <c r="A3011" s="16">
        <v>13.0</v>
      </c>
      <c r="B3011" s="17" t="s">
        <v>6988</v>
      </c>
      <c r="C3011" s="16">
        <v>85.0</v>
      </c>
      <c r="D3011" s="18" t="s">
        <v>4183</v>
      </c>
    </row>
    <row r="3012" ht="15.75" customHeight="1">
      <c r="A3012" s="16">
        <v>14.0</v>
      </c>
      <c r="B3012" s="17" t="s">
        <v>6989</v>
      </c>
      <c r="C3012" s="16">
        <v>37.0</v>
      </c>
      <c r="D3012" s="18" t="s">
        <v>4183</v>
      </c>
    </row>
    <row r="3013" ht="15.75" customHeight="1">
      <c r="A3013" s="16">
        <v>15.0</v>
      </c>
      <c r="B3013" s="17" t="s">
        <v>6990</v>
      </c>
      <c r="C3013" s="16">
        <v>3.0</v>
      </c>
      <c r="D3013" s="18" t="s">
        <v>4183</v>
      </c>
    </row>
    <row r="3014" ht="15.75" customHeight="1">
      <c r="A3014" s="16">
        <v>16.0</v>
      </c>
      <c r="B3014" s="17" t="s">
        <v>6991</v>
      </c>
      <c r="C3014" s="16">
        <v>4.0</v>
      </c>
      <c r="D3014" s="18" t="s">
        <v>4183</v>
      </c>
    </row>
    <row r="3015" ht="15.75" customHeight="1">
      <c r="A3015" s="16">
        <v>17.0</v>
      </c>
      <c r="B3015" s="17" t="s">
        <v>6992</v>
      </c>
      <c r="C3015" s="16">
        <v>14.0</v>
      </c>
      <c r="D3015" s="18" t="s">
        <v>4183</v>
      </c>
    </row>
    <row r="3016" ht="15.75" customHeight="1">
      <c r="A3016" s="16">
        <v>18.0</v>
      </c>
      <c r="B3016" s="17" t="s">
        <v>6993</v>
      </c>
      <c r="C3016" s="16">
        <v>2.0</v>
      </c>
      <c r="D3016" s="18" t="s">
        <v>4183</v>
      </c>
    </row>
    <row r="3017" ht="15.75" customHeight="1">
      <c r="A3017" s="16">
        <v>19.0</v>
      </c>
      <c r="B3017" s="17" t="s">
        <v>6994</v>
      </c>
      <c r="C3017" s="16">
        <v>14.0</v>
      </c>
      <c r="D3017" s="18" t="s">
        <v>4183</v>
      </c>
    </row>
    <row r="3018" ht="15.75" customHeight="1">
      <c r="A3018" s="16">
        <v>20.0</v>
      </c>
      <c r="B3018" s="17" t="s">
        <v>6995</v>
      </c>
      <c r="C3018" s="16">
        <v>25.0</v>
      </c>
      <c r="D3018" s="18" t="s">
        <v>4183</v>
      </c>
    </row>
    <row r="3019" ht="15.75" customHeight="1">
      <c r="A3019" s="16">
        <v>21.0</v>
      </c>
      <c r="B3019" s="17" t="s">
        <v>6996</v>
      </c>
      <c r="C3019" s="16">
        <v>2.0</v>
      </c>
      <c r="D3019" s="18" t="s">
        <v>4215</v>
      </c>
    </row>
    <row r="3020" ht="15.75" customHeight="1">
      <c r="A3020" s="16">
        <v>22.0</v>
      </c>
      <c r="B3020" s="17" t="s">
        <v>6997</v>
      </c>
      <c r="C3020" s="16">
        <v>1.0</v>
      </c>
      <c r="D3020" s="18" t="s">
        <v>4178</v>
      </c>
    </row>
    <row r="3021" ht="15.75" customHeight="1">
      <c r="A3021" s="16">
        <v>23.0</v>
      </c>
      <c r="B3021" s="17" t="s">
        <v>6998</v>
      </c>
      <c r="C3021" s="16">
        <v>8.0</v>
      </c>
      <c r="D3021" s="18" t="s">
        <v>4183</v>
      </c>
    </row>
    <row r="3022" ht="15.75" customHeight="1">
      <c r="A3022" s="16">
        <v>24.0</v>
      </c>
      <c r="B3022" s="17" t="s">
        <v>6999</v>
      </c>
      <c r="C3022" s="16">
        <v>3.0</v>
      </c>
      <c r="D3022" s="18" t="s">
        <v>4183</v>
      </c>
    </row>
    <row r="3023" ht="15.75" customHeight="1">
      <c r="A3023" s="16">
        <v>25.0</v>
      </c>
      <c r="B3023" s="17" t="s">
        <v>7000</v>
      </c>
      <c r="C3023" s="16">
        <v>1.0</v>
      </c>
      <c r="D3023" s="18" t="s">
        <v>4183</v>
      </c>
    </row>
    <row r="3024" ht="15.75" customHeight="1">
      <c r="A3024" s="16">
        <v>26.0</v>
      </c>
      <c r="B3024" s="17" t="s">
        <v>7001</v>
      </c>
      <c r="C3024" s="16">
        <v>34.0</v>
      </c>
      <c r="D3024" s="18" t="s">
        <v>4183</v>
      </c>
    </row>
    <row r="3025" ht="15.75" customHeight="1">
      <c r="A3025" s="16">
        <v>27.0</v>
      </c>
      <c r="B3025" s="17" t="s">
        <v>7002</v>
      </c>
      <c r="C3025" s="16">
        <v>22.0</v>
      </c>
      <c r="D3025" s="18" t="s">
        <v>4183</v>
      </c>
    </row>
    <row r="3026" ht="15.75" customHeight="1">
      <c r="A3026" s="16">
        <v>28.0</v>
      </c>
      <c r="B3026" s="17" t="s">
        <v>7003</v>
      </c>
      <c r="C3026" s="16">
        <v>10.0</v>
      </c>
      <c r="D3026" s="18" t="s">
        <v>4183</v>
      </c>
    </row>
    <row r="3027" ht="15.75" customHeight="1">
      <c r="A3027" s="16">
        <v>29.0</v>
      </c>
      <c r="B3027" s="17" t="s">
        <v>7004</v>
      </c>
      <c r="C3027" s="16">
        <v>6.0</v>
      </c>
      <c r="D3027" s="18" t="s">
        <v>4183</v>
      </c>
    </row>
    <row r="3028" ht="15.75" customHeight="1">
      <c r="A3028" s="16">
        <v>30.0</v>
      </c>
      <c r="B3028" s="17" t="s">
        <v>7005</v>
      </c>
      <c r="C3028" s="16">
        <v>9.0</v>
      </c>
      <c r="D3028" s="18" t="s">
        <v>4183</v>
      </c>
    </row>
    <row r="3029" ht="15.75" customHeight="1">
      <c r="A3029" s="16">
        <v>31.0</v>
      </c>
      <c r="B3029" s="17" t="s">
        <v>7006</v>
      </c>
      <c r="C3029" s="16">
        <v>7.0</v>
      </c>
      <c r="D3029" s="18" t="s">
        <v>4183</v>
      </c>
    </row>
    <row r="3030" ht="15.75" customHeight="1">
      <c r="A3030" s="16">
        <v>32.0</v>
      </c>
      <c r="B3030" s="17" t="s">
        <v>7007</v>
      </c>
      <c r="C3030" s="16">
        <v>23.0</v>
      </c>
      <c r="D3030" s="18" t="s">
        <v>4183</v>
      </c>
    </row>
    <row r="3031" ht="15.75" customHeight="1">
      <c r="A3031" s="16">
        <v>33.0</v>
      </c>
      <c r="B3031" s="17" t="s">
        <v>7008</v>
      </c>
      <c r="C3031" s="18" t="s">
        <v>4384</v>
      </c>
      <c r="D3031" s="18" t="s">
        <v>4183</v>
      </c>
    </row>
    <row r="3032" ht="15.75" customHeight="1">
      <c r="A3032" s="16">
        <v>34.0</v>
      </c>
      <c r="B3032" s="17" t="s">
        <v>7009</v>
      </c>
      <c r="C3032" s="16">
        <v>2.0</v>
      </c>
      <c r="D3032" s="18" t="s">
        <v>4183</v>
      </c>
    </row>
    <row r="3033" ht="15.75" customHeight="1">
      <c r="A3033" s="16">
        <v>35.0</v>
      </c>
      <c r="B3033" s="17" t="s">
        <v>7010</v>
      </c>
      <c r="C3033" s="16">
        <v>1.0</v>
      </c>
      <c r="D3033" s="18" t="s">
        <v>4183</v>
      </c>
    </row>
    <row r="3034" ht="15.75" customHeight="1">
      <c r="A3034" s="16">
        <v>36.0</v>
      </c>
      <c r="B3034" s="17" t="s">
        <v>7011</v>
      </c>
      <c r="C3034" s="16">
        <v>2.0</v>
      </c>
      <c r="D3034" s="18" t="s">
        <v>7012</v>
      </c>
    </row>
    <row r="3035" ht="15.75" customHeight="1">
      <c r="A3035" s="20"/>
      <c r="B3035" s="21" t="s">
        <v>4273</v>
      </c>
      <c r="C3035" s="23">
        <v>789.0</v>
      </c>
      <c r="D3035" s="21" t="s">
        <v>4171</v>
      </c>
    </row>
    <row r="3036" ht="15.75" customHeight="1">
      <c r="A3036" s="11"/>
      <c r="B3036" s="12"/>
      <c r="C3036" s="12"/>
      <c r="D3036" s="13"/>
    </row>
    <row r="3037" ht="15.75" customHeight="1">
      <c r="A3037" s="14" t="s">
        <v>4104</v>
      </c>
      <c r="B3037" s="15"/>
      <c r="C3037" s="15"/>
      <c r="D3037" s="15"/>
    </row>
    <row r="3038" ht="15.75" customHeight="1">
      <c r="A3038" s="16">
        <v>1.0</v>
      </c>
      <c r="B3038" s="17" t="s">
        <v>7013</v>
      </c>
      <c r="C3038" s="16">
        <v>1.0</v>
      </c>
      <c r="D3038" s="18" t="s">
        <v>4178</v>
      </c>
    </row>
    <row r="3039" ht="15.75" customHeight="1">
      <c r="A3039" s="16">
        <v>2.0</v>
      </c>
      <c r="B3039" s="17" t="s">
        <v>7014</v>
      </c>
      <c r="C3039" s="16">
        <v>6.0</v>
      </c>
      <c r="D3039" s="18" t="s">
        <v>7015</v>
      </c>
    </row>
    <row r="3040" ht="15.75" customHeight="1">
      <c r="A3040" s="16">
        <v>3.0</v>
      </c>
      <c r="B3040" s="17" t="s">
        <v>7016</v>
      </c>
      <c r="C3040" s="16">
        <v>2.0</v>
      </c>
      <c r="D3040" s="18" t="s">
        <v>4178</v>
      </c>
    </row>
    <row r="3041" ht="15.75" customHeight="1">
      <c r="A3041" s="16">
        <v>4.0</v>
      </c>
      <c r="B3041" s="17" t="s">
        <v>7017</v>
      </c>
      <c r="C3041" s="18" t="s">
        <v>4213</v>
      </c>
      <c r="D3041" s="18" t="s">
        <v>7018</v>
      </c>
    </row>
    <row r="3042" ht="15.75" customHeight="1">
      <c r="A3042" s="16">
        <v>5.0</v>
      </c>
      <c r="B3042" s="17" t="s">
        <v>7019</v>
      </c>
      <c r="C3042" s="16">
        <v>1.0</v>
      </c>
      <c r="D3042" s="18" t="s">
        <v>7018</v>
      </c>
    </row>
    <row r="3043" ht="15.75" customHeight="1">
      <c r="A3043" s="16">
        <v>6.0</v>
      </c>
      <c r="B3043" s="18" t="s">
        <v>7020</v>
      </c>
      <c r="C3043" s="16">
        <v>1.0</v>
      </c>
      <c r="D3043" s="18" t="s">
        <v>7018</v>
      </c>
    </row>
    <row r="3044" ht="15.75" customHeight="1">
      <c r="A3044" s="16">
        <v>7.0</v>
      </c>
      <c r="B3044" s="17" t="s">
        <v>7021</v>
      </c>
      <c r="C3044" s="16">
        <v>1.0</v>
      </c>
      <c r="D3044" s="18" t="s">
        <v>4183</v>
      </c>
    </row>
    <row r="3045" ht="15.75" customHeight="1">
      <c r="A3045" s="16">
        <v>8.0</v>
      </c>
      <c r="B3045" s="17" t="s">
        <v>7022</v>
      </c>
      <c r="C3045" s="16">
        <v>1.0</v>
      </c>
      <c r="D3045" s="18" t="s">
        <v>4183</v>
      </c>
    </row>
    <row r="3046" ht="15.75" customHeight="1">
      <c r="A3046" s="16">
        <v>9.0</v>
      </c>
      <c r="B3046" s="17" t="s">
        <v>7023</v>
      </c>
      <c r="C3046" s="16">
        <v>1.0</v>
      </c>
      <c r="D3046" s="18" t="s">
        <v>4183</v>
      </c>
    </row>
    <row r="3047" ht="15.75" customHeight="1">
      <c r="A3047" s="16">
        <v>10.0</v>
      </c>
      <c r="B3047" s="17" t="s">
        <v>7024</v>
      </c>
      <c r="C3047" s="16">
        <v>1.0</v>
      </c>
      <c r="D3047" s="18" t="s">
        <v>4183</v>
      </c>
    </row>
    <row r="3048" ht="15.75" customHeight="1">
      <c r="A3048" s="16">
        <v>11.0</v>
      </c>
      <c r="B3048" s="17" t="s">
        <v>7025</v>
      </c>
      <c r="C3048" s="16">
        <v>2.0</v>
      </c>
      <c r="D3048" s="18" t="s">
        <v>4183</v>
      </c>
    </row>
    <row r="3049" ht="15.75" customHeight="1">
      <c r="A3049" s="16">
        <v>12.0</v>
      </c>
      <c r="B3049" s="17" t="s">
        <v>7026</v>
      </c>
      <c r="C3049" s="16">
        <v>2.0</v>
      </c>
      <c r="D3049" s="18" t="s">
        <v>4183</v>
      </c>
    </row>
    <row r="3050" ht="15.75" customHeight="1">
      <c r="A3050" s="16">
        <v>13.0</v>
      </c>
      <c r="B3050" s="17" t="s">
        <v>7027</v>
      </c>
      <c r="C3050" s="16">
        <v>1.0</v>
      </c>
      <c r="D3050" s="18" t="s">
        <v>4183</v>
      </c>
    </row>
    <row r="3051" ht="15.75" customHeight="1">
      <c r="A3051" s="16">
        <v>14.0</v>
      </c>
      <c r="B3051" s="17" t="s">
        <v>7028</v>
      </c>
      <c r="C3051" s="16">
        <v>2.0</v>
      </c>
      <c r="D3051" s="18" t="s">
        <v>4250</v>
      </c>
    </row>
    <row r="3052" ht="15.75" customHeight="1">
      <c r="A3052" s="16">
        <v>15.0</v>
      </c>
      <c r="B3052" s="17" t="s">
        <v>7029</v>
      </c>
      <c r="C3052" s="16">
        <v>9.0</v>
      </c>
      <c r="D3052" s="18" t="s">
        <v>4183</v>
      </c>
    </row>
    <row r="3053" ht="15.75" customHeight="1">
      <c r="A3053" s="16">
        <v>16.0</v>
      </c>
      <c r="B3053" s="17" t="s">
        <v>7030</v>
      </c>
      <c r="C3053" s="16">
        <v>2.0</v>
      </c>
      <c r="D3053" s="18" t="s">
        <v>4183</v>
      </c>
    </row>
    <row r="3054" ht="15.75" customHeight="1">
      <c r="A3054" s="16">
        <v>17.0</v>
      </c>
      <c r="B3054" s="17" t="s">
        <v>7031</v>
      </c>
      <c r="C3054" s="16">
        <v>3.0</v>
      </c>
      <c r="D3054" s="18" t="s">
        <v>4183</v>
      </c>
    </row>
    <row r="3055" ht="15.75" customHeight="1">
      <c r="A3055" s="16">
        <v>18.0</v>
      </c>
      <c r="B3055" s="17" t="s">
        <v>7032</v>
      </c>
      <c r="C3055" s="16">
        <v>5.0</v>
      </c>
      <c r="D3055" s="18" t="s">
        <v>4183</v>
      </c>
    </row>
    <row r="3056" ht="15.75" customHeight="1">
      <c r="A3056" s="16">
        <v>19.0</v>
      </c>
      <c r="B3056" s="17" t="s">
        <v>7033</v>
      </c>
      <c r="C3056" s="16">
        <v>4.0</v>
      </c>
      <c r="D3056" s="18" t="s">
        <v>4183</v>
      </c>
    </row>
    <row r="3057" ht="15.75" customHeight="1">
      <c r="A3057" s="16">
        <v>20.0</v>
      </c>
      <c r="B3057" s="17" t="s">
        <v>7034</v>
      </c>
      <c r="C3057" s="16">
        <v>7.0</v>
      </c>
      <c r="D3057" s="18" t="s">
        <v>4183</v>
      </c>
    </row>
    <row r="3058" ht="15.75" customHeight="1">
      <c r="A3058" s="16">
        <v>21.0</v>
      </c>
      <c r="B3058" s="17" t="s">
        <v>7035</v>
      </c>
      <c r="C3058" s="16">
        <v>5.0</v>
      </c>
      <c r="D3058" s="18" t="s">
        <v>4183</v>
      </c>
    </row>
    <row r="3059" ht="15.75" customHeight="1">
      <c r="A3059" s="20"/>
      <c r="B3059" s="21" t="s">
        <v>4273</v>
      </c>
      <c r="C3059" s="23">
        <v>54.0</v>
      </c>
      <c r="D3059" s="21" t="s">
        <v>4171</v>
      </c>
    </row>
    <row r="3060" ht="15.75" customHeight="1">
      <c r="A3060" s="11"/>
      <c r="B3060" s="12"/>
      <c r="C3060" s="12"/>
      <c r="D3060" s="13"/>
    </row>
    <row r="3061" ht="15.75" customHeight="1">
      <c r="A3061" s="14" t="s">
        <v>4089</v>
      </c>
      <c r="B3061" s="15"/>
      <c r="C3061" s="15"/>
      <c r="D3061" s="15"/>
    </row>
    <row r="3062" ht="15.75" customHeight="1">
      <c r="A3062" s="16">
        <v>1.0</v>
      </c>
      <c r="B3062" s="17" t="s">
        <v>7036</v>
      </c>
      <c r="C3062" s="16">
        <v>4.0</v>
      </c>
      <c r="D3062" s="18" t="s">
        <v>4178</v>
      </c>
    </row>
    <row r="3063" ht="15.75" customHeight="1">
      <c r="A3063" s="16">
        <v>2.0</v>
      </c>
      <c r="B3063" s="17" t="s">
        <v>7037</v>
      </c>
      <c r="C3063" s="16">
        <v>5.0</v>
      </c>
      <c r="D3063" s="18" t="s">
        <v>4178</v>
      </c>
    </row>
    <row r="3064" ht="15.75" customHeight="1">
      <c r="A3064" s="16">
        <v>3.0</v>
      </c>
      <c r="B3064" s="17" t="s">
        <v>7038</v>
      </c>
      <c r="C3064" s="16">
        <v>5.0</v>
      </c>
      <c r="D3064" s="18" t="s">
        <v>4178</v>
      </c>
    </row>
    <row r="3065" ht="15.75" customHeight="1">
      <c r="A3065" s="16">
        <v>4.0</v>
      </c>
      <c r="B3065" s="17" t="s">
        <v>7039</v>
      </c>
      <c r="C3065" s="16">
        <v>11.0</v>
      </c>
      <c r="D3065" s="18" t="s">
        <v>4178</v>
      </c>
    </row>
    <row r="3066" ht="15.75" customHeight="1">
      <c r="A3066" s="16">
        <v>5.0</v>
      </c>
      <c r="B3066" s="17" t="s">
        <v>7040</v>
      </c>
      <c r="C3066" s="16">
        <v>5.0</v>
      </c>
      <c r="D3066" s="18" t="s">
        <v>4178</v>
      </c>
    </row>
    <row r="3067" ht="15.75" customHeight="1">
      <c r="A3067" s="16">
        <v>6.0</v>
      </c>
      <c r="B3067" s="17" t="s">
        <v>7041</v>
      </c>
      <c r="C3067" s="16">
        <v>3.0</v>
      </c>
      <c r="D3067" s="18" t="s">
        <v>4178</v>
      </c>
    </row>
    <row r="3068" ht="15.75" customHeight="1">
      <c r="A3068" s="16">
        <v>7.0</v>
      </c>
      <c r="B3068" s="17" t="s">
        <v>7042</v>
      </c>
      <c r="C3068" s="16">
        <v>2.0</v>
      </c>
      <c r="D3068" s="18" t="s">
        <v>4178</v>
      </c>
    </row>
    <row r="3069" ht="15.75" customHeight="1">
      <c r="A3069" s="16">
        <v>8.0</v>
      </c>
      <c r="B3069" s="17" t="s">
        <v>7043</v>
      </c>
      <c r="C3069" s="16">
        <v>7.0</v>
      </c>
      <c r="D3069" s="18" t="s">
        <v>4178</v>
      </c>
    </row>
    <row r="3070" ht="15.75" customHeight="1">
      <c r="A3070" s="16">
        <v>9.0</v>
      </c>
      <c r="B3070" s="17" t="s">
        <v>7044</v>
      </c>
      <c r="C3070" s="16">
        <v>6.0</v>
      </c>
      <c r="D3070" s="18" t="s">
        <v>4178</v>
      </c>
    </row>
    <row r="3071" ht="15.75" customHeight="1">
      <c r="A3071" s="16">
        <v>10.0</v>
      </c>
      <c r="B3071" s="17" t="s">
        <v>7045</v>
      </c>
      <c r="C3071" s="16">
        <v>3.0</v>
      </c>
      <c r="D3071" s="18" t="s">
        <v>4178</v>
      </c>
    </row>
    <row r="3072" ht="15.75" customHeight="1">
      <c r="A3072" s="16">
        <v>11.0</v>
      </c>
      <c r="B3072" s="17" t="s">
        <v>7046</v>
      </c>
      <c r="C3072" s="16">
        <v>10.0</v>
      </c>
      <c r="D3072" s="18" t="s">
        <v>4178</v>
      </c>
    </row>
    <row r="3073" ht="15.75" customHeight="1">
      <c r="A3073" s="16">
        <v>12.0</v>
      </c>
      <c r="B3073" s="17" t="s">
        <v>7047</v>
      </c>
      <c r="C3073" s="16">
        <v>5.0</v>
      </c>
      <c r="D3073" s="18" t="s">
        <v>4178</v>
      </c>
    </row>
    <row r="3074" ht="15.75" customHeight="1">
      <c r="A3074" s="16">
        <v>13.0</v>
      </c>
      <c r="B3074" s="17" t="s">
        <v>7048</v>
      </c>
      <c r="C3074" s="16">
        <v>5.0</v>
      </c>
      <c r="D3074" s="18" t="s">
        <v>4178</v>
      </c>
    </row>
    <row r="3075" ht="15.75" customHeight="1">
      <c r="A3075" s="16">
        <v>14.0</v>
      </c>
      <c r="B3075" s="17" t="s">
        <v>7049</v>
      </c>
      <c r="C3075" s="16">
        <v>9.0</v>
      </c>
      <c r="D3075" s="18" t="s">
        <v>4178</v>
      </c>
    </row>
    <row r="3076" ht="15.75" customHeight="1">
      <c r="A3076" s="16">
        <v>15.0</v>
      </c>
      <c r="B3076" s="17" t="s">
        <v>7050</v>
      </c>
      <c r="C3076" s="16">
        <v>5.0</v>
      </c>
      <c r="D3076" s="18" t="s">
        <v>4178</v>
      </c>
    </row>
    <row r="3077" ht="15.75" customHeight="1">
      <c r="A3077" s="16">
        <v>16.0</v>
      </c>
      <c r="B3077" s="17" t="s">
        <v>7051</v>
      </c>
      <c r="C3077" s="16">
        <v>4.0</v>
      </c>
      <c r="D3077" s="18" t="s">
        <v>4178</v>
      </c>
    </row>
    <row r="3078" ht="15.75" customHeight="1">
      <c r="A3078" s="16">
        <v>17.0</v>
      </c>
      <c r="B3078" s="17" t="s">
        <v>7052</v>
      </c>
      <c r="C3078" s="16">
        <v>14.0</v>
      </c>
      <c r="D3078" s="18" t="s">
        <v>4178</v>
      </c>
    </row>
    <row r="3079" ht="15.75" customHeight="1">
      <c r="A3079" s="16">
        <v>18.0</v>
      </c>
      <c r="B3079" s="17" t="s">
        <v>7053</v>
      </c>
      <c r="C3079" s="16">
        <v>5.0</v>
      </c>
      <c r="D3079" s="18" t="s">
        <v>4178</v>
      </c>
    </row>
    <row r="3080" ht="15.75" customHeight="1">
      <c r="A3080" s="16">
        <v>19.0</v>
      </c>
      <c r="B3080" s="17" t="s">
        <v>7054</v>
      </c>
      <c r="C3080" s="16">
        <v>5.0</v>
      </c>
      <c r="D3080" s="18" t="s">
        <v>4178</v>
      </c>
    </row>
    <row r="3081" ht="15.75" customHeight="1">
      <c r="A3081" s="16">
        <v>20.0</v>
      </c>
      <c r="B3081" s="17" t="s">
        <v>7055</v>
      </c>
      <c r="C3081" s="16">
        <v>4.0</v>
      </c>
      <c r="D3081" s="18" t="s">
        <v>4178</v>
      </c>
    </row>
    <row r="3082" ht="15.75" customHeight="1">
      <c r="A3082" s="16">
        <v>21.0</v>
      </c>
      <c r="B3082" s="17" t="s">
        <v>7056</v>
      </c>
      <c r="C3082" s="16">
        <v>5.0</v>
      </c>
      <c r="D3082" s="18" t="s">
        <v>4178</v>
      </c>
    </row>
    <row r="3083" ht="15.75" customHeight="1">
      <c r="A3083" s="16">
        <v>22.0</v>
      </c>
      <c r="B3083" s="17" t="s">
        <v>7057</v>
      </c>
      <c r="C3083" s="16">
        <v>4.0</v>
      </c>
      <c r="D3083" s="18" t="s">
        <v>4178</v>
      </c>
    </row>
    <row r="3084" ht="15.75" customHeight="1">
      <c r="A3084" s="16">
        <v>23.0</v>
      </c>
      <c r="B3084" s="17" t="s">
        <v>7058</v>
      </c>
      <c r="C3084" s="16">
        <v>17.0</v>
      </c>
      <c r="D3084" s="18" t="s">
        <v>4178</v>
      </c>
    </row>
    <row r="3085" ht="15.75" customHeight="1">
      <c r="A3085" s="16">
        <v>24.0</v>
      </c>
      <c r="B3085" s="17" t="s">
        <v>7059</v>
      </c>
      <c r="C3085" s="16">
        <v>12.0</v>
      </c>
      <c r="D3085" s="18" t="s">
        <v>4178</v>
      </c>
    </row>
    <row r="3086" ht="15.75" customHeight="1">
      <c r="A3086" s="16">
        <v>25.0</v>
      </c>
      <c r="B3086" s="17" t="s">
        <v>7060</v>
      </c>
      <c r="C3086" s="16">
        <v>15.0</v>
      </c>
      <c r="D3086" s="18" t="s">
        <v>4178</v>
      </c>
    </row>
    <row r="3087" ht="15.75" customHeight="1">
      <c r="A3087" s="16">
        <v>26.0</v>
      </c>
      <c r="B3087" s="17" t="s">
        <v>7061</v>
      </c>
      <c r="C3087" s="16">
        <v>14.0</v>
      </c>
      <c r="D3087" s="18" t="s">
        <v>4178</v>
      </c>
    </row>
    <row r="3088" ht="15.75" customHeight="1">
      <c r="A3088" s="16">
        <v>27.0</v>
      </c>
      <c r="B3088" s="17" t="s">
        <v>7062</v>
      </c>
      <c r="C3088" s="16">
        <v>2.0</v>
      </c>
      <c r="D3088" s="18" t="s">
        <v>4178</v>
      </c>
    </row>
    <row r="3089" ht="15.75" customHeight="1">
      <c r="A3089" s="16">
        <v>28.0</v>
      </c>
      <c r="B3089" s="17" t="s">
        <v>7063</v>
      </c>
      <c r="C3089" s="16">
        <v>4.0</v>
      </c>
      <c r="D3089" s="18" t="s">
        <v>4178</v>
      </c>
    </row>
    <row r="3090" ht="15.75" customHeight="1">
      <c r="A3090" s="16">
        <v>29.0</v>
      </c>
      <c r="B3090" s="17" t="s">
        <v>7064</v>
      </c>
      <c r="C3090" s="16">
        <v>7.0</v>
      </c>
      <c r="D3090" s="18" t="s">
        <v>4178</v>
      </c>
    </row>
    <row r="3091" ht="15.75" customHeight="1">
      <c r="A3091" s="16">
        <v>30.0</v>
      </c>
      <c r="B3091" s="17" t="s">
        <v>7065</v>
      </c>
      <c r="C3091" s="16">
        <v>3.0</v>
      </c>
      <c r="D3091" s="18" t="s">
        <v>4178</v>
      </c>
    </row>
    <row r="3092" ht="15.75" customHeight="1">
      <c r="A3092" s="16">
        <v>31.0</v>
      </c>
      <c r="B3092" s="17" t="s">
        <v>7066</v>
      </c>
      <c r="C3092" s="16">
        <v>5.0</v>
      </c>
      <c r="D3092" s="18" t="s">
        <v>4178</v>
      </c>
    </row>
    <row r="3093" ht="15.75" customHeight="1">
      <c r="A3093" s="20"/>
      <c r="B3093" s="21" t="s">
        <v>4273</v>
      </c>
      <c r="C3093" s="23">
        <v>205.0</v>
      </c>
      <c r="D3093" s="21" t="s">
        <v>4171</v>
      </c>
    </row>
    <row r="3094" ht="15.75" customHeight="1">
      <c r="A3094" s="11"/>
      <c r="B3094" s="12"/>
      <c r="C3094" s="12"/>
      <c r="D3094" s="13"/>
    </row>
    <row r="3095" ht="15.75" customHeight="1">
      <c r="A3095" s="14" t="s">
        <v>4162</v>
      </c>
      <c r="B3095" s="15"/>
      <c r="C3095" s="15"/>
      <c r="D3095" s="15"/>
    </row>
    <row r="3096" ht="15.75" customHeight="1">
      <c r="A3096" s="16">
        <v>1.0</v>
      </c>
      <c r="B3096" s="17" t="s">
        <v>7067</v>
      </c>
      <c r="C3096" s="16">
        <v>3.0</v>
      </c>
      <c r="D3096" s="18" t="s">
        <v>4183</v>
      </c>
    </row>
    <row r="3097" ht="15.75" customHeight="1">
      <c r="A3097" s="16">
        <v>2.0</v>
      </c>
      <c r="B3097" s="17" t="s">
        <v>7068</v>
      </c>
      <c r="C3097" s="16">
        <v>3.0</v>
      </c>
      <c r="D3097" s="18" t="s">
        <v>4183</v>
      </c>
    </row>
    <row r="3098" ht="15.75" customHeight="1">
      <c r="A3098" s="20"/>
      <c r="B3098" s="21" t="s">
        <v>4273</v>
      </c>
      <c r="C3098" s="23">
        <v>6.0</v>
      </c>
      <c r="D3098" s="21" t="s">
        <v>4171</v>
      </c>
    </row>
    <row r="3099" ht="15.75" customHeight="1">
      <c r="A3099" s="11"/>
      <c r="B3099" s="12"/>
      <c r="C3099" s="12"/>
      <c r="D3099" s="13"/>
    </row>
    <row r="3100" ht="15.75" customHeight="1">
      <c r="A3100" s="14" t="s">
        <v>4068</v>
      </c>
      <c r="B3100" s="15"/>
      <c r="C3100" s="15"/>
      <c r="D3100" s="15"/>
    </row>
    <row r="3101" ht="15.75" customHeight="1">
      <c r="A3101" s="16">
        <v>1.0</v>
      </c>
      <c r="B3101" s="17" t="s">
        <v>7069</v>
      </c>
      <c r="C3101" s="16">
        <v>6.0</v>
      </c>
      <c r="D3101" s="18" t="s">
        <v>4183</v>
      </c>
    </row>
    <row r="3102" ht="15.75" customHeight="1">
      <c r="A3102" s="16">
        <v>2.0</v>
      </c>
      <c r="B3102" s="17" t="s">
        <v>7070</v>
      </c>
      <c r="C3102" s="16">
        <v>1.0</v>
      </c>
      <c r="D3102" s="18" t="s">
        <v>4178</v>
      </c>
    </row>
    <row r="3103" ht="15.75" customHeight="1">
      <c r="A3103" s="16">
        <v>3.0</v>
      </c>
      <c r="B3103" s="17" t="s">
        <v>7071</v>
      </c>
      <c r="C3103" s="16">
        <v>2.0</v>
      </c>
      <c r="D3103" s="18" t="s">
        <v>4178</v>
      </c>
    </row>
    <row r="3104" ht="15.75" customHeight="1">
      <c r="A3104" s="16">
        <v>4.0</v>
      </c>
      <c r="B3104" s="17" t="s">
        <v>7072</v>
      </c>
      <c r="C3104" s="16">
        <v>7.0</v>
      </c>
      <c r="D3104" s="18" t="s">
        <v>4183</v>
      </c>
    </row>
    <row r="3105" ht="15.75" customHeight="1">
      <c r="A3105" s="16">
        <v>5.0</v>
      </c>
      <c r="B3105" s="17" t="s">
        <v>7073</v>
      </c>
      <c r="C3105" s="16">
        <v>4.0</v>
      </c>
      <c r="D3105" s="18" t="s">
        <v>4183</v>
      </c>
    </row>
    <row r="3106" ht="15.75" customHeight="1">
      <c r="A3106" s="16">
        <v>6.0</v>
      </c>
      <c r="B3106" s="17" t="s">
        <v>7074</v>
      </c>
      <c r="C3106" s="16">
        <v>6.0</v>
      </c>
      <c r="D3106" s="18" t="s">
        <v>4183</v>
      </c>
    </row>
    <row r="3107" ht="15.75" customHeight="1">
      <c r="A3107" s="16">
        <v>7.0</v>
      </c>
      <c r="B3107" s="17" t="s">
        <v>7075</v>
      </c>
      <c r="C3107" s="16">
        <v>7.0</v>
      </c>
      <c r="D3107" s="18" t="s">
        <v>4183</v>
      </c>
    </row>
    <row r="3108" ht="15.75" customHeight="1">
      <c r="A3108" s="16">
        <v>8.0</v>
      </c>
      <c r="B3108" s="17" t="s">
        <v>7076</v>
      </c>
      <c r="C3108" s="16">
        <v>5.0</v>
      </c>
      <c r="D3108" s="18" t="s">
        <v>4183</v>
      </c>
    </row>
    <row r="3109" ht="15.75" customHeight="1">
      <c r="A3109" s="16">
        <v>9.0</v>
      </c>
      <c r="B3109" s="17" t="s">
        <v>7077</v>
      </c>
      <c r="C3109" s="16">
        <v>7.0</v>
      </c>
      <c r="D3109" s="18" t="s">
        <v>4183</v>
      </c>
    </row>
    <row r="3110" ht="15.75" customHeight="1">
      <c r="A3110" s="16">
        <v>10.0</v>
      </c>
      <c r="B3110" s="17" t="s">
        <v>7078</v>
      </c>
      <c r="C3110" s="16">
        <v>7.0</v>
      </c>
      <c r="D3110" s="18" t="s">
        <v>4183</v>
      </c>
    </row>
    <row r="3111" ht="15.75" customHeight="1">
      <c r="A3111" s="16">
        <v>11.0</v>
      </c>
      <c r="B3111" s="17" t="s">
        <v>7079</v>
      </c>
      <c r="C3111" s="16">
        <v>2.0</v>
      </c>
      <c r="D3111" s="18" t="s">
        <v>4183</v>
      </c>
    </row>
    <row r="3112" ht="15.75" customHeight="1">
      <c r="A3112" s="16">
        <v>12.0</v>
      </c>
      <c r="B3112" s="17" t="s">
        <v>7080</v>
      </c>
      <c r="C3112" s="16">
        <v>5.0</v>
      </c>
      <c r="D3112" s="18" t="s">
        <v>4183</v>
      </c>
    </row>
    <row r="3113" ht="15.75" customHeight="1">
      <c r="A3113" s="16">
        <v>13.0</v>
      </c>
      <c r="B3113" s="17" t="s">
        <v>7081</v>
      </c>
      <c r="C3113" s="16">
        <v>1.0</v>
      </c>
      <c r="D3113" s="18" t="s">
        <v>4183</v>
      </c>
    </row>
    <row r="3114" ht="15.75" customHeight="1">
      <c r="A3114" s="16">
        <v>14.0</v>
      </c>
      <c r="B3114" s="17" t="s">
        <v>7082</v>
      </c>
      <c r="C3114" s="16">
        <v>15.0</v>
      </c>
      <c r="D3114" s="18" t="s">
        <v>4473</v>
      </c>
    </row>
    <row r="3115" ht="15.75" customHeight="1">
      <c r="A3115" s="16">
        <v>15.0</v>
      </c>
      <c r="B3115" s="17" t="s">
        <v>7083</v>
      </c>
      <c r="C3115" s="19">
        <v>9.02</v>
      </c>
      <c r="D3115" s="18" t="s">
        <v>4183</v>
      </c>
    </row>
    <row r="3116" ht="15.75" customHeight="1">
      <c r="A3116" s="16">
        <v>16.0</v>
      </c>
      <c r="B3116" s="17" t="s">
        <v>7084</v>
      </c>
      <c r="C3116" s="16">
        <v>5.0</v>
      </c>
      <c r="D3116" s="18" t="s">
        <v>4183</v>
      </c>
    </row>
    <row r="3117" ht="15.75" customHeight="1">
      <c r="A3117" s="16">
        <v>17.0</v>
      </c>
      <c r="B3117" s="17" t="s">
        <v>7085</v>
      </c>
      <c r="C3117" s="16">
        <v>7.0</v>
      </c>
      <c r="D3117" s="18" t="s">
        <v>4183</v>
      </c>
    </row>
    <row r="3118" ht="15.75" customHeight="1">
      <c r="A3118" s="16">
        <v>18.0</v>
      </c>
      <c r="B3118" s="17" t="s">
        <v>7086</v>
      </c>
      <c r="C3118" s="16">
        <v>8.0</v>
      </c>
      <c r="D3118" s="18" t="s">
        <v>4183</v>
      </c>
    </row>
    <row r="3119" ht="15.75" customHeight="1">
      <c r="A3119" s="16">
        <v>19.0</v>
      </c>
      <c r="B3119" s="17" t="s">
        <v>7087</v>
      </c>
      <c r="C3119" s="16">
        <v>11.0</v>
      </c>
      <c r="D3119" s="18" t="s">
        <v>4183</v>
      </c>
    </row>
    <row r="3120" ht="15.75" customHeight="1">
      <c r="A3120" s="16">
        <v>20.0</v>
      </c>
      <c r="B3120" s="17" t="s">
        <v>7088</v>
      </c>
      <c r="C3120" s="16">
        <v>4.0</v>
      </c>
      <c r="D3120" s="18" t="s">
        <v>4183</v>
      </c>
    </row>
    <row r="3121" ht="15.75" customHeight="1">
      <c r="A3121" s="16">
        <v>21.0</v>
      </c>
      <c r="B3121" s="17" t="s">
        <v>7089</v>
      </c>
      <c r="C3121" s="16">
        <v>8.0</v>
      </c>
      <c r="D3121" s="18" t="s">
        <v>4183</v>
      </c>
    </row>
    <row r="3122" ht="15.75" customHeight="1">
      <c r="A3122" s="16">
        <v>22.0</v>
      </c>
      <c r="B3122" s="17" t="s">
        <v>7090</v>
      </c>
      <c r="C3122" s="16">
        <v>7.0</v>
      </c>
      <c r="D3122" s="18" t="s">
        <v>4183</v>
      </c>
    </row>
    <row r="3123" ht="15.75" customHeight="1">
      <c r="A3123" s="16">
        <v>23.0</v>
      </c>
      <c r="B3123" s="17" t="s">
        <v>7091</v>
      </c>
      <c r="C3123" s="16">
        <v>4.0</v>
      </c>
      <c r="D3123" s="18" t="s">
        <v>4178</v>
      </c>
    </row>
    <row r="3124" ht="15.75" customHeight="1">
      <c r="A3124" s="16">
        <v>24.0</v>
      </c>
      <c r="B3124" s="17" t="s">
        <v>7092</v>
      </c>
      <c r="C3124" s="16">
        <v>1.0</v>
      </c>
      <c r="D3124" s="18" t="s">
        <v>4178</v>
      </c>
    </row>
    <row r="3125" ht="15.75" customHeight="1">
      <c r="A3125" s="16">
        <v>25.0</v>
      </c>
      <c r="B3125" s="17" t="s">
        <v>7093</v>
      </c>
      <c r="C3125" s="16">
        <v>6.0</v>
      </c>
      <c r="D3125" s="18" t="s">
        <v>4183</v>
      </c>
    </row>
    <row r="3126" ht="15.75" customHeight="1">
      <c r="A3126" s="16">
        <v>26.0</v>
      </c>
      <c r="B3126" s="17" t="s">
        <v>7094</v>
      </c>
      <c r="C3126" s="16">
        <v>2.0</v>
      </c>
      <c r="D3126" s="18" t="s">
        <v>4183</v>
      </c>
    </row>
    <row r="3127" ht="15.75" customHeight="1">
      <c r="A3127" s="16">
        <v>27.0</v>
      </c>
      <c r="B3127" s="17" t="s">
        <v>7095</v>
      </c>
      <c r="C3127" s="16">
        <v>3.0</v>
      </c>
      <c r="D3127" s="18" t="s">
        <v>4178</v>
      </c>
    </row>
    <row r="3128" ht="15.75" customHeight="1">
      <c r="A3128" s="16">
        <v>28.0</v>
      </c>
      <c r="B3128" s="17" t="s">
        <v>7096</v>
      </c>
      <c r="C3128" s="16">
        <v>1.0</v>
      </c>
      <c r="D3128" s="18" t="s">
        <v>4183</v>
      </c>
    </row>
    <row r="3129" ht="15.75" customHeight="1">
      <c r="A3129" s="16">
        <v>29.0</v>
      </c>
      <c r="B3129" s="17" t="s">
        <v>7097</v>
      </c>
      <c r="C3129" s="16">
        <v>1.0</v>
      </c>
      <c r="D3129" s="18" t="s">
        <v>4183</v>
      </c>
    </row>
    <row r="3130" ht="15.75" customHeight="1">
      <c r="A3130" s="16">
        <v>30.0</v>
      </c>
      <c r="B3130" s="17" t="s">
        <v>7098</v>
      </c>
      <c r="C3130" s="16">
        <v>7.0</v>
      </c>
      <c r="D3130" s="18" t="s">
        <v>4183</v>
      </c>
    </row>
    <row r="3131" ht="15.75" customHeight="1">
      <c r="A3131" s="16">
        <v>31.0</v>
      </c>
      <c r="B3131" s="17" t="s">
        <v>7099</v>
      </c>
      <c r="C3131" s="16">
        <v>1.0</v>
      </c>
      <c r="D3131" s="18" t="s">
        <v>4183</v>
      </c>
    </row>
    <row r="3132" ht="15.75" customHeight="1">
      <c r="A3132" s="16">
        <v>32.0</v>
      </c>
      <c r="B3132" s="17" t="s">
        <v>7100</v>
      </c>
      <c r="C3132" s="16">
        <v>2.0</v>
      </c>
      <c r="D3132" s="18" t="s">
        <v>4178</v>
      </c>
    </row>
    <row r="3133" ht="15.75" customHeight="1">
      <c r="A3133" s="16">
        <v>33.0</v>
      </c>
      <c r="B3133" s="17" t="s">
        <v>7101</v>
      </c>
      <c r="C3133" s="16">
        <v>5.0</v>
      </c>
      <c r="D3133" s="18" t="s">
        <v>4178</v>
      </c>
    </row>
    <row r="3134" ht="15.75" customHeight="1">
      <c r="A3134" s="16">
        <v>34.0</v>
      </c>
      <c r="B3134" s="17" t="s">
        <v>7102</v>
      </c>
      <c r="C3134" s="16">
        <v>1.0</v>
      </c>
      <c r="D3134" s="18" t="s">
        <v>4215</v>
      </c>
    </row>
    <row r="3135" ht="15.75" customHeight="1">
      <c r="A3135" s="16">
        <v>35.0</v>
      </c>
      <c r="B3135" s="17" t="s">
        <v>7103</v>
      </c>
      <c r="C3135" s="16">
        <v>3.0</v>
      </c>
      <c r="D3135" s="18" t="s">
        <v>4183</v>
      </c>
    </row>
    <row r="3136" ht="15.75" customHeight="1">
      <c r="A3136" s="16">
        <v>36.0</v>
      </c>
      <c r="B3136" s="17" t="s">
        <v>7104</v>
      </c>
      <c r="C3136" s="16">
        <v>1.0</v>
      </c>
      <c r="D3136" s="18" t="s">
        <v>4183</v>
      </c>
    </row>
    <row r="3137" ht="15.75" customHeight="1">
      <c r="A3137" s="16">
        <v>37.0</v>
      </c>
      <c r="B3137" s="17" t="s">
        <v>7105</v>
      </c>
      <c r="C3137" s="16">
        <v>1.0</v>
      </c>
      <c r="D3137" s="18" t="s">
        <v>4183</v>
      </c>
    </row>
    <row r="3138" ht="15.75" customHeight="1">
      <c r="A3138" s="16">
        <v>38.0</v>
      </c>
      <c r="B3138" s="17" t="s">
        <v>7106</v>
      </c>
      <c r="C3138" s="16">
        <v>62.0</v>
      </c>
      <c r="D3138" s="18" t="s">
        <v>4183</v>
      </c>
    </row>
    <row r="3139" ht="15.75" customHeight="1">
      <c r="A3139" s="16">
        <v>39.0</v>
      </c>
      <c r="B3139" s="17" t="s">
        <v>7107</v>
      </c>
      <c r="C3139" s="16">
        <v>41.0</v>
      </c>
      <c r="D3139" s="18" t="s">
        <v>4183</v>
      </c>
    </row>
    <row r="3140" ht="15.75" customHeight="1">
      <c r="A3140" s="16">
        <v>40.0</v>
      </c>
      <c r="B3140" s="17" t="s">
        <v>7108</v>
      </c>
      <c r="C3140" s="16">
        <v>4.0</v>
      </c>
      <c r="D3140" s="18" t="s">
        <v>4183</v>
      </c>
    </row>
    <row r="3141" ht="15.75" customHeight="1">
      <c r="A3141" s="16">
        <v>41.0</v>
      </c>
      <c r="B3141" s="17" t="s">
        <v>7109</v>
      </c>
      <c r="C3141" s="16">
        <v>4.0</v>
      </c>
      <c r="D3141" s="18" t="s">
        <v>4183</v>
      </c>
    </row>
    <row r="3142" ht="15.75" customHeight="1">
      <c r="A3142" s="16">
        <v>42.0</v>
      </c>
      <c r="B3142" s="17" t="s">
        <v>7110</v>
      </c>
      <c r="C3142" s="16">
        <v>5.0</v>
      </c>
      <c r="D3142" s="18" t="s">
        <v>4178</v>
      </c>
    </row>
    <row r="3143" ht="15.75" customHeight="1">
      <c r="A3143" s="16">
        <v>43.0</v>
      </c>
      <c r="B3143" s="17" t="s">
        <v>7111</v>
      </c>
      <c r="C3143" s="16">
        <v>1.0</v>
      </c>
      <c r="D3143" s="18" t="s">
        <v>4178</v>
      </c>
    </row>
    <row r="3144" ht="15.75" customHeight="1">
      <c r="A3144" s="16">
        <v>44.0</v>
      </c>
      <c r="B3144" s="17" t="s">
        <v>7112</v>
      </c>
      <c r="C3144" s="16">
        <v>1.0</v>
      </c>
      <c r="D3144" s="18" t="s">
        <v>4178</v>
      </c>
    </row>
    <row r="3145" ht="15.75" customHeight="1">
      <c r="A3145" s="16">
        <v>45.0</v>
      </c>
      <c r="B3145" s="17" t="s">
        <v>7113</v>
      </c>
      <c r="C3145" s="16">
        <v>1.0</v>
      </c>
      <c r="D3145" s="18" t="s">
        <v>4178</v>
      </c>
    </row>
    <row r="3146" ht="15.75" customHeight="1">
      <c r="A3146" s="16">
        <v>46.0</v>
      </c>
      <c r="B3146" s="17" t="s">
        <v>7114</v>
      </c>
      <c r="C3146" s="16">
        <v>8.0</v>
      </c>
      <c r="D3146" s="18" t="s">
        <v>4183</v>
      </c>
    </row>
    <row r="3147" ht="15.75" customHeight="1">
      <c r="A3147" s="16">
        <v>47.0</v>
      </c>
      <c r="B3147" s="17" t="s">
        <v>7115</v>
      </c>
      <c r="C3147" s="16">
        <v>7.0</v>
      </c>
      <c r="D3147" s="18" t="s">
        <v>4178</v>
      </c>
    </row>
    <row r="3148" ht="15.75" customHeight="1">
      <c r="A3148" s="16">
        <v>48.0</v>
      </c>
      <c r="B3148" s="17" t="s">
        <v>7116</v>
      </c>
      <c r="C3148" s="16">
        <v>7.0</v>
      </c>
      <c r="D3148" s="18" t="s">
        <v>4178</v>
      </c>
    </row>
    <row r="3149" ht="15.75" customHeight="1">
      <c r="A3149" s="16">
        <v>49.0</v>
      </c>
      <c r="B3149" s="17" t="s">
        <v>7117</v>
      </c>
      <c r="C3149" s="16">
        <v>1.0</v>
      </c>
      <c r="D3149" s="18" t="s">
        <v>4215</v>
      </c>
    </row>
    <row r="3150" ht="15.75" customHeight="1">
      <c r="A3150" s="16">
        <v>50.0</v>
      </c>
      <c r="B3150" s="17" t="s">
        <v>7118</v>
      </c>
      <c r="C3150" s="16">
        <v>2.0</v>
      </c>
      <c r="D3150" s="18" t="s">
        <v>4183</v>
      </c>
    </row>
    <row r="3151" ht="15.75" customHeight="1">
      <c r="A3151" s="16">
        <v>51.0</v>
      </c>
      <c r="B3151" s="17" t="s">
        <v>7119</v>
      </c>
      <c r="C3151" s="16">
        <v>20.0</v>
      </c>
      <c r="D3151" s="18" t="s">
        <v>4183</v>
      </c>
    </row>
    <row r="3152" ht="15.75" customHeight="1">
      <c r="A3152" s="16">
        <v>52.0</v>
      </c>
      <c r="B3152" s="17" t="s">
        <v>7120</v>
      </c>
      <c r="C3152" s="16">
        <v>25.0</v>
      </c>
      <c r="D3152" s="18" t="s">
        <v>4183</v>
      </c>
    </row>
    <row r="3153" ht="15.75" customHeight="1">
      <c r="A3153" s="16">
        <v>53.0</v>
      </c>
      <c r="B3153" s="17" t="s">
        <v>7121</v>
      </c>
      <c r="C3153" s="16">
        <v>3.0</v>
      </c>
      <c r="D3153" s="18" t="s">
        <v>4183</v>
      </c>
    </row>
    <row r="3154" ht="15.75" customHeight="1">
      <c r="A3154" s="16">
        <v>54.0</v>
      </c>
      <c r="B3154" s="17" t="s">
        <v>7122</v>
      </c>
      <c r="C3154" s="16">
        <v>12.0</v>
      </c>
      <c r="D3154" s="18" t="s">
        <v>4183</v>
      </c>
    </row>
    <row r="3155" ht="15.75" customHeight="1">
      <c r="A3155" s="16">
        <v>55.0</v>
      </c>
      <c r="B3155" s="17" t="s">
        <v>7123</v>
      </c>
      <c r="C3155" s="16">
        <v>6.0</v>
      </c>
      <c r="D3155" s="18" t="s">
        <v>4183</v>
      </c>
    </row>
    <row r="3156" ht="15.75" customHeight="1">
      <c r="A3156" s="16">
        <v>56.0</v>
      </c>
      <c r="B3156" s="17" t="s">
        <v>7124</v>
      </c>
      <c r="C3156" s="16">
        <v>3.0</v>
      </c>
      <c r="D3156" s="18" t="s">
        <v>4178</v>
      </c>
    </row>
    <row r="3157" ht="15.75" customHeight="1">
      <c r="A3157" s="16">
        <v>57.0</v>
      </c>
      <c r="B3157" s="17" t="s">
        <v>7125</v>
      </c>
      <c r="C3157" s="16">
        <v>17.0</v>
      </c>
      <c r="D3157" s="18" t="s">
        <v>4183</v>
      </c>
    </row>
    <row r="3158" ht="15.75" customHeight="1">
      <c r="A3158" s="16">
        <v>58.0</v>
      </c>
      <c r="B3158" s="17" t="s">
        <v>7126</v>
      </c>
      <c r="C3158" s="16">
        <v>4.0</v>
      </c>
      <c r="D3158" s="18" t="s">
        <v>4183</v>
      </c>
    </row>
    <row r="3159" ht="15.75" customHeight="1">
      <c r="A3159" s="16">
        <v>59.0</v>
      </c>
      <c r="B3159" s="17" t="s">
        <v>7127</v>
      </c>
      <c r="C3159" s="16">
        <v>6.0</v>
      </c>
      <c r="D3159" s="18" t="s">
        <v>4183</v>
      </c>
    </row>
    <row r="3160" ht="15.75" customHeight="1">
      <c r="A3160" s="16">
        <v>60.0</v>
      </c>
      <c r="B3160" s="17" t="s">
        <v>7128</v>
      </c>
      <c r="C3160" s="16">
        <v>4.0</v>
      </c>
      <c r="D3160" s="18" t="s">
        <v>4183</v>
      </c>
    </row>
    <row r="3161" ht="15.75" customHeight="1">
      <c r="A3161" s="16">
        <v>61.0</v>
      </c>
      <c r="B3161" s="17" t="s">
        <v>7129</v>
      </c>
      <c r="C3161" s="16">
        <v>2.0</v>
      </c>
      <c r="D3161" s="18" t="s">
        <v>4215</v>
      </c>
    </row>
    <row r="3162" ht="15.75" customHeight="1">
      <c r="A3162" s="16">
        <v>62.0</v>
      </c>
      <c r="B3162" s="17" t="s">
        <v>7130</v>
      </c>
      <c r="C3162" s="16">
        <v>1.0</v>
      </c>
      <c r="D3162" s="18" t="s">
        <v>4215</v>
      </c>
    </row>
    <row r="3163" ht="15.75" customHeight="1">
      <c r="A3163" s="16">
        <v>63.0</v>
      </c>
      <c r="B3163" s="17" t="s">
        <v>7131</v>
      </c>
      <c r="C3163" s="16">
        <v>3.0</v>
      </c>
      <c r="D3163" s="18" t="s">
        <v>4183</v>
      </c>
    </row>
    <row r="3164" ht="15.75" customHeight="1">
      <c r="A3164" s="16">
        <v>64.0</v>
      </c>
      <c r="B3164" s="17" t="s">
        <v>7132</v>
      </c>
      <c r="C3164" s="16">
        <v>4.0</v>
      </c>
      <c r="D3164" s="18" t="s">
        <v>4183</v>
      </c>
    </row>
    <row r="3165" ht="15.75" customHeight="1">
      <c r="A3165" s="16">
        <v>65.0</v>
      </c>
      <c r="B3165" s="17" t="s">
        <v>7133</v>
      </c>
      <c r="C3165" s="16">
        <v>2.0</v>
      </c>
      <c r="D3165" s="18" t="s">
        <v>4183</v>
      </c>
    </row>
    <row r="3166" ht="15.75" customHeight="1">
      <c r="A3166" s="16">
        <v>66.0</v>
      </c>
      <c r="B3166" s="17" t="s">
        <v>7134</v>
      </c>
      <c r="C3166" s="16">
        <v>12.0</v>
      </c>
      <c r="D3166" s="18" t="s">
        <v>4183</v>
      </c>
    </row>
    <row r="3167" ht="15.75" customHeight="1">
      <c r="A3167" s="16">
        <v>67.0</v>
      </c>
      <c r="B3167" s="17" t="s">
        <v>7135</v>
      </c>
      <c r="C3167" s="16">
        <v>12.0</v>
      </c>
      <c r="D3167" s="18" t="s">
        <v>4183</v>
      </c>
    </row>
    <row r="3168" ht="15.75" customHeight="1">
      <c r="A3168" s="16">
        <v>68.0</v>
      </c>
      <c r="B3168" s="17" t="s">
        <v>7136</v>
      </c>
      <c r="C3168" s="16">
        <v>2.0</v>
      </c>
      <c r="D3168" s="18" t="s">
        <v>4183</v>
      </c>
    </row>
    <row r="3169" ht="15.75" customHeight="1">
      <c r="A3169" s="16">
        <v>69.0</v>
      </c>
      <c r="B3169" s="17" t="s">
        <v>7137</v>
      </c>
      <c r="C3169" s="16">
        <v>3.0</v>
      </c>
      <c r="D3169" s="18" t="s">
        <v>4183</v>
      </c>
    </row>
    <row r="3170" ht="15.75" customHeight="1">
      <c r="A3170" s="16">
        <v>70.0</v>
      </c>
      <c r="B3170" s="17" t="s">
        <v>7138</v>
      </c>
      <c r="C3170" s="16">
        <v>5.0</v>
      </c>
      <c r="D3170" s="18" t="s">
        <v>4183</v>
      </c>
    </row>
    <row r="3171" ht="15.75" customHeight="1">
      <c r="A3171" s="16">
        <v>71.0</v>
      </c>
      <c r="B3171" s="17" t="s">
        <v>7139</v>
      </c>
      <c r="C3171" s="16">
        <v>1.0</v>
      </c>
      <c r="D3171" s="18" t="s">
        <v>4178</v>
      </c>
    </row>
    <row r="3172" ht="15.75" customHeight="1">
      <c r="A3172" s="16">
        <v>72.0</v>
      </c>
      <c r="B3172" s="17" t="s">
        <v>7140</v>
      </c>
      <c r="C3172" s="16">
        <v>5.0</v>
      </c>
      <c r="D3172" s="18" t="s">
        <v>4178</v>
      </c>
    </row>
    <row r="3173" ht="15.75" customHeight="1">
      <c r="A3173" s="16">
        <v>73.0</v>
      </c>
      <c r="B3173" s="17" t="s">
        <v>7141</v>
      </c>
      <c r="C3173" s="16">
        <v>4.0</v>
      </c>
      <c r="D3173" s="18" t="s">
        <v>4183</v>
      </c>
    </row>
    <row r="3174" ht="15.75" customHeight="1">
      <c r="A3174" s="16">
        <v>74.0</v>
      </c>
      <c r="B3174" s="17" t="s">
        <v>7142</v>
      </c>
      <c r="C3174" s="16">
        <v>20.0</v>
      </c>
      <c r="D3174" s="18" t="s">
        <v>4183</v>
      </c>
    </row>
    <row r="3175" ht="15.75" customHeight="1">
      <c r="A3175" s="16">
        <v>75.0</v>
      </c>
      <c r="B3175" s="17" t="s">
        <v>7143</v>
      </c>
      <c r="C3175" s="16">
        <v>5.0</v>
      </c>
      <c r="D3175" s="18" t="s">
        <v>4183</v>
      </c>
    </row>
    <row r="3176" ht="15.75" customHeight="1">
      <c r="A3176" s="16">
        <v>76.0</v>
      </c>
      <c r="B3176" s="17" t="s">
        <v>7144</v>
      </c>
      <c r="C3176" s="16">
        <v>11.0</v>
      </c>
      <c r="D3176" s="18" t="s">
        <v>4178</v>
      </c>
    </row>
    <row r="3177" ht="15.75" customHeight="1">
      <c r="A3177" s="16">
        <v>77.0</v>
      </c>
      <c r="B3177" s="17" t="s">
        <v>7145</v>
      </c>
      <c r="C3177" s="16">
        <v>6.0</v>
      </c>
      <c r="D3177" s="18" t="s">
        <v>4183</v>
      </c>
    </row>
    <row r="3178" ht="15.75" customHeight="1">
      <c r="A3178" s="16">
        <v>78.0</v>
      </c>
      <c r="B3178" s="17" t="s">
        <v>7146</v>
      </c>
      <c r="C3178" s="16">
        <v>12.0</v>
      </c>
      <c r="D3178" s="18" t="s">
        <v>4183</v>
      </c>
    </row>
    <row r="3179" ht="15.75" customHeight="1">
      <c r="A3179" s="16">
        <v>79.0</v>
      </c>
      <c r="B3179" s="17" t="s">
        <v>7147</v>
      </c>
      <c r="C3179" s="16">
        <v>1.0</v>
      </c>
      <c r="D3179" s="18" t="s">
        <v>4183</v>
      </c>
    </row>
    <row r="3180" ht="15.75" customHeight="1">
      <c r="A3180" s="16">
        <v>80.0</v>
      </c>
      <c r="B3180" s="17" t="s">
        <v>7148</v>
      </c>
      <c r="C3180" s="16">
        <v>6.0</v>
      </c>
      <c r="D3180" s="18" t="s">
        <v>4341</v>
      </c>
    </row>
    <row r="3181" ht="15.75" customHeight="1">
      <c r="A3181" s="16">
        <v>81.0</v>
      </c>
      <c r="B3181" s="17" t="s">
        <v>7149</v>
      </c>
      <c r="C3181" s="16">
        <v>9.0</v>
      </c>
      <c r="D3181" s="18" t="s">
        <v>4183</v>
      </c>
    </row>
    <row r="3182" ht="15.75" customHeight="1">
      <c r="A3182" s="16">
        <v>82.0</v>
      </c>
      <c r="B3182" s="18" t="s">
        <v>7150</v>
      </c>
      <c r="C3182" s="16">
        <v>4.0</v>
      </c>
      <c r="D3182" s="18" t="s">
        <v>6406</v>
      </c>
    </row>
    <row r="3183" ht="15.75" customHeight="1">
      <c r="A3183" s="16">
        <v>83.0</v>
      </c>
      <c r="B3183" s="17" t="s">
        <v>7151</v>
      </c>
      <c r="C3183" s="16">
        <v>2.0</v>
      </c>
      <c r="D3183" s="18" t="s">
        <v>4183</v>
      </c>
    </row>
    <row r="3184" ht="15.75" customHeight="1">
      <c r="A3184" s="16">
        <v>84.0</v>
      </c>
      <c r="B3184" s="17" t="s">
        <v>7152</v>
      </c>
      <c r="C3184" s="16">
        <v>13.0</v>
      </c>
      <c r="D3184" s="18" t="s">
        <v>4183</v>
      </c>
    </row>
    <row r="3185" ht="15.75" customHeight="1">
      <c r="A3185" s="16">
        <v>85.0</v>
      </c>
      <c r="B3185" s="17" t="s">
        <v>7153</v>
      </c>
      <c r="C3185" s="16">
        <v>5.0</v>
      </c>
      <c r="D3185" s="18" t="s">
        <v>4183</v>
      </c>
    </row>
    <row r="3186" ht="15.75" customHeight="1">
      <c r="A3186" s="16">
        <v>86.0</v>
      </c>
      <c r="B3186" s="17" t="s">
        <v>7154</v>
      </c>
      <c r="C3186" s="16">
        <v>8.0</v>
      </c>
      <c r="D3186" s="18" t="s">
        <v>4183</v>
      </c>
    </row>
    <row r="3187" ht="15.75" customHeight="1">
      <c r="A3187" s="16">
        <v>87.0</v>
      </c>
      <c r="B3187" s="17" t="s">
        <v>7155</v>
      </c>
      <c r="C3187" s="16">
        <v>1.0</v>
      </c>
      <c r="D3187" s="18" t="s">
        <v>4183</v>
      </c>
    </row>
    <row r="3188" ht="15.75" customHeight="1">
      <c r="A3188" s="16">
        <v>88.0</v>
      </c>
      <c r="B3188" s="17" t="s">
        <v>7156</v>
      </c>
      <c r="C3188" s="16">
        <v>12.0</v>
      </c>
      <c r="D3188" s="18" t="s">
        <v>4183</v>
      </c>
    </row>
    <row r="3189" ht="15.75" customHeight="1">
      <c r="A3189" s="16">
        <v>89.0</v>
      </c>
      <c r="B3189" s="17" t="s">
        <v>7157</v>
      </c>
      <c r="C3189" s="16">
        <v>6.0</v>
      </c>
      <c r="D3189" s="18" t="s">
        <v>4183</v>
      </c>
    </row>
    <row r="3190" ht="15.75" customHeight="1">
      <c r="A3190" s="16">
        <v>90.0</v>
      </c>
      <c r="B3190" s="17" t="s">
        <v>7158</v>
      </c>
      <c r="C3190" s="16">
        <v>4.0</v>
      </c>
      <c r="D3190" s="18" t="s">
        <v>4178</v>
      </c>
    </row>
    <row r="3191" ht="15.75" customHeight="1">
      <c r="A3191" s="16">
        <v>91.0</v>
      </c>
      <c r="B3191" s="18" t="s">
        <v>7159</v>
      </c>
      <c r="C3191" s="16">
        <v>5.0</v>
      </c>
      <c r="D3191" s="18" t="s">
        <v>4178</v>
      </c>
    </row>
    <row r="3192" ht="15.75" customHeight="1">
      <c r="A3192" s="16">
        <v>92.0</v>
      </c>
      <c r="B3192" s="17" t="s">
        <v>7160</v>
      </c>
      <c r="C3192" s="16">
        <v>8.0</v>
      </c>
      <c r="D3192" s="18" t="s">
        <v>4178</v>
      </c>
    </row>
    <row r="3193" ht="15.75" customHeight="1">
      <c r="A3193" s="16">
        <v>93.0</v>
      </c>
      <c r="B3193" s="17" t="s">
        <v>7161</v>
      </c>
      <c r="C3193" s="16">
        <v>9.0</v>
      </c>
      <c r="D3193" s="18" t="s">
        <v>4178</v>
      </c>
    </row>
    <row r="3194" ht="15.75" customHeight="1">
      <c r="A3194" s="16">
        <v>94.0</v>
      </c>
      <c r="B3194" s="17" t="s">
        <v>7162</v>
      </c>
      <c r="C3194" s="16">
        <v>13.0</v>
      </c>
      <c r="D3194" s="18" t="s">
        <v>4178</v>
      </c>
    </row>
    <row r="3195" ht="15.75" customHeight="1">
      <c r="A3195" s="16">
        <v>95.0</v>
      </c>
      <c r="B3195" s="17" t="s">
        <v>7163</v>
      </c>
      <c r="C3195" s="16">
        <v>16.0</v>
      </c>
      <c r="D3195" s="18" t="s">
        <v>4183</v>
      </c>
    </row>
    <row r="3196" ht="15.75" customHeight="1">
      <c r="A3196" s="16">
        <v>96.0</v>
      </c>
      <c r="B3196" s="17" t="s">
        <v>7164</v>
      </c>
      <c r="C3196" s="16">
        <v>8.0</v>
      </c>
      <c r="D3196" s="18" t="s">
        <v>4183</v>
      </c>
    </row>
    <row r="3197" ht="15.75" customHeight="1">
      <c r="A3197" s="16">
        <v>97.0</v>
      </c>
      <c r="B3197" s="17" t="s">
        <v>7165</v>
      </c>
      <c r="C3197" s="16">
        <v>12.0</v>
      </c>
      <c r="D3197" s="18" t="s">
        <v>4183</v>
      </c>
    </row>
    <row r="3198" ht="15.75" customHeight="1">
      <c r="A3198" s="16">
        <v>98.0</v>
      </c>
      <c r="B3198" s="17" t="s">
        <v>7166</v>
      </c>
      <c r="C3198" s="16">
        <v>14.0</v>
      </c>
      <c r="D3198" s="18" t="s">
        <v>4183</v>
      </c>
    </row>
    <row r="3199" ht="15.75" customHeight="1">
      <c r="A3199" s="16">
        <v>99.0</v>
      </c>
      <c r="B3199" s="17" t="s">
        <v>7167</v>
      </c>
      <c r="C3199" s="16">
        <v>5.0</v>
      </c>
      <c r="D3199" s="18" t="s">
        <v>4183</v>
      </c>
    </row>
    <row r="3200" ht="15.75" customHeight="1">
      <c r="A3200" s="16">
        <v>100.0</v>
      </c>
      <c r="B3200" s="17" t="s">
        <v>7168</v>
      </c>
      <c r="C3200" s="19">
        <v>107.3</v>
      </c>
      <c r="D3200" s="18" t="s">
        <v>4215</v>
      </c>
    </row>
    <row r="3201" ht="15.75" customHeight="1">
      <c r="A3201" s="20"/>
      <c r="B3201" s="21" t="s">
        <v>4273</v>
      </c>
      <c r="C3201" s="22">
        <v>795.32</v>
      </c>
      <c r="D3201" s="21" t="s">
        <v>4171</v>
      </c>
    </row>
    <row r="3202" ht="15.75" customHeight="1">
      <c r="A3202" s="11"/>
      <c r="B3202" s="12"/>
      <c r="C3202" s="12"/>
      <c r="D3202" s="13"/>
    </row>
    <row r="3203" ht="15.75" customHeight="1">
      <c r="A3203" s="14" t="s">
        <v>4081</v>
      </c>
      <c r="B3203" s="15"/>
      <c r="C3203" s="15"/>
      <c r="D3203" s="15"/>
    </row>
    <row r="3204" ht="15.75" customHeight="1">
      <c r="A3204" s="16">
        <v>1.0</v>
      </c>
      <c r="B3204" s="17" t="s">
        <v>7169</v>
      </c>
      <c r="C3204" s="16">
        <v>8.0</v>
      </c>
      <c r="D3204" s="18" t="s">
        <v>4183</v>
      </c>
    </row>
    <row r="3205" ht="15.75" customHeight="1">
      <c r="A3205" s="16">
        <v>2.0</v>
      </c>
      <c r="B3205" s="17" t="s">
        <v>7170</v>
      </c>
      <c r="C3205" s="16">
        <v>3.0</v>
      </c>
      <c r="D3205" s="18" t="s">
        <v>4183</v>
      </c>
    </row>
    <row r="3206" ht="15.75" customHeight="1">
      <c r="A3206" s="16">
        <v>3.0</v>
      </c>
      <c r="B3206" s="17" t="s">
        <v>7171</v>
      </c>
      <c r="C3206" s="16">
        <v>4.0</v>
      </c>
      <c r="D3206" s="18" t="s">
        <v>4183</v>
      </c>
    </row>
    <row r="3207" ht="15.75" customHeight="1">
      <c r="A3207" s="16">
        <v>4.0</v>
      </c>
      <c r="B3207" s="17" t="s">
        <v>7172</v>
      </c>
      <c r="C3207" s="16">
        <v>3.0</v>
      </c>
      <c r="D3207" s="18" t="s">
        <v>4183</v>
      </c>
    </row>
    <row r="3208" ht="15.75" customHeight="1">
      <c r="A3208" s="16">
        <v>5.0</v>
      </c>
      <c r="B3208" s="17" t="s">
        <v>7173</v>
      </c>
      <c r="C3208" s="16">
        <v>8.0</v>
      </c>
      <c r="D3208" s="18" t="s">
        <v>4183</v>
      </c>
    </row>
    <row r="3209" ht="15.75" customHeight="1">
      <c r="A3209" s="16">
        <v>6.0</v>
      </c>
      <c r="B3209" s="17" t="s">
        <v>7174</v>
      </c>
      <c r="C3209" s="16">
        <v>16.0</v>
      </c>
      <c r="D3209" s="18" t="s">
        <v>4183</v>
      </c>
    </row>
    <row r="3210" ht="15.75" customHeight="1">
      <c r="A3210" s="16">
        <v>7.0</v>
      </c>
      <c r="B3210" s="17" t="s">
        <v>7175</v>
      </c>
      <c r="C3210" s="16">
        <v>4.0</v>
      </c>
      <c r="D3210" s="18" t="s">
        <v>4183</v>
      </c>
    </row>
    <row r="3211" ht="15.75" customHeight="1">
      <c r="A3211" s="16">
        <v>8.0</v>
      </c>
      <c r="B3211" s="17" t="s">
        <v>7176</v>
      </c>
      <c r="C3211" s="16">
        <v>3.0</v>
      </c>
      <c r="D3211" s="18" t="s">
        <v>4183</v>
      </c>
    </row>
    <row r="3212" ht="15.75" customHeight="1">
      <c r="A3212" s="16">
        <v>9.0</v>
      </c>
      <c r="B3212" s="17" t="s">
        <v>7177</v>
      </c>
      <c r="C3212" s="16">
        <v>6.0</v>
      </c>
      <c r="D3212" s="18" t="s">
        <v>4183</v>
      </c>
    </row>
    <row r="3213" ht="15.75" customHeight="1">
      <c r="A3213" s="16">
        <v>10.0</v>
      </c>
      <c r="B3213" s="17" t="s">
        <v>7178</v>
      </c>
      <c r="C3213" s="16">
        <v>6.0</v>
      </c>
      <c r="D3213" s="18" t="s">
        <v>4183</v>
      </c>
    </row>
    <row r="3214" ht="15.75" customHeight="1">
      <c r="A3214" s="16">
        <v>11.0</v>
      </c>
      <c r="B3214" s="17" t="s">
        <v>7179</v>
      </c>
      <c r="C3214" s="16">
        <v>8.0</v>
      </c>
      <c r="D3214" s="18" t="s">
        <v>4183</v>
      </c>
    </row>
    <row r="3215" ht="15.75" customHeight="1">
      <c r="A3215" s="16">
        <v>12.0</v>
      </c>
      <c r="B3215" s="17" t="s">
        <v>7180</v>
      </c>
      <c r="C3215" s="16">
        <v>6.0</v>
      </c>
      <c r="D3215" s="18" t="s">
        <v>4183</v>
      </c>
    </row>
    <row r="3216" ht="15.75" customHeight="1">
      <c r="A3216" s="16">
        <v>13.0</v>
      </c>
      <c r="B3216" s="17" t="s">
        <v>7181</v>
      </c>
      <c r="C3216" s="16">
        <v>7.0</v>
      </c>
      <c r="D3216" s="18" t="s">
        <v>4183</v>
      </c>
    </row>
    <row r="3217" ht="15.75" customHeight="1">
      <c r="A3217" s="16">
        <v>14.0</v>
      </c>
      <c r="B3217" s="17" t="s">
        <v>7182</v>
      </c>
      <c r="C3217" s="16">
        <v>5.0</v>
      </c>
      <c r="D3217" s="18" t="s">
        <v>4183</v>
      </c>
    </row>
    <row r="3218" ht="15.75" customHeight="1">
      <c r="A3218" s="16">
        <v>15.0</v>
      </c>
      <c r="B3218" s="17" t="s">
        <v>7183</v>
      </c>
      <c r="C3218" s="16">
        <v>2.0</v>
      </c>
      <c r="D3218" s="18" t="s">
        <v>4183</v>
      </c>
    </row>
    <row r="3219" ht="15.75" customHeight="1">
      <c r="A3219" s="16">
        <v>16.0</v>
      </c>
      <c r="B3219" s="17" t="s">
        <v>7184</v>
      </c>
      <c r="C3219" s="16">
        <v>2.0</v>
      </c>
      <c r="D3219" s="18" t="s">
        <v>4183</v>
      </c>
    </row>
    <row r="3220" ht="15.75" customHeight="1">
      <c r="A3220" s="16">
        <v>17.0</v>
      </c>
      <c r="B3220" s="17" t="s">
        <v>7185</v>
      </c>
      <c r="C3220" s="16">
        <v>4.0</v>
      </c>
      <c r="D3220" s="18" t="s">
        <v>4183</v>
      </c>
    </row>
    <row r="3221" ht="15.75" customHeight="1">
      <c r="A3221" s="16">
        <v>18.0</v>
      </c>
      <c r="B3221" s="17" t="s">
        <v>7186</v>
      </c>
      <c r="C3221" s="16">
        <v>5.0</v>
      </c>
      <c r="D3221" s="18" t="s">
        <v>4183</v>
      </c>
    </row>
    <row r="3222" ht="15.75" customHeight="1">
      <c r="A3222" s="16">
        <v>19.0</v>
      </c>
      <c r="B3222" s="17" t="s">
        <v>7187</v>
      </c>
      <c r="C3222" s="16">
        <v>3.0</v>
      </c>
      <c r="D3222" s="18" t="s">
        <v>4183</v>
      </c>
    </row>
    <row r="3223" ht="15.75" customHeight="1">
      <c r="A3223" s="16">
        <v>20.0</v>
      </c>
      <c r="B3223" s="17" t="s">
        <v>7188</v>
      </c>
      <c r="C3223" s="16">
        <v>5.0</v>
      </c>
      <c r="D3223" s="18" t="s">
        <v>4183</v>
      </c>
    </row>
    <row r="3224" ht="15.75" customHeight="1">
      <c r="A3224" s="16">
        <v>21.0</v>
      </c>
      <c r="B3224" s="17" t="s">
        <v>7189</v>
      </c>
      <c r="C3224" s="16">
        <v>13.0</v>
      </c>
      <c r="D3224" s="18" t="s">
        <v>4183</v>
      </c>
    </row>
    <row r="3225" ht="15.75" customHeight="1">
      <c r="A3225" s="16">
        <v>22.0</v>
      </c>
      <c r="B3225" s="17" t="s">
        <v>7190</v>
      </c>
      <c r="C3225" s="16">
        <v>2.0</v>
      </c>
      <c r="D3225" s="18" t="s">
        <v>4183</v>
      </c>
    </row>
    <row r="3226" ht="15.75" customHeight="1">
      <c r="A3226" s="16">
        <v>23.0</v>
      </c>
      <c r="B3226" s="17" t="s">
        <v>7191</v>
      </c>
      <c r="C3226" s="16">
        <v>6.0</v>
      </c>
      <c r="D3226" s="18" t="s">
        <v>4183</v>
      </c>
    </row>
    <row r="3227" ht="15.75" customHeight="1">
      <c r="A3227" s="16">
        <v>24.0</v>
      </c>
      <c r="B3227" s="17" t="s">
        <v>7192</v>
      </c>
      <c r="C3227" s="16">
        <v>10.0</v>
      </c>
      <c r="D3227" s="18" t="s">
        <v>4183</v>
      </c>
    </row>
    <row r="3228" ht="15.75" customHeight="1">
      <c r="A3228" s="16">
        <v>25.0</v>
      </c>
      <c r="B3228" s="17" t="s">
        <v>7193</v>
      </c>
      <c r="C3228" s="16">
        <v>7.0</v>
      </c>
      <c r="D3228" s="18" t="s">
        <v>4183</v>
      </c>
    </row>
    <row r="3229" ht="15.75" customHeight="1">
      <c r="A3229" s="16">
        <v>26.0</v>
      </c>
      <c r="B3229" s="17" t="s">
        <v>7194</v>
      </c>
      <c r="C3229" s="16">
        <v>1.0</v>
      </c>
      <c r="D3229" s="18" t="s">
        <v>4183</v>
      </c>
    </row>
    <row r="3230" ht="15.75" customHeight="1">
      <c r="A3230" s="16">
        <v>27.0</v>
      </c>
      <c r="B3230" s="17" t="s">
        <v>7195</v>
      </c>
      <c r="C3230" s="16">
        <v>4.0</v>
      </c>
      <c r="D3230" s="18" t="s">
        <v>4183</v>
      </c>
    </row>
    <row r="3231" ht="15.75" customHeight="1">
      <c r="A3231" s="16">
        <v>28.0</v>
      </c>
      <c r="B3231" s="17" t="s">
        <v>7196</v>
      </c>
      <c r="C3231" s="16">
        <v>5.0</v>
      </c>
      <c r="D3231" s="18" t="s">
        <v>4183</v>
      </c>
    </row>
    <row r="3232" ht="15.75" customHeight="1">
      <c r="A3232" s="16">
        <v>29.0</v>
      </c>
      <c r="B3232" s="17" t="s">
        <v>7197</v>
      </c>
      <c r="C3232" s="16">
        <v>1.0</v>
      </c>
      <c r="D3232" s="18" t="s">
        <v>4183</v>
      </c>
    </row>
    <row r="3233" ht="15.75" customHeight="1">
      <c r="A3233" s="16">
        <v>30.0</v>
      </c>
      <c r="B3233" s="17" t="s">
        <v>7198</v>
      </c>
      <c r="C3233" s="16">
        <v>2.0</v>
      </c>
      <c r="D3233" s="18" t="s">
        <v>4183</v>
      </c>
    </row>
    <row r="3234" ht="15.75" customHeight="1">
      <c r="A3234" s="16">
        <v>31.0</v>
      </c>
      <c r="B3234" s="17" t="s">
        <v>7199</v>
      </c>
      <c r="C3234" s="16">
        <v>4.0</v>
      </c>
      <c r="D3234" s="18" t="s">
        <v>4183</v>
      </c>
    </row>
    <row r="3235" ht="15.75" customHeight="1">
      <c r="A3235" s="16">
        <v>32.0</v>
      </c>
      <c r="B3235" s="17" t="s">
        <v>7200</v>
      </c>
      <c r="C3235" s="16">
        <v>4.0</v>
      </c>
      <c r="D3235" s="18" t="s">
        <v>4183</v>
      </c>
    </row>
    <row r="3236" ht="15.75" customHeight="1">
      <c r="A3236" s="16">
        <v>33.0</v>
      </c>
      <c r="B3236" s="17" t="s">
        <v>7201</v>
      </c>
      <c r="C3236" s="16">
        <v>2.0</v>
      </c>
      <c r="D3236" s="18" t="s">
        <v>4183</v>
      </c>
    </row>
    <row r="3237" ht="15.75" customHeight="1">
      <c r="A3237" s="16">
        <v>34.0</v>
      </c>
      <c r="B3237" s="17" t="s">
        <v>7202</v>
      </c>
      <c r="C3237" s="16">
        <v>7.0</v>
      </c>
      <c r="D3237" s="18" t="s">
        <v>4183</v>
      </c>
    </row>
    <row r="3238" ht="15.75" customHeight="1">
      <c r="A3238" s="16">
        <v>35.0</v>
      </c>
      <c r="B3238" s="17" t="s">
        <v>7203</v>
      </c>
      <c r="C3238" s="16">
        <v>13.0</v>
      </c>
      <c r="D3238" s="18" t="s">
        <v>4183</v>
      </c>
    </row>
    <row r="3239" ht="15.75" customHeight="1">
      <c r="A3239" s="16">
        <v>36.0</v>
      </c>
      <c r="B3239" s="17" t="s">
        <v>7204</v>
      </c>
      <c r="C3239" s="16">
        <v>7.0</v>
      </c>
      <c r="D3239" s="18" t="s">
        <v>4183</v>
      </c>
    </row>
    <row r="3240" ht="15.75" customHeight="1">
      <c r="A3240" s="16">
        <v>37.0</v>
      </c>
      <c r="B3240" s="17" t="s">
        <v>7205</v>
      </c>
      <c r="C3240" s="16">
        <v>3.0</v>
      </c>
      <c r="D3240" s="18" t="s">
        <v>4183</v>
      </c>
    </row>
    <row r="3241" ht="15.75" customHeight="1">
      <c r="A3241" s="16">
        <v>38.0</v>
      </c>
      <c r="B3241" s="17" t="s">
        <v>7206</v>
      </c>
      <c r="C3241" s="16">
        <v>9.0</v>
      </c>
      <c r="D3241" s="18" t="s">
        <v>4183</v>
      </c>
    </row>
    <row r="3242" ht="15.75" customHeight="1">
      <c r="A3242" s="16">
        <v>39.0</v>
      </c>
      <c r="B3242" s="17" t="s">
        <v>7207</v>
      </c>
      <c r="C3242" s="16">
        <v>3.0</v>
      </c>
      <c r="D3242" s="18" t="s">
        <v>4183</v>
      </c>
    </row>
    <row r="3243" ht="15.75" customHeight="1">
      <c r="A3243" s="16">
        <v>40.0</v>
      </c>
      <c r="B3243" s="17" t="s">
        <v>7208</v>
      </c>
      <c r="C3243" s="16">
        <v>14.0</v>
      </c>
      <c r="D3243" s="18" t="s">
        <v>4183</v>
      </c>
    </row>
    <row r="3244" ht="15.75" customHeight="1">
      <c r="A3244" s="16">
        <v>41.0</v>
      </c>
      <c r="B3244" s="17" t="s">
        <v>7209</v>
      </c>
      <c r="C3244" s="16">
        <v>8.0</v>
      </c>
      <c r="D3244" s="18" t="s">
        <v>4183</v>
      </c>
    </row>
    <row r="3245" ht="15.75" customHeight="1">
      <c r="A3245" s="20"/>
      <c r="B3245" s="21" t="s">
        <v>4273</v>
      </c>
      <c r="C3245" s="23">
        <v>233.0</v>
      </c>
      <c r="D3245" s="21" t="s">
        <v>4171</v>
      </c>
    </row>
    <row r="3246" ht="15.75" customHeight="1">
      <c r="A3246" s="11"/>
      <c r="B3246" s="12"/>
      <c r="C3246" s="12"/>
      <c r="D3246" s="13"/>
    </row>
    <row r="3247" ht="15.75" customHeight="1">
      <c r="A3247" s="14" t="s">
        <v>4127</v>
      </c>
      <c r="B3247" s="15"/>
      <c r="C3247" s="15"/>
      <c r="D3247" s="15"/>
    </row>
    <row r="3248" ht="15.75" customHeight="1">
      <c r="A3248" s="16">
        <v>1.0</v>
      </c>
      <c r="B3248" s="17" t="s">
        <v>7210</v>
      </c>
      <c r="C3248" s="19">
        <v>36.5</v>
      </c>
      <c r="D3248" s="18" t="s">
        <v>4183</v>
      </c>
    </row>
    <row r="3249" ht="15.75" customHeight="1">
      <c r="A3249" s="16">
        <v>2.0</v>
      </c>
      <c r="B3249" s="17" t="s">
        <v>7211</v>
      </c>
      <c r="C3249" s="16">
        <v>5.0</v>
      </c>
      <c r="D3249" s="18" t="s">
        <v>4183</v>
      </c>
    </row>
    <row r="3250" ht="15.75" customHeight="1">
      <c r="A3250" s="16">
        <v>3.0</v>
      </c>
      <c r="B3250" s="17" t="s">
        <v>7212</v>
      </c>
      <c r="C3250" s="16">
        <v>14.0</v>
      </c>
      <c r="D3250" s="18" t="s">
        <v>4183</v>
      </c>
    </row>
    <row r="3251" ht="15.75" customHeight="1">
      <c r="A3251" s="16">
        <v>4.0</v>
      </c>
      <c r="B3251" s="17" t="s">
        <v>7213</v>
      </c>
      <c r="C3251" s="16">
        <v>27.0</v>
      </c>
      <c r="D3251" s="18" t="s">
        <v>4183</v>
      </c>
    </row>
    <row r="3252" ht="15.75" customHeight="1">
      <c r="A3252" s="16">
        <v>5.0</v>
      </c>
      <c r="B3252" s="17" t="s">
        <v>7214</v>
      </c>
      <c r="C3252" s="16">
        <v>7.0</v>
      </c>
      <c r="D3252" s="18" t="s">
        <v>4183</v>
      </c>
    </row>
    <row r="3253" ht="15.75" customHeight="1">
      <c r="A3253" s="16">
        <v>6.0</v>
      </c>
      <c r="B3253" s="17" t="s">
        <v>7215</v>
      </c>
      <c r="C3253" s="16">
        <v>11.0</v>
      </c>
      <c r="D3253" s="18" t="s">
        <v>4183</v>
      </c>
    </row>
    <row r="3254" ht="15.75" customHeight="1">
      <c r="A3254" s="16">
        <v>7.0</v>
      </c>
      <c r="B3254" s="17" t="s">
        <v>7216</v>
      </c>
      <c r="C3254" s="16">
        <v>1.0</v>
      </c>
      <c r="D3254" s="18" t="s">
        <v>4183</v>
      </c>
    </row>
    <row r="3255" ht="15.75" customHeight="1">
      <c r="A3255" s="16">
        <v>8.0</v>
      </c>
      <c r="B3255" s="17" t="s">
        <v>7217</v>
      </c>
      <c r="C3255" s="16">
        <v>3.0</v>
      </c>
      <c r="D3255" s="18" t="s">
        <v>4183</v>
      </c>
    </row>
    <row r="3256" ht="15.75" customHeight="1">
      <c r="A3256" s="16">
        <v>9.0</v>
      </c>
      <c r="B3256" s="17" t="s">
        <v>7218</v>
      </c>
      <c r="C3256" s="16">
        <v>10.0</v>
      </c>
      <c r="D3256" s="18" t="s">
        <v>4183</v>
      </c>
    </row>
    <row r="3257" ht="15.75" customHeight="1">
      <c r="A3257" s="16">
        <v>10.0</v>
      </c>
      <c r="B3257" s="17" t="s">
        <v>7219</v>
      </c>
      <c r="C3257" s="16">
        <v>20.0</v>
      </c>
      <c r="D3257" s="18" t="s">
        <v>4183</v>
      </c>
    </row>
    <row r="3258" ht="15.75" customHeight="1">
      <c r="A3258" s="16">
        <v>11.0</v>
      </c>
      <c r="B3258" s="17" t="s">
        <v>7220</v>
      </c>
      <c r="C3258" s="16">
        <v>39.0</v>
      </c>
      <c r="D3258" s="18" t="s">
        <v>4183</v>
      </c>
    </row>
    <row r="3259" ht="15.75" customHeight="1">
      <c r="A3259" s="16">
        <v>12.0</v>
      </c>
      <c r="B3259" s="17" t="s">
        <v>7221</v>
      </c>
      <c r="C3259" s="16">
        <v>3.0</v>
      </c>
      <c r="D3259" s="18" t="s">
        <v>4183</v>
      </c>
    </row>
    <row r="3260" ht="15.75" customHeight="1">
      <c r="A3260" s="20"/>
      <c r="B3260" s="21" t="s">
        <v>4273</v>
      </c>
      <c r="C3260" s="22">
        <v>176.5</v>
      </c>
      <c r="D3260" s="21" t="s">
        <v>4171</v>
      </c>
    </row>
    <row r="3261" ht="15.75" customHeight="1">
      <c r="A3261" s="11"/>
      <c r="B3261" s="12"/>
      <c r="C3261" s="12"/>
      <c r="D3261" s="13"/>
    </row>
    <row r="3262" ht="15.75" customHeight="1">
      <c r="A3262" s="14" t="s">
        <v>4128</v>
      </c>
      <c r="B3262" s="15"/>
      <c r="C3262" s="15"/>
      <c r="D3262" s="15"/>
    </row>
    <row r="3263" ht="15.75" customHeight="1">
      <c r="A3263" s="16">
        <v>1.0</v>
      </c>
      <c r="B3263" s="17" t="s">
        <v>7222</v>
      </c>
      <c r="C3263" s="16">
        <v>6.0</v>
      </c>
      <c r="D3263" s="18" t="s">
        <v>4183</v>
      </c>
    </row>
    <row r="3264" ht="15.75" customHeight="1">
      <c r="A3264" s="16">
        <v>2.0</v>
      </c>
      <c r="B3264" s="17" t="s">
        <v>7223</v>
      </c>
      <c r="C3264" s="16">
        <v>8.0</v>
      </c>
      <c r="D3264" s="18" t="s">
        <v>4183</v>
      </c>
    </row>
    <row r="3265" ht="15.75" customHeight="1">
      <c r="A3265" s="16">
        <v>3.0</v>
      </c>
      <c r="B3265" s="17" t="s">
        <v>7224</v>
      </c>
      <c r="C3265" s="16">
        <v>7.0</v>
      </c>
      <c r="D3265" s="18" t="s">
        <v>4183</v>
      </c>
    </row>
    <row r="3266" ht="15.75" customHeight="1">
      <c r="A3266" s="16">
        <v>4.0</v>
      </c>
      <c r="B3266" s="17" t="s">
        <v>7225</v>
      </c>
      <c r="C3266" s="16">
        <v>1.0</v>
      </c>
      <c r="D3266" s="18" t="s">
        <v>4183</v>
      </c>
    </row>
    <row r="3267" ht="15.75" customHeight="1">
      <c r="A3267" s="16">
        <v>5.0</v>
      </c>
      <c r="B3267" s="17" t="s">
        <v>7226</v>
      </c>
      <c r="C3267" s="16">
        <v>2.0</v>
      </c>
      <c r="D3267" s="18" t="s">
        <v>4183</v>
      </c>
    </row>
    <row r="3268" ht="15.75" customHeight="1">
      <c r="A3268" s="16">
        <v>6.0</v>
      </c>
      <c r="B3268" s="17" t="s">
        <v>7227</v>
      </c>
      <c r="C3268" s="16">
        <v>2.0</v>
      </c>
      <c r="D3268" s="18" t="s">
        <v>4183</v>
      </c>
    </row>
    <row r="3269" ht="15.75" customHeight="1">
      <c r="A3269" s="16">
        <v>7.0</v>
      </c>
      <c r="B3269" s="17" t="s">
        <v>7228</v>
      </c>
      <c r="C3269" s="16">
        <v>5.0</v>
      </c>
      <c r="D3269" s="18" t="s">
        <v>4183</v>
      </c>
    </row>
    <row r="3270" ht="15.75" customHeight="1">
      <c r="A3270" s="16">
        <v>8.0</v>
      </c>
      <c r="B3270" s="17" t="s">
        <v>7229</v>
      </c>
      <c r="C3270" s="16">
        <v>6.0</v>
      </c>
      <c r="D3270" s="18" t="s">
        <v>4183</v>
      </c>
    </row>
    <row r="3271" ht="15.75" customHeight="1">
      <c r="A3271" s="16">
        <v>9.0</v>
      </c>
      <c r="B3271" s="17" t="s">
        <v>7230</v>
      </c>
      <c r="C3271" s="16">
        <v>19.0</v>
      </c>
      <c r="D3271" s="18" t="s">
        <v>4183</v>
      </c>
    </row>
    <row r="3272" ht="15.75" customHeight="1">
      <c r="A3272" s="16">
        <v>10.0</v>
      </c>
      <c r="B3272" s="17" t="s">
        <v>7231</v>
      </c>
      <c r="C3272" s="16">
        <v>3.0</v>
      </c>
      <c r="D3272" s="18" t="s">
        <v>4183</v>
      </c>
    </row>
    <row r="3273" ht="15.75" customHeight="1">
      <c r="A3273" s="16">
        <v>11.0</v>
      </c>
      <c r="B3273" s="17" t="s">
        <v>7232</v>
      </c>
      <c r="C3273" s="16">
        <v>11.0</v>
      </c>
      <c r="D3273" s="18" t="s">
        <v>4183</v>
      </c>
    </row>
    <row r="3274" ht="15.75" customHeight="1">
      <c r="A3274" s="16">
        <v>12.0</v>
      </c>
      <c r="B3274" s="17" t="s">
        <v>7233</v>
      </c>
      <c r="C3274" s="16">
        <v>3.0</v>
      </c>
      <c r="D3274" s="18" t="s">
        <v>4183</v>
      </c>
    </row>
    <row r="3275" ht="15.75" customHeight="1">
      <c r="A3275" s="20"/>
      <c r="B3275" s="21" t="s">
        <v>4273</v>
      </c>
      <c r="C3275" s="23">
        <v>73.0</v>
      </c>
      <c r="D3275" s="21" t="s">
        <v>4171</v>
      </c>
    </row>
    <row r="3276" ht="15.75" customHeight="1">
      <c r="A3276" s="11"/>
      <c r="B3276" s="12"/>
      <c r="C3276" s="12"/>
      <c r="D3276" s="13"/>
    </row>
    <row r="3277" ht="15.75" customHeight="1">
      <c r="A3277" s="14" t="s">
        <v>4086</v>
      </c>
      <c r="B3277" s="15"/>
      <c r="C3277" s="15"/>
      <c r="D3277" s="15"/>
    </row>
    <row r="3278" ht="15.75" customHeight="1">
      <c r="A3278" s="16">
        <v>1.0</v>
      </c>
      <c r="B3278" s="17" t="s">
        <v>7234</v>
      </c>
      <c r="C3278" s="16">
        <v>10.0</v>
      </c>
      <c r="D3278" s="18" t="s">
        <v>4183</v>
      </c>
    </row>
    <row r="3279" ht="15.75" customHeight="1">
      <c r="A3279" s="16">
        <v>2.0</v>
      </c>
      <c r="B3279" s="17" t="s">
        <v>7235</v>
      </c>
      <c r="C3279" s="16">
        <v>12.0</v>
      </c>
      <c r="D3279" s="18" t="s">
        <v>4183</v>
      </c>
    </row>
    <row r="3280" ht="15.75" customHeight="1">
      <c r="A3280" s="16">
        <v>3.0</v>
      </c>
      <c r="B3280" s="17" t="s">
        <v>7236</v>
      </c>
      <c r="C3280" s="16">
        <v>1.0</v>
      </c>
      <c r="D3280" s="18" t="s">
        <v>4183</v>
      </c>
    </row>
    <row r="3281" ht="15.75" customHeight="1">
      <c r="A3281" s="16">
        <v>4.0</v>
      </c>
      <c r="B3281" s="17" t="s">
        <v>7237</v>
      </c>
      <c r="C3281" s="16">
        <v>11.0</v>
      </c>
      <c r="D3281" s="18" t="s">
        <v>4183</v>
      </c>
    </row>
    <row r="3282" ht="15.75" customHeight="1">
      <c r="A3282" s="16">
        <v>5.0</v>
      </c>
      <c r="B3282" s="17" t="s">
        <v>7238</v>
      </c>
      <c r="C3282" s="19">
        <v>26.81</v>
      </c>
      <c r="D3282" s="18" t="s">
        <v>4183</v>
      </c>
    </row>
    <row r="3283" ht="15.75" customHeight="1">
      <c r="A3283" s="16">
        <v>6.0</v>
      </c>
      <c r="B3283" s="17" t="s">
        <v>7239</v>
      </c>
      <c r="C3283" s="16">
        <v>14.0</v>
      </c>
      <c r="D3283" s="18" t="s">
        <v>4183</v>
      </c>
    </row>
    <row r="3284" ht="15.75" customHeight="1">
      <c r="A3284" s="16">
        <v>7.0</v>
      </c>
      <c r="B3284" s="17" t="s">
        <v>7240</v>
      </c>
      <c r="C3284" s="16">
        <v>5.0</v>
      </c>
      <c r="D3284" s="18" t="s">
        <v>4183</v>
      </c>
    </row>
    <row r="3285" ht="15.75" customHeight="1">
      <c r="A3285" s="16">
        <v>8.0</v>
      </c>
      <c r="B3285" s="17" t="s">
        <v>7241</v>
      </c>
      <c r="C3285" s="16">
        <v>6.0</v>
      </c>
      <c r="D3285" s="18" t="s">
        <v>4183</v>
      </c>
    </row>
    <row r="3286" ht="15.75" customHeight="1">
      <c r="A3286" s="16">
        <v>9.0</v>
      </c>
      <c r="B3286" s="17" t="s">
        <v>7242</v>
      </c>
      <c r="C3286" s="16">
        <v>1.0</v>
      </c>
      <c r="D3286" s="18" t="s">
        <v>4183</v>
      </c>
    </row>
    <row r="3287" ht="15.75" customHeight="1">
      <c r="A3287" s="16">
        <v>10.0</v>
      </c>
      <c r="B3287" s="17" t="s">
        <v>7243</v>
      </c>
      <c r="C3287" s="16">
        <v>10.0</v>
      </c>
      <c r="D3287" s="18" t="s">
        <v>4183</v>
      </c>
    </row>
    <row r="3288" ht="15.75" customHeight="1">
      <c r="A3288" s="16">
        <v>11.0</v>
      </c>
      <c r="B3288" s="17" t="s">
        <v>7244</v>
      </c>
      <c r="C3288" s="16">
        <v>3.0</v>
      </c>
      <c r="D3288" s="18" t="s">
        <v>4183</v>
      </c>
    </row>
    <row r="3289" ht="15.75" customHeight="1">
      <c r="A3289" s="16">
        <v>12.0</v>
      </c>
      <c r="B3289" s="17" t="s">
        <v>7245</v>
      </c>
      <c r="C3289" s="16">
        <v>9.0</v>
      </c>
      <c r="D3289" s="18" t="s">
        <v>4183</v>
      </c>
    </row>
    <row r="3290" ht="15.75" customHeight="1">
      <c r="A3290" s="16">
        <v>13.0</v>
      </c>
      <c r="B3290" s="17" t="s">
        <v>7246</v>
      </c>
      <c r="C3290" s="16">
        <v>12.0</v>
      </c>
      <c r="D3290" s="18" t="s">
        <v>4183</v>
      </c>
    </row>
    <row r="3291" ht="15.75" customHeight="1">
      <c r="A3291" s="16">
        <v>14.0</v>
      </c>
      <c r="B3291" s="17" t="s">
        <v>7247</v>
      </c>
      <c r="C3291" s="16">
        <v>4.0</v>
      </c>
      <c r="D3291" s="18" t="s">
        <v>4183</v>
      </c>
    </row>
    <row r="3292" ht="15.75" customHeight="1">
      <c r="A3292" s="16">
        <v>15.0</v>
      </c>
      <c r="B3292" s="17" t="s">
        <v>7248</v>
      </c>
      <c r="C3292" s="16">
        <v>3.0</v>
      </c>
      <c r="D3292" s="18" t="s">
        <v>4183</v>
      </c>
    </row>
    <row r="3293" ht="15.75" customHeight="1">
      <c r="A3293" s="16">
        <v>16.0</v>
      </c>
      <c r="B3293" s="17" t="s">
        <v>7249</v>
      </c>
      <c r="C3293" s="16">
        <v>1.0</v>
      </c>
      <c r="D3293" s="18" t="s">
        <v>4183</v>
      </c>
    </row>
    <row r="3294" ht="15.75" customHeight="1">
      <c r="A3294" s="16">
        <v>17.0</v>
      </c>
      <c r="B3294" s="17" t="s">
        <v>7250</v>
      </c>
      <c r="C3294" s="16">
        <v>5.0</v>
      </c>
      <c r="D3294" s="18" t="s">
        <v>4183</v>
      </c>
    </row>
    <row r="3295" ht="15.75" customHeight="1">
      <c r="A3295" s="16">
        <v>18.0</v>
      </c>
      <c r="B3295" s="17" t="s">
        <v>7251</v>
      </c>
      <c r="C3295" s="16">
        <v>18.0</v>
      </c>
      <c r="D3295" s="18" t="s">
        <v>4183</v>
      </c>
    </row>
    <row r="3296" ht="15.75" customHeight="1">
      <c r="A3296" s="16">
        <v>19.0</v>
      </c>
      <c r="B3296" s="17" t="s">
        <v>7252</v>
      </c>
      <c r="C3296" s="19">
        <v>27.75</v>
      </c>
      <c r="D3296" s="18" t="s">
        <v>4183</v>
      </c>
    </row>
    <row r="3297" ht="15.75" customHeight="1">
      <c r="A3297" s="16">
        <v>20.0</v>
      </c>
      <c r="B3297" s="17" t="s">
        <v>7253</v>
      </c>
      <c r="C3297" s="16">
        <v>26.0</v>
      </c>
      <c r="D3297" s="18" t="s">
        <v>4183</v>
      </c>
    </row>
    <row r="3298" ht="15.75" customHeight="1">
      <c r="A3298" s="16">
        <v>21.0</v>
      </c>
      <c r="B3298" s="17" t="s">
        <v>7254</v>
      </c>
      <c r="C3298" s="16">
        <v>9.0</v>
      </c>
      <c r="D3298" s="18" t="s">
        <v>4183</v>
      </c>
    </row>
    <row r="3299" ht="15.75" customHeight="1">
      <c r="A3299" s="16">
        <v>22.0</v>
      </c>
      <c r="B3299" s="17" t="s">
        <v>7255</v>
      </c>
      <c r="C3299" s="18" t="s">
        <v>4396</v>
      </c>
      <c r="D3299" s="18" t="s">
        <v>4183</v>
      </c>
    </row>
    <row r="3300" ht="15.75" customHeight="1">
      <c r="A3300" s="16">
        <v>23.0</v>
      </c>
      <c r="B3300" s="17" t="s">
        <v>7256</v>
      </c>
      <c r="C3300" s="16">
        <v>2.0</v>
      </c>
      <c r="D3300" s="18" t="s">
        <v>4183</v>
      </c>
    </row>
    <row r="3301" ht="15.75" customHeight="1">
      <c r="A3301" s="16">
        <v>24.0</v>
      </c>
      <c r="B3301" s="17" t="s">
        <v>7257</v>
      </c>
      <c r="C3301" s="16">
        <v>1.0</v>
      </c>
      <c r="D3301" s="18" t="s">
        <v>4183</v>
      </c>
    </row>
    <row r="3302" ht="15.75" customHeight="1">
      <c r="A3302" s="16">
        <v>25.0</v>
      </c>
      <c r="B3302" s="17" t="s">
        <v>7258</v>
      </c>
      <c r="C3302" s="16">
        <v>4.0</v>
      </c>
      <c r="D3302" s="18" t="s">
        <v>4183</v>
      </c>
    </row>
    <row r="3303" ht="15.75" customHeight="1">
      <c r="A3303" s="16">
        <v>26.0</v>
      </c>
      <c r="B3303" s="17" t="s">
        <v>7259</v>
      </c>
      <c r="C3303" s="16">
        <v>2.0</v>
      </c>
      <c r="D3303" s="18" t="s">
        <v>4183</v>
      </c>
    </row>
    <row r="3304" ht="15.75" customHeight="1">
      <c r="A3304" s="16">
        <v>27.0</v>
      </c>
      <c r="B3304" s="17" t="s">
        <v>7260</v>
      </c>
      <c r="C3304" s="16">
        <v>10.0</v>
      </c>
      <c r="D3304" s="18" t="s">
        <v>4183</v>
      </c>
    </row>
    <row r="3305" ht="15.75" customHeight="1">
      <c r="A3305" s="16">
        <v>28.0</v>
      </c>
      <c r="B3305" s="17" t="s">
        <v>7261</v>
      </c>
      <c r="C3305" s="16">
        <v>2.0</v>
      </c>
      <c r="D3305" s="18" t="s">
        <v>4183</v>
      </c>
    </row>
    <row r="3306" ht="15.75" customHeight="1">
      <c r="A3306" s="16">
        <v>29.0</v>
      </c>
      <c r="B3306" s="17" t="s">
        <v>7262</v>
      </c>
      <c r="C3306" s="16">
        <v>9.0</v>
      </c>
      <c r="D3306" s="18" t="s">
        <v>4183</v>
      </c>
    </row>
    <row r="3307" ht="15.75" customHeight="1">
      <c r="A3307" s="16">
        <v>30.0</v>
      </c>
      <c r="B3307" s="17" t="s">
        <v>7263</v>
      </c>
      <c r="C3307" s="16">
        <v>10.0</v>
      </c>
      <c r="D3307" s="18" t="s">
        <v>4183</v>
      </c>
    </row>
    <row r="3308" ht="15.75" customHeight="1">
      <c r="A3308" s="16">
        <v>31.0</v>
      </c>
      <c r="B3308" s="17" t="s">
        <v>7264</v>
      </c>
      <c r="C3308" s="18" t="s">
        <v>4384</v>
      </c>
      <c r="D3308" s="18" t="s">
        <v>4183</v>
      </c>
    </row>
    <row r="3309" ht="15.75" customHeight="1">
      <c r="A3309" s="16">
        <v>32.0</v>
      </c>
      <c r="B3309" s="17" t="s">
        <v>7265</v>
      </c>
      <c r="C3309" s="16">
        <v>10.0</v>
      </c>
      <c r="D3309" s="18" t="s">
        <v>4183</v>
      </c>
    </row>
    <row r="3310" ht="15.75" customHeight="1">
      <c r="A3310" s="16">
        <v>33.0</v>
      </c>
      <c r="B3310" s="17" t="s">
        <v>7266</v>
      </c>
      <c r="C3310" s="16">
        <v>2.0</v>
      </c>
      <c r="D3310" s="18" t="s">
        <v>4183</v>
      </c>
    </row>
    <row r="3311" ht="15.75" customHeight="1">
      <c r="A3311" s="20"/>
      <c r="B3311" s="21" t="s">
        <v>4273</v>
      </c>
      <c r="C3311" s="22">
        <v>258.56</v>
      </c>
      <c r="D3311" s="21" t="s">
        <v>4171</v>
      </c>
    </row>
    <row r="3312" ht="15.75" customHeight="1">
      <c r="A3312" s="11"/>
      <c r="B3312" s="12"/>
      <c r="C3312" s="12"/>
      <c r="D3312" s="13"/>
    </row>
    <row r="3313" ht="15.75" customHeight="1">
      <c r="A3313" s="14" t="s">
        <v>4111</v>
      </c>
      <c r="B3313" s="15"/>
      <c r="C3313" s="15"/>
      <c r="D3313" s="15"/>
    </row>
    <row r="3314" ht="15.75" customHeight="1">
      <c r="A3314" s="16">
        <v>1.0</v>
      </c>
      <c r="B3314" s="17" t="s">
        <v>7267</v>
      </c>
      <c r="C3314" s="16">
        <v>1.0</v>
      </c>
      <c r="D3314" s="18" t="s">
        <v>4178</v>
      </c>
    </row>
    <row r="3315" ht="15.75" customHeight="1">
      <c r="A3315" s="16">
        <v>2.0</v>
      </c>
      <c r="B3315" s="17" t="s">
        <v>7268</v>
      </c>
      <c r="C3315" s="16">
        <v>24.0</v>
      </c>
      <c r="D3315" s="18" t="s">
        <v>4178</v>
      </c>
    </row>
    <row r="3316" ht="15.75" customHeight="1">
      <c r="A3316" s="16">
        <v>3.0</v>
      </c>
      <c r="B3316" s="17" t="s">
        <v>7269</v>
      </c>
      <c r="C3316" s="16">
        <v>25.0</v>
      </c>
      <c r="D3316" s="18" t="s">
        <v>4178</v>
      </c>
    </row>
    <row r="3317" ht="15.75" customHeight="1">
      <c r="A3317" s="16">
        <v>4.0</v>
      </c>
      <c r="B3317" s="17" t="s">
        <v>7270</v>
      </c>
      <c r="C3317" s="16">
        <v>7.0</v>
      </c>
      <c r="D3317" s="18" t="s">
        <v>4178</v>
      </c>
    </row>
    <row r="3318" ht="15.75" customHeight="1">
      <c r="A3318" s="16">
        <v>5.0</v>
      </c>
      <c r="B3318" s="17" t="s">
        <v>7271</v>
      </c>
      <c r="C3318" s="16">
        <v>7.0</v>
      </c>
      <c r="D3318" s="18" t="s">
        <v>4178</v>
      </c>
    </row>
    <row r="3319" ht="15.75" customHeight="1">
      <c r="A3319" s="16">
        <v>6.0</v>
      </c>
      <c r="B3319" s="17" t="s">
        <v>7272</v>
      </c>
      <c r="C3319" s="16">
        <v>22.0</v>
      </c>
      <c r="D3319" s="18" t="s">
        <v>4183</v>
      </c>
    </row>
    <row r="3320" ht="15.75" customHeight="1">
      <c r="A3320" s="16">
        <v>7.0</v>
      </c>
      <c r="B3320" s="17" t="s">
        <v>7273</v>
      </c>
      <c r="C3320" s="16">
        <v>88.0</v>
      </c>
      <c r="D3320" s="18" t="s">
        <v>4178</v>
      </c>
    </row>
    <row r="3321" ht="15.75" customHeight="1">
      <c r="A3321" s="16">
        <v>8.0</v>
      </c>
      <c r="B3321" s="17" t="s">
        <v>7274</v>
      </c>
      <c r="C3321" s="16">
        <v>7.0</v>
      </c>
      <c r="D3321" s="18" t="s">
        <v>4178</v>
      </c>
    </row>
    <row r="3322" ht="15.75" customHeight="1">
      <c r="A3322" s="16">
        <v>9.0</v>
      </c>
      <c r="B3322" s="17" t="s">
        <v>7275</v>
      </c>
      <c r="C3322" s="16">
        <v>3.0</v>
      </c>
      <c r="D3322" s="18" t="s">
        <v>4178</v>
      </c>
    </row>
    <row r="3323" ht="15.75" customHeight="1">
      <c r="A3323" s="16">
        <v>10.0</v>
      </c>
      <c r="B3323" s="17" t="s">
        <v>7276</v>
      </c>
      <c r="C3323" s="16">
        <v>29.0</v>
      </c>
      <c r="D3323" s="18" t="s">
        <v>4178</v>
      </c>
    </row>
    <row r="3324" ht="15.75" customHeight="1">
      <c r="A3324" s="16">
        <v>11.0</v>
      </c>
      <c r="B3324" s="17" t="s">
        <v>7277</v>
      </c>
      <c r="C3324" s="16">
        <v>16.0</v>
      </c>
      <c r="D3324" s="18" t="s">
        <v>4178</v>
      </c>
    </row>
    <row r="3325" ht="15.75" customHeight="1">
      <c r="A3325" s="16">
        <v>12.0</v>
      </c>
      <c r="B3325" s="17" t="s">
        <v>7278</v>
      </c>
      <c r="C3325" s="16">
        <v>16.0</v>
      </c>
      <c r="D3325" s="18" t="s">
        <v>4178</v>
      </c>
    </row>
    <row r="3326" ht="15.75" customHeight="1">
      <c r="A3326" s="16">
        <v>13.0</v>
      </c>
      <c r="B3326" s="17" t="s">
        <v>7279</v>
      </c>
      <c r="C3326" s="16">
        <v>5.0</v>
      </c>
      <c r="D3326" s="18" t="s">
        <v>4178</v>
      </c>
    </row>
    <row r="3327" ht="15.75" customHeight="1">
      <c r="A3327" s="16">
        <v>14.0</v>
      </c>
      <c r="B3327" s="17" t="s">
        <v>7280</v>
      </c>
      <c r="C3327" s="16">
        <v>6.0</v>
      </c>
      <c r="D3327" s="18" t="s">
        <v>4178</v>
      </c>
    </row>
    <row r="3328" ht="15.75" customHeight="1">
      <c r="A3328" s="16">
        <v>15.0</v>
      </c>
      <c r="B3328" s="17" t="s">
        <v>7281</v>
      </c>
      <c r="C3328" s="16">
        <v>11.0</v>
      </c>
      <c r="D3328" s="18" t="s">
        <v>4178</v>
      </c>
    </row>
    <row r="3329" ht="15.75" customHeight="1">
      <c r="A3329" s="16">
        <v>16.0</v>
      </c>
      <c r="B3329" s="17" t="s">
        <v>7282</v>
      </c>
      <c r="C3329" s="16">
        <v>24.0</v>
      </c>
      <c r="D3329" s="18" t="s">
        <v>4178</v>
      </c>
    </row>
    <row r="3330" ht="15.75" customHeight="1">
      <c r="A3330" s="16">
        <v>17.0</v>
      </c>
      <c r="B3330" s="17" t="s">
        <v>7283</v>
      </c>
      <c r="C3330" s="16">
        <v>21.0</v>
      </c>
      <c r="D3330" s="18" t="s">
        <v>4178</v>
      </c>
    </row>
    <row r="3331" ht="15.75" customHeight="1">
      <c r="A3331" s="16">
        <v>18.0</v>
      </c>
      <c r="B3331" s="17" t="s">
        <v>7284</v>
      </c>
      <c r="C3331" s="16">
        <v>10.0</v>
      </c>
      <c r="D3331" s="18" t="s">
        <v>4178</v>
      </c>
    </row>
    <row r="3332" ht="15.75" customHeight="1">
      <c r="A3332" s="16">
        <v>19.0</v>
      </c>
      <c r="B3332" s="17" t="s">
        <v>7285</v>
      </c>
      <c r="C3332" s="16">
        <v>3.0</v>
      </c>
      <c r="D3332" s="18" t="s">
        <v>4178</v>
      </c>
    </row>
    <row r="3333" ht="15.75" customHeight="1">
      <c r="A3333" s="16">
        <v>20.0</v>
      </c>
      <c r="B3333" s="17" t="s">
        <v>7286</v>
      </c>
      <c r="C3333" s="16">
        <v>9.0</v>
      </c>
      <c r="D3333" s="18" t="s">
        <v>4178</v>
      </c>
    </row>
    <row r="3334" ht="15.75" customHeight="1">
      <c r="A3334" s="20"/>
      <c r="B3334" s="21" t="s">
        <v>4273</v>
      </c>
      <c r="C3334" s="23">
        <v>334.0</v>
      </c>
      <c r="D3334" s="21" t="s">
        <v>4171</v>
      </c>
    </row>
    <row r="3335" ht="15.75" customHeight="1">
      <c r="A3335" s="11"/>
      <c r="B3335" s="12"/>
      <c r="C3335" s="12"/>
      <c r="D3335" s="13"/>
    </row>
    <row r="3336" ht="15.75" customHeight="1">
      <c r="A3336" s="14" t="s">
        <v>4115</v>
      </c>
      <c r="B3336" s="15"/>
      <c r="C3336" s="15"/>
      <c r="D3336" s="15"/>
    </row>
    <row r="3337" ht="15.75" customHeight="1">
      <c r="A3337" s="16">
        <v>1.0</v>
      </c>
      <c r="B3337" s="17" t="s">
        <v>7287</v>
      </c>
      <c r="C3337" s="16">
        <v>9.0</v>
      </c>
      <c r="D3337" s="18" t="s">
        <v>4183</v>
      </c>
    </row>
    <row r="3338" ht="15.75" customHeight="1">
      <c r="A3338" s="16">
        <v>2.0</v>
      </c>
      <c r="B3338" s="17" t="s">
        <v>7288</v>
      </c>
      <c r="C3338" s="16">
        <v>3.0</v>
      </c>
      <c r="D3338" s="18" t="s">
        <v>4183</v>
      </c>
    </row>
    <row r="3339" ht="15.75" customHeight="1">
      <c r="A3339" s="16">
        <v>3.0</v>
      </c>
      <c r="B3339" s="17" t="s">
        <v>7289</v>
      </c>
      <c r="C3339" s="16">
        <v>6.0</v>
      </c>
      <c r="D3339" s="18" t="s">
        <v>4183</v>
      </c>
    </row>
    <row r="3340" ht="15.75" customHeight="1">
      <c r="A3340" s="16">
        <v>4.0</v>
      </c>
      <c r="B3340" s="17" t="s">
        <v>7290</v>
      </c>
      <c r="C3340" s="16">
        <v>4.0</v>
      </c>
      <c r="D3340" s="18" t="s">
        <v>4183</v>
      </c>
    </row>
    <row r="3341" ht="15.75" customHeight="1">
      <c r="A3341" s="16">
        <v>5.0</v>
      </c>
      <c r="B3341" s="17" t="s">
        <v>7291</v>
      </c>
      <c r="C3341" s="16">
        <v>31.0</v>
      </c>
      <c r="D3341" s="18" t="s">
        <v>4183</v>
      </c>
    </row>
    <row r="3342" ht="15.75" customHeight="1">
      <c r="A3342" s="16">
        <v>6.0</v>
      </c>
      <c r="B3342" s="17" t="s">
        <v>7292</v>
      </c>
      <c r="C3342" s="16">
        <v>12.0</v>
      </c>
      <c r="D3342" s="18" t="s">
        <v>4183</v>
      </c>
    </row>
    <row r="3343" ht="15.75" customHeight="1">
      <c r="A3343" s="16">
        <v>7.0</v>
      </c>
      <c r="B3343" s="17" t="s">
        <v>7293</v>
      </c>
      <c r="C3343" s="16">
        <v>1.0</v>
      </c>
      <c r="D3343" s="18" t="s">
        <v>4183</v>
      </c>
    </row>
    <row r="3344" ht="15.75" customHeight="1">
      <c r="A3344" s="16">
        <v>8.0</v>
      </c>
      <c r="B3344" s="17" t="s">
        <v>7294</v>
      </c>
      <c r="C3344" s="16">
        <v>145.0</v>
      </c>
      <c r="D3344" s="18" t="s">
        <v>4183</v>
      </c>
    </row>
    <row r="3345" ht="15.75" customHeight="1">
      <c r="A3345" s="16">
        <v>9.0</v>
      </c>
      <c r="B3345" s="17" t="s">
        <v>7295</v>
      </c>
      <c r="C3345" s="16">
        <v>2.0</v>
      </c>
      <c r="D3345" s="18" t="s">
        <v>4183</v>
      </c>
    </row>
    <row r="3346" ht="15.75" customHeight="1">
      <c r="A3346" s="16">
        <v>10.0</v>
      </c>
      <c r="B3346" s="17" t="s">
        <v>7296</v>
      </c>
      <c r="C3346" s="16">
        <v>4.0</v>
      </c>
      <c r="D3346" s="18" t="s">
        <v>4183</v>
      </c>
    </row>
    <row r="3347" ht="15.75" customHeight="1">
      <c r="A3347" s="16">
        <v>11.0</v>
      </c>
      <c r="B3347" s="17" t="s">
        <v>7297</v>
      </c>
      <c r="C3347" s="16">
        <v>3.0</v>
      </c>
      <c r="D3347" s="18" t="s">
        <v>4183</v>
      </c>
    </row>
    <row r="3348" ht="15.75" customHeight="1">
      <c r="A3348" s="16">
        <v>12.0</v>
      </c>
      <c r="B3348" s="17" t="s">
        <v>7298</v>
      </c>
      <c r="C3348" s="16">
        <v>30.0</v>
      </c>
      <c r="D3348" s="18" t="s">
        <v>4183</v>
      </c>
    </row>
    <row r="3349" ht="15.75" customHeight="1">
      <c r="A3349" s="16">
        <v>13.0</v>
      </c>
      <c r="B3349" s="17" t="s">
        <v>7299</v>
      </c>
      <c r="C3349" s="16">
        <v>52.0</v>
      </c>
      <c r="D3349" s="18" t="s">
        <v>4183</v>
      </c>
    </row>
    <row r="3350" ht="15.75" customHeight="1">
      <c r="A3350" s="16">
        <v>14.0</v>
      </c>
      <c r="B3350" s="17" t="s">
        <v>7300</v>
      </c>
      <c r="C3350" s="16">
        <v>7.0</v>
      </c>
      <c r="D3350" s="18" t="s">
        <v>4183</v>
      </c>
    </row>
    <row r="3351" ht="15.75" customHeight="1">
      <c r="A3351" s="16">
        <v>15.0</v>
      </c>
      <c r="B3351" s="17" t="s">
        <v>7301</v>
      </c>
      <c r="C3351" s="16">
        <v>10.0</v>
      </c>
      <c r="D3351" s="18" t="s">
        <v>4183</v>
      </c>
    </row>
    <row r="3352" ht="15.75" customHeight="1">
      <c r="A3352" s="16">
        <v>16.0</v>
      </c>
      <c r="B3352" s="17" t="s">
        <v>7302</v>
      </c>
      <c r="C3352" s="16">
        <v>4.0</v>
      </c>
      <c r="D3352" s="18" t="s">
        <v>4183</v>
      </c>
    </row>
    <row r="3353" ht="15.75" customHeight="1">
      <c r="A3353" s="16">
        <v>17.0</v>
      </c>
      <c r="B3353" s="17" t="s">
        <v>7303</v>
      </c>
      <c r="C3353" s="16">
        <v>20.0</v>
      </c>
      <c r="D3353" s="18" t="s">
        <v>4183</v>
      </c>
    </row>
    <row r="3354" ht="15.75" customHeight="1">
      <c r="A3354" s="16">
        <v>18.0</v>
      </c>
      <c r="B3354" s="17" t="s">
        <v>7304</v>
      </c>
      <c r="C3354" s="16">
        <v>22.0</v>
      </c>
      <c r="D3354" s="18" t="s">
        <v>4183</v>
      </c>
    </row>
    <row r="3355" ht="15.75" customHeight="1">
      <c r="A3355" s="20"/>
      <c r="B3355" s="21" t="s">
        <v>4273</v>
      </c>
      <c r="C3355" s="23">
        <v>365.0</v>
      </c>
      <c r="D3355" s="21" t="s">
        <v>4171</v>
      </c>
    </row>
    <row r="3356" ht="15.75" customHeight="1">
      <c r="A3356" s="11"/>
      <c r="B3356" s="12"/>
      <c r="C3356" s="12"/>
      <c r="D3356" s="13"/>
    </row>
    <row r="3357" ht="15.75" customHeight="1">
      <c r="A3357" s="14" t="s">
        <v>4098</v>
      </c>
      <c r="B3357" s="15"/>
      <c r="C3357" s="15"/>
      <c r="D3357" s="15"/>
    </row>
    <row r="3358" ht="15.75" customHeight="1">
      <c r="A3358" s="16">
        <v>1.0</v>
      </c>
      <c r="B3358" s="17" t="s">
        <v>7305</v>
      </c>
      <c r="C3358" s="16">
        <v>4.0</v>
      </c>
      <c r="D3358" s="18" t="s">
        <v>4183</v>
      </c>
    </row>
    <row r="3359" ht="15.75" customHeight="1">
      <c r="A3359" s="16">
        <v>2.0</v>
      </c>
      <c r="B3359" s="17" t="s">
        <v>7306</v>
      </c>
      <c r="C3359" s="16">
        <v>4.0</v>
      </c>
      <c r="D3359" s="18" t="s">
        <v>4183</v>
      </c>
    </row>
    <row r="3360" ht="15.75" customHeight="1">
      <c r="A3360" s="16">
        <v>3.0</v>
      </c>
      <c r="B3360" s="17" t="s">
        <v>7307</v>
      </c>
      <c r="C3360" s="16">
        <v>8.0</v>
      </c>
      <c r="D3360" s="18" t="s">
        <v>4183</v>
      </c>
    </row>
    <row r="3361" ht="15.75" customHeight="1">
      <c r="A3361" s="16">
        <v>4.0</v>
      </c>
      <c r="B3361" s="17" t="s">
        <v>7308</v>
      </c>
      <c r="C3361" s="16">
        <v>5.0</v>
      </c>
      <c r="D3361" s="18" t="s">
        <v>4183</v>
      </c>
    </row>
    <row r="3362" ht="15.75" customHeight="1">
      <c r="A3362" s="16">
        <v>5.0</v>
      </c>
      <c r="B3362" s="17" t="s">
        <v>7309</v>
      </c>
      <c r="C3362" s="16">
        <v>3.0</v>
      </c>
      <c r="D3362" s="18" t="s">
        <v>4183</v>
      </c>
    </row>
    <row r="3363" ht="15.75" customHeight="1">
      <c r="A3363" s="16">
        <v>6.0</v>
      </c>
      <c r="B3363" s="17" t="s">
        <v>7310</v>
      </c>
      <c r="C3363" s="16">
        <v>5.0</v>
      </c>
      <c r="D3363" s="18" t="s">
        <v>4183</v>
      </c>
    </row>
    <row r="3364" ht="15.75" customHeight="1">
      <c r="A3364" s="16">
        <v>7.0</v>
      </c>
      <c r="B3364" s="17" t="s">
        <v>7311</v>
      </c>
      <c r="C3364" s="16">
        <v>1.0</v>
      </c>
      <c r="D3364" s="18" t="s">
        <v>4183</v>
      </c>
    </row>
    <row r="3365" ht="15.75" customHeight="1">
      <c r="A3365" s="16">
        <v>8.0</v>
      </c>
      <c r="B3365" s="17" t="s">
        <v>7312</v>
      </c>
      <c r="C3365" s="16">
        <v>4.0</v>
      </c>
      <c r="D3365" s="18" t="s">
        <v>4183</v>
      </c>
    </row>
    <row r="3366" ht="15.75" customHeight="1">
      <c r="A3366" s="16">
        <v>9.0</v>
      </c>
      <c r="B3366" s="17" t="s">
        <v>7313</v>
      </c>
      <c r="C3366" s="16">
        <v>5.0</v>
      </c>
      <c r="D3366" s="18" t="s">
        <v>4183</v>
      </c>
    </row>
    <row r="3367" ht="15.75" customHeight="1">
      <c r="A3367" s="16">
        <v>10.0</v>
      </c>
      <c r="B3367" s="17" t="s">
        <v>7314</v>
      </c>
      <c r="C3367" s="16">
        <v>9.0</v>
      </c>
      <c r="D3367" s="18" t="s">
        <v>4183</v>
      </c>
    </row>
    <row r="3368" ht="15.75" customHeight="1">
      <c r="A3368" s="16">
        <v>11.0</v>
      </c>
      <c r="B3368" s="17" t="s">
        <v>7315</v>
      </c>
      <c r="C3368" s="16">
        <v>21.0</v>
      </c>
      <c r="D3368" s="18" t="s">
        <v>4183</v>
      </c>
    </row>
    <row r="3369" ht="15.75" customHeight="1">
      <c r="A3369" s="16">
        <v>12.0</v>
      </c>
      <c r="B3369" s="17" t="s">
        <v>7316</v>
      </c>
      <c r="C3369" s="16">
        <v>10.0</v>
      </c>
      <c r="D3369" s="18" t="s">
        <v>4183</v>
      </c>
    </row>
    <row r="3370" ht="15.75" customHeight="1">
      <c r="A3370" s="16">
        <v>13.0</v>
      </c>
      <c r="B3370" s="17" t="s">
        <v>7317</v>
      </c>
      <c r="C3370" s="16">
        <v>36.0</v>
      </c>
      <c r="D3370" s="18" t="s">
        <v>4183</v>
      </c>
    </row>
    <row r="3371" ht="15.75" customHeight="1">
      <c r="A3371" s="16">
        <v>14.0</v>
      </c>
      <c r="B3371" s="17" t="s">
        <v>7318</v>
      </c>
      <c r="C3371" s="16">
        <v>5.0</v>
      </c>
      <c r="D3371" s="18" t="s">
        <v>4178</v>
      </c>
    </row>
    <row r="3372" ht="15.75" customHeight="1">
      <c r="A3372" s="16">
        <v>15.0</v>
      </c>
      <c r="B3372" s="17" t="s">
        <v>7319</v>
      </c>
      <c r="C3372" s="16">
        <v>10.0</v>
      </c>
      <c r="D3372" s="18" t="s">
        <v>4183</v>
      </c>
    </row>
    <row r="3373" ht="15.75" customHeight="1">
      <c r="A3373" s="16">
        <v>16.0</v>
      </c>
      <c r="B3373" s="17" t="s">
        <v>7320</v>
      </c>
      <c r="C3373" s="16">
        <v>10.0</v>
      </c>
      <c r="D3373" s="18" t="s">
        <v>4178</v>
      </c>
    </row>
    <row r="3374" ht="15.75" customHeight="1">
      <c r="A3374" s="16">
        <v>17.0</v>
      </c>
      <c r="B3374" s="17" t="s">
        <v>7321</v>
      </c>
      <c r="C3374" s="16">
        <v>27.0</v>
      </c>
      <c r="D3374" s="18" t="s">
        <v>4183</v>
      </c>
    </row>
    <row r="3375" ht="15.75" customHeight="1">
      <c r="A3375" s="16">
        <v>18.0</v>
      </c>
      <c r="B3375" s="17" t="s">
        <v>7322</v>
      </c>
      <c r="C3375" s="16">
        <v>6.0</v>
      </c>
      <c r="D3375" s="18" t="s">
        <v>4183</v>
      </c>
    </row>
    <row r="3376" ht="15.75" customHeight="1">
      <c r="A3376" s="16">
        <v>19.0</v>
      </c>
      <c r="B3376" s="17" t="s">
        <v>7323</v>
      </c>
      <c r="C3376" s="16">
        <v>7.0</v>
      </c>
      <c r="D3376" s="18" t="s">
        <v>4183</v>
      </c>
    </row>
    <row r="3377" ht="15.75" customHeight="1">
      <c r="A3377" s="16">
        <v>20.0</v>
      </c>
      <c r="B3377" s="17" t="s">
        <v>7324</v>
      </c>
      <c r="C3377" s="16">
        <v>3.0</v>
      </c>
      <c r="D3377" s="18" t="s">
        <v>4183</v>
      </c>
    </row>
    <row r="3378" ht="15.75" customHeight="1">
      <c r="A3378" s="16">
        <v>21.0</v>
      </c>
      <c r="B3378" s="17" t="s">
        <v>7325</v>
      </c>
      <c r="C3378" s="16">
        <v>3.0</v>
      </c>
      <c r="D3378" s="18" t="s">
        <v>4183</v>
      </c>
    </row>
    <row r="3379" ht="15.75" customHeight="1">
      <c r="A3379" s="16">
        <v>22.0</v>
      </c>
      <c r="B3379" s="17" t="s">
        <v>7326</v>
      </c>
      <c r="C3379" s="16">
        <v>8.0</v>
      </c>
      <c r="D3379" s="18" t="s">
        <v>4178</v>
      </c>
    </row>
    <row r="3380" ht="15.75" customHeight="1">
      <c r="A3380" s="20"/>
      <c r="B3380" s="21" t="s">
        <v>4273</v>
      </c>
      <c r="C3380" s="23">
        <v>194.0</v>
      </c>
      <c r="D3380" s="21" t="s">
        <v>4171</v>
      </c>
    </row>
    <row r="3381" ht="15.75" customHeight="1">
      <c r="A3381" s="11"/>
      <c r="B3381" s="12"/>
      <c r="C3381" s="12"/>
      <c r="D3381" s="13"/>
    </row>
    <row r="3382" ht="15.75" customHeight="1">
      <c r="A3382" s="14" t="s">
        <v>4105</v>
      </c>
      <c r="B3382" s="15"/>
      <c r="C3382" s="15"/>
      <c r="D3382" s="15"/>
    </row>
    <row r="3383" ht="15.75" customHeight="1">
      <c r="A3383" s="16">
        <v>1.0</v>
      </c>
      <c r="B3383" s="17" t="s">
        <v>7327</v>
      </c>
      <c r="C3383" s="16">
        <v>2.0</v>
      </c>
      <c r="D3383" s="18" t="s">
        <v>4183</v>
      </c>
    </row>
    <row r="3384" ht="15.75" customHeight="1">
      <c r="A3384" s="16">
        <v>2.0</v>
      </c>
      <c r="B3384" s="17" t="s">
        <v>7328</v>
      </c>
      <c r="C3384" s="16">
        <v>12.0</v>
      </c>
      <c r="D3384" s="18" t="s">
        <v>4183</v>
      </c>
    </row>
    <row r="3385" ht="15.75" customHeight="1">
      <c r="A3385" s="16">
        <v>3.0</v>
      </c>
      <c r="B3385" s="17" t="s">
        <v>7329</v>
      </c>
      <c r="C3385" s="16">
        <v>2.0</v>
      </c>
      <c r="D3385" s="18" t="s">
        <v>4183</v>
      </c>
    </row>
    <row r="3386" ht="15.75" customHeight="1">
      <c r="A3386" s="16">
        <v>4.0</v>
      </c>
      <c r="B3386" s="17" t="s">
        <v>7330</v>
      </c>
      <c r="C3386" s="16">
        <v>4.0</v>
      </c>
      <c r="D3386" s="18" t="s">
        <v>4183</v>
      </c>
    </row>
    <row r="3387" ht="15.75" customHeight="1">
      <c r="A3387" s="16">
        <v>5.0</v>
      </c>
      <c r="B3387" s="17" t="s">
        <v>7331</v>
      </c>
      <c r="C3387" s="16">
        <v>7.0</v>
      </c>
      <c r="D3387" s="18" t="s">
        <v>4183</v>
      </c>
    </row>
    <row r="3388" ht="15.75" customHeight="1">
      <c r="A3388" s="16">
        <v>6.0</v>
      </c>
      <c r="B3388" s="17" t="s">
        <v>7332</v>
      </c>
      <c r="C3388" s="16">
        <v>15.0</v>
      </c>
      <c r="D3388" s="18" t="s">
        <v>4183</v>
      </c>
    </row>
    <row r="3389" ht="15.75" customHeight="1">
      <c r="A3389" s="16">
        <v>7.0</v>
      </c>
      <c r="B3389" s="17" t="s">
        <v>7333</v>
      </c>
      <c r="C3389" s="16">
        <v>85.0</v>
      </c>
      <c r="D3389" s="18" t="s">
        <v>4183</v>
      </c>
    </row>
    <row r="3390" ht="15.75" customHeight="1">
      <c r="A3390" s="16">
        <v>8.0</v>
      </c>
      <c r="B3390" s="17" t="s">
        <v>7334</v>
      </c>
      <c r="C3390" s="16">
        <v>70.0</v>
      </c>
      <c r="D3390" s="18" t="s">
        <v>4183</v>
      </c>
    </row>
    <row r="3391" ht="15.75" customHeight="1">
      <c r="A3391" s="16">
        <v>9.0</v>
      </c>
      <c r="B3391" s="17" t="s">
        <v>7335</v>
      </c>
      <c r="C3391" s="16">
        <v>4.0</v>
      </c>
      <c r="D3391" s="18" t="s">
        <v>4183</v>
      </c>
    </row>
    <row r="3392" ht="15.75" customHeight="1">
      <c r="A3392" s="16">
        <v>10.0</v>
      </c>
      <c r="B3392" s="17" t="s">
        <v>7336</v>
      </c>
      <c r="C3392" s="18" t="s">
        <v>4635</v>
      </c>
      <c r="D3392" s="18" t="s">
        <v>4183</v>
      </c>
    </row>
    <row r="3393" ht="15.75" customHeight="1">
      <c r="A3393" s="16">
        <v>11.0</v>
      </c>
      <c r="B3393" s="17" t="s">
        <v>7337</v>
      </c>
      <c r="C3393" s="16">
        <v>12.0</v>
      </c>
      <c r="D3393" s="18" t="s">
        <v>4183</v>
      </c>
    </row>
    <row r="3394" ht="15.75" customHeight="1">
      <c r="A3394" s="16">
        <v>12.0</v>
      </c>
      <c r="B3394" s="17" t="s">
        <v>7338</v>
      </c>
      <c r="C3394" s="16">
        <v>1.0</v>
      </c>
      <c r="D3394" s="18" t="s">
        <v>4183</v>
      </c>
    </row>
    <row r="3395" ht="15.75" customHeight="1">
      <c r="A3395" s="16">
        <v>13.0</v>
      </c>
      <c r="B3395" s="17" t="s">
        <v>7339</v>
      </c>
      <c r="C3395" s="16">
        <v>38.0</v>
      </c>
      <c r="D3395" s="18" t="s">
        <v>4183</v>
      </c>
    </row>
    <row r="3396" ht="15.75" customHeight="1">
      <c r="A3396" s="16">
        <v>14.0</v>
      </c>
      <c r="B3396" s="17" t="s">
        <v>7340</v>
      </c>
      <c r="C3396" s="16">
        <v>4.0</v>
      </c>
      <c r="D3396" s="18" t="s">
        <v>4183</v>
      </c>
    </row>
    <row r="3397" ht="15.75" customHeight="1">
      <c r="A3397" s="16">
        <v>15.0</v>
      </c>
      <c r="B3397" s="17" t="s">
        <v>7341</v>
      </c>
      <c r="C3397" s="16">
        <v>4.0</v>
      </c>
      <c r="D3397" s="18" t="s">
        <v>4183</v>
      </c>
    </row>
    <row r="3398" ht="15.75" customHeight="1">
      <c r="A3398" s="16">
        <v>16.0</v>
      </c>
      <c r="B3398" s="17" t="s">
        <v>7342</v>
      </c>
      <c r="C3398" s="16">
        <v>15.0</v>
      </c>
      <c r="D3398" s="18" t="s">
        <v>4183</v>
      </c>
    </row>
    <row r="3399" ht="15.75" customHeight="1">
      <c r="A3399" s="16">
        <v>17.0</v>
      </c>
      <c r="B3399" s="17" t="s">
        <v>7343</v>
      </c>
      <c r="C3399" s="16">
        <v>15.0</v>
      </c>
      <c r="D3399" s="18" t="s">
        <v>4183</v>
      </c>
    </row>
    <row r="3400" ht="15.75" customHeight="1">
      <c r="A3400" s="16">
        <v>18.0</v>
      </c>
      <c r="B3400" s="17" t="s">
        <v>7344</v>
      </c>
      <c r="C3400" s="16">
        <v>12.0</v>
      </c>
      <c r="D3400" s="18" t="s">
        <v>4183</v>
      </c>
    </row>
    <row r="3401" ht="15.75" customHeight="1">
      <c r="A3401" s="16">
        <v>19.0</v>
      </c>
      <c r="B3401" s="17" t="s">
        <v>7345</v>
      </c>
      <c r="C3401" s="16">
        <v>8.0</v>
      </c>
      <c r="D3401" s="18" t="s">
        <v>4183</v>
      </c>
    </row>
    <row r="3402" ht="15.75" customHeight="1">
      <c r="A3402" s="16">
        <v>20.0</v>
      </c>
      <c r="B3402" s="17" t="s">
        <v>7346</v>
      </c>
      <c r="C3402" s="16">
        <v>20.0</v>
      </c>
      <c r="D3402" s="18" t="s">
        <v>4183</v>
      </c>
    </row>
    <row r="3403" ht="15.75" customHeight="1">
      <c r="A3403" s="16">
        <v>21.0</v>
      </c>
      <c r="B3403" s="17" t="s">
        <v>7347</v>
      </c>
      <c r="C3403" s="16">
        <v>3.0</v>
      </c>
      <c r="D3403" s="18" t="s">
        <v>4183</v>
      </c>
    </row>
    <row r="3404" ht="15.75" customHeight="1">
      <c r="A3404" s="20"/>
      <c r="B3404" s="21" t="s">
        <v>4273</v>
      </c>
      <c r="C3404" s="23">
        <v>327.0</v>
      </c>
      <c r="D3404" s="21" t="s">
        <v>4171</v>
      </c>
    </row>
    <row r="3405" ht="15.75" customHeight="1">
      <c r="A3405" s="11"/>
      <c r="B3405" s="12"/>
      <c r="C3405" s="12"/>
      <c r="D3405" s="13"/>
    </row>
    <row r="3406" ht="15.75" customHeight="1">
      <c r="A3406" s="14" t="s">
        <v>4147</v>
      </c>
      <c r="B3406" s="15"/>
      <c r="C3406" s="15"/>
      <c r="D3406" s="15"/>
    </row>
    <row r="3407" ht="15.75" customHeight="1">
      <c r="A3407" s="16">
        <v>1.0</v>
      </c>
      <c r="B3407" s="17" t="s">
        <v>7348</v>
      </c>
      <c r="C3407" s="16">
        <v>2.0</v>
      </c>
      <c r="D3407" s="18" t="s">
        <v>4183</v>
      </c>
    </row>
    <row r="3408" ht="15.75" customHeight="1">
      <c r="A3408" s="16">
        <v>2.0</v>
      </c>
      <c r="B3408" s="17" t="s">
        <v>7349</v>
      </c>
      <c r="C3408" s="16">
        <v>5.0</v>
      </c>
      <c r="D3408" s="18" t="s">
        <v>4183</v>
      </c>
    </row>
    <row r="3409" ht="15.75" customHeight="1">
      <c r="A3409" s="16">
        <v>3.0</v>
      </c>
      <c r="B3409" s="17" t="s">
        <v>7350</v>
      </c>
      <c r="C3409" s="16">
        <v>19.0</v>
      </c>
      <c r="D3409" s="18" t="s">
        <v>4183</v>
      </c>
    </row>
    <row r="3410" ht="15.75" customHeight="1">
      <c r="A3410" s="16">
        <v>4.0</v>
      </c>
      <c r="B3410" s="17" t="s">
        <v>7351</v>
      </c>
      <c r="C3410" s="16">
        <v>10.0</v>
      </c>
      <c r="D3410" s="18" t="s">
        <v>4183</v>
      </c>
    </row>
    <row r="3411" ht="15.75" customHeight="1">
      <c r="A3411" s="16">
        <v>5.0</v>
      </c>
      <c r="B3411" s="17" t="s">
        <v>7352</v>
      </c>
      <c r="C3411" s="16">
        <v>2.0</v>
      </c>
      <c r="D3411" s="18" t="s">
        <v>4183</v>
      </c>
    </row>
    <row r="3412" ht="15.75" customHeight="1">
      <c r="A3412" s="16">
        <v>6.0</v>
      </c>
      <c r="B3412" s="17" t="s">
        <v>7353</v>
      </c>
      <c r="C3412" s="16">
        <v>7.0</v>
      </c>
      <c r="D3412" s="18" t="s">
        <v>4183</v>
      </c>
    </row>
    <row r="3413" ht="15.75" customHeight="1">
      <c r="A3413" s="20"/>
      <c r="B3413" s="21" t="s">
        <v>4273</v>
      </c>
      <c r="C3413" s="23">
        <v>45.0</v>
      </c>
      <c r="D3413" s="21" t="s">
        <v>4171</v>
      </c>
    </row>
    <row r="3414" ht="15.75" customHeight="1">
      <c r="A3414" s="11"/>
      <c r="B3414" s="12"/>
      <c r="C3414" s="12"/>
      <c r="D3414" s="13"/>
    </row>
    <row r="3415" ht="15.75" customHeight="1">
      <c r="A3415" s="11"/>
      <c r="B3415" s="12"/>
      <c r="C3415" s="12"/>
      <c r="D3415" s="13"/>
    </row>
    <row r="3416" ht="15.75" customHeight="1">
      <c r="A3416" s="14" t="s">
        <v>4138</v>
      </c>
      <c r="B3416" s="15"/>
      <c r="C3416" s="15"/>
      <c r="D3416" s="15"/>
    </row>
    <row r="3417" ht="15.75" customHeight="1">
      <c r="A3417" s="16">
        <v>1.0</v>
      </c>
      <c r="B3417" s="17" t="s">
        <v>7354</v>
      </c>
      <c r="C3417" s="16">
        <v>20.0</v>
      </c>
      <c r="D3417" s="18" t="s">
        <v>4178</v>
      </c>
    </row>
    <row r="3418" ht="15.75" customHeight="1">
      <c r="A3418" s="16">
        <v>2.0</v>
      </c>
      <c r="B3418" s="17" t="s">
        <v>7355</v>
      </c>
      <c r="C3418" s="16">
        <v>14.0</v>
      </c>
      <c r="D3418" s="18" t="s">
        <v>4178</v>
      </c>
    </row>
    <row r="3419" ht="15.75" customHeight="1">
      <c r="A3419" s="16">
        <v>3.0</v>
      </c>
      <c r="B3419" s="17" t="s">
        <v>7356</v>
      </c>
      <c r="C3419" s="16">
        <v>10.0</v>
      </c>
      <c r="D3419" s="18" t="s">
        <v>4178</v>
      </c>
    </row>
    <row r="3420" ht="15.75" customHeight="1">
      <c r="A3420" s="16">
        <v>4.0</v>
      </c>
      <c r="B3420" s="17" t="s">
        <v>7357</v>
      </c>
      <c r="C3420" s="16">
        <v>12.0</v>
      </c>
      <c r="D3420" s="18" t="s">
        <v>4178</v>
      </c>
    </row>
    <row r="3421" ht="15.75" customHeight="1">
      <c r="A3421" s="16">
        <v>5.0</v>
      </c>
      <c r="B3421" s="17" t="s">
        <v>7358</v>
      </c>
      <c r="C3421" s="16">
        <v>29.0</v>
      </c>
      <c r="D3421" s="18" t="s">
        <v>4178</v>
      </c>
    </row>
    <row r="3422" ht="15.75" customHeight="1">
      <c r="A3422" s="16">
        <v>6.0</v>
      </c>
      <c r="B3422" s="17" t="s">
        <v>7359</v>
      </c>
      <c r="C3422" s="16">
        <v>44.0</v>
      </c>
      <c r="D3422" s="18" t="s">
        <v>4178</v>
      </c>
    </row>
    <row r="3423" ht="15.75" customHeight="1">
      <c r="A3423" s="16">
        <v>7.0</v>
      </c>
      <c r="B3423" s="17" t="s">
        <v>7360</v>
      </c>
      <c r="C3423" s="16">
        <v>3.0</v>
      </c>
      <c r="D3423" s="18" t="s">
        <v>4178</v>
      </c>
    </row>
    <row r="3424" ht="15.75" customHeight="1">
      <c r="A3424" s="16">
        <v>8.0</v>
      </c>
      <c r="B3424" s="17" t="s">
        <v>7361</v>
      </c>
      <c r="C3424" s="16">
        <v>72.0</v>
      </c>
      <c r="D3424" s="18" t="s">
        <v>4178</v>
      </c>
    </row>
    <row r="3425" ht="15.75" customHeight="1">
      <c r="A3425" s="20"/>
      <c r="B3425" s="21" t="s">
        <v>4273</v>
      </c>
      <c r="C3425" s="23">
        <v>204.0</v>
      </c>
      <c r="D3425" s="21" t="s">
        <v>4171</v>
      </c>
    </row>
    <row r="3426" ht="15.75" customHeight="1">
      <c r="A3426" s="11"/>
      <c r="B3426" s="12"/>
      <c r="C3426" s="12"/>
      <c r="D3426" s="13"/>
    </row>
    <row r="3427" ht="15.75" customHeight="1">
      <c r="A3427" s="14" t="s">
        <v>4083</v>
      </c>
      <c r="B3427" s="15"/>
      <c r="C3427" s="15"/>
      <c r="D3427" s="15"/>
    </row>
    <row r="3428" ht="15.75" customHeight="1">
      <c r="A3428" s="16">
        <v>1.0</v>
      </c>
      <c r="B3428" s="17" t="s">
        <v>7362</v>
      </c>
      <c r="C3428" s="16">
        <v>12.0</v>
      </c>
      <c r="D3428" s="18" t="s">
        <v>4183</v>
      </c>
    </row>
    <row r="3429" ht="15.75" customHeight="1">
      <c r="A3429" s="16">
        <v>2.0</v>
      </c>
      <c r="B3429" s="17" t="s">
        <v>7363</v>
      </c>
      <c r="C3429" s="16">
        <v>4.0</v>
      </c>
      <c r="D3429" s="18" t="s">
        <v>4178</v>
      </c>
    </row>
    <row r="3430" ht="15.75" customHeight="1">
      <c r="A3430" s="16">
        <v>3.0</v>
      </c>
      <c r="B3430" s="17" t="s">
        <v>7364</v>
      </c>
      <c r="C3430" s="16">
        <v>10.0</v>
      </c>
      <c r="D3430" s="18" t="s">
        <v>4178</v>
      </c>
    </row>
    <row r="3431" ht="15.75" customHeight="1">
      <c r="A3431" s="16">
        <v>4.0</v>
      </c>
      <c r="B3431" s="17" t="s">
        <v>7365</v>
      </c>
      <c r="C3431" s="16">
        <v>10.0</v>
      </c>
      <c r="D3431" s="18" t="s">
        <v>4183</v>
      </c>
    </row>
    <row r="3432" ht="15.75" customHeight="1">
      <c r="A3432" s="16">
        <v>5.0</v>
      </c>
      <c r="B3432" s="17" t="s">
        <v>7366</v>
      </c>
      <c r="C3432" s="16">
        <v>17.0</v>
      </c>
      <c r="D3432" s="18" t="s">
        <v>4178</v>
      </c>
    </row>
    <row r="3433" ht="15.75" customHeight="1">
      <c r="A3433" s="16">
        <v>6.0</v>
      </c>
      <c r="B3433" s="17" t="s">
        <v>7367</v>
      </c>
      <c r="C3433" s="16">
        <v>4.0</v>
      </c>
      <c r="D3433" s="18" t="s">
        <v>4178</v>
      </c>
    </row>
    <row r="3434" ht="15.75" customHeight="1">
      <c r="A3434" s="16">
        <v>7.0</v>
      </c>
      <c r="B3434" s="17" t="s">
        <v>7368</v>
      </c>
      <c r="C3434" s="16">
        <v>7.0</v>
      </c>
      <c r="D3434" s="18" t="s">
        <v>4178</v>
      </c>
    </row>
    <row r="3435" ht="15.75" customHeight="1">
      <c r="A3435" s="16">
        <v>8.0</v>
      </c>
      <c r="B3435" s="17" t="s">
        <v>7369</v>
      </c>
      <c r="C3435" s="16">
        <v>3.0</v>
      </c>
      <c r="D3435" s="18" t="s">
        <v>4178</v>
      </c>
    </row>
    <row r="3436" ht="15.75" customHeight="1">
      <c r="A3436" s="16">
        <v>9.0</v>
      </c>
      <c r="B3436" s="17" t="s">
        <v>7370</v>
      </c>
      <c r="C3436" s="16">
        <v>3.0</v>
      </c>
      <c r="D3436" s="18" t="s">
        <v>4178</v>
      </c>
    </row>
    <row r="3437" ht="15.75" customHeight="1">
      <c r="A3437" s="16">
        <v>10.0</v>
      </c>
      <c r="B3437" s="17" t="s">
        <v>7371</v>
      </c>
      <c r="C3437" s="16">
        <v>14.0</v>
      </c>
      <c r="D3437" s="18" t="s">
        <v>4178</v>
      </c>
    </row>
    <row r="3438" ht="15.75" customHeight="1">
      <c r="A3438" s="16">
        <v>11.0</v>
      </c>
      <c r="B3438" s="17" t="s">
        <v>7372</v>
      </c>
      <c r="C3438" s="16">
        <v>7.0</v>
      </c>
      <c r="D3438" s="18" t="s">
        <v>4178</v>
      </c>
    </row>
    <row r="3439" ht="15.75" customHeight="1">
      <c r="A3439" s="16">
        <v>12.0</v>
      </c>
      <c r="B3439" s="17" t="s">
        <v>7373</v>
      </c>
      <c r="C3439" s="16">
        <v>5.0</v>
      </c>
      <c r="D3439" s="18" t="s">
        <v>4178</v>
      </c>
    </row>
    <row r="3440" ht="15.75" customHeight="1">
      <c r="A3440" s="16">
        <v>13.0</v>
      </c>
      <c r="B3440" s="17" t="s">
        <v>7374</v>
      </c>
      <c r="C3440" s="16">
        <v>1.0</v>
      </c>
      <c r="D3440" s="18" t="s">
        <v>4178</v>
      </c>
    </row>
    <row r="3441" ht="15.75" customHeight="1">
      <c r="A3441" s="16">
        <v>14.0</v>
      </c>
      <c r="B3441" s="17" t="s">
        <v>7375</v>
      </c>
      <c r="C3441" s="16">
        <v>9.0</v>
      </c>
      <c r="D3441" s="18" t="s">
        <v>4178</v>
      </c>
    </row>
    <row r="3442" ht="15.75" customHeight="1">
      <c r="A3442" s="16">
        <v>15.0</v>
      </c>
      <c r="B3442" s="17" t="s">
        <v>7376</v>
      </c>
      <c r="C3442" s="16">
        <v>31.0</v>
      </c>
      <c r="D3442" s="18" t="s">
        <v>4178</v>
      </c>
    </row>
    <row r="3443" ht="15.75" customHeight="1">
      <c r="A3443" s="16">
        <v>16.0</v>
      </c>
      <c r="B3443" s="17" t="s">
        <v>7377</v>
      </c>
      <c r="C3443" s="16">
        <v>9.0</v>
      </c>
      <c r="D3443" s="18" t="s">
        <v>4183</v>
      </c>
    </row>
    <row r="3444" ht="15.75" customHeight="1">
      <c r="A3444" s="16">
        <v>17.0</v>
      </c>
      <c r="B3444" s="17" t="s">
        <v>7378</v>
      </c>
      <c r="C3444" s="16">
        <v>1.0</v>
      </c>
      <c r="D3444" s="18" t="s">
        <v>4178</v>
      </c>
    </row>
    <row r="3445" ht="15.75" customHeight="1">
      <c r="A3445" s="16">
        <v>18.0</v>
      </c>
      <c r="B3445" s="17" t="s">
        <v>7379</v>
      </c>
      <c r="C3445" s="16">
        <v>2.0</v>
      </c>
      <c r="D3445" s="18" t="s">
        <v>4178</v>
      </c>
    </row>
    <row r="3446" ht="15.75" customHeight="1">
      <c r="A3446" s="16">
        <v>19.0</v>
      </c>
      <c r="B3446" s="17" t="s">
        <v>7380</v>
      </c>
      <c r="C3446" s="18" t="s">
        <v>5377</v>
      </c>
      <c r="D3446" s="18" t="s">
        <v>4178</v>
      </c>
    </row>
    <row r="3447" ht="15.75" customHeight="1">
      <c r="A3447" s="16">
        <v>20.0</v>
      </c>
      <c r="B3447" s="17" t="s">
        <v>7381</v>
      </c>
      <c r="C3447" s="16">
        <v>3.0</v>
      </c>
      <c r="D3447" s="18" t="s">
        <v>4178</v>
      </c>
    </row>
    <row r="3448" ht="15.75" customHeight="1">
      <c r="A3448" s="16">
        <v>21.0</v>
      </c>
      <c r="B3448" s="17" t="s">
        <v>7382</v>
      </c>
      <c r="C3448" s="16">
        <v>17.0</v>
      </c>
      <c r="D3448" s="18" t="s">
        <v>4183</v>
      </c>
    </row>
    <row r="3449" ht="15.75" customHeight="1">
      <c r="A3449" s="16">
        <v>22.0</v>
      </c>
      <c r="B3449" s="17" t="s">
        <v>7383</v>
      </c>
      <c r="C3449" s="16">
        <v>12.0</v>
      </c>
      <c r="D3449" s="18" t="s">
        <v>4183</v>
      </c>
    </row>
    <row r="3450" ht="15.75" customHeight="1">
      <c r="A3450" s="16">
        <v>23.0</v>
      </c>
      <c r="B3450" s="17" t="s">
        <v>7384</v>
      </c>
      <c r="C3450" s="16">
        <v>8.0</v>
      </c>
      <c r="D3450" s="18" t="s">
        <v>4183</v>
      </c>
    </row>
    <row r="3451" ht="15.75" customHeight="1">
      <c r="A3451" s="16">
        <v>24.0</v>
      </c>
      <c r="B3451" s="17" t="s">
        <v>7385</v>
      </c>
      <c r="C3451" s="16">
        <v>4.0</v>
      </c>
      <c r="D3451" s="18" t="s">
        <v>4178</v>
      </c>
    </row>
    <row r="3452" ht="15.75" customHeight="1">
      <c r="A3452" s="16">
        <v>25.0</v>
      </c>
      <c r="B3452" s="17" t="s">
        <v>7386</v>
      </c>
      <c r="C3452" s="16">
        <v>13.0</v>
      </c>
      <c r="D3452" s="18" t="s">
        <v>4178</v>
      </c>
    </row>
    <row r="3453" ht="15.75" customHeight="1">
      <c r="A3453" s="16">
        <v>26.0</v>
      </c>
      <c r="B3453" s="17" t="s">
        <v>7387</v>
      </c>
      <c r="C3453" s="16">
        <v>14.0</v>
      </c>
      <c r="D3453" s="18" t="s">
        <v>4178</v>
      </c>
    </row>
    <row r="3454" ht="15.75" customHeight="1">
      <c r="A3454" s="16">
        <v>27.0</v>
      </c>
      <c r="B3454" s="17" t="s">
        <v>7388</v>
      </c>
      <c r="C3454" s="16">
        <v>5.0</v>
      </c>
      <c r="D3454" s="18" t="s">
        <v>4178</v>
      </c>
    </row>
    <row r="3455" ht="15.75" customHeight="1">
      <c r="A3455" s="16">
        <v>28.0</v>
      </c>
      <c r="B3455" s="17" t="s">
        <v>7389</v>
      </c>
      <c r="C3455" s="16">
        <v>11.0</v>
      </c>
      <c r="D3455" s="18" t="s">
        <v>4178</v>
      </c>
    </row>
    <row r="3456" ht="15.75" customHeight="1">
      <c r="A3456" s="16">
        <v>29.0</v>
      </c>
      <c r="B3456" s="17" t="s">
        <v>7390</v>
      </c>
      <c r="C3456" s="16">
        <v>16.0</v>
      </c>
      <c r="D3456" s="18" t="s">
        <v>4178</v>
      </c>
    </row>
    <row r="3457" ht="15.75" customHeight="1">
      <c r="A3457" s="16">
        <v>30.0</v>
      </c>
      <c r="B3457" s="17" t="s">
        <v>7391</v>
      </c>
      <c r="C3457" s="16">
        <v>20.0</v>
      </c>
      <c r="D3457" s="18" t="s">
        <v>4178</v>
      </c>
    </row>
    <row r="3458" ht="15.75" customHeight="1">
      <c r="A3458" s="16">
        <v>31.0</v>
      </c>
      <c r="B3458" s="17" t="s">
        <v>7392</v>
      </c>
      <c r="C3458" s="16">
        <v>7.0</v>
      </c>
      <c r="D3458" s="18" t="s">
        <v>4178</v>
      </c>
    </row>
    <row r="3459" ht="15.75" customHeight="1">
      <c r="A3459" s="16">
        <v>32.0</v>
      </c>
      <c r="B3459" s="17" t="s">
        <v>7393</v>
      </c>
      <c r="C3459" s="16">
        <v>8.0</v>
      </c>
      <c r="D3459" s="18" t="s">
        <v>4178</v>
      </c>
    </row>
    <row r="3460" ht="15.75" customHeight="1">
      <c r="A3460" s="16">
        <v>33.0</v>
      </c>
      <c r="B3460" s="17" t="s">
        <v>7394</v>
      </c>
      <c r="C3460" s="16">
        <v>6.0</v>
      </c>
      <c r="D3460" s="18" t="s">
        <v>4178</v>
      </c>
    </row>
    <row r="3461" ht="15.75" customHeight="1">
      <c r="A3461" s="16">
        <v>34.0</v>
      </c>
      <c r="B3461" s="17" t="s">
        <v>7395</v>
      </c>
      <c r="C3461" s="16">
        <v>2.0</v>
      </c>
      <c r="D3461" s="18" t="s">
        <v>4178</v>
      </c>
    </row>
    <row r="3462" ht="15.75" customHeight="1">
      <c r="A3462" s="16">
        <v>35.0</v>
      </c>
      <c r="B3462" s="17" t="s">
        <v>7396</v>
      </c>
      <c r="C3462" s="16">
        <v>3.0</v>
      </c>
      <c r="D3462" s="18" t="s">
        <v>4178</v>
      </c>
    </row>
    <row r="3463" ht="15.75" customHeight="1">
      <c r="A3463" s="16">
        <v>36.0</v>
      </c>
      <c r="B3463" s="17" t="s">
        <v>7397</v>
      </c>
      <c r="C3463" s="16">
        <v>11.0</v>
      </c>
      <c r="D3463" s="18" t="s">
        <v>4183</v>
      </c>
    </row>
    <row r="3464" ht="15.75" customHeight="1">
      <c r="A3464" s="16">
        <v>37.0</v>
      </c>
      <c r="B3464" s="17" t="s">
        <v>7398</v>
      </c>
      <c r="C3464" s="16">
        <v>10.0</v>
      </c>
      <c r="D3464" s="18" t="s">
        <v>4178</v>
      </c>
    </row>
    <row r="3465" ht="15.75" customHeight="1">
      <c r="A3465" s="16">
        <v>38.0</v>
      </c>
      <c r="B3465" s="17" t="s">
        <v>7399</v>
      </c>
      <c r="C3465" s="16">
        <v>7.0</v>
      </c>
      <c r="D3465" s="18" t="s">
        <v>4178</v>
      </c>
    </row>
    <row r="3466" ht="15.75" customHeight="1">
      <c r="A3466" s="20"/>
      <c r="B3466" s="21" t="s">
        <v>4273</v>
      </c>
      <c r="C3466" s="23">
        <v>314.0</v>
      </c>
      <c r="D3466" s="21" t="s">
        <v>4171</v>
      </c>
    </row>
    <row r="3467" ht="15.75" customHeight="1">
      <c r="A3467" s="11"/>
      <c r="B3467" s="12"/>
      <c r="C3467" s="12"/>
      <c r="D3467" s="13"/>
    </row>
    <row r="3468" ht="15.75" customHeight="1">
      <c r="A3468" s="14" t="s">
        <v>4157</v>
      </c>
      <c r="B3468" s="15"/>
      <c r="C3468" s="15"/>
      <c r="D3468" s="15"/>
    </row>
    <row r="3469" ht="15.75" customHeight="1">
      <c r="A3469" s="16">
        <v>1.0</v>
      </c>
      <c r="B3469" s="17" t="s">
        <v>7400</v>
      </c>
      <c r="C3469" s="16">
        <v>26.0</v>
      </c>
      <c r="D3469" s="18" t="s">
        <v>4183</v>
      </c>
    </row>
    <row r="3470" ht="15.75" customHeight="1">
      <c r="A3470" s="16">
        <v>2.0</v>
      </c>
      <c r="B3470" s="17" t="s">
        <v>7401</v>
      </c>
      <c r="C3470" s="16">
        <v>32.0</v>
      </c>
      <c r="D3470" s="18" t="s">
        <v>4183</v>
      </c>
    </row>
    <row r="3471" ht="15.75" customHeight="1">
      <c r="A3471" s="16">
        <v>3.0</v>
      </c>
      <c r="B3471" s="17" t="s">
        <v>7402</v>
      </c>
      <c r="C3471" s="16">
        <v>12.0</v>
      </c>
      <c r="D3471" s="18" t="s">
        <v>4183</v>
      </c>
    </row>
    <row r="3472" ht="15.75" customHeight="1">
      <c r="A3472" s="16">
        <v>4.0</v>
      </c>
      <c r="B3472" s="17" t="s">
        <v>7403</v>
      </c>
      <c r="C3472" s="16">
        <v>14.0</v>
      </c>
      <c r="D3472" s="18" t="s">
        <v>4183</v>
      </c>
    </row>
    <row r="3473" ht="15.75" customHeight="1">
      <c r="A3473" s="20"/>
      <c r="B3473" s="21" t="s">
        <v>4273</v>
      </c>
      <c r="C3473" s="23">
        <v>84.0</v>
      </c>
      <c r="D3473" s="21" t="s">
        <v>4171</v>
      </c>
    </row>
    <row r="3474" ht="15.75" customHeight="1">
      <c r="A3474" s="11"/>
      <c r="B3474" s="12"/>
      <c r="C3474" s="12"/>
      <c r="D3474" s="13"/>
    </row>
    <row r="3475" ht="15.75" customHeight="1">
      <c r="A3475" s="14" t="s">
        <v>3157</v>
      </c>
      <c r="B3475" s="15"/>
      <c r="C3475" s="15"/>
      <c r="D3475" s="15"/>
    </row>
    <row r="3476" ht="15.75" customHeight="1">
      <c r="A3476" s="16">
        <v>1.0</v>
      </c>
      <c r="B3476" s="17" t="s">
        <v>7404</v>
      </c>
      <c r="C3476" s="16">
        <v>23.0</v>
      </c>
      <c r="D3476" s="18" t="s">
        <v>4183</v>
      </c>
    </row>
    <row r="3477" ht="15.75" customHeight="1">
      <c r="A3477" s="16">
        <v>2.0</v>
      </c>
      <c r="B3477" s="17" t="s">
        <v>7405</v>
      </c>
      <c r="C3477" s="16">
        <v>38.0</v>
      </c>
      <c r="D3477" s="18" t="s">
        <v>4473</v>
      </c>
    </row>
    <row r="3478" ht="15.75" customHeight="1">
      <c r="A3478" s="16">
        <v>3.0</v>
      </c>
      <c r="B3478" s="17" t="s">
        <v>7406</v>
      </c>
      <c r="C3478" s="16">
        <v>36.0</v>
      </c>
      <c r="D3478" s="18" t="s">
        <v>4178</v>
      </c>
    </row>
    <row r="3479" ht="15.75" customHeight="1">
      <c r="A3479" s="16">
        <v>4.0</v>
      </c>
      <c r="B3479" s="17" t="s">
        <v>7407</v>
      </c>
      <c r="C3479" s="16">
        <v>75.0</v>
      </c>
      <c r="D3479" s="18" t="s">
        <v>4178</v>
      </c>
    </row>
    <row r="3480" ht="15.75" customHeight="1">
      <c r="A3480" s="16">
        <v>5.0</v>
      </c>
      <c r="B3480" s="17" t="s">
        <v>7408</v>
      </c>
      <c r="C3480" s="16">
        <v>21.0</v>
      </c>
      <c r="D3480" s="18" t="s">
        <v>4183</v>
      </c>
    </row>
    <row r="3481" ht="15.75" customHeight="1">
      <c r="A3481" s="16">
        <v>6.0</v>
      </c>
      <c r="B3481" s="17" t="s">
        <v>7409</v>
      </c>
      <c r="C3481" s="16">
        <v>65.0</v>
      </c>
      <c r="D3481" s="18" t="s">
        <v>4183</v>
      </c>
    </row>
    <row r="3482" ht="15.75" customHeight="1">
      <c r="A3482" s="16">
        <v>7.0</v>
      </c>
      <c r="B3482" s="17" t="s">
        <v>7410</v>
      </c>
      <c r="C3482" s="16">
        <v>54.0</v>
      </c>
      <c r="D3482" s="18" t="s">
        <v>4178</v>
      </c>
    </row>
    <row r="3483" ht="15.75" customHeight="1">
      <c r="A3483" s="16">
        <v>8.0</v>
      </c>
      <c r="B3483" s="17" t="s">
        <v>7411</v>
      </c>
      <c r="C3483" s="16">
        <v>48.0</v>
      </c>
      <c r="D3483" s="18" t="s">
        <v>4178</v>
      </c>
    </row>
    <row r="3484" ht="15.75" customHeight="1">
      <c r="A3484" s="16">
        <v>9.0</v>
      </c>
      <c r="B3484" s="17" t="s">
        <v>7412</v>
      </c>
      <c r="C3484" s="16">
        <v>18.0</v>
      </c>
      <c r="D3484" s="18" t="s">
        <v>4183</v>
      </c>
    </row>
    <row r="3485" ht="15.75" customHeight="1">
      <c r="A3485" s="16">
        <v>10.0</v>
      </c>
      <c r="B3485" s="17" t="s">
        <v>7413</v>
      </c>
      <c r="C3485" s="16">
        <v>18.0</v>
      </c>
      <c r="D3485" s="18" t="s">
        <v>4183</v>
      </c>
    </row>
    <row r="3486" ht="15.75" customHeight="1">
      <c r="A3486" s="16">
        <v>11.0</v>
      </c>
      <c r="B3486" s="17" t="s">
        <v>7414</v>
      </c>
      <c r="C3486" s="16">
        <v>38.0</v>
      </c>
      <c r="D3486" s="18" t="s">
        <v>4178</v>
      </c>
    </row>
    <row r="3487" ht="15.75" customHeight="1">
      <c r="A3487" s="16">
        <v>12.0</v>
      </c>
      <c r="B3487" s="17" t="s">
        <v>7415</v>
      </c>
      <c r="C3487" s="16">
        <v>44.0</v>
      </c>
      <c r="D3487" s="18" t="s">
        <v>4183</v>
      </c>
    </row>
    <row r="3488" ht="15.75" customHeight="1">
      <c r="A3488" s="16">
        <v>13.0</v>
      </c>
      <c r="B3488" s="17" t="s">
        <v>7416</v>
      </c>
      <c r="C3488" s="19">
        <v>36.1</v>
      </c>
      <c r="D3488" s="18" t="s">
        <v>4183</v>
      </c>
    </row>
    <row r="3489" ht="15.75" customHeight="1">
      <c r="A3489" s="16">
        <v>14.0</v>
      </c>
      <c r="B3489" s="17" t="s">
        <v>7417</v>
      </c>
      <c r="C3489" s="16">
        <v>67.0</v>
      </c>
      <c r="D3489" s="18" t="s">
        <v>4183</v>
      </c>
    </row>
    <row r="3490" ht="15.75" customHeight="1">
      <c r="A3490" s="16">
        <v>15.0</v>
      </c>
      <c r="B3490" s="17" t="s">
        <v>7418</v>
      </c>
      <c r="C3490" s="16">
        <v>42.0</v>
      </c>
      <c r="D3490" s="18" t="s">
        <v>4183</v>
      </c>
    </row>
    <row r="3491" ht="15.75" customHeight="1">
      <c r="A3491" s="16">
        <v>16.0</v>
      </c>
      <c r="B3491" s="17" t="s">
        <v>7419</v>
      </c>
      <c r="C3491" s="16">
        <v>38.0</v>
      </c>
      <c r="D3491" s="18" t="s">
        <v>4178</v>
      </c>
    </row>
    <row r="3492" ht="15.75" customHeight="1">
      <c r="A3492" s="16">
        <v>17.0</v>
      </c>
      <c r="B3492" s="17" t="s">
        <v>7420</v>
      </c>
      <c r="C3492" s="16">
        <v>16.0</v>
      </c>
      <c r="D3492" s="18" t="s">
        <v>4178</v>
      </c>
    </row>
    <row r="3493" ht="15.75" customHeight="1">
      <c r="A3493" s="16">
        <v>18.0</v>
      </c>
      <c r="B3493" s="17" t="s">
        <v>7421</v>
      </c>
      <c r="C3493" s="16">
        <v>44.0</v>
      </c>
      <c r="D3493" s="18" t="s">
        <v>4183</v>
      </c>
    </row>
    <row r="3494" ht="15.75" customHeight="1">
      <c r="A3494" s="16">
        <v>19.0</v>
      </c>
      <c r="B3494" s="17" t="s">
        <v>7422</v>
      </c>
      <c r="C3494" s="16">
        <v>38.0</v>
      </c>
      <c r="D3494" s="18" t="s">
        <v>4183</v>
      </c>
    </row>
    <row r="3495" ht="15.75" customHeight="1">
      <c r="A3495" s="16">
        <v>20.0</v>
      </c>
      <c r="B3495" s="17" t="s">
        <v>7423</v>
      </c>
      <c r="C3495" s="16">
        <v>2.0</v>
      </c>
      <c r="D3495" s="18" t="s">
        <v>4183</v>
      </c>
    </row>
    <row r="3496" ht="15.75" customHeight="1">
      <c r="A3496" s="16">
        <v>21.0</v>
      </c>
      <c r="B3496" s="17" t="s">
        <v>7424</v>
      </c>
      <c r="C3496" s="16">
        <v>68.0</v>
      </c>
      <c r="D3496" s="18" t="s">
        <v>4183</v>
      </c>
    </row>
    <row r="3497" ht="15.75" customHeight="1">
      <c r="A3497" s="16">
        <v>22.0</v>
      </c>
      <c r="B3497" s="17" t="s">
        <v>7425</v>
      </c>
      <c r="C3497" s="16">
        <v>16.0</v>
      </c>
      <c r="D3497" s="18" t="s">
        <v>4178</v>
      </c>
    </row>
    <row r="3498" ht="15.75" customHeight="1">
      <c r="A3498" s="16">
        <v>23.0</v>
      </c>
      <c r="B3498" s="17" t="s">
        <v>7426</v>
      </c>
      <c r="C3498" s="16">
        <v>51.0</v>
      </c>
      <c r="D3498" s="18" t="s">
        <v>4215</v>
      </c>
    </row>
    <row r="3499" ht="15.75" customHeight="1">
      <c r="A3499" s="16">
        <v>24.0</v>
      </c>
      <c r="B3499" s="17" t="s">
        <v>7427</v>
      </c>
      <c r="C3499" s="18" t="s">
        <v>7428</v>
      </c>
      <c r="D3499" s="18" t="s">
        <v>4178</v>
      </c>
    </row>
    <row r="3500" ht="15.75" customHeight="1">
      <c r="A3500" s="16">
        <v>25.0</v>
      </c>
      <c r="B3500" s="17" t="s">
        <v>7429</v>
      </c>
      <c r="C3500" s="16">
        <v>13.0</v>
      </c>
      <c r="D3500" s="18" t="s">
        <v>4178</v>
      </c>
    </row>
    <row r="3501" ht="15.75" customHeight="1">
      <c r="A3501" s="16">
        <v>26.0</v>
      </c>
      <c r="B3501" s="17" t="s">
        <v>7430</v>
      </c>
      <c r="C3501" s="16">
        <v>37.0</v>
      </c>
      <c r="D3501" s="18" t="s">
        <v>4178</v>
      </c>
    </row>
    <row r="3502" ht="15.75" customHeight="1">
      <c r="A3502" s="16">
        <v>27.0</v>
      </c>
      <c r="B3502" s="17" t="s">
        <v>7431</v>
      </c>
      <c r="C3502" s="16">
        <v>4.0</v>
      </c>
      <c r="D3502" s="18" t="s">
        <v>4178</v>
      </c>
    </row>
    <row r="3503" ht="15.75" customHeight="1">
      <c r="A3503" s="16">
        <v>28.0</v>
      </c>
      <c r="B3503" s="17" t="s">
        <v>7432</v>
      </c>
      <c r="C3503" s="16">
        <v>99.0</v>
      </c>
      <c r="D3503" s="18" t="s">
        <v>4183</v>
      </c>
    </row>
    <row r="3504" ht="15.75" customHeight="1">
      <c r="A3504" s="16">
        <v>29.0</v>
      </c>
      <c r="B3504" s="17" t="s">
        <v>7433</v>
      </c>
      <c r="C3504" s="16">
        <v>209.0</v>
      </c>
      <c r="D3504" s="18" t="s">
        <v>4178</v>
      </c>
    </row>
    <row r="3505" ht="15.75" customHeight="1">
      <c r="A3505" s="16">
        <v>30.0</v>
      </c>
      <c r="B3505" s="17" t="s">
        <v>7434</v>
      </c>
      <c r="C3505" s="18" t="s">
        <v>7435</v>
      </c>
      <c r="D3505" s="18" t="s">
        <v>4178</v>
      </c>
    </row>
    <row r="3506" ht="15.75" customHeight="1">
      <c r="A3506" s="16">
        <v>31.0</v>
      </c>
      <c r="B3506" s="17" t="s">
        <v>7436</v>
      </c>
      <c r="C3506" s="16">
        <v>97.0</v>
      </c>
      <c r="D3506" s="18" t="s">
        <v>4178</v>
      </c>
    </row>
    <row r="3507" ht="15.75" customHeight="1">
      <c r="A3507" s="16">
        <v>32.0</v>
      </c>
      <c r="B3507" s="17" t="s">
        <v>7437</v>
      </c>
      <c r="C3507" s="16">
        <v>27.0</v>
      </c>
      <c r="D3507" s="18" t="s">
        <v>4178</v>
      </c>
    </row>
    <row r="3508" ht="15.75" customHeight="1">
      <c r="A3508" s="16">
        <v>33.0</v>
      </c>
      <c r="B3508" s="17" t="s">
        <v>7438</v>
      </c>
      <c r="C3508" s="16">
        <v>40.0</v>
      </c>
      <c r="D3508" s="18" t="s">
        <v>4178</v>
      </c>
    </row>
    <row r="3509" ht="15.75" customHeight="1">
      <c r="A3509" s="16">
        <v>34.0</v>
      </c>
      <c r="B3509" s="17" t="s">
        <v>7439</v>
      </c>
      <c r="C3509" s="16">
        <v>41.0</v>
      </c>
      <c r="D3509" s="18" t="s">
        <v>4178</v>
      </c>
    </row>
    <row r="3510" ht="15.75" customHeight="1">
      <c r="A3510" s="16">
        <v>35.0</v>
      </c>
      <c r="B3510" s="17" t="s">
        <v>7440</v>
      </c>
      <c r="C3510" s="16">
        <v>16.0</v>
      </c>
      <c r="D3510" s="18" t="s">
        <v>4178</v>
      </c>
    </row>
    <row r="3511" ht="15.75" customHeight="1">
      <c r="A3511" s="16">
        <v>36.0</v>
      </c>
      <c r="B3511" s="17" t="s">
        <v>7441</v>
      </c>
      <c r="C3511" s="16">
        <v>1.0</v>
      </c>
      <c r="D3511" s="18" t="s">
        <v>4178</v>
      </c>
    </row>
    <row r="3512" ht="15.75" customHeight="1">
      <c r="A3512" s="16">
        <v>37.0</v>
      </c>
      <c r="B3512" s="17" t="s">
        <v>7442</v>
      </c>
      <c r="C3512" s="18" t="s">
        <v>4270</v>
      </c>
      <c r="D3512" s="18" t="s">
        <v>4178</v>
      </c>
    </row>
    <row r="3513" ht="15.75" customHeight="1">
      <c r="A3513" s="16">
        <v>38.0</v>
      </c>
      <c r="B3513" s="17" t="s">
        <v>7443</v>
      </c>
      <c r="C3513" s="19">
        <v>0.5</v>
      </c>
      <c r="D3513" s="18" t="s">
        <v>4183</v>
      </c>
    </row>
    <row r="3514" ht="15.75" customHeight="1">
      <c r="A3514" s="16">
        <v>39.0</v>
      </c>
      <c r="B3514" s="17" t="s">
        <v>7444</v>
      </c>
      <c r="C3514" s="16">
        <v>24.0</v>
      </c>
      <c r="D3514" s="18" t="s">
        <v>4178</v>
      </c>
    </row>
    <row r="3515" ht="15.75" customHeight="1">
      <c r="A3515" s="16">
        <v>40.0</v>
      </c>
      <c r="B3515" s="17" t="s">
        <v>7445</v>
      </c>
      <c r="C3515" s="16">
        <v>35.0</v>
      </c>
      <c r="D3515" s="18" t="s">
        <v>4183</v>
      </c>
    </row>
    <row r="3516" ht="15.75" customHeight="1">
      <c r="A3516" s="16">
        <v>41.0</v>
      </c>
      <c r="B3516" s="17" t="s">
        <v>7446</v>
      </c>
      <c r="C3516" s="16">
        <v>38.0</v>
      </c>
      <c r="D3516" s="18" t="s">
        <v>4183</v>
      </c>
    </row>
    <row r="3517" ht="15.75" customHeight="1">
      <c r="A3517" s="16">
        <v>42.0</v>
      </c>
      <c r="B3517" s="17" t="s">
        <v>7447</v>
      </c>
      <c r="C3517" s="16">
        <v>18.0</v>
      </c>
      <c r="D3517" s="18" t="s">
        <v>4183</v>
      </c>
    </row>
    <row r="3518" ht="15.75" customHeight="1">
      <c r="A3518" s="16">
        <v>43.0</v>
      </c>
      <c r="B3518" s="17" t="s">
        <v>7448</v>
      </c>
      <c r="C3518" s="16">
        <v>91.0</v>
      </c>
      <c r="D3518" s="18" t="s">
        <v>4183</v>
      </c>
    </row>
    <row r="3519" ht="15.75" customHeight="1">
      <c r="A3519" s="16">
        <v>44.0</v>
      </c>
      <c r="B3519" s="17" t="s">
        <v>7449</v>
      </c>
      <c r="C3519" s="16">
        <v>56.0</v>
      </c>
      <c r="D3519" s="18" t="s">
        <v>4183</v>
      </c>
    </row>
    <row r="3520" ht="15.75" customHeight="1">
      <c r="A3520" s="16">
        <v>45.0</v>
      </c>
      <c r="B3520" s="17" t="s">
        <v>7450</v>
      </c>
      <c r="C3520" s="19">
        <v>12.55</v>
      </c>
      <c r="D3520" s="18" t="s">
        <v>4178</v>
      </c>
    </row>
    <row r="3521" ht="15.75" customHeight="1">
      <c r="A3521" s="16">
        <v>46.0</v>
      </c>
      <c r="B3521" s="17" t="s">
        <v>7451</v>
      </c>
      <c r="C3521" s="16">
        <v>78.0</v>
      </c>
      <c r="D3521" s="18" t="s">
        <v>4178</v>
      </c>
    </row>
    <row r="3522" ht="15.75" customHeight="1">
      <c r="A3522" s="16">
        <v>47.0</v>
      </c>
      <c r="B3522" s="17" t="s">
        <v>7452</v>
      </c>
      <c r="C3522" s="16">
        <v>79.0</v>
      </c>
      <c r="D3522" s="18" t="s">
        <v>4183</v>
      </c>
    </row>
    <row r="3523" ht="15.75" customHeight="1">
      <c r="A3523" s="16">
        <v>48.0</v>
      </c>
      <c r="B3523" s="17" t="s">
        <v>7453</v>
      </c>
      <c r="C3523" s="16">
        <v>58.0</v>
      </c>
      <c r="D3523" s="18" t="s">
        <v>4183</v>
      </c>
    </row>
    <row r="3524" ht="15.75" customHeight="1">
      <c r="A3524" s="16">
        <v>49.0</v>
      </c>
      <c r="B3524" s="17" t="s">
        <v>7454</v>
      </c>
      <c r="C3524" s="16">
        <v>28.0</v>
      </c>
      <c r="D3524" s="18" t="s">
        <v>4341</v>
      </c>
    </row>
    <row r="3525" ht="15.75" customHeight="1">
      <c r="A3525" s="16">
        <v>50.0</v>
      </c>
      <c r="B3525" s="17" t="s">
        <v>7455</v>
      </c>
      <c r="C3525" s="16">
        <v>46.0</v>
      </c>
      <c r="D3525" s="18" t="s">
        <v>4183</v>
      </c>
    </row>
    <row r="3526" ht="15.75" customHeight="1">
      <c r="A3526" s="16">
        <v>51.0</v>
      </c>
      <c r="B3526" s="17" t="s">
        <v>7456</v>
      </c>
      <c r="C3526" s="18" t="s">
        <v>4736</v>
      </c>
      <c r="D3526" s="18" t="s">
        <v>4178</v>
      </c>
    </row>
    <row r="3527" ht="15.75" customHeight="1">
      <c r="A3527" s="16">
        <v>52.0</v>
      </c>
      <c r="B3527" s="17" t="s">
        <v>7457</v>
      </c>
      <c r="C3527" s="16">
        <v>45.0</v>
      </c>
      <c r="D3527" s="18" t="s">
        <v>4178</v>
      </c>
    </row>
    <row r="3528" ht="15.75" customHeight="1">
      <c r="A3528" s="16">
        <v>53.0</v>
      </c>
      <c r="B3528" s="17" t="s">
        <v>7458</v>
      </c>
      <c r="C3528" s="16">
        <v>31.0</v>
      </c>
      <c r="D3528" s="18" t="s">
        <v>4178</v>
      </c>
    </row>
    <row r="3529" ht="15.75" customHeight="1">
      <c r="A3529" s="16">
        <v>54.0</v>
      </c>
      <c r="B3529" s="17" t="s">
        <v>7459</v>
      </c>
      <c r="C3529" s="16">
        <v>83.0</v>
      </c>
      <c r="D3529" s="18" t="s">
        <v>4183</v>
      </c>
    </row>
    <row r="3530" ht="15.75" customHeight="1">
      <c r="A3530" s="16">
        <v>55.0</v>
      </c>
      <c r="B3530" s="17" t="s">
        <v>7460</v>
      </c>
      <c r="C3530" s="16">
        <v>6.0</v>
      </c>
      <c r="D3530" s="18" t="s">
        <v>4178</v>
      </c>
    </row>
    <row r="3531" ht="15.75" customHeight="1">
      <c r="A3531" s="16">
        <v>56.0</v>
      </c>
      <c r="B3531" s="17" t="s">
        <v>7461</v>
      </c>
      <c r="C3531" s="16">
        <v>58.0</v>
      </c>
      <c r="D3531" s="18" t="s">
        <v>4183</v>
      </c>
    </row>
    <row r="3532" ht="15.75" customHeight="1">
      <c r="A3532" s="16">
        <v>57.0</v>
      </c>
      <c r="B3532" s="17" t="s">
        <v>7462</v>
      </c>
      <c r="C3532" s="16">
        <v>43.0</v>
      </c>
      <c r="D3532" s="18" t="s">
        <v>4178</v>
      </c>
    </row>
    <row r="3533" ht="15.75" customHeight="1">
      <c r="A3533" s="16">
        <v>58.0</v>
      </c>
      <c r="B3533" s="17" t="s">
        <v>7463</v>
      </c>
      <c r="C3533" s="16">
        <v>38.0</v>
      </c>
      <c r="D3533" s="18" t="s">
        <v>4183</v>
      </c>
    </row>
    <row r="3534" ht="15.75" customHeight="1">
      <c r="A3534" s="16">
        <v>59.0</v>
      </c>
      <c r="B3534" s="17" t="s">
        <v>7464</v>
      </c>
      <c r="C3534" s="18" t="s">
        <v>7465</v>
      </c>
      <c r="D3534" s="18" t="s">
        <v>4178</v>
      </c>
    </row>
    <row r="3535" ht="15.75" customHeight="1">
      <c r="A3535" s="16">
        <v>60.0</v>
      </c>
      <c r="B3535" s="17" t="s">
        <v>7466</v>
      </c>
      <c r="C3535" s="16">
        <v>25.0</v>
      </c>
      <c r="D3535" s="18" t="s">
        <v>4178</v>
      </c>
    </row>
    <row r="3536" ht="15.75" customHeight="1">
      <c r="A3536" s="16">
        <v>61.0</v>
      </c>
      <c r="B3536" s="17" t="s">
        <v>7467</v>
      </c>
      <c r="C3536" s="16">
        <v>46.0</v>
      </c>
      <c r="D3536" s="18" t="s">
        <v>4178</v>
      </c>
    </row>
    <row r="3537" ht="15.75" customHeight="1">
      <c r="A3537" s="16">
        <v>62.0</v>
      </c>
      <c r="B3537" s="17" t="s">
        <v>7468</v>
      </c>
      <c r="C3537" s="16">
        <v>74.0</v>
      </c>
      <c r="D3537" s="18" t="s">
        <v>4178</v>
      </c>
    </row>
    <row r="3538" ht="15.75" customHeight="1">
      <c r="A3538" s="16">
        <v>63.0</v>
      </c>
      <c r="B3538" s="17" t="s">
        <v>7469</v>
      </c>
      <c r="C3538" s="16">
        <v>76.0</v>
      </c>
      <c r="D3538" s="18" t="s">
        <v>4183</v>
      </c>
    </row>
    <row r="3539" ht="15.75" customHeight="1">
      <c r="A3539" s="16">
        <v>64.0</v>
      </c>
      <c r="B3539" s="17" t="s">
        <v>7470</v>
      </c>
      <c r="C3539" s="16">
        <v>15.0</v>
      </c>
      <c r="D3539" s="18" t="s">
        <v>4178</v>
      </c>
    </row>
    <row r="3540" ht="15.75" customHeight="1">
      <c r="A3540" s="16">
        <v>65.0</v>
      </c>
      <c r="B3540" s="17" t="s">
        <v>7471</v>
      </c>
      <c r="C3540" s="16">
        <v>22.0</v>
      </c>
      <c r="D3540" s="18" t="s">
        <v>4183</v>
      </c>
    </row>
    <row r="3541" ht="15.75" customHeight="1">
      <c r="A3541" s="16">
        <v>66.0</v>
      </c>
      <c r="B3541" s="17" t="s">
        <v>7472</v>
      </c>
      <c r="C3541" s="16">
        <v>53.0</v>
      </c>
      <c r="D3541" s="18" t="s">
        <v>4215</v>
      </c>
    </row>
    <row r="3542" ht="15.75" customHeight="1">
      <c r="A3542" s="16">
        <v>67.0</v>
      </c>
      <c r="B3542" s="17" t="s">
        <v>7473</v>
      </c>
      <c r="C3542" s="19">
        <v>80.75</v>
      </c>
      <c r="D3542" s="18" t="s">
        <v>4183</v>
      </c>
    </row>
    <row r="3543" ht="15.75" customHeight="1">
      <c r="A3543" s="16">
        <v>68.0</v>
      </c>
      <c r="B3543" s="17" t="s">
        <v>7474</v>
      </c>
      <c r="C3543" s="16">
        <v>186.0</v>
      </c>
      <c r="D3543" s="18" t="s">
        <v>4178</v>
      </c>
    </row>
    <row r="3544" ht="15.75" customHeight="1">
      <c r="A3544" s="16">
        <v>69.0</v>
      </c>
      <c r="B3544" s="17" t="s">
        <v>7475</v>
      </c>
      <c r="C3544" s="16">
        <v>51.0</v>
      </c>
      <c r="D3544" s="18" t="s">
        <v>4183</v>
      </c>
    </row>
    <row r="3545" ht="15.75" customHeight="1">
      <c r="A3545" s="16">
        <v>70.0</v>
      </c>
      <c r="B3545" s="17" t="s">
        <v>7476</v>
      </c>
      <c r="C3545" s="16">
        <v>32.0</v>
      </c>
      <c r="D3545" s="18" t="s">
        <v>4178</v>
      </c>
    </row>
    <row r="3546" ht="15.75" customHeight="1">
      <c r="A3546" s="16">
        <v>71.0</v>
      </c>
      <c r="B3546" s="17" t="s">
        <v>7477</v>
      </c>
      <c r="C3546" s="16">
        <v>39.0</v>
      </c>
      <c r="D3546" s="18" t="s">
        <v>4215</v>
      </c>
    </row>
    <row r="3547" ht="15.75" customHeight="1">
      <c r="A3547" s="16">
        <v>72.0</v>
      </c>
      <c r="B3547" s="17" t="s">
        <v>7478</v>
      </c>
      <c r="C3547" s="16">
        <v>28.0</v>
      </c>
      <c r="D3547" s="18" t="s">
        <v>4183</v>
      </c>
    </row>
    <row r="3548" ht="15.75" customHeight="1">
      <c r="A3548" s="16">
        <v>73.0</v>
      </c>
      <c r="B3548" s="17" t="s">
        <v>7479</v>
      </c>
      <c r="C3548" s="16">
        <v>57.0</v>
      </c>
      <c r="D3548" s="18" t="s">
        <v>4178</v>
      </c>
    </row>
    <row r="3549" ht="15.75" customHeight="1">
      <c r="A3549" s="16">
        <v>74.0</v>
      </c>
      <c r="B3549" s="17" t="s">
        <v>7480</v>
      </c>
      <c r="C3549" s="16">
        <v>89.0</v>
      </c>
      <c r="D3549" s="18" t="s">
        <v>4653</v>
      </c>
    </row>
    <row r="3550" ht="15.75" customHeight="1">
      <c r="A3550" s="16">
        <v>75.0</v>
      </c>
      <c r="B3550" s="17" t="s">
        <v>7481</v>
      </c>
      <c r="C3550" s="18" t="s">
        <v>4681</v>
      </c>
      <c r="D3550" s="18" t="s">
        <v>4183</v>
      </c>
    </row>
    <row r="3551" ht="15.75" customHeight="1">
      <c r="A3551" s="16">
        <v>76.0</v>
      </c>
      <c r="B3551" s="17" t="s">
        <v>7482</v>
      </c>
      <c r="C3551" s="16">
        <v>14.0</v>
      </c>
      <c r="D3551" s="18" t="s">
        <v>4178</v>
      </c>
    </row>
    <row r="3552" ht="15.75" customHeight="1">
      <c r="A3552" s="16">
        <v>77.0</v>
      </c>
      <c r="B3552" s="17" t="s">
        <v>7483</v>
      </c>
      <c r="C3552" s="16">
        <v>33.0</v>
      </c>
      <c r="D3552" s="18" t="s">
        <v>4178</v>
      </c>
    </row>
    <row r="3553" ht="15.75" customHeight="1">
      <c r="A3553" s="16">
        <v>78.0</v>
      </c>
      <c r="B3553" s="17" t="s">
        <v>7484</v>
      </c>
      <c r="C3553" s="16">
        <v>16.0</v>
      </c>
      <c r="D3553" s="18" t="s">
        <v>4178</v>
      </c>
    </row>
    <row r="3554" ht="15.75" customHeight="1">
      <c r="A3554" s="16">
        <v>79.0</v>
      </c>
      <c r="B3554" s="17" t="s">
        <v>7485</v>
      </c>
      <c r="C3554" s="16">
        <v>15.0</v>
      </c>
      <c r="D3554" s="18" t="s">
        <v>4178</v>
      </c>
    </row>
    <row r="3555" ht="15.75" customHeight="1">
      <c r="A3555" s="16">
        <v>80.0</v>
      </c>
      <c r="B3555" s="17" t="s">
        <v>7486</v>
      </c>
      <c r="C3555" s="16">
        <v>48.0</v>
      </c>
      <c r="D3555" s="18" t="s">
        <v>4178</v>
      </c>
    </row>
    <row r="3556" ht="15.75" customHeight="1">
      <c r="A3556" s="16">
        <v>81.0</v>
      </c>
      <c r="B3556" s="17" t="s">
        <v>7487</v>
      </c>
      <c r="C3556" s="16">
        <v>30.0</v>
      </c>
      <c r="D3556" s="18" t="s">
        <v>4178</v>
      </c>
    </row>
    <row r="3557" ht="15.75" customHeight="1">
      <c r="A3557" s="16">
        <v>82.0</v>
      </c>
      <c r="B3557" s="17" t="s">
        <v>7488</v>
      </c>
      <c r="C3557" s="16">
        <v>37.0</v>
      </c>
      <c r="D3557" s="18" t="s">
        <v>4178</v>
      </c>
    </row>
    <row r="3558" ht="15.75" customHeight="1">
      <c r="A3558" s="16">
        <v>83.0</v>
      </c>
      <c r="B3558" s="17" t="s">
        <v>7489</v>
      </c>
      <c r="C3558" s="16">
        <v>3.0</v>
      </c>
      <c r="D3558" s="18" t="s">
        <v>4178</v>
      </c>
    </row>
    <row r="3559" ht="15.75" customHeight="1">
      <c r="A3559" s="16">
        <v>84.0</v>
      </c>
      <c r="B3559" s="17" t="s">
        <v>7490</v>
      </c>
      <c r="C3559" s="16">
        <v>32.0</v>
      </c>
      <c r="D3559" s="18" t="s">
        <v>4178</v>
      </c>
    </row>
    <row r="3560" ht="15.75" customHeight="1">
      <c r="A3560" s="16">
        <v>85.0</v>
      </c>
      <c r="B3560" s="17" t="s">
        <v>7491</v>
      </c>
      <c r="C3560" s="16">
        <v>17.0</v>
      </c>
      <c r="D3560" s="18" t="s">
        <v>4178</v>
      </c>
    </row>
    <row r="3561" ht="15.75" customHeight="1">
      <c r="A3561" s="16">
        <v>86.0</v>
      </c>
      <c r="B3561" s="17" t="s">
        <v>7492</v>
      </c>
      <c r="C3561" s="16">
        <v>42.0</v>
      </c>
      <c r="D3561" s="18" t="s">
        <v>4178</v>
      </c>
    </row>
    <row r="3562" ht="15.75" customHeight="1">
      <c r="A3562" s="16">
        <v>87.0</v>
      </c>
      <c r="B3562" s="17" t="s">
        <v>7493</v>
      </c>
      <c r="C3562" s="16">
        <v>45.0</v>
      </c>
      <c r="D3562" s="18" t="s">
        <v>4183</v>
      </c>
    </row>
    <row r="3563" ht="15.75" customHeight="1">
      <c r="A3563" s="16">
        <v>88.0</v>
      </c>
      <c r="B3563" s="17" t="s">
        <v>7494</v>
      </c>
      <c r="C3563" s="16">
        <v>47.0</v>
      </c>
      <c r="D3563" s="18" t="s">
        <v>4250</v>
      </c>
    </row>
    <row r="3564" ht="15.75" customHeight="1">
      <c r="A3564" s="16">
        <v>89.0</v>
      </c>
      <c r="B3564" s="17" t="s">
        <v>7495</v>
      </c>
      <c r="C3564" s="16">
        <v>5.0</v>
      </c>
      <c r="D3564" s="18" t="s">
        <v>4178</v>
      </c>
    </row>
    <row r="3565" ht="15.75" customHeight="1">
      <c r="A3565" s="16">
        <v>90.0</v>
      </c>
      <c r="B3565" s="17" t="s">
        <v>7496</v>
      </c>
      <c r="C3565" s="16">
        <v>16.0</v>
      </c>
      <c r="D3565" s="18" t="s">
        <v>4183</v>
      </c>
    </row>
    <row r="3566" ht="15.75" customHeight="1">
      <c r="A3566" s="16">
        <v>91.0</v>
      </c>
      <c r="B3566" s="17" t="s">
        <v>7497</v>
      </c>
      <c r="C3566" s="16">
        <v>30.0</v>
      </c>
      <c r="D3566" s="18" t="s">
        <v>4178</v>
      </c>
    </row>
    <row r="3567" ht="15.75" customHeight="1">
      <c r="A3567" s="16">
        <v>92.0</v>
      </c>
      <c r="B3567" s="17" t="s">
        <v>7498</v>
      </c>
      <c r="C3567" s="16">
        <v>40.0</v>
      </c>
      <c r="D3567" s="18" t="s">
        <v>4178</v>
      </c>
    </row>
    <row r="3568" ht="15.75" customHeight="1">
      <c r="A3568" s="16">
        <v>93.0</v>
      </c>
      <c r="B3568" s="17" t="s">
        <v>7499</v>
      </c>
      <c r="C3568" s="16">
        <v>39.0</v>
      </c>
      <c r="D3568" s="18" t="s">
        <v>4341</v>
      </c>
    </row>
    <row r="3569" ht="15.75" customHeight="1">
      <c r="A3569" s="16">
        <v>94.0</v>
      </c>
      <c r="B3569" s="17" t="s">
        <v>7500</v>
      </c>
      <c r="C3569" s="16">
        <v>24.0</v>
      </c>
      <c r="D3569" s="18" t="s">
        <v>4183</v>
      </c>
    </row>
    <row r="3570" ht="15.75" customHeight="1">
      <c r="A3570" s="16">
        <v>95.0</v>
      </c>
      <c r="B3570" s="17" t="s">
        <v>7501</v>
      </c>
      <c r="C3570" s="16">
        <v>142.0</v>
      </c>
      <c r="D3570" s="18" t="s">
        <v>4183</v>
      </c>
    </row>
    <row r="3571" ht="15.75" customHeight="1">
      <c r="A3571" s="16">
        <v>96.0</v>
      </c>
      <c r="B3571" s="17" t="s">
        <v>7502</v>
      </c>
      <c r="C3571" s="16">
        <v>49.0</v>
      </c>
      <c r="D3571" s="18" t="s">
        <v>4178</v>
      </c>
    </row>
    <row r="3572" ht="15.75" customHeight="1">
      <c r="A3572" s="16">
        <v>97.0</v>
      </c>
      <c r="B3572" s="17" t="s">
        <v>7503</v>
      </c>
      <c r="C3572" s="16">
        <v>58.0</v>
      </c>
      <c r="D3572" s="18" t="s">
        <v>4178</v>
      </c>
    </row>
    <row r="3573" ht="15.75" customHeight="1">
      <c r="A3573" s="16">
        <v>98.0</v>
      </c>
      <c r="B3573" s="17" t="s">
        <v>7504</v>
      </c>
      <c r="C3573" s="16">
        <v>289.0</v>
      </c>
      <c r="D3573" s="18" t="s">
        <v>4183</v>
      </c>
    </row>
    <row r="3574" ht="15.75" customHeight="1">
      <c r="A3574" s="16">
        <v>99.0</v>
      </c>
      <c r="B3574" s="17" t="s">
        <v>7505</v>
      </c>
      <c r="C3574" s="16">
        <v>93.0</v>
      </c>
      <c r="D3574" s="18" t="s">
        <v>4183</v>
      </c>
    </row>
    <row r="3575" ht="15.75" customHeight="1">
      <c r="A3575" s="16">
        <v>100.0</v>
      </c>
      <c r="B3575" s="17" t="s">
        <v>7506</v>
      </c>
      <c r="C3575" s="19">
        <v>95.05</v>
      </c>
      <c r="D3575" s="18" t="s">
        <v>4183</v>
      </c>
    </row>
    <row r="3576" ht="15.75" customHeight="1">
      <c r="A3576" s="16">
        <v>101.0</v>
      </c>
      <c r="B3576" s="17" t="s">
        <v>7507</v>
      </c>
      <c r="C3576" s="16">
        <v>54.0</v>
      </c>
      <c r="D3576" s="18" t="s">
        <v>4178</v>
      </c>
    </row>
    <row r="3577" ht="15.75" customHeight="1">
      <c r="A3577" s="16">
        <v>102.0</v>
      </c>
      <c r="B3577" s="17" t="s">
        <v>7508</v>
      </c>
      <c r="C3577" s="16">
        <v>86.0</v>
      </c>
      <c r="D3577" s="18" t="s">
        <v>4183</v>
      </c>
    </row>
    <row r="3578" ht="15.75" customHeight="1">
      <c r="A3578" s="16">
        <v>103.0</v>
      </c>
      <c r="B3578" s="17" t="s">
        <v>7509</v>
      </c>
      <c r="C3578" s="16">
        <v>35.0</v>
      </c>
      <c r="D3578" s="18" t="s">
        <v>4183</v>
      </c>
    </row>
    <row r="3579" ht="15.75" customHeight="1">
      <c r="A3579" s="16">
        <v>104.0</v>
      </c>
      <c r="B3579" s="17" t="s">
        <v>7510</v>
      </c>
      <c r="C3579" s="16">
        <v>59.0</v>
      </c>
      <c r="D3579" s="18" t="s">
        <v>4183</v>
      </c>
    </row>
    <row r="3580" ht="15.75" customHeight="1">
      <c r="A3580" s="16">
        <v>105.0</v>
      </c>
      <c r="B3580" s="17" t="s">
        <v>7511</v>
      </c>
      <c r="C3580" s="16">
        <v>70.0</v>
      </c>
      <c r="D3580" s="18" t="s">
        <v>4341</v>
      </c>
    </row>
    <row r="3581" ht="15.75" customHeight="1">
      <c r="A3581" s="16">
        <v>106.0</v>
      </c>
      <c r="B3581" s="17" t="s">
        <v>7512</v>
      </c>
      <c r="C3581" s="16">
        <v>45.0</v>
      </c>
      <c r="D3581" s="18" t="s">
        <v>4183</v>
      </c>
    </row>
    <row r="3582" ht="15.75" customHeight="1">
      <c r="A3582" s="16">
        <v>107.0</v>
      </c>
      <c r="B3582" s="17" t="s">
        <v>7513</v>
      </c>
      <c r="C3582" s="16">
        <v>62.0</v>
      </c>
      <c r="D3582" s="18" t="s">
        <v>4183</v>
      </c>
    </row>
    <row r="3583" ht="15.75" customHeight="1">
      <c r="A3583" s="16">
        <v>108.0</v>
      </c>
      <c r="B3583" s="17" t="s">
        <v>7514</v>
      </c>
      <c r="C3583" s="19">
        <v>90.03</v>
      </c>
      <c r="D3583" s="18" t="s">
        <v>4183</v>
      </c>
    </row>
    <row r="3584" ht="15.75" customHeight="1">
      <c r="A3584" s="16">
        <v>109.0</v>
      </c>
      <c r="B3584" s="17" t="s">
        <v>7515</v>
      </c>
      <c r="C3584" s="16">
        <v>48.0</v>
      </c>
      <c r="D3584" s="18" t="s">
        <v>4183</v>
      </c>
    </row>
    <row r="3585" ht="15.75" customHeight="1">
      <c r="A3585" s="16">
        <v>110.0</v>
      </c>
      <c r="B3585" s="17" t="s">
        <v>7516</v>
      </c>
      <c r="C3585" s="16">
        <v>77.0</v>
      </c>
      <c r="D3585" s="18" t="s">
        <v>4473</v>
      </c>
    </row>
    <row r="3586" ht="15.75" customHeight="1">
      <c r="A3586" s="16">
        <v>111.0</v>
      </c>
      <c r="B3586" s="17" t="s">
        <v>7517</v>
      </c>
      <c r="C3586" s="19">
        <v>31.5</v>
      </c>
      <c r="D3586" s="18" t="s">
        <v>4183</v>
      </c>
    </row>
    <row r="3587" ht="15.75" customHeight="1">
      <c r="A3587" s="16">
        <v>112.0</v>
      </c>
      <c r="B3587" s="17" t="s">
        <v>7518</v>
      </c>
      <c r="C3587" s="16">
        <v>9.0</v>
      </c>
      <c r="D3587" s="18" t="s">
        <v>4215</v>
      </c>
    </row>
    <row r="3588" ht="15.75" customHeight="1">
      <c r="A3588" s="16">
        <v>113.0</v>
      </c>
      <c r="B3588" s="17" t="s">
        <v>7519</v>
      </c>
      <c r="C3588" s="16">
        <v>22.0</v>
      </c>
      <c r="D3588" s="18" t="s">
        <v>4178</v>
      </c>
    </row>
    <row r="3589" ht="15.75" customHeight="1">
      <c r="A3589" s="16">
        <v>114.0</v>
      </c>
      <c r="B3589" s="17" t="s">
        <v>7520</v>
      </c>
      <c r="C3589" s="16">
        <v>58.0</v>
      </c>
      <c r="D3589" s="18" t="s">
        <v>4183</v>
      </c>
    </row>
    <row r="3590" ht="15.75" customHeight="1">
      <c r="A3590" s="16">
        <v>115.0</v>
      </c>
      <c r="B3590" s="17" t="s">
        <v>7521</v>
      </c>
      <c r="C3590" s="16">
        <v>30.0</v>
      </c>
      <c r="D3590" s="18" t="s">
        <v>4178</v>
      </c>
    </row>
    <row r="3591" ht="15.75" customHeight="1">
      <c r="A3591" s="16">
        <v>116.0</v>
      </c>
      <c r="B3591" s="17" t="s">
        <v>7522</v>
      </c>
      <c r="C3591" s="16">
        <v>304.0</v>
      </c>
      <c r="D3591" s="18" t="s">
        <v>4183</v>
      </c>
    </row>
    <row r="3592" ht="15.75" customHeight="1">
      <c r="A3592" s="16">
        <v>117.0</v>
      </c>
      <c r="B3592" s="17" t="s">
        <v>7523</v>
      </c>
      <c r="C3592" s="16">
        <v>17.0</v>
      </c>
      <c r="D3592" s="18" t="s">
        <v>4183</v>
      </c>
    </row>
    <row r="3593" ht="15.75" customHeight="1">
      <c r="A3593" s="16">
        <v>118.0</v>
      </c>
      <c r="B3593" s="17" t="s">
        <v>7524</v>
      </c>
      <c r="C3593" s="16">
        <v>83.0</v>
      </c>
      <c r="D3593" s="18" t="s">
        <v>4183</v>
      </c>
    </row>
    <row r="3594" ht="15.75" customHeight="1">
      <c r="A3594" s="16">
        <v>119.0</v>
      </c>
      <c r="B3594" s="17" t="s">
        <v>7525</v>
      </c>
      <c r="C3594" s="16">
        <v>30.0</v>
      </c>
      <c r="D3594" s="18" t="s">
        <v>4183</v>
      </c>
    </row>
    <row r="3595" ht="15.75" customHeight="1">
      <c r="A3595" s="16">
        <v>120.0</v>
      </c>
      <c r="B3595" s="17" t="s">
        <v>7526</v>
      </c>
      <c r="C3595" s="16">
        <v>100.0</v>
      </c>
      <c r="D3595" s="18" t="s">
        <v>4183</v>
      </c>
    </row>
    <row r="3596" ht="15.75" customHeight="1">
      <c r="A3596" s="16">
        <v>121.0</v>
      </c>
      <c r="B3596" s="17" t="s">
        <v>7527</v>
      </c>
      <c r="C3596" s="16">
        <v>65.0</v>
      </c>
      <c r="D3596" s="18" t="s">
        <v>4183</v>
      </c>
    </row>
    <row r="3597" ht="15.75" customHeight="1">
      <c r="A3597" s="16">
        <v>122.0</v>
      </c>
      <c r="B3597" s="17" t="s">
        <v>7528</v>
      </c>
      <c r="C3597" s="16">
        <v>72.0</v>
      </c>
      <c r="D3597" s="18" t="s">
        <v>4183</v>
      </c>
    </row>
    <row r="3598" ht="15.75" customHeight="1">
      <c r="A3598" s="16">
        <v>123.0</v>
      </c>
      <c r="B3598" s="17" t="s">
        <v>7529</v>
      </c>
      <c r="C3598" s="16">
        <v>136.0</v>
      </c>
      <c r="D3598" s="18" t="s">
        <v>4178</v>
      </c>
    </row>
    <row r="3599" ht="15.75" customHeight="1">
      <c r="A3599" s="16">
        <v>124.0</v>
      </c>
      <c r="B3599" s="17" t="s">
        <v>7530</v>
      </c>
      <c r="C3599" s="18" t="s">
        <v>7531</v>
      </c>
      <c r="D3599" s="18" t="s">
        <v>4183</v>
      </c>
    </row>
    <row r="3600" ht="15.75" customHeight="1">
      <c r="A3600" s="16">
        <v>125.0</v>
      </c>
      <c r="B3600" s="17" t="s">
        <v>7532</v>
      </c>
      <c r="C3600" s="16">
        <v>35.0</v>
      </c>
      <c r="D3600" s="18" t="s">
        <v>4178</v>
      </c>
    </row>
    <row r="3601" ht="15.75" customHeight="1">
      <c r="A3601" s="16">
        <v>126.0</v>
      </c>
      <c r="B3601" s="17" t="s">
        <v>7533</v>
      </c>
      <c r="C3601" s="16">
        <v>25.0</v>
      </c>
      <c r="D3601" s="18" t="s">
        <v>4183</v>
      </c>
    </row>
    <row r="3602" ht="15.75" customHeight="1">
      <c r="A3602" s="16">
        <v>127.0</v>
      </c>
      <c r="B3602" s="17" t="s">
        <v>7534</v>
      </c>
      <c r="C3602" s="16">
        <v>28.0</v>
      </c>
      <c r="D3602" s="18" t="s">
        <v>4178</v>
      </c>
    </row>
    <row r="3603" ht="15.75" customHeight="1">
      <c r="A3603" s="16">
        <v>128.0</v>
      </c>
      <c r="B3603" s="17" t="s">
        <v>7535</v>
      </c>
      <c r="C3603" s="18" t="s">
        <v>4218</v>
      </c>
      <c r="D3603" s="18" t="s">
        <v>4178</v>
      </c>
    </row>
    <row r="3604" ht="15.75" customHeight="1">
      <c r="A3604" s="16">
        <v>129.0</v>
      </c>
      <c r="B3604" s="17" t="s">
        <v>7536</v>
      </c>
      <c r="C3604" s="16">
        <v>49.0</v>
      </c>
      <c r="D3604" s="18" t="s">
        <v>4183</v>
      </c>
    </row>
    <row r="3605" ht="15.75" customHeight="1">
      <c r="A3605" s="16">
        <v>130.0</v>
      </c>
      <c r="B3605" s="17" t="s">
        <v>7537</v>
      </c>
      <c r="C3605" s="16">
        <v>29.0</v>
      </c>
      <c r="D3605" s="18" t="s">
        <v>4178</v>
      </c>
    </row>
    <row r="3606" ht="15.75" customHeight="1">
      <c r="A3606" s="16">
        <v>131.0</v>
      </c>
      <c r="B3606" s="17" t="s">
        <v>7538</v>
      </c>
      <c r="C3606" s="16">
        <v>104.0</v>
      </c>
      <c r="D3606" s="18" t="s">
        <v>4183</v>
      </c>
    </row>
    <row r="3607" ht="15.75" customHeight="1">
      <c r="A3607" s="16">
        <v>132.0</v>
      </c>
      <c r="B3607" s="17" t="s">
        <v>7539</v>
      </c>
      <c r="C3607" s="16">
        <v>21.0</v>
      </c>
      <c r="D3607" s="18" t="s">
        <v>4183</v>
      </c>
    </row>
    <row r="3608" ht="15.75" customHeight="1">
      <c r="A3608" s="16">
        <v>133.0</v>
      </c>
      <c r="B3608" s="17" t="s">
        <v>7540</v>
      </c>
      <c r="C3608" s="18" t="s">
        <v>4270</v>
      </c>
      <c r="D3608" s="18" t="s">
        <v>4178</v>
      </c>
    </row>
    <row r="3609" ht="15.75" customHeight="1">
      <c r="A3609" s="16">
        <v>134.0</v>
      </c>
      <c r="B3609" s="17" t="s">
        <v>7541</v>
      </c>
      <c r="C3609" s="16">
        <v>6.0</v>
      </c>
      <c r="D3609" s="18" t="s">
        <v>4178</v>
      </c>
    </row>
    <row r="3610" ht="15.75" customHeight="1">
      <c r="A3610" s="16">
        <v>135.0</v>
      </c>
      <c r="B3610" s="17" t="s">
        <v>7542</v>
      </c>
      <c r="C3610" s="18" t="s">
        <v>4681</v>
      </c>
      <c r="D3610" s="18" t="s">
        <v>4178</v>
      </c>
    </row>
    <row r="3611" ht="15.75" customHeight="1">
      <c r="A3611" s="16">
        <v>136.0</v>
      </c>
      <c r="B3611" s="17" t="s">
        <v>7543</v>
      </c>
      <c r="C3611" s="16">
        <v>87.0</v>
      </c>
      <c r="D3611" s="18" t="s">
        <v>4183</v>
      </c>
    </row>
    <row r="3612" ht="15.75" customHeight="1">
      <c r="A3612" s="16">
        <v>137.0</v>
      </c>
      <c r="B3612" s="17" t="s">
        <v>7544</v>
      </c>
      <c r="C3612" s="16">
        <v>29.0</v>
      </c>
      <c r="D3612" s="18" t="s">
        <v>4215</v>
      </c>
    </row>
    <row r="3613" ht="15.75" customHeight="1">
      <c r="A3613" s="16">
        <v>138.0</v>
      </c>
      <c r="B3613" s="17" t="s">
        <v>7545</v>
      </c>
      <c r="C3613" s="18" t="s">
        <v>4213</v>
      </c>
      <c r="D3613" s="18" t="s">
        <v>4183</v>
      </c>
    </row>
    <row r="3614" ht="15.75" customHeight="1">
      <c r="A3614" s="16">
        <v>139.0</v>
      </c>
      <c r="B3614" s="17" t="s">
        <v>7546</v>
      </c>
      <c r="C3614" s="16">
        <v>65.0</v>
      </c>
      <c r="D3614" s="18" t="s">
        <v>4183</v>
      </c>
    </row>
    <row r="3615" ht="15.75" customHeight="1">
      <c r="A3615" s="16">
        <v>140.0</v>
      </c>
      <c r="B3615" s="17" t="s">
        <v>7547</v>
      </c>
      <c r="C3615" s="16">
        <v>65.0</v>
      </c>
      <c r="D3615" s="18" t="s">
        <v>4183</v>
      </c>
    </row>
    <row r="3616" ht="15.75" customHeight="1">
      <c r="A3616" s="16">
        <v>141.0</v>
      </c>
      <c r="B3616" s="17" t="s">
        <v>7548</v>
      </c>
      <c r="C3616" s="16">
        <v>69.0</v>
      </c>
      <c r="D3616" s="18" t="s">
        <v>4183</v>
      </c>
    </row>
    <row r="3617" ht="15.75" customHeight="1">
      <c r="A3617" s="16">
        <v>142.0</v>
      </c>
      <c r="B3617" s="17" t="s">
        <v>7549</v>
      </c>
      <c r="C3617" s="16">
        <v>42.0</v>
      </c>
      <c r="D3617" s="18" t="s">
        <v>4183</v>
      </c>
    </row>
    <row r="3618" ht="15.75" customHeight="1">
      <c r="A3618" s="16">
        <v>143.0</v>
      </c>
      <c r="B3618" s="17" t="s">
        <v>7550</v>
      </c>
      <c r="C3618" s="16">
        <v>83.0</v>
      </c>
      <c r="D3618" s="18" t="s">
        <v>4183</v>
      </c>
    </row>
    <row r="3619" ht="15.75" customHeight="1">
      <c r="A3619" s="16">
        <v>144.0</v>
      </c>
      <c r="B3619" s="17" t="s">
        <v>7551</v>
      </c>
      <c r="C3619" s="16">
        <v>34.0</v>
      </c>
      <c r="D3619" s="18" t="s">
        <v>4183</v>
      </c>
    </row>
    <row r="3620" ht="15.75" customHeight="1">
      <c r="A3620" s="16">
        <v>145.0</v>
      </c>
      <c r="B3620" s="17" t="s">
        <v>7552</v>
      </c>
      <c r="C3620" s="16">
        <v>27.0</v>
      </c>
      <c r="D3620" s="18" t="s">
        <v>4183</v>
      </c>
    </row>
    <row r="3621" ht="15.75" customHeight="1">
      <c r="A3621" s="16">
        <v>146.0</v>
      </c>
      <c r="B3621" s="17" t="s">
        <v>7553</v>
      </c>
      <c r="C3621" s="16">
        <v>68.0</v>
      </c>
      <c r="D3621" s="18" t="s">
        <v>4183</v>
      </c>
    </row>
    <row r="3622" ht="15.75" customHeight="1">
      <c r="A3622" s="16">
        <v>147.0</v>
      </c>
      <c r="B3622" s="17" t="s">
        <v>7554</v>
      </c>
      <c r="C3622" s="16">
        <v>55.0</v>
      </c>
      <c r="D3622" s="18" t="s">
        <v>4183</v>
      </c>
    </row>
    <row r="3623" ht="15.75" customHeight="1">
      <c r="A3623" s="16">
        <v>148.0</v>
      </c>
      <c r="B3623" s="17" t="s">
        <v>7555</v>
      </c>
      <c r="C3623" s="16">
        <v>99.0</v>
      </c>
      <c r="D3623" s="18" t="s">
        <v>4183</v>
      </c>
    </row>
    <row r="3624" ht="15.75" customHeight="1">
      <c r="A3624" s="16">
        <v>149.0</v>
      </c>
      <c r="B3624" s="17" t="s">
        <v>7556</v>
      </c>
      <c r="C3624" s="16">
        <v>54.0</v>
      </c>
      <c r="D3624" s="18" t="s">
        <v>4178</v>
      </c>
    </row>
    <row r="3625" ht="15.75" customHeight="1">
      <c r="A3625" s="16">
        <v>150.0</v>
      </c>
      <c r="B3625" s="17" t="s">
        <v>7557</v>
      </c>
      <c r="C3625" s="16">
        <v>45.0</v>
      </c>
      <c r="D3625" s="18" t="s">
        <v>4183</v>
      </c>
    </row>
    <row r="3626" ht="15.75" customHeight="1">
      <c r="A3626" s="16">
        <v>151.0</v>
      </c>
      <c r="B3626" s="17" t="s">
        <v>7558</v>
      </c>
      <c r="C3626" s="16">
        <v>33.0</v>
      </c>
      <c r="D3626" s="18" t="s">
        <v>4183</v>
      </c>
    </row>
    <row r="3627" ht="15.75" customHeight="1">
      <c r="A3627" s="16">
        <v>152.0</v>
      </c>
      <c r="B3627" s="17" t="s">
        <v>7559</v>
      </c>
      <c r="C3627" s="16">
        <v>23.0</v>
      </c>
      <c r="D3627" s="18" t="s">
        <v>4183</v>
      </c>
    </row>
    <row r="3628" ht="15.75" customHeight="1">
      <c r="A3628" s="16">
        <v>153.0</v>
      </c>
      <c r="B3628" s="17" t="s">
        <v>7560</v>
      </c>
      <c r="C3628" s="16">
        <v>12.0</v>
      </c>
      <c r="D3628" s="18" t="s">
        <v>4178</v>
      </c>
    </row>
    <row r="3629" ht="15.75" customHeight="1">
      <c r="A3629" s="16">
        <v>154.0</v>
      </c>
      <c r="B3629" s="17" t="s">
        <v>7561</v>
      </c>
      <c r="C3629" s="16">
        <v>115.0</v>
      </c>
      <c r="D3629" s="18" t="s">
        <v>4178</v>
      </c>
    </row>
    <row r="3630" ht="15.75" customHeight="1">
      <c r="A3630" s="16">
        <v>155.0</v>
      </c>
      <c r="B3630" s="17" t="s">
        <v>7562</v>
      </c>
      <c r="C3630" s="16">
        <v>169.0</v>
      </c>
      <c r="D3630" s="18" t="s">
        <v>4183</v>
      </c>
    </row>
    <row r="3631" ht="15.75" customHeight="1">
      <c r="A3631" s="16">
        <v>156.0</v>
      </c>
      <c r="B3631" s="17" t="s">
        <v>7563</v>
      </c>
      <c r="C3631" s="16">
        <v>453.0</v>
      </c>
      <c r="D3631" s="18" t="s">
        <v>4183</v>
      </c>
    </row>
    <row r="3632" ht="15.75" customHeight="1">
      <c r="A3632" s="16">
        <v>157.0</v>
      </c>
      <c r="B3632" s="17" t="s">
        <v>7564</v>
      </c>
      <c r="C3632" s="16">
        <v>84.0</v>
      </c>
      <c r="D3632" s="18" t="s">
        <v>4183</v>
      </c>
    </row>
    <row r="3633" ht="15.75" customHeight="1">
      <c r="A3633" s="16">
        <v>158.0</v>
      </c>
      <c r="B3633" s="17" t="s">
        <v>7565</v>
      </c>
      <c r="C3633" s="16">
        <v>69.0</v>
      </c>
      <c r="D3633" s="18" t="s">
        <v>4183</v>
      </c>
    </row>
    <row r="3634" ht="15.75" customHeight="1">
      <c r="A3634" s="16">
        <v>159.0</v>
      </c>
      <c r="B3634" s="17" t="s">
        <v>7566</v>
      </c>
      <c r="C3634" s="16">
        <v>56.0</v>
      </c>
      <c r="D3634" s="18" t="s">
        <v>4183</v>
      </c>
    </row>
    <row r="3635" ht="15.75" customHeight="1">
      <c r="A3635" s="16">
        <v>160.0</v>
      </c>
      <c r="B3635" s="17" t="s">
        <v>7567</v>
      </c>
      <c r="C3635" s="16">
        <v>82.0</v>
      </c>
      <c r="D3635" s="18" t="s">
        <v>4183</v>
      </c>
    </row>
    <row r="3636" ht="15.75" customHeight="1">
      <c r="A3636" s="16">
        <v>161.0</v>
      </c>
      <c r="B3636" s="17" t="s">
        <v>7568</v>
      </c>
      <c r="C3636" s="16">
        <v>60.0</v>
      </c>
      <c r="D3636" s="18" t="s">
        <v>4183</v>
      </c>
    </row>
    <row r="3637" ht="15.75" customHeight="1">
      <c r="A3637" s="16">
        <v>162.0</v>
      </c>
      <c r="B3637" s="17" t="s">
        <v>7569</v>
      </c>
      <c r="C3637" s="18" t="s">
        <v>5612</v>
      </c>
      <c r="D3637" s="18" t="s">
        <v>4183</v>
      </c>
    </row>
    <row r="3638" ht="15.75" customHeight="1">
      <c r="A3638" s="20"/>
      <c r="B3638" s="21" t="s">
        <v>4273</v>
      </c>
      <c r="C3638" s="22">
        <v>8157.48</v>
      </c>
      <c r="D3638" s="21" t="s">
        <v>4171</v>
      </c>
    </row>
    <row r="3639" ht="15.75" customHeight="1">
      <c r="A3639" s="11"/>
      <c r="B3639" s="12"/>
      <c r="C3639" s="12"/>
      <c r="D3639" s="13"/>
    </row>
    <row r="3640" ht="15.75" customHeight="1">
      <c r="A3640" s="14" t="s">
        <v>4093</v>
      </c>
      <c r="B3640" s="15"/>
      <c r="C3640" s="15"/>
      <c r="D3640" s="15"/>
    </row>
    <row r="3641" ht="15.75" customHeight="1">
      <c r="A3641" s="16">
        <v>1.0</v>
      </c>
      <c r="B3641" s="17" t="s">
        <v>7570</v>
      </c>
      <c r="C3641" s="16">
        <v>11.0</v>
      </c>
      <c r="D3641" s="18" t="s">
        <v>4183</v>
      </c>
    </row>
    <row r="3642" ht="15.75" customHeight="1">
      <c r="A3642" s="16">
        <v>2.0</v>
      </c>
      <c r="B3642" s="17" t="s">
        <v>7571</v>
      </c>
      <c r="C3642" s="16">
        <v>26.0</v>
      </c>
      <c r="D3642" s="18" t="s">
        <v>4183</v>
      </c>
    </row>
    <row r="3643" ht="15.75" customHeight="1">
      <c r="A3643" s="16">
        <v>3.0</v>
      </c>
      <c r="B3643" s="17" t="s">
        <v>7572</v>
      </c>
      <c r="C3643" s="16">
        <v>15.0</v>
      </c>
      <c r="D3643" s="18" t="s">
        <v>4183</v>
      </c>
    </row>
    <row r="3644" ht="15.75" customHeight="1">
      <c r="A3644" s="16">
        <v>4.0</v>
      </c>
      <c r="B3644" s="17" t="s">
        <v>7573</v>
      </c>
      <c r="C3644" s="16">
        <v>14.0</v>
      </c>
      <c r="D3644" s="18" t="s">
        <v>4183</v>
      </c>
    </row>
    <row r="3645" ht="15.75" customHeight="1">
      <c r="A3645" s="16">
        <v>5.0</v>
      </c>
      <c r="B3645" s="17" t="s">
        <v>7574</v>
      </c>
      <c r="C3645" s="16">
        <v>23.0</v>
      </c>
      <c r="D3645" s="18" t="s">
        <v>4183</v>
      </c>
    </row>
    <row r="3646" ht="15.75" customHeight="1">
      <c r="A3646" s="16">
        <v>6.0</v>
      </c>
      <c r="B3646" s="17" t="s">
        <v>7575</v>
      </c>
      <c r="C3646" s="16">
        <v>40.0</v>
      </c>
      <c r="D3646" s="18" t="s">
        <v>4183</v>
      </c>
    </row>
    <row r="3647" ht="15.75" customHeight="1">
      <c r="A3647" s="16">
        <v>7.0</v>
      </c>
      <c r="B3647" s="17" t="s">
        <v>7576</v>
      </c>
      <c r="C3647" s="16">
        <v>17.0</v>
      </c>
      <c r="D3647" s="18" t="s">
        <v>4178</v>
      </c>
    </row>
    <row r="3648" ht="15.75" customHeight="1">
      <c r="A3648" s="16">
        <v>8.0</v>
      </c>
      <c r="B3648" s="17" t="s">
        <v>7577</v>
      </c>
      <c r="C3648" s="16">
        <v>10.0</v>
      </c>
      <c r="D3648" s="18" t="s">
        <v>4178</v>
      </c>
    </row>
    <row r="3649" ht="15.75" customHeight="1">
      <c r="A3649" s="16">
        <v>9.0</v>
      </c>
      <c r="B3649" s="17" t="s">
        <v>7578</v>
      </c>
      <c r="C3649" s="16">
        <v>296.0</v>
      </c>
      <c r="D3649" s="18" t="s">
        <v>4183</v>
      </c>
    </row>
    <row r="3650" ht="15.75" customHeight="1">
      <c r="A3650" s="16">
        <v>10.0</v>
      </c>
      <c r="B3650" s="17" t="s">
        <v>7579</v>
      </c>
      <c r="C3650" s="16">
        <v>37.0</v>
      </c>
      <c r="D3650" s="18" t="s">
        <v>4183</v>
      </c>
    </row>
    <row r="3651" ht="15.75" customHeight="1">
      <c r="A3651" s="16">
        <v>11.0</v>
      </c>
      <c r="B3651" s="17" t="s">
        <v>7580</v>
      </c>
      <c r="C3651" s="16">
        <v>6.0</v>
      </c>
      <c r="D3651" s="18" t="s">
        <v>4183</v>
      </c>
    </row>
    <row r="3652" ht="15.75" customHeight="1">
      <c r="A3652" s="16">
        <v>12.0</v>
      </c>
      <c r="B3652" s="17" t="s">
        <v>7581</v>
      </c>
      <c r="C3652" s="16">
        <v>22.0</v>
      </c>
      <c r="D3652" s="18" t="s">
        <v>4183</v>
      </c>
    </row>
    <row r="3653" ht="15.75" customHeight="1">
      <c r="A3653" s="16">
        <v>13.0</v>
      </c>
      <c r="B3653" s="17" t="s">
        <v>7582</v>
      </c>
      <c r="C3653" s="16">
        <v>8.0</v>
      </c>
      <c r="D3653" s="18" t="s">
        <v>4183</v>
      </c>
    </row>
    <row r="3654" ht="15.75" customHeight="1">
      <c r="A3654" s="16">
        <v>14.0</v>
      </c>
      <c r="B3654" s="17" t="s">
        <v>7583</v>
      </c>
      <c r="C3654" s="16">
        <v>18.0</v>
      </c>
      <c r="D3654" s="18" t="s">
        <v>4183</v>
      </c>
    </row>
    <row r="3655" ht="15.75" customHeight="1">
      <c r="A3655" s="16">
        <v>15.0</v>
      </c>
      <c r="B3655" s="17" t="s">
        <v>7584</v>
      </c>
      <c r="C3655" s="16">
        <v>19.0</v>
      </c>
      <c r="D3655" s="18" t="s">
        <v>4183</v>
      </c>
    </row>
    <row r="3656" ht="15.75" customHeight="1">
      <c r="A3656" s="16">
        <v>16.0</v>
      </c>
      <c r="B3656" s="17" t="s">
        <v>7585</v>
      </c>
      <c r="C3656" s="16">
        <v>7.0</v>
      </c>
      <c r="D3656" s="18" t="s">
        <v>4183</v>
      </c>
    </row>
    <row r="3657" ht="15.75" customHeight="1">
      <c r="A3657" s="16">
        <v>17.0</v>
      </c>
      <c r="B3657" s="17" t="s">
        <v>7586</v>
      </c>
      <c r="C3657" s="16">
        <v>5.0</v>
      </c>
      <c r="D3657" s="18" t="s">
        <v>4183</v>
      </c>
    </row>
    <row r="3658" ht="15.75" customHeight="1">
      <c r="A3658" s="16">
        <v>18.0</v>
      </c>
      <c r="B3658" s="17" t="s">
        <v>7587</v>
      </c>
      <c r="C3658" s="16">
        <v>2.0</v>
      </c>
      <c r="D3658" s="18" t="s">
        <v>4183</v>
      </c>
    </row>
    <row r="3659" ht="15.75" customHeight="1">
      <c r="A3659" s="16">
        <v>19.0</v>
      </c>
      <c r="B3659" s="17" t="s">
        <v>7588</v>
      </c>
      <c r="C3659" s="16">
        <v>9.0</v>
      </c>
      <c r="D3659" s="18" t="s">
        <v>4183</v>
      </c>
    </row>
    <row r="3660" ht="15.75" customHeight="1">
      <c r="A3660" s="16">
        <v>20.0</v>
      </c>
      <c r="B3660" s="17" t="s">
        <v>7589</v>
      </c>
      <c r="C3660" s="16">
        <v>14.0</v>
      </c>
      <c r="D3660" s="18" t="s">
        <v>4183</v>
      </c>
    </row>
    <row r="3661" ht="15.75" customHeight="1">
      <c r="A3661" s="16">
        <v>21.0</v>
      </c>
      <c r="B3661" s="17" t="s">
        <v>7590</v>
      </c>
      <c r="C3661" s="16">
        <v>19.0</v>
      </c>
      <c r="D3661" s="18" t="s">
        <v>4183</v>
      </c>
    </row>
    <row r="3662" ht="15.75" customHeight="1">
      <c r="A3662" s="16">
        <v>22.0</v>
      </c>
      <c r="B3662" s="17" t="s">
        <v>7591</v>
      </c>
      <c r="C3662" s="16">
        <v>34.0</v>
      </c>
      <c r="D3662" s="18" t="s">
        <v>4183</v>
      </c>
    </row>
    <row r="3663" ht="15.75" customHeight="1">
      <c r="A3663" s="16">
        <v>23.0</v>
      </c>
      <c r="B3663" s="17" t="s">
        <v>7592</v>
      </c>
      <c r="C3663" s="16">
        <v>89.0</v>
      </c>
      <c r="D3663" s="18" t="s">
        <v>4183</v>
      </c>
    </row>
    <row r="3664" ht="15.75" customHeight="1">
      <c r="A3664" s="16">
        <v>24.0</v>
      </c>
      <c r="B3664" s="17" t="s">
        <v>7593</v>
      </c>
      <c r="C3664" s="16">
        <v>12.0</v>
      </c>
      <c r="D3664" s="18" t="s">
        <v>4183</v>
      </c>
    </row>
    <row r="3665" ht="15.75" customHeight="1">
      <c r="A3665" s="16">
        <v>25.0</v>
      </c>
      <c r="B3665" s="17" t="s">
        <v>7594</v>
      </c>
      <c r="C3665" s="16">
        <v>28.0</v>
      </c>
      <c r="D3665" s="18" t="s">
        <v>4183</v>
      </c>
    </row>
    <row r="3666" ht="15.75" customHeight="1">
      <c r="A3666" s="20"/>
      <c r="B3666" s="21" t="s">
        <v>4273</v>
      </c>
      <c r="C3666" s="23">
        <v>781.0</v>
      </c>
      <c r="D3666" s="21" t="s">
        <v>4171</v>
      </c>
    </row>
    <row r="3667" ht="15.75" customHeight="1">
      <c r="A3667" s="11"/>
      <c r="B3667" s="12"/>
      <c r="C3667" s="12"/>
      <c r="D3667" s="13"/>
    </row>
    <row r="3668" ht="15.75" customHeight="1">
      <c r="A3668" s="14" t="s">
        <v>4076</v>
      </c>
      <c r="B3668" s="15"/>
      <c r="C3668" s="15"/>
      <c r="D3668" s="15"/>
    </row>
    <row r="3669" ht="15.75" customHeight="1">
      <c r="A3669" s="16">
        <v>1.0</v>
      </c>
      <c r="B3669" s="17" t="s">
        <v>7595</v>
      </c>
      <c r="C3669" s="16">
        <v>6.0</v>
      </c>
      <c r="D3669" s="18" t="s">
        <v>4183</v>
      </c>
    </row>
    <row r="3670" ht="15.75" customHeight="1">
      <c r="A3670" s="16">
        <v>2.0</v>
      </c>
      <c r="B3670" s="17" t="s">
        <v>7596</v>
      </c>
      <c r="C3670" s="16">
        <v>3.0</v>
      </c>
      <c r="D3670" s="18" t="s">
        <v>4183</v>
      </c>
    </row>
    <row r="3671" ht="15.75" customHeight="1">
      <c r="A3671" s="16">
        <v>3.0</v>
      </c>
      <c r="B3671" s="17" t="s">
        <v>7597</v>
      </c>
      <c r="C3671" s="16">
        <v>13.0</v>
      </c>
      <c r="D3671" s="18" t="s">
        <v>4183</v>
      </c>
    </row>
    <row r="3672" ht="15.75" customHeight="1">
      <c r="A3672" s="16">
        <v>4.0</v>
      </c>
      <c r="B3672" s="17" t="s">
        <v>7598</v>
      </c>
      <c r="C3672" s="16">
        <v>6.0</v>
      </c>
      <c r="D3672" s="18" t="s">
        <v>4183</v>
      </c>
    </row>
    <row r="3673" ht="15.75" customHeight="1">
      <c r="A3673" s="16">
        <v>5.0</v>
      </c>
      <c r="B3673" s="17" t="s">
        <v>7599</v>
      </c>
      <c r="C3673" s="16">
        <v>26.0</v>
      </c>
      <c r="D3673" s="18" t="s">
        <v>4183</v>
      </c>
    </row>
    <row r="3674" ht="15.75" customHeight="1">
      <c r="A3674" s="16">
        <v>6.0</v>
      </c>
      <c r="B3674" s="17" t="s">
        <v>7600</v>
      </c>
      <c r="C3674" s="16">
        <v>19.0</v>
      </c>
      <c r="D3674" s="18" t="s">
        <v>4183</v>
      </c>
    </row>
    <row r="3675" ht="15.75" customHeight="1">
      <c r="A3675" s="16">
        <v>7.0</v>
      </c>
      <c r="B3675" s="17" t="s">
        <v>7601</v>
      </c>
      <c r="C3675" s="16">
        <v>5.0</v>
      </c>
      <c r="D3675" s="18" t="s">
        <v>4183</v>
      </c>
    </row>
    <row r="3676" ht="15.75" customHeight="1">
      <c r="A3676" s="16">
        <v>8.0</v>
      </c>
      <c r="B3676" s="17" t="s">
        <v>7602</v>
      </c>
      <c r="C3676" s="16">
        <v>10.0</v>
      </c>
      <c r="D3676" s="18" t="s">
        <v>4183</v>
      </c>
    </row>
    <row r="3677" ht="15.75" customHeight="1">
      <c r="A3677" s="16">
        <v>9.0</v>
      </c>
      <c r="B3677" s="17" t="s">
        <v>7603</v>
      </c>
      <c r="C3677" s="16">
        <v>1.0</v>
      </c>
      <c r="D3677" s="18" t="s">
        <v>4183</v>
      </c>
    </row>
    <row r="3678" ht="15.75" customHeight="1">
      <c r="A3678" s="16">
        <v>10.0</v>
      </c>
      <c r="B3678" s="17" t="s">
        <v>7604</v>
      </c>
      <c r="C3678" s="16">
        <v>19.0</v>
      </c>
      <c r="D3678" s="18" t="s">
        <v>4183</v>
      </c>
    </row>
    <row r="3679" ht="15.75" customHeight="1">
      <c r="A3679" s="16">
        <v>11.0</v>
      </c>
      <c r="B3679" s="17" t="s">
        <v>7605</v>
      </c>
      <c r="C3679" s="16">
        <v>10.0</v>
      </c>
      <c r="D3679" s="18" t="s">
        <v>4183</v>
      </c>
    </row>
    <row r="3680" ht="15.75" customHeight="1">
      <c r="A3680" s="16">
        <v>12.0</v>
      </c>
      <c r="B3680" s="17" t="s">
        <v>7606</v>
      </c>
      <c r="C3680" s="16">
        <v>1.0</v>
      </c>
      <c r="D3680" s="18" t="s">
        <v>4183</v>
      </c>
    </row>
    <row r="3681" ht="15.75" customHeight="1">
      <c r="A3681" s="16">
        <v>13.0</v>
      </c>
      <c r="B3681" s="17" t="s">
        <v>7607</v>
      </c>
      <c r="C3681" s="16">
        <v>2.0</v>
      </c>
      <c r="D3681" s="18" t="s">
        <v>4183</v>
      </c>
    </row>
    <row r="3682" ht="15.75" customHeight="1">
      <c r="A3682" s="16">
        <v>14.0</v>
      </c>
      <c r="B3682" s="17" t="s">
        <v>7608</v>
      </c>
      <c r="C3682" s="16">
        <v>4.0</v>
      </c>
      <c r="D3682" s="18" t="s">
        <v>4183</v>
      </c>
    </row>
    <row r="3683" ht="15.75" customHeight="1">
      <c r="A3683" s="16">
        <v>15.0</v>
      </c>
      <c r="B3683" s="17" t="s">
        <v>7609</v>
      </c>
      <c r="C3683" s="16">
        <v>3.0</v>
      </c>
      <c r="D3683" s="18" t="s">
        <v>4183</v>
      </c>
    </row>
    <row r="3684" ht="15.75" customHeight="1">
      <c r="A3684" s="16">
        <v>16.0</v>
      </c>
      <c r="B3684" s="17" t="s">
        <v>7610</v>
      </c>
      <c r="C3684" s="16">
        <v>4.0</v>
      </c>
      <c r="D3684" s="18" t="s">
        <v>4183</v>
      </c>
    </row>
    <row r="3685" ht="15.75" customHeight="1">
      <c r="A3685" s="16">
        <v>17.0</v>
      </c>
      <c r="B3685" s="17" t="s">
        <v>7611</v>
      </c>
      <c r="C3685" s="16">
        <v>4.0</v>
      </c>
      <c r="D3685" s="18" t="s">
        <v>4183</v>
      </c>
    </row>
    <row r="3686" ht="15.75" customHeight="1">
      <c r="A3686" s="20"/>
      <c r="B3686" s="21" t="s">
        <v>4273</v>
      </c>
      <c r="C3686" s="23">
        <v>136.0</v>
      </c>
      <c r="D3686" s="21" t="s">
        <v>4171</v>
      </c>
    </row>
    <row r="3687" ht="15.75" customHeight="1">
      <c r="A3687" s="11"/>
      <c r="B3687" s="12"/>
      <c r="C3687" s="12"/>
      <c r="D3687" s="13"/>
    </row>
    <row r="3688" ht="15.75" customHeight="1">
      <c r="A3688" s="14" t="s">
        <v>4076</v>
      </c>
      <c r="B3688" s="15"/>
      <c r="C3688" s="15"/>
      <c r="D3688" s="15"/>
    </row>
    <row r="3689" ht="15.75" customHeight="1">
      <c r="A3689" s="16">
        <v>1.0</v>
      </c>
      <c r="B3689" s="17" t="s">
        <v>7612</v>
      </c>
      <c r="C3689" s="16">
        <v>5.0</v>
      </c>
      <c r="D3689" s="18" t="s">
        <v>4178</v>
      </c>
    </row>
    <row r="3690" ht="15.75" customHeight="1">
      <c r="A3690" s="16">
        <v>2.0</v>
      </c>
      <c r="B3690" s="17" t="s">
        <v>7613</v>
      </c>
      <c r="C3690" s="16">
        <v>10.0</v>
      </c>
      <c r="D3690" s="18" t="s">
        <v>4183</v>
      </c>
    </row>
    <row r="3691" ht="15.75" customHeight="1">
      <c r="A3691" s="16">
        <v>3.0</v>
      </c>
      <c r="B3691" s="17" t="s">
        <v>7614</v>
      </c>
      <c r="C3691" s="16">
        <v>10.0</v>
      </c>
      <c r="D3691" s="18" t="s">
        <v>4183</v>
      </c>
    </row>
    <row r="3692" ht="15.75" customHeight="1">
      <c r="A3692" s="16">
        <v>4.0</v>
      </c>
      <c r="B3692" s="17" t="s">
        <v>7615</v>
      </c>
      <c r="C3692" s="16">
        <v>15.0</v>
      </c>
      <c r="D3692" s="18" t="s">
        <v>4183</v>
      </c>
    </row>
    <row r="3693" ht="15.75" customHeight="1">
      <c r="A3693" s="16">
        <v>5.0</v>
      </c>
      <c r="B3693" s="17" t="s">
        <v>7616</v>
      </c>
      <c r="C3693" s="16">
        <v>3.0</v>
      </c>
      <c r="D3693" s="18" t="s">
        <v>4183</v>
      </c>
    </row>
    <row r="3694" ht="15.75" customHeight="1">
      <c r="A3694" s="16">
        <v>6.0</v>
      </c>
      <c r="B3694" s="17" t="s">
        <v>7617</v>
      </c>
      <c r="C3694" s="16">
        <v>17.0</v>
      </c>
      <c r="D3694" s="18" t="s">
        <v>4178</v>
      </c>
    </row>
    <row r="3695" ht="15.75" customHeight="1">
      <c r="A3695" s="16">
        <v>7.0</v>
      </c>
      <c r="B3695" s="17" t="s">
        <v>7618</v>
      </c>
      <c r="C3695" s="16">
        <v>14.0</v>
      </c>
      <c r="D3695" s="18" t="s">
        <v>4178</v>
      </c>
    </row>
    <row r="3696" ht="15.75" customHeight="1">
      <c r="A3696" s="16">
        <v>8.0</v>
      </c>
      <c r="B3696" s="17" t="s">
        <v>7619</v>
      </c>
      <c r="C3696" s="16">
        <v>19.0</v>
      </c>
      <c r="D3696" s="18" t="s">
        <v>4178</v>
      </c>
    </row>
    <row r="3697" ht="15.75" customHeight="1">
      <c r="A3697" s="16">
        <v>9.0</v>
      </c>
      <c r="B3697" s="17" t="s">
        <v>7620</v>
      </c>
      <c r="C3697" s="16">
        <v>10.0</v>
      </c>
      <c r="D3697" s="18" t="s">
        <v>4183</v>
      </c>
    </row>
    <row r="3698" ht="15.75" customHeight="1">
      <c r="A3698" s="16">
        <v>10.0</v>
      </c>
      <c r="B3698" s="17" t="s">
        <v>7621</v>
      </c>
      <c r="C3698" s="16">
        <v>5.0</v>
      </c>
      <c r="D3698" s="18" t="s">
        <v>4183</v>
      </c>
    </row>
    <row r="3699" ht="15.75" customHeight="1">
      <c r="A3699" s="16">
        <v>11.0</v>
      </c>
      <c r="B3699" s="17" t="s">
        <v>7622</v>
      </c>
      <c r="C3699" s="16">
        <v>11.0</v>
      </c>
      <c r="D3699" s="18" t="s">
        <v>4178</v>
      </c>
    </row>
    <row r="3700" ht="15.75" customHeight="1">
      <c r="A3700" s="16">
        <v>12.0</v>
      </c>
      <c r="B3700" s="17" t="s">
        <v>7623</v>
      </c>
      <c r="C3700" s="16">
        <v>1.0</v>
      </c>
      <c r="D3700" s="18" t="s">
        <v>4183</v>
      </c>
    </row>
    <row r="3701" ht="15.75" customHeight="1">
      <c r="A3701" s="16">
        <v>13.0</v>
      </c>
      <c r="B3701" s="17" t="s">
        <v>7624</v>
      </c>
      <c r="C3701" s="16">
        <v>4.0</v>
      </c>
      <c r="D3701" s="18" t="s">
        <v>4183</v>
      </c>
    </row>
    <row r="3702" ht="15.75" customHeight="1">
      <c r="A3702" s="16">
        <v>14.0</v>
      </c>
      <c r="B3702" s="17" t="s">
        <v>7625</v>
      </c>
      <c r="C3702" s="16">
        <v>6.0</v>
      </c>
      <c r="D3702" s="18" t="s">
        <v>4183</v>
      </c>
    </row>
    <row r="3703" ht="15.75" customHeight="1">
      <c r="A3703" s="16">
        <v>15.0</v>
      </c>
      <c r="B3703" s="17" t="s">
        <v>7626</v>
      </c>
      <c r="C3703" s="16">
        <v>8.0</v>
      </c>
      <c r="D3703" s="18" t="s">
        <v>4178</v>
      </c>
    </row>
    <row r="3704" ht="15.75" customHeight="1">
      <c r="A3704" s="16">
        <v>16.0</v>
      </c>
      <c r="B3704" s="17" t="s">
        <v>7627</v>
      </c>
      <c r="C3704" s="16">
        <v>9.0</v>
      </c>
      <c r="D3704" s="18" t="s">
        <v>4178</v>
      </c>
    </row>
    <row r="3705" ht="15.75" customHeight="1">
      <c r="A3705" s="16">
        <v>17.0</v>
      </c>
      <c r="B3705" s="17" t="s">
        <v>7628</v>
      </c>
      <c r="C3705" s="16">
        <v>5.0</v>
      </c>
      <c r="D3705" s="18" t="s">
        <v>4183</v>
      </c>
    </row>
    <row r="3706" ht="15.75" customHeight="1">
      <c r="A3706" s="16">
        <v>18.0</v>
      </c>
      <c r="B3706" s="17" t="s">
        <v>7629</v>
      </c>
      <c r="C3706" s="16">
        <v>7.0</v>
      </c>
      <c r="D3706" s="18" t="s">
        <v>4183</v>
      </c>
    </row>
    <row r="3707" ht="15.75" customHeight="1">
      <c r="A3707" s="16">
        <v>19.0</v>
      </c>
      <c r="B3707" s="17" t="s">
        <v>7630</v>
      </c>
      <c r="C3707" s="16">
        <v>2.0</v>
      </c>
      <c r="D3707" s="18" t="s">
        <v>4183</v>
      </c>
    </row>
    <row r="3708" ht="15.75" customHeight="1">
      <c r="A3708" s="16">
        <v>20.0</v>
      </c>
      <c r="B3708" s="17" t="s">
        <v>7631</v>
      </c>
      <c r="C3708" s="16">
        <v>9.0</v>
      </c>
      <c r="D3708" s="18" t="s">
        <v>4178</v>
      </c>
    </row>
    <row r="3709" ht="15.75" customHeight="1">
      <c r="A3709" s="16">
        <v>21.0</v>
      </c>
      <c r="B3709" s="17" t="s">
        <v>7632</v>
      </c>
      <c r="C3709" s="16">
        <v>30.0</v>
      </c>
      <c r="D3709" s="18" t="s">
        <v>4183</v>
      </c>
    </row>
    <row r="3710" ht="15.75" customHeight="1">
      <c r="A3710" s="16">
        <v>22.0</v>
      </c>
      <c r="B3710" s="17" t="s">
        <v>7633</v>
      </c>
      <c r="C3710" s="16">
        <v>3.0</v>
      </c>
      <c r="D3710" s="18" t="s">
        <v>4183</v>
      </c>
    </row>
    <row r="3711" ht="15.75" customHeight="1">
      <c r="A3711" s="16">
        <v>23.0</v>
      </c>
      <c r="B3711" s="17" t="s">
        <v>7634</v>
      </c>
      <c r="C3711" s="16">
        <v>19.0</v>
      </c>
      <c r="D3711" s="18" t="s">
        <v>4183</v>
      </c>
    </row>
    <row r="3712" ht="15.75" customHeight="1">
      <c r="A3712" s="16">
        <v>24.0</v>
      </c>
      <c r="B3712" s="17" t="s">
        <v>7635</v>
      </c>
      <c r="C3712" s="16">
        <v>6.0</v>
      </c>
      <c r="D3712" s="18" t="s">
        <v>4183</v>
      </c>
    </row>
    <row r="3713" ht="15.75" customHeight="1">
      <c r="A3713" s="16">
        <v>25.0</v>
      </c>
      <c r="B3713" s="17" t="s">
        <v>7636</v>
      </c>
      <c r="C3713" s="16">
        <v>11.0</v>
      </c>
      <c r="D3713" s="18" t="s">
        <v>4183</v>
      </c>
    </row>
    <row r="3714" ht="15.75" customHeight="1">
      <c r="A3714" s="16">
        <v>26.0</v>
      </c>
      <c r="B3714" s="17" t="s">
        <v>7637</v>
      </c>
      <c r="C3714" s="16">
        <v>4.0</v>
      </c>
      <c r="D3714" s="18" t="s">
        <v>4178</v>
      </c>
    </row>
    <row r="3715" ht="15.75" customHeight="1">
      <c r="A3715" s="16">
        <v>27.0</v>
      </c>
      <c r="B3715" s="17" t="s">
        <v>7638</v>
      </c>
      <c r="C3715" s="16">
        <v>5.0</v>
      </c>
      <c r="D3715" s="18" t="s">
        <v>4178</v>
      </c>
    </row>
    <row r="3716" ht="15.75" customHeight="1">
      <c r="A3716" s="16">
        <v>28.0</v>
      </c>
      <c r="B3716" s="17" t="s">
        <v>7639</v>
      </c>
      <c r="C3716" s="16">
        <v>6.0</v>
      </c>
      <c r="D3716" s="18" t="s">
        <v>4178</v>
      </c>
    </row>
    <row r="3717" ht="15.75" customHeight="1">
      <c r="A3717" s="16">
        <v>29.0</v>
      </c>
      <c r="B3717" s="17" t="s">
        <v>7640</v>
      </c>
      <c r="C3717" s="16">
        <v>17.0</v>
      </c>
      <c r="D3717" s="18" t="s">
        <v>4183</v>
      </c>
    </row>
    <row r="3718" ht="15.75" customHeight="1">
      <c r="A3718" s="16">
        <v>30.0</v>
      </c>
      <c r="B3718" s="17" t="s">
        <v>7641</v>
      </c>
      <c r="C3718" s="16">
        <v>13.0</v>
      </c>
      <c r="D3718" s="18" t="s">
        <v>4183</v>
      </c>
    </row>
    <row r="3719" ht="15.75" customHeight="1">
      <c r="A3719" s="16">
        <v>31.0</v>
      </c>
      <c r="B3719" s="17" t="s">
        <v>7642</v>
      </c>
      <c r="C3719" s="16">
        <v>10.0</v>
      </c>
      <c r="D3719" s="18" t="s">
        <v>4183</v>
      </c>
    </row>
    <row r="3720" ht="15.75" customHeight="1">
      <c r="A3720" s="16">
        <v>32.0</v>
      </c>
      <c r="B3720" s="17" t="s">
        <v>7643</v>
      </c>
      <c r="C3720" s="16">
        <v>3.0</v>
      </c>
      <c r="D3720" s="18" t="s">
        <v>4183</v>
      </c>
    </row>
    <row r="3721" ht="15.75" customHeight="1">
      <c r="A3721" s="16">
        <v>33.0</v>
      </c>
      <c r="B3721" s="17" t="s">
        <v>7644</v>
      </c>
      <c r="C3721" s="16">
        <v>25.0</v>
      </c>
      <c r="D3721" s="18" t="s">
        <v>4183</v>
      </c>
    </row>
    <row r="3722" ht="15.75" customHeight="1">
      <c r="A3722" s="16">
        <v>34.0</v>
      </c>
      <c r="B3722" s="17" t="s">
        <v>7645</v>
      </c>
      <c r="C3722" s="16">
        <v>20.0</v>
      </c>
      <c r="D3722" s="18" t="s">
        <v>4178</v>
      </c>
    </row>
    <row r="3723" ht="15.75" customHeight="1">
      <c r="A3723" s="16">
        <v>35.0</v>
      </c>
      <c r="B3723" s="17" t="s">
        <v>7646</v>
      </c>
      <c r="C3723" s="16">
        <v>2.0</v>
      </c>
      <c r="D3723" s="18" t="s">
        <v>4183</v>
      </c>
    </row>
    <row r="3724" ht="15.75" customHeight="1">
      <c r="A3724" s="16">
        <v>36.0</v>
      </c>
      <c r="B3724" s="17" t="s">
        <v>7647</v>
      </c>
      <c r="C3724" s="16">
        <v>13.0</v>
      </c>
      <c r="D3724" s="18" t="s">
        <v>4178</v>
      </c>
    </row>
    <row r="3725" ht="15.75" customHeight="1">
      <c r="A3725" s="16">
        <v>37.0</v>
      </c>
      <c r="B3725" s="17" t="s">
        <v>7648</v>
      </c>
      <c r="C3725" s="16">
        <v>6.0</v>
      </c>
      <c r="D3725" s="18" t="s">
        <v>4183</v>
      </c>
    </row>
    <row r="3726" ht="15.75" customHeight="1">
      <c r="A3726" s="16">
        <v>38.0</v>
      </c>
      <c r="B3726" s="17" t="s">
        <v>7649</v>
      </c>
      <c r="C3726" s="16">
        <v>17.0</v>
      </c>
      <c r="D3726" s="18" t="s">
        <v>4183</v>
      </c>
    </row>
    <row r="3727" ht="15.75" customHeight="1">
      <c r="A3727" s="16">
        <v>39.0</v>
      </c>
      <c r="B3727" s="17" t="s">
        <v>7650</v>
      </c>
      <c r="C3727" s="16">
        <v>12.0</v>
      </c>
      <c r="D3727" s="18" t="s">
        <v>4183</v>
      </c>
    </row>
    <row r="3728" ht="15.75" customHeight="1">
      <c r="A3728" s="16">
        <v>40.0</v>
      </c>
      <c r="B3728" s="17" t="s">
        <v>7651</v>
      </c>
      <c r="C3728" s="16">
        <v>5.0</v>
      </c>
      <c r="D3728" s="18" t="s">
        <v>4183</v>
      </c>
    </row>
    <row r="3729" ht="15.75" customHeight="1">
      <c r="A3729" s="16">
        <v>41.0</v>
      </c>
      <c r="B3729" s="17" t="s">
        <v>7652</v>
      </c>
      <c r="C3729" s="16">
        <v>1.0</v>
      </c>
      <c r="D3729" s="18" t="s">
        <v>4183</v>
      </c>
    </row>
    <row r="3730" ht="15.75" customHeight="1">
      <c r="A3730" s="16">
        <v>42.0</v>
      </c>
      <c r="B3730" s="17" t="s">
        <v>7653</v>
      </c>
      <c r="C3730" s="16">
        <v>10.0</v>
      </c>
      <c r="D3730" s="18" t="s">
        <v>4183</v>
      </c>
    </row>
    <row r="3731" ht="15.75" customHeight="1">
      <c r="A3731" s="16">
        <v>43.0</v>
      </c>
      <c r="B3731" s="17" t="s">
        <v>7654</v>
      </c>
      <c r="C3731" s="16">
        <v>4.0</v>
      </c>
      <c r="D3731" s="18" t="s">
        <v>4183</v>
      </c>
    </row>
    <row r="3732" ht="15.75" customHeight="1">
      <c r="A3732" s="16">
        <v>44.0</v>
      </c>
      <c r="B3732" s="17" t="s">
        <v>7655</v>
      </c>
      <c r="C3732" s="16">
        <v>6.0</v>
      </c>
      <c r="D3732" s="18" t="s">
        <v>4178</v>
      </c>
    </row>
    <row r="3733" ht="15.75" customHeight="1">
      <c r="A3733" s="16">
        <v>45.0</v>
      </c>
      <c r="B3733" s="17" t="s">
        <v>7656</v>
      </c>
      <c r="C3733" s="16">
        <v>5.0</v>
      </c>
      <c r="D3733" s="18" t="s">
        <v>4178</v>
      </c>
    </row>
    <row r="3734" ht="15.75" customHeight="1">
      <c r="A3734" s="16">
        <v>46.0</v>
      </c>
      <c r="B3734" s="17" t="s">
        <v>7657</v>
      </c>
      <c r="C3734" s="16">
        <v>3.0</v>
      </c>
      <c r="D3734" s="18" t="s">
        <v>4183</v>
      </c>
    </row>
    <row r="3735" ht="15.75" customHeight="1">
      <c r="A3735" s="16">
        <v>47.0</v>
      </c>
      <c r="B3735" s="17" t="s">
        <v>7658</v>
      </c>
      <c r="C3735" s="16">
        <v>5.0</v>
      </c>
      <c r="D3735" s="18" t="s">
        <v>4183</v>
      </c>
    </row>
    <row r="3736" ht="15.75" customHeight="1">
      <c r="A3736" s="16">
        <v>48.0</v>
      </c>
      <c r="B3736" s="17" t="s">
        <v>7659</v>
      </c>
      <c r="C3736" s="16">
        <v>9.0</v>
      </c>
      <c r="D3736" s="18" t="s">
        <v>4183</v>
      </c>
    </row>
    <row r="3737" ht="15.75" customHeight="1">
      <c r="A3737" s="16">
        <v>49.0</v>
      </c>
      <c r="B3737" s="17" t="s">
        <v>7660</v>
      </c>
      <c r="C3737" s="16">
        <v>10.0</v>
      </c>
      <c r="D3737" s="18" t="s">
        <v>4183</v>
      </c>
    </row>
    <row r="3738" ht="15.75" customHeight="1">
      <c r="A3738" s="16">
        <v>50.0</v>
      </c>
      <c r="B3738" s="17" t="s">
        <v>7661</v>
      </c>
      <c r="C3738" s="16">
        <v>6.0</v>
      </c>
      <c r="D3738" s="18" t="s">
        <v>4183</v>
      </c>
    </row>
    <row r="3739" ht="15.75" customHeight="1">
      <c r="A3739" s="20"/>
      <c r="B3739" s="21" t="s">
        <v>4273</v>
      </c>
      <c r="C3739" s="23">
        <v>456.0</v>
      </c>
      <c r="D3739" s="21" t="s">
        <v>4171</v>
      </c>
    </row>
    <row r="3740" ht="15.75" customHeight="1">
      <c r="A3740" s="11"/>
      <c r="B3740" s="12"/>
      <c r="C3740" s="12"/>
      <c r="D3740" s="13"/>
    </row>
    <row r="3741" ht="15.75" customHeight="1">
      <c r="A3741" s="11"/>
      <c r="B3741" s="12"/>
      <c r="C3741" s="12"/>
      <c r="D3741" s="13"/>
    </row>
    <row r="3742" ht="15.75" customHeight="1">
      <c r="A3742" s="14" t="s">
        <v>4161</v>
      </c>
      <c r="B3742" s="15"/>
      <c r="C3742" s="15"/>
      <c r="D3742" s="15"/>
    </row>
    <row r="3743" ht="15.75" customHeight="1">
      <c r="A3743" s="16">
        <v>1.0</v>
      </c>
      <c r="B3743" s="17" t="s">
        <v>7662</v>
      </c>
      <c r="C3743" s="16">
        <v>3.0</v>
      </c>
      <c r="D3743" s="18" t="s">
        <v>4178</v>
      </c>
    </row>
    <row r="3744" ht="15.75" customHeight="1">
      <c r="A3744" s="16">
        <v>2.0</v>
      </c>
      <c r="B3744" s="17" t="s">
        <v>7663</v>
      </c>
      <c r="C3744" s="16">
        <v>2.0</v>
      </c>
      <c r="D3744" s="18" t="s">
        <v>4178</v>
      </c>
    </row>
    <row r="3745" ht="15.75" customHeight="1">
      <c r="A3745" s="16">
        <v>3.0</v>
      </c>
      <c r="B3745" s="17" t="s">
        <v>7664</v>
      </c>
      <c r="C3745" s="16">
        <v>2.0</v>
      </c>
      <c r="D3745" s="18" t="s">
        <v>4178</v>
      </c>
    </row>
    <row r="3746" ht="15.75" customHeight="1">
      <c r="A3746" s="20"/>
      <c r="B3746" s="21" t="s">
        <v>4273</v>
      </c>
      <c r="C3746" s="23">
        <v>7.0</v>
      </c>
      <c r="D3746" s="21" t="s">
        <v>4171</v>
      </c>
    </row>
    <row r="3747" ht="15.75" customHeight="1">
      <c r="A3747" s="11"/>
      <c r="B3747" s="12"/>
      <c r="C3747" s="12"/>
      <c r="D3747" s="13"/>
    </row>
    <row r="3748" ht="15.75" customHeight="1">
      <c r="A3748" s="14" t="s">
        <v>4151</v>
      </c>
      <c r="B3748" s="15"/>
      <c r="C3748" s="15"/>
      <c r="D3748" s="15"/>
    </row>
    <row r="3749" ht="15.75" customHeight="1">
      <c r="A3749" s="16">
        <v>1.0</v>
      </c>
      <c r="B3749" s="17" t="s">
        <v>7665</v>
      </c>
      <c r="C3749" s="16">
        <v>20.0</v>
      </c>
      <c r="D3749" s="18" t="s">
        <v>4178</v>
      </c>
    </row>
    <row r="3750" ht="15.75" customHeight="1">
      <c r="A3750" s="16">
        <v>2.0</v>
      </c>
      <c r="B3750" s="17" t="s">
        <v>7666</v>
      </c>
      <c r="C3750" s="16">
        <v>41.0</v>
      </c>
      <c r="D3750" s="18" t="s">
        <v>4178</v>
      </c>
    </row>
    <row r="3751" ht="15.75" customHeight="1">
      <c r="A3751" s="16">
        <v>3.0</v>
      </c>
      <c r="B3751" s="17" t="s">
        <v>7667</v>
      </c>
      <c r="C3751" s="16">
        <v>60.0</v>
      </c>
      <c r="D3751" s="18" t="s">
        <v>4178</v>
      </c>
    </row>
    <row r="3752" ht="15.75" customHeight="1">
      <c r="A3752" s="16">
        <v>4.0</v>
      </c>
      <c r="B3752" s="17" t="s">
        <v>7668</v>
      </c>
      <c r="C3752" s="16">
        <v>1.0</v>
      </c>
      <c r="D3752" s="18" t="s">
        <v>4178</v>
      </c>
    </row>
    <row r="3753" ht="15.75" customHeight="1">
      <c r="A3753" s="16">
        <v>5.0</v>
      </c>
      <c r="B3753" s="17" t="s">
        <v>7669</v>
      </c>
      <c r="C3753" s="16">
        <v>4.0</v>
      </c>
      <c r="D3753" s="18" t="s">
        <v>4178</v>
      </c>
    </row>
    <row r="3754" ht="15.75" customHeight="1">
      <c r="A3754" s="20"/>
      <c r="B3754" s="21" t="s">
        <v>4273</v>
      </c>
      <c r="C3754" s="23">
        <v>126.0</v>
      </c>
      <c r="D3754" s="21" t="s">
        <v>4171</v>
      </c>
    </row>
    <row r="3755" ht="15.75" customHeight="1">
      <c r="A3755" s="11"/>
      <c r="B3755" s="12"/>
      <c r="C3755" s="12"/>
      <c r="D3755" s="13"/>
    </row>
    <row r="3756" ht="15.75" customHeight="1">
      <c r="A3756" s="14" t="s">
        <v>4077</v>
      </c>
      <c r="B3756" s="15"/>
      <c r="C3756" s="15"/>
      <c r="D3756" s="15"/>
    </row>
    <row r="3757" ht="15.75" customHeight="1">
      <c r="A3757" s="16">
        <v>1.0</v>
      </c>
      <c r="B3757" s="18" t="s">
        <v>3423</v>
      </c>
      <c r="C3757" s="16">
        <v>32.0</v>
      </c>
      <c r="D3757" s="18" t="s">
        <v>4178</v>
      </c>
    </row>
    <row r="3758" ht="15.75" customHeight="1">
      <c r="A3758" s="16">
        <v>2.0</v>
      </c>
      <c r="B3758" s="17" t="s">
        <v>7670</v>
      </c>
      <c r="C3758" s="16">
        <v>11.0</v>
      </c>
      <c r="D3758" s="18" t="s">
        <v>4178</v>
      </c>
    </row>
    <row r="3759" ht="15.75" customHeight="1">
      <c r="A3759" s="16">
        <v>3.0</v>
      </c>
      <c r="B3759" s="17" t="s">
        <v>7671</v>
      </c>
      <c r="C3759" s="16">
        <v>1.0</v>
      </c>
      <c r="D3759" s="18" t="s">
        <v>4178</v>
      </c>
    </row>
    <row r="3760" ht="15.75" customHeight="1">
      <c r="A3760" s="16">
        <v>4.0</v>
      </c>
      <c r="B3760" s="17" t="s">
        <v>7672</v>
      </c>
      <c r="C3760" s="16">
        <v>3.0</v>
      </c>
      <c r="D3760" s="18" t="s">
        <v>4178</v>
      </c>
    </row>
    <row r="3761" ht="15.75" customHeight="1">
      <c r="A3761" s="16">
        <v>5.0</v>
      </c>
      <c r="B3761" s="17" t="s">
        <v>7673</v>
      </c>
      <c r="C3761" s="16">
        <v>4.0</v>
      </c>
      <c r="D3761" s="18" t="s">
        <v>4178</v>
      </c>
    </row>
    <row r="3762" ht="15.75" customHeight="1">
      <c r="A3762" s="16">
        <v>6.0</v>
      </c>
      <c r="B3762" s="17" t="s">
        <v>7674</v>
      </c>
      <c r="C3762" s="16">
        <v>2.0</v>
      </c>
      <c r="D3762" s="18" t="s">
        <v>4178</v>
      </c>
    </row>
    <row r="3763" ht="15.75" customHeight="1">
      <c r="A3763" s="16">
        <v>7.0</v>
      </c>
      <c r="B3763" s="17" t="s">
        <v>7675</v>
      </c>
      <c r="C3763" s="16">
        <v>7.0</v>
      </c>
      <c r="D3763" s="18" t="s">
        <v>4183</v>
      </c>
    </row>
    <row r="3764" ht="15.75" customHeight="1">
      <c r="A3764" s="16">
        <v>8.0</v>
      </c>
      <c r="B3764" s="17" t="s">
        <v>7676</v>
      </c>
      <c r="C3764" s="16">
        <v>8.0</v>
      </c>
      <c r="D3764" s="18" t="s">
        <v>4178</v>
      </c>
    </row>
    <row r="3765" ht="15.75" customHeight="1">
      <c r="A3765" s="16">
        <v>9.0</v>
      </c>
      <c r="B3765" s="17" t="s">
        <v>7677</v>
      </c>
      <c r="C3765" s="16">
        <v>9.0</v>
      </c>
      <c r="D3765" s="18" t="s">
        <v>4178</v>
      </c>
    </row>
    <row r="3766" ht="15.75" customHeight="1">
      <c r="A3766" s="16">
        <v>10.0</v>
      </c>
      <c r="B3766" s="17" t="s">
        <v>7678</v>
      </c>
      <c r="C3766" s="16">
        <v>5.0</v>
      </c>
      <c r="D3766" s="18" t="s">
        <v>4178</v>
      </c>
    </row>
    <row r="3767" ht="15.75" customHeight="1">
      <c r="A3767" s="16">
        <v>11.0</v>
      </c>
      <c r="B3767" s="17" t="s">
        <v>7679</v>
      </c>
      <c r="C3767" s="16">
        <v>2.0</v>
      </c>
      <c r="D3767" s="18" t="s">
        <v>4178</v>
      </c>
    </row>
    <row r="3768" ht="15.75" customHeight="1">
      <c r="A3768" s="16">
        <v>12.0</v>
      </c>
      <c r="B3768" s="17" t="s">
        <v>7680</v>
      </c>
      <c r="C3768" s="16">
        <v>13.0</v>
      </c>
      <c r="D3768" s="18" t="s">
        <v>4178</v>
      </c>
    </row>
    <row r="3769" ht="15.75" customHeight="1">
      <c r="A3769" s="16">
        <v>13.0</v>
      </c>
      <c r="B3769" s="17" t="s">
        <v>7681</v>
      </c>
      <c r="C3769" s="16">
        <v>9.0</v>
      </c>
      <c r="D3769" s="18" t="s">
        <v>4178</v>
      </c>
    </row>
    <row r="3770" ht="15.75" customHeight="1">
      <c r="A3770" s="16">
        <v>14.0</v>
      </c>
      <c r="B3770" s="17" t="s">
        <v>7682</v>
      </c>
      <c r="C3770" s="16">
        <v>10.0</v>
      </c>
      <c r="D3770" s="18" t="s">
        <v>4178</v>
      </c>
    </row>
    <row r="3771" ht="15.75" customHeight="1">
      <c r="A3771" s="16">
        <v>15.0</v>
      </c>
      <c r="B3771" s="17" t="s">
        <v>7683</v>
      </c>
      <c r="C3771" s="16">
        <v>35.0</v>
      </c>
      <c r="D3771" s="18" t="s">
        <v>4178</v>
      </c>
    </row>
    <row r="3772" ht="15.75" customHeight="1">
      <c r="A3772" s="16">
        <v>16.0</v>
      </c>
      <c r="B3772" s="17" t="s">
        <v>7684</v>
      </c>
      <c r="C3772" s="16">
        <v>4.0</v>
      </c>
      <c r="D3772" s="18" t="s">
        <v>4178</v>
      </c>
    </row>
    <row r="3773" ht="15.75" customHeight="1">
      <c r="A3773" s="16">
        <v>17.0</v>
      </c>
      <c r="B3773" s="17" t="s">
        <v>7685</v>
      </c>
      <c r="C3773" s="16">
        <v>4.0</v>
      </c>
      <c r="D3773" s="18" t="s">
        <v>4178</v>
      </c>
    </row>
    <row r="3774" ht="15.75" customHeight="1">
      <c r="A3774" s="16">
        <v>18.0</v>
      </c>
      <c r="B3774" s="17" t="s">
        <v>7686</v>
      </c>
      <c r="C3774" s="16">
        <v>19.0</v>
      </c>
      <c r="D3774" s="18" t="s">
        <v>4178</v>
      </c>
    </row>
    <row r="3775" ht="15.75" customHeight="1">
      <c r="A3775" s="16">
        <v>19.0</v>
      </c>
      <c r="B3775" s="17" t="s">
        <v>7687</v>
      </c>
      <c r="C3775" s="16">
        <v>10.0</v>
      </c>
      <c r="D3775" s="18" t="s">
        <v>4178</v>
      </c>
    </row>
    <row r="3776" ht="15.75" customHeight="1">
      <c r="A3776" s="16">
        <v>20.0</v>
      </c>
      <c r="B3776" s="17" t="s">
        <v>7688</v>
      </c>
      <c r="C3776" s="16">
        <v>5.0</v>
      </c>
      <c r="D3776" s="18" t="s">
        <v>4178</v>
      </c>
    </row>
    <row r="3777" ht="15.75" customHeight="1">
      <c r="A3777" s="16">
        <v>21.0</v>
      </c>
      <c r="B3777" s="17" t="s">
        <v>7689</v>
      </c>
      <c r="C3777" s="16">
        <v>5.0</v>
      </c>
      <c r="D3777" s="18" t="s">
        <v>4178</v>
      </c>
    </row>
    <row r="3778" ht="15.75" customHeight="1">
      <c r="A3778" s="16">
        <v>22.0</v>
      </c>
      <c r="B3778" s="17" t="s">
        <v>7690</v>
      </c>
      <c r="C3778" s="16">
        <v>6.0</v>
      </c>
      <c r="D3778" s="18" t="s">
        <v>4178</v>
      </c>
    </row>
    <row r="3779" ht="15.75" customHeight="1">
      <c r="A3779" s="16">
        <v>23.0</v>
      </c>
      <c r="B3779" s="17" t="s">
        <v>7691</v>
      </c>
      <c r="C3779" s="16">
        <v>3.0</v>
      </c>
      <c r="D3779" s="18" t="s">
        <v>4178</v>
      </c>
    </row>
    <row r="3780" ht="15.75" customHeight="1">
      <c r="A3780" s="16">
        <v>24.0</v>
      </c>
      <c r="B3780" s="17" t="s">
        <v>7692</v>
      </c>
      <c r="C3780" s="16">
        <v>6.0</v>
      </c>
      <c r="D3780" s="18" t="s">
        <v>4178</v>
      </c>
    </row>
    <row r="3781" ht="15.75" customHeight="1">
      <c r="A3781" s="16">
        <v>25.0</v>
      </c>
      <c r="B3781" s="17" t="s">
        <v>7693</v>
      </c>
      <c r="C3781" s="16">
        <v>6.0</v>
      </c>
      <c r="D3781" s="18" t="s">
        <v>4178</v>
      </c>
    </row>
    <row r="3782" ht="15.75" customHeight="1">
      <c r="A3782" s="16">
        <v>26.0</v>
      </c>
      <c r="B3782" s="17" t="s">
        <v>7694</v>
      </c>
      <c r="C3782" s="16">
        <v>5.0</v>
      </c>
      <c r="D3782" s="18" t="s">
        <v>4178</v>
      </c>
    </row>
    <row r="3783" ht="15.75" customHeight="1">
      <c r="A3783" s="16">
        <v>27.0</v>
      </c>
      <c r="B3783" s="17" t="s">
        <v>7695</v>
      </c>
      <c r="C3783" s="16">
        <v>4.0</v>
      </c>
      <c r="D3783" s="18" t="s">
        <v>4178</v>
      </c>
    </row>
    <row r="3784" ht="15.75" customHeight="1">
      <c r="A3784" s="16">
        <v>28.0</v>
      </c>
      <c r="B3784" s="17" t="s">
        <v>7696</v>
      </c>
      <c r="C3784" s="16">
        <v>15.0</v>
      </c>
      <c r="D3784" s="18" t="s">
        <v>4178</v>
      </c>
    </row>
    <row r="3785" ht="15.75" customHeight="1">
      <c r="A3785" s="16">
        <v>29.0</v>
      </c>
      <c r="B3785" s="17" t="s">
        <v>7697</v>
      </c>
      <c r="C3785" s="16">
        <v>14.0</v>
      </c>
      <c r="D3785" s="18" t="s">
        <v>4178</v>
      </c>
    </row>
    <row r="3786" ht="15.75" customHeight="1">
      <c r="A3786" s="16">
        <v>30.0</v>
      </c>
      <c r="B3786" s="17" t="s">
        <v>7698</v>
      </c>
      <c r="C3786" s="16">
        <v>4.0</v>
      </c>
      <c r="D3786" s="18" t="s">
        <v>4178</v>
      </c>
    </row>
    <row r="3787" ht="15.75" customHeight="1">
      <c r="A3787" s="16">
        <v>31.0</v>
      </c>
      <c r="B3787" s="17" t="s">
        <v>7699</v>
      </c>
      <c r="C3787" s="16">
        <v>4.0</v>
      </c>
      <c r="D3787" s="18" t="s">
        <v>4178</v>
      </c>
    </row>
    <row r="3788" ht="15.75" customHeight="1">
      <c r="A3788" s="16">
        <v>32.0</v>
      </c>
      <c r="B3788" s="17" t="s">
        <v>7700</v>
      </c>
      <c r="C3788" s="16">
        <v>11.0</v>
      </c>
      <c r="D3788" s="18" t="s">
        <v>4178</v>
      </c>
    </row>
    <row r="3789" ht="15.75" customHeight="1">
      <c r="A3789" s="16">
        <v>33.0</v>
      </c>
      <c r="B3789" s="17" t="s">
        <v>7701</v>
      </c>
      <c r="C3789" s="16">
        <v>2.0</v>
      </c>
      <c r="D3789" s="18" t="s">
        <v>4178</v>
      </c>
    </row>
    <row r="3790" ht="15.75" customHeight="1">
      <c r="A3790" s="16">
        <v>34.0</v>
      </c>
      <c r="B3790" s="17" t="s">
        <v>7702</v>
      </c>
      <c r="C3790" s="16">
        <v>17.0</v>
      </c>
      <c r="D3790" s="18" t="s">
        <v>4178</v>
      </c>
    </row>
    <row r="3791" ht="15.75" customHeight="1">
      <c r="A3791" s="16">
        <v>35.0</v>
      </c>
      <c r="B3791" s="17" t="s">
        <v>7703</v>
      </c>
      <c r="C3791" s="16">
        <v>3.0</v>
      </c>
      <c r="D3791" s="18" t="s">
        <v>4178</v>
      </c>
    </row>
    <row r="3792" ht="15.75" customHeight="1">
      <c r="A3792" s="16">
        <v>36.0</v>
      </c>
      <c r="B3792" s="17" t="s">
        <v>7704</v>
      </c>
      <c r="C3792" s="16">
        <v>6.0</v>
      </c>
      <c r="D3792" s="18" t="s">
        <v>4178</v>
      </c>
    </row>
    <row r="3793" ht="15.75" customHeight="1">
      <c r="A3793" s="16">
        <v>37.0</v>
      </c>
      <c r="B3793" s="17" t="s">
        <v>7705</v>
      </c>
      <c r="C3793" s="16">
        <v>6.0</v>
      </c>
      <c r="D3793" s="18" t="s">
        <v>4178</v>
      </c>
    </row>
    <row r="3794" ht="15.75" customHeight="1">
      <c r="A3794" s="16">
        <v>38.0</v>
      </c>
      <c r="B3794" s="17" t="s">
        <v>7706</v>
      </c>
      <c r="C3794" s="16">
        <v>1.0</v>
      </c>
      <c r="D3794" s="18" t="s">
        <v>4178</v>
      </c>
    </row>
    <row r="3795" ht="15.75" customHeight="1">
      <c r="A3795" s="16">
        <v>39.0</v>
      </c>
      <c r="B3795" s="17" t="s">
        <v>7707</v>
      </c>
      <c r="C3795" s="16">
        <v>7.0</v>
      </c>
      <c r="D3795" s="18" t="s">
        <v>4178</v>
      </c>
    </row>
    <row r="3796" ht="15.75" customHeight="1">
      <c r="A3796" s="16">
        <v>40.0</v>
      </c>
      <c r="B3796" s="17" t="s">
        <v>7708</v>
      </c>
      <c r="C3796" s="16">
        <v>10.0</v>
      </c>
      <c r="D3796" s="18" t="s">
        <v>4178</v>
      </c>
    </row>
    <row r="3797" ht="15.75" customHeight="1">
      <c r="A3797" s="16">
        <v>41.0</v>
      </c>
      <c r="B3797" s="17" t="s">
        <v>7709</v>
      </c>
      <c r="C3797" s="16">
        <v>6.0</v>
      </c>
      <c r="D3797" s="18" t="s">
        <v>4178</v>
      </c>
    </row>
    <row r="3798" ht="15.75" customHeight="1">
      <c r="A3798" s="16">
        <v>42.0</v>
      </c>
      <c r="B3798" s="17" t="s">
        <v>7710</v>
      </c>
      <c r="C3798" s="16">
        <v>7.0</v>
      </c>
      <c r="D3798" s="18" t="s">
        <v>4178</v>
      </c>
    </row>
    <row r="3799" ht="15.75" customHeight="1">
      <c r="A3799" s="16">
        <v>43.0</v>
      </c>
      <c r="B3799" s="17" t="s">
        <v>7711</v>
      </c>
      <c r="C3799" s="16">
        <v>5.0</v>
      </c>
      <c r="D3799" s="18" t="s">
        <v>4178</v>
      </c>
    </row>
    <row r="3800" ht="15.75" customHeight="1">
      <c r="A3800" s="16">
        <v>44.0</v>
      </c>
      <c r="B3800" s="17" t="s">
        <v>7712</v>
      </c>
      <c r="C3800" s="16">
        <v>6.0</v>
      </c>
      <c r="D3800" s="18" t="s">
        <v>4178</v>
      </c>
    </row>
    <row r="3801" ht="15.75" customHeight="1">
      <c r="A3801" s="16">
        <v>45.0</v>
      </c>
      <c r="B3801" s="17" t="s">
        <v>7713</v>
      </c>
      <c r="C3801" s="16">
        <v>6.0</v>
      </c>
      <c r="D3801" s="18" t="s">
        <v>4178</v>
      </c>
    </row>
    <row r="3802" ht="15.75" customHeight="1">
      <c r="A3802" s="16">
        <v>46.0</v>
      </c>
      <c r="B3802" s="17" t="s">
        <v>7714</v>
      </c>
      <c r="C3802" s="16">
        <v>3.0</v>
      </c>
      <c r="D3802" s="18" t="s">
        <v>4178</v>
      </c>
    </row>
    <row r="3803" ht="15.75" customHeight="1">
      <c r="A3803" s="16">
        <v>47.0</v>
      </c>
      <c r="B3803" s="17" t="s">
        <v>7715</v>
      </c>
      <c r="C3803" s="16">
        <v>3.0</v>
      </c>
      <c r="D3803" s="18" t="s">
        <v>4178</v>
      </c>
    </row>
    <row r="3804" ht="15.75" customHeight="1">
      <c r="A3804" s="16">
        <v>48.0</v>
      </c>
      <c r="B3804" s="17" t="s">
        <v>7716</v>
      </c>
      <c r="C3804" s="18" t="s">
        <v>4736</v>
      </c>
      <c r="D3804" s="18" t="s">
        <v>4178</v>
      </c>
    </row>
    <row r="3805" ht="15.75" customHeight="1">
      <c r="A3805" s="16">
        <v>49.0</v>
      </c>
      <c r="B3805" s="17" t="s">
        <v>7717</v>
      </c>
      <c r="C3805" s="16">
        <v>2.0</v>
      </c>
      <c r="D3805" s="18" t="s">
        <v>4178</v>
      </c>
    </row>
    <row r="3806" ht="15.75" customHeight="1">
      <c r="A3806" s="16">
        <v>50.0</v>
      </c>
      <c r="B3806" s="17" t="s">
        <v>7718</v>
      </c>
      <c r="C3806" s="16">
        <v>7.0</v>
      </c>
      <c r="D3806" s="18" t="s">
        <v>4183</v>
      </c>
    </row>
    <row r="3807" ht="15.75" customHeight="1">
      <c r="A3807" s="16">
        <v>51.0</v>
      </c>
      <c r="B3807" s="17" t="s">
        <v>7719</v>
      </c>
      <c r="C3807" s="16">
        <v>6.0</v>
      </c>
      <c r="D3807" s="18" t="s">
        <v>4178</v>
      </c>
    </row>
    <row r="3808" ht="15.75" customHeight="1">
      <c r="A3808" s="16">
        <v>52.0</v>
      </c>
      <c r="B3808" s="17" t="s">
        <v>7720</v>
      </c>
      <c r="C3808" s="16">
        <v>2.0</v>
      </c>
      <c r="D3808" s="18" t="s">
        <v>4178</v>
      </c>
    </row>
    <row r="3809" ht="15.75" customHeight="1">
      <c r="A3809" s="16">
        <v>53.0</v>
      </c>
      <c r="B3809" s="17" t="s">
        <v>7721</v>
      </c>
      <c r="C3809" s="16">
        <v>9.0</v>
      </c>
      <c r="D3809" s="18" t="s">
        <v>4178</v>
      </c>
    </row>
    <row r="3810" ht="15.75" customHeight="1">
      <c r="A3810" s="16">
        <v>54.0</v>
      </c>
      <c r="B3810" s="17" t="s">
        <v>7722</v>
      </c>
      <c r="C3810" s="16">
        <v>3.0</v>
      </c>
      <c r="D3810" s="18" t="s">
        <v>4178</v>
      </c>
    </row>
    <row r="3811" ht="15.75" customHeight="1">
      <c r="A3811" s="16">
        <v>55.0</v>
      </c>
      <c r="B3811" s="17" t="s">
        <v>7723</v>
      </c>
      <c r="C3811" s="16">
        <v>10.0</v>
      </c>
      <c r="D3811" s="18" t="s">
        <v>4178</v>
      </c>
    </row>
    <row r="3812" ht="15.75" customHeight="1">
      <c r="A3812" s="16">
        <v>56.0</v>
      </c>
      <c r="B3812" s="17" t="s">
        <v>7724</v>
      </c>
      <c r="C3812" s="16">
        <v>3.0</v>
      </c>
      <c r="D3812" s="18" t="s">
        <v>4178</v>
      </c>
    </row>
    <row r="3813" ht="15.75" customHeight="1">
      <c r="A3813" s="16">
        <v>57.0</v>
      </c>
      <c r="B3813" s="17" t="s">
        <v>7725</v>
      </c>
      <c r="C3813" s="16">
        <v>5.0</v>
      </c>
      <c r="D3813" s="18" t="s">
        <v>4178</v>
      </c>
    </row>
    <row r="3814" ht="15.75" customHeight="1">
      <c r="A3814" s="16">
        <v>58.0</v>
      </c>
      <c r="B3814" s="17" t="s">
        <v>7726</v>
      </c>
      <c r="C3814" s="16">
        <v>7.0</v>
      </c>
      <c r="D3814" s="18" t="s">
        <v>4178</v>
      </c>
    </row>
    <row r="3815" ht="15.75" customHeight="1">
      <c r="A3815" s="16">
        <v>59.0</v>
      </c>
      <c r="B3815" s="17" t="s">
        <v>7727</v>
      </c>
      <c r="C3815" s="16">
        <v>10.0</v>
      </c>
      <c r="D3815" s="18" t="s">
        <v>4178</v>
      </c>
    </row>
    <row r="3816" ht="15.75" customHeight="1">
      <c r="A3816" s="16">
        <v>60.0</v>
      </c>
      <c r="B3816" s="17" t="s">
        <v>7728</v>
      </c>
      <c r="C3816" s="16">
        <v>3.0</v>
      </c>
      <c r="D3816" s="18" t="s">
        <v>4178</v>
      </c>
    </row>
    <row r="3817" ht="15.75" customHeight="1">
      <c r="A3817" s="16">
        <v>61.0</v>
      </c>
      <c r="B3817" s="17" t="s">
        <v>7729</v>
      </c>
      <c r="C3817" s="16">
        <v>9.0</v>
      </c>
      <c r="D3817" s="18" t="s">
        <v>4178</v>
      </c>
    </row>
    <row r="3818" ht="15.75" customHeight="1">
      <c r="A3818" s="16">
        <v>62.0</v>
      </c>
      <c r="B3818" s="17" t="s">
        <v>7730</v>
      </c>
      <c r="C3818" s="16">
        <v>6.0</v>
      </c>
      <c r="D3818" s="18" t="s">
        <v>4178</v>
      </c>
    </row>
    <row r="3819" ht="15.75" customHeight="1">
      <c r="A3819" s="16">
        <v>63.0</v>
      </c>
      <c r="B3819" s="17" t="s">
        <v>7731</v>
      </c>
      <c r="C3819" s="16">
        <v>4.0</v>
      </c>
      <c r="D3819" s="18" t="s">
        <v>4178</v>
      </c>
    </row>
    <row r="3820" ht="15.75" customHeight="1">
      <c r="A3820" s="16">
        <v>64.0</v>
      </c>
      <c r="B3820" s="17" t="s">
        <v>7732</v>
      </c>
      <c r="C3820" s="16">
        <v>5.0</v>
      </c>
      <c r="D3820" s="18" t="s">
        <v>4178</v>
      </c>
    </row>
    <row r="3821" ht="15.75" customHeight="1">
      <c r="A3821" s="16">
        <v>65.0</v>
      </c>
      <c r="B3821" s="17" t="s">
        <v>7733</v>
      </c>
      <c r="C3821" s="16">
        <v>8.0</v>
      </c>
      <c r="D3821" s="18" t="s">
        <v>4178</v>
      </c>
    </row>
    <row r="3822" ht="15.75" customHeight="1">
      <c r="A3822" s="20"/>
      <c r="B3822" s="21" t="s">
        <v>4273</v>
      </c>
      <c r="C3822" s="23">
        <v>459.0</v>
      </c>
      <c r="D3822" s="21" t="s">
        <v>4171</v>
      </c>
    </row>
    <row r="3823" ht="15.75" customHeight="1">
      <c r="A3823" s="11"/>
      <c r="B3823" s="12"/>
      <c r="C3823" s="12"/>
      <c r="D3823" s="13"/>
    </row>
    <row r="3824" ht="15.75" customHeight="1">
      <c r="A3824" s="14" t="s">
        <v>4132</v>
      </c>
      <c r="B3824" s="15"/>
      <c r="C3824" s="15"/>
      <c r="D3824" s="15"/>
    </row>
    <row r="3825" ht="15.75" customHeight="1">
      <c r="A3825" s="16">
        <v>1.0</v>
      </c>
      <c r="B3825" s="17" t="s">
        <v>7734</v>
      </c>
      <c r="C3825" s="16">
        <v>5.0</v>
      </c>
      <c r="D3825" s="18" t="s">
        <v>4178</v>
      </c>
    </row>
    <row r="3826" ht="15.75" customHeight="1">
      <c r="A3826" s="16">
        <v>2.0</v>
      </c>
      <c r="B3826" s="17" t="s">
        <v>7735</v>
      </c>
      <c r="C3826" s="16">
        <v>72.0</v>
      </c>
      <c r="D3826" s="18" t="s">
        <v>4178</v>
      </c>
    </row>
    <row r="3827" ht="15.75" customHeight="1">
      <c r="A3827" s="16">
        <v>3.0</v>
      </c>
      <c r="B3827" s="17" t="s">
        <v>7736</v>
      </c>
      <c r="C3827" s="16">
        <v>7.0</v>
      </c>
      <c r="D3827" s="18" t="s">
        <v>4178</v>
      </c>
    </row>
    <row r="3828" ht="15.75" customHeight="1">
      <c r="A3828" s="16">
        <v>4.0</v>
      </c>
      <c r="B3828" s="17" t="s">
        <v>7737</v>
      </c>
      <c r="C3828" s="16">
        <v>1.0</v>
      </c>
      <c r="D3828" s="18" t="s">
        <v>4178</v>
      </c>
    </row>
    <row r="3829" ht="15.75" customHeight="1">
      <c r="A3829" s="16">
        <v>5.0</v>
      </c>
      <c r="B3829" s="17" t="s">
        <v>7738</v>
      </c>
      <c r="C3829" s="16">
        <v>233.0</v>
      </c>
      <c r="D3829" s="18" t="s">
        <v>4178</v>
      </c>
    </row>
    <row r="3830" ht="15.75" customHeight="1">
      <c r="A3830" s="16">
        <v>6.0</v>
      </c>
      <c r="B3830" s="17" t="s">
        <v>7739</v>
      </c>
      <c r="C3830" s="16">
        <v>10.0</v>
      </c>
      <c r="D3830" s="18" t="s">
        <v>4178</v>
      </c>
    </row>
    <row r="3831" ht="15.75" customHeight="1">
      <c r="A3831" s="16">
        <v>7.0</v>
      </c>
      <c r="B3831" s="17" t="s">
        <v>7740</v>
      </c>
      <c r="C3831" s="16">
        <v>10.0</v>
      </c>
      <c r="D3831" s="18" t="s">
        <v>4178</v>
      </c>
    </row>
    <row r="3832" ht="15.75" customHeight="1">
      <c r="A3832" s="16">
        <v>8.0</v>
      </c>
      <c r="B3832" s="17" t="s">
        <v>7741</v>
      </c>
      <c r="C3832" s="16">
        <v>12.0</v>
      </c>
      <c r="D3832" s="18" t="s">
        <v>4178</v>
      </c>
    </row>
    <row r="3833" ht="15.75" customHeight="1">
      <c r="A3833" s="16">
        <v>9.0</v>
      </c>
      <c r="B3833" s="17" t="s">
        <v>7742</v>
      </c>
      <c r="C3833" s="16">
        <v>104.0</v>
      </c>
      <c r="D3833" s="18" t="s">
        <v>4178</v>
      </c>
    </row>
    <row r="3834" ht="15.75" customHeight="1">
      <c r="A3834" s="16">
        <v>10.0</v>
      </c>
      <c r="B3834" s="17" t="s">
        <v>7743</v>
      </c>
      <c r="C3834" s="16">
        <v>21.0</v>
      </c>
      <c r="D3834" s="18" t="s">
        <v>4178</v>
      </c>
    </row>
    <row r="3835" ht="15.75" customHeight="1">
      <c r="A3835" s="16">
        <v>11.0</v>
      </c>
      <c r="B3835" s="17" t="s">
        <v>7744</v>
      </c>
      <c r="C3835" s="16">
        <v>19.0</v>
      </c>
      <c r="D3835" s="18" t="s">
        <v>4178</v>
      </c>
    </row>
    <row r="3836" ht="15.75" customHeight="1">
      <c r="A3836" s="20"/>
      <c r="B3836" s="21" t="s">
        <v>4273</v>
      </c>
      <c r="C3836" s="23">
        <v>494.0</v>
      </c>
      <c r="D3836" s="21" t="s">
        <v>4171</v>
      </c>
    </row>
    <row r="3837" ht="15.75" customHeight="1">
      <c r="A3837" s="11"/>
      <c r="B3837" s="12"/>
      <c r="C3837" s="12"/>
      <c r="D3837" s="13"/>
    </row>
    <row r="3838" ht="15.75" customHeight="1">
      <c r="A3838" s="14" t="s">
        <v>4148</v>
      </c>
      <c r="B3838" s="15"/>
      <c r="C3838" s="15"/>
      <c r="D3838" s="15"/>
    </row>
    <row r="3839" ht="15.75" customHeight="1">
      <c r="A3839" s="16">
        <v>1.0</v>
      </c>
      <c r="B3839" s="17" t="s">
        <v>7745</v>
      </c>
      <c r="C3839" s="16">
        <v>10.0</v>
      </c>
      <c r="D3839" s="18" t="s">
        <v>4178</v>
      </c>
    </row>
    <row r="3840" ht="15.75" customHeight="1">
      <c r="A3840" s="16">
        <v>2.0</v>
      </c>
      <c r="B3840" s="17" t="s">
        <v>7746</v>
      </c>
      <c r="C3840" s="16">
        <v>37.0</v>
      </c>
      <c r="D3840" s="18" t="s">
        <v>4178</v>
      </c>
    </row>
    <row r="3841" ht="15.75" customHeight="1">
      <c r="A3841" s="16">
        <v>3.0</v>
      </c>
      <c r="B3841" s="17" t="s">
        <v>7747</v>
      </c>
      <c r="C3841" s="16">
        <v>37.0</v>
      </c>
      <c r="D3841" s="18" t="s">
        <v>4178</v>
      </c>
    </row>
    <row r="3842" ht="15.75" customHeight="1">
      <c r="A3842" s="16">
        <v>4.0</v>
      </c>
      <c r="B3842" s="17" t="s">
        <v>7748</v>
      </c>
      <c r="C3842" s="16">
        <v>38.0</v>
      </c>
      <c r="D3842" s="18" t="s">
        <v>4178</v>
      </c>
    </row>
    <row r="3843" ht="15.75" customHeight="1">
      <c r="A3843" s="16">
        <v>5.0</v>
      </c>
      <c r="B3843" s="17" t="s">
        <v>7749</v>
      </c>
      <c r="C3843" s="16">
        <v>29.0</v>
      </c>
      <c r="D3843" s="18" t="s">
        <v>4178</v>
      </c>
    </row>
    <row r="3844" ht="15.75" customHeight="1">
      <c r="A3844" s="16">
        <v>6.0</v>
      </c>
      <c r="B3844" s="17" t="s">
        <v>7750</v>
      </c>
      <c r="C3844" s="16">
        <v>59.0</v>
      </c>
      <c r="D3844" s="18" t="s">
        <v>4178</v>
      </c>
    </row>
    <row r="3845" ht="15.75" customHeight="1">
      <c r="A3845" s="20"/>
      <c r="B3845" s="21" t="s">
        <v>4273</v>
      </c>
      <c r="C3845" s="23">
        <v>210.0</v>
      </c>
      <c r="D3845" s="21" t="s">
        <v>4171</v>
      </c>
    </row>
    <row r="3846" ht="15.75" customHeight="1">
      <c r="A3846" s="11"/>
      <c r="B3846" s="12"/>
      <c r="C3846" s="12"/>
      <c r="D3846" s="13"/>
    </row>
    <row r="3847" ht="15.75" customHeight="1">
      <c r="A3847" s="14" t="s">
        <v>4121</v>
      </c>
      <c r="B3847" s="15"/>
      <c r="C3847" s="15"/>
      <c r="D3847" s="15"/>
    </row>
    <row r="3848" ht="15.75" customHeight="1">
      <c r="A3848" s="16">
        <v>1.0</v>
      </c>
      <c r="B3848" s="17" t="s">
        <v>7751</v>
      </c>
      <c r="C3848" s="16">
        <v>9.0</v>
      </c>
      <c r="D3848" s="18" t="s">
        <v>4183</v>
      </c>
    </row>
    <row r="3849" ht="15.75" customHeight="1">
      <c r="A3849" s="16">
        <v>2.0</v>
      </c>
      <c r="B3849" s="17" t="s">
        <v>7752</v>
      </c>
      <c r="C3849" s="16">
        <v>4.0</v>
      </c>
      <c r="D3849" s="18" t="s">
        <v>4183</v>
      </c>
    </row>
    <row r="3850" ht="15.75" customHeight="1">
      <c r="A3850" s="16">
        <v>3.0</v>
      </c>
      <c r="B3850" s="17" t="s">
        <v>7753</v>
      </c>
      <c r="C3850" s="16">
        <v>3.0</v>
      </c>
      <c r="D3850" s="18" t="s">
        <v>4183</v>
      </c>
    </row>
    <row r="3851" ht="15.75" customHeight="1">
      <c r="A3851" s="16">
        <v>4.0</v>
      </c>
      <c r="B3851" s="17" t="s">
        <v>7754</v>
      </c>
      <c r="C3851" s="16">
        <v>12.0</v>
      </c>
      <c r="D3851" s="18" t="s">
        <v>4183</v>
      </c>
    </row>
    <row r="3852" ht="15.75" customHeight="1">
      <c r="A3852" s="16">
        <v>5.0</v>
      </c>
      <c r="B3852" s="17" t="s">
        <v>7755</v>
      </c>
      <c r="C3852" s="16">
        <v>50.0</v>
      </c>
      <c r="D3852" s="18" t="s">
        <v>4183</v>
      </c>
    </row>
    <row r="3853" ht="15.75" customHeight="1">
      <c r="A3853" s="16">
        <v>6.0</v>
      </c>
      <c r="B3853" s="17" t="s">
        <v>7756</v>
      </c>
      <c r="C3853" s="16">
        <v>6.0</v>
      </c>
      <c r="D3853" s="18" t="s">
        <v>4178</v>
      </c>
    </row>
    <row r="3854" ht="15.75" customHeight="1">
      <c r="A3854" s="16">
        <v>7.0</v>
      </c>
      <c r="B3854" s="17" t="s">
        <v>7757</v>
      </c>
      <c r="C3854" s="16">
        <v>2.0</v>
      </c>
      <c r="D3854" s="18" t="s">
        <v>4183</v>
      </c>
    </row>
    <row r="3855" ht="15.75" customHeight="1">
      <c r="A3855" s="16">
        <v>8.0</v>
      </c>
      <c r="B3855" s="17" t="s">
        <v>7758</v>
      </c>
      <c r="C3855" s="16">
        <v>2.0</v>
      </c>
      <c r="D3855" s="18" t="s">
        <v>4183</v>
      </c>
    </row>
    <row r="3856" ht="15.75" customHeight="1">
      <c r="A3856" s="16">
        <v>9.0</v>
      </c>
      <c r="B3856" s="17" t="s">
        <v>7759</v>
      </c>
      <c r="C3856" s="16">
        <v>20.0</v>
      </c>
      <c r="D3856" s="18" t="s">
        <v>4183</v>
      </c>
    </row>
    <row r="3857" ht="15.75" customHeight="1">
      <c r="A3857" s="16">
        <v>10.0</v>
      </c>
      <c r="B3857" s="17" t="s">
        <v>7760</v>
      </c>
      <c r="C3857" s="16">
        <v>37.0</v>
      </c>
      <c r="D3857" s="18" t="s">
        <v>4183</v>
      </c>
    </row>
    <row r="3858" ht="15.75" customHeight="1">
      <c r="A3858" s="16">
        <v>11.0</v>
      </c>
      <c r="B3858" s="17" t="s">
        <v>7761</v>
      </c>
      <c r="C3858" s="16">
        <v>1.0</v>
      </c>
      <c r="D3858" s="18" t="s">
        <v>4183</v>
      </c>
    </row>
    <row r="3859" ht="15.75" customHeight="1">
      <c r="A3859" s="16">
        <v>12.0</v>
      </c>
      <c r="B3859" s="17" t="s">
        <v>7762</v>
      </c>
      <c r="C3859" s="16">
        <v>8.0</v>
      </c>
      <c r="D3859" s="18" t="s">
        <v>4183</v>
      </c>
    </row>
    <row r="3860" ht="15.75" customHeight="1">
      <c r="A3860" s="16">
        <v>13.0</v>
      </c>
      <c r="B3860" s="17" t="s">
        <v>7763</v>
      </c>
      <c r="C3860" s="16">
        <v>1.0</v>
      </c>
      <c r="D3860" s="18" t="s">
        <v>4183</v>
      </c>
    </row>
    <row r="3861" ht="15.75" customHeight="1">
      <c r="A3861" s="16">
        <v>14.0</v>
      </c>
      <c r="B3861" s="17" t="s">
        <v>7764</v>
      </c>
      <c r="C3861" s="16">
        <v>2.0</v>
      </c>
      <c r="D3861" s="18" t="s">
        <v>4183</v>
      </c>
    </row>
    <row r="3862" ht="15.75" customHeight="1">
      <c r="A3862" s="16">
        <v>15.0</v>
      </c>
      <c r="B3862" s="17" t="s">
        <v>7765</v>
      </c>
      <c r="C3862" s="16">
        <v>5.0</v>
      </c>
      <c r="D3862" s="18" t="s">
        <v>4178</v>
      </c>
    </row>
    <row r="3863" ht="15.75" customHeight="1">
      <c r="A3863" s="20"/>
      <c r="B3863" s="21" t="s">
        <v>4273</v>
      </c>
      <c r="C3863" s="23">
        <v>162.0</v>
      </c>
      <c r="D3863" s="21" t="s">
        <v>4171</v>
      </c>
    </row>
    <row r="3864" ht="15.75" customHeight="1">
      <c r="A3864" s="11"/>
      <c r="B3864" s="12"/>
      <c r="C3864" s="12"/>
      <c r="D3864" s="13"/>
    </row>
    <row r="3865" ht="15.75" customHeight="1">
      <c r="A3865" s="14" t="s">
        <v>4069</v>
      </c>
      <c r="B3865" s="15"/>
      <c r="C3865" s="15"/>
      <c r="D3865" s="15"/>
    </row>
    <row r="3866" ht="15.75" customHeight="1">
      <c r="A3866" s="16">
        <v>1.0</v>
      </c>
      <c r="B3866" s="17" t="s">
        <v>7766</v>
      </c>
      <c r="C3866" s="16">
        <v>1.0</v>
      </c>
      <c r="D3866" s="18" t="s">
        <v>4178</v>
      </c>
    </row>
    <row r="3867" ht="15.75" customHeight="1">
      <c r="A3867" s="16">
        <v>2.0</v>
      </c>
      <c r="B3867" s="17" t="s">
        <v>7767</v>
      </c>
      <c r="C3867" s="16">
        <v>15.0</v>
      </c>
      <c r="D3867" s="18" t="s">
        <v>4183</v>
      </c>
    </row>
    <row r="3868" ht="15.75" customHeight="1">
      <c r="A3868" s="16">
        <v>3.0</v>
      </c>
      <c r="B3868" s="17" t="s">
        <v>7768</v>
      </c>
      <c r="C3868" s="16">
        <v>129.0</v>
      </c>
      <c r="D3868" s="18" t="s">
        <v>4183</v>
      </c>
    </row>
    <row r="3869" ht="15.75" customHeight="1">
      <c r="A3869" s="16">
        <v>4.0</v>
      </c>
      <c r="B3869" s="17" t="s">
        <v>7769</v>
      </c>
      <c r="C3869" s="16">
        <v>12.0</v>
      </c>
      <c r="D3869" s="18" t="s">
        <v>4183</v>
      </c>
    </row>
    <row r="3870" ht="15.75" customHeight="1">
      <c r="A3870" s="16">
        <v>5.0</v>
      </c>
      <c r="B3870" s="17" t="s">
        <v>7770</v>
      </c>
      <c r="C3870" s="19">
        <v>27.5</v>
      </c>
      <c r="D3870" s="18" t="s">
        <v>4183</v>
      </c>
    </row>
    <row r="3871" ht="15.75" customHeight="1">
      <c r="A3871" s="16">
        <v>6.0</v>
      </c>
      <c r="B3871" s="17" t="s">
        <v>7771</v>
      </c>
      <c r="C3871" s="19">
        <v>4.5</v>
      </c>
      <c r="D3871" s="18" t="s">
        <v>4183</v>
      </c>
    </row>
    <row r="3872" ht="15.75" customHeight="1">
      <c r="A3872" s="16">
        <v>7.0</v>
      </c>
      <c r="B3872" s="17" t="s">
        <v>7772</v>
      </c>
      <c r="C3872" s="16">
        <v>5.0</v>
      </c>
      <c r="D3872" s="18" t="s">
        <v>4183</v>
      </c>
    </row>
    <row r="3873" ht="15.75" customHeight="1">
      <c r="A3873" s="16">
        <v>8.0</v>
      </c>
      <c r="B3873" s="17" t="s">
        <v>7773</v>
      </c>
      <c r="C3873" s="16">
        <v>16.0</v>
      </c>
      <c r="D3873" s="18" t="s">
        <v>4183</v>
      </c>
    </row>
    <row r="3874" ht="15.75" customHeight="1">
      <c r="A3874" s="16">
        <v>9.0</v>
      </c>
      <c r="B3874" s="17" t="s">
        <v>7774</v>
      </c>
      <c r="C3874" s="16">
        <v>3.0</v>
      </c>
      <c r="D3874" s="18" t="s">
        <v>4183</v>
      </c>
    </row>
    <row r="3875" ht="15.75" customHeight="1">
      <c r="A3875" s="16">
        <v>10.0</v>
      </c>
      <c r="B3875" s="17" t="s">
        <v>7775</v>
      </c>
      <c r="C3875" s="16">
        <v>30.0</v>
      </c>
      <c r="D3875" s="18" t="s">
        <v>4183</v>
      </c>
    </row>
    <row r="3876" ht="15.75" customHeight="1">
      <c r="A3876" s="16">
        <v>11.0</v>
      </c>
      <c r="B3876" s="17" t="s">
        <v>7776</v>
      </c>
      <c r="C3876" s="16">
        <v>1.0</v>
      </c>
      <c r="D3876" s="18" t="s">
        <v>4178</v>
      </c>
    </row>
    <row r="3877" ht="15.75" customHeight="1">
      <c r="A3877" s="16">
        <v>12.0</v>
      </c>
      <c r="B3877" s="17" t="s">
        <v>7777</v>
      </c>
      <c r="C3877" s="16">
        <v>8.0</v>
      </c>
      <c r="D3877" s="18" t="s">
        <v>4183</v>
      </c>
    </row>
    <row r="3878" ht="15.75" customHeight="1">
      <c r="A3878" s="16">
        <v>13.0</v>
      </c>
      <c r="B3878" s="17" t="s">
        <v>7778</v>
      </c>
      <c r="C3878" s="16">
        <v>21.0</v>
      </c>
      <c r="D3878" s="18" t="s">
        <v>4183</v>
      </c>
    </row>
    <row r="3879" ht="15.75" customHeight="1">
      <c r="A3879" s="16">
        <v>14.0</v>
      </c>
      <c r="B3879" s="17" t="s">
        <v>7779</v>
      </c>
      <c r="C3879" s="16">
        <v>68.0</v>
      </c>
      <c r="D3879" s="18" t="s">
        <v>4183</v>
      </c>
    </row>
    <row r="3880" ht="15.75" customHeight="1">
      <c r="A3880" s="16">
        <v>15.0</v>
      </c>
      <c r="B3880" s="17" t="s">
        <v>7780</v>
      </c>
      <c r="C3880" s="16">
        <v>1.0</v>
      </c>
      <c r="D3880" s="18" t="s">
        <v>4178</v>
      </c>
    </row>
    <row r="3881" ht="15.75" customHeight="1">
      <c r="A3881" s="16">
        <v>16.0</v>
      </c>
      <c r="B3881" s="17" t="s">
        <v>7781</v>
      </c>
      <c r="C3881" s="16">
        <v>3.0</v>
      </c>
      <c r="D3881" s="18" t="s">
        <v>4215</v>
      </c>
    </row>
    <row r="3882" ht="15.75" customHeight="1">
      <c r="A3882" s="16">
        <v>17.0</v>
      </c>
      <c r="B3882" s="17" t="s">
        <v>7782</v>
      </c>
      <c r="C3882" s="16">
        <v>5.0</v>
      </c>
      <c r="D3882" s="18" t="s">
        <v>4178</v>
      </c>
    </row>
    <row r="3883" ht="15.75" customHeight="1">
      <c r="A3883" s="16">
        <v>18.0</v>
      </c>
      <c r="B3883" s="17" t="s">
        <v>7783</v>
      </c>
      <c r="C3883" s="16">
        <v>5.0</v>
      </c>
      <c r="D3883" s="18" t="s">
        <v>4178</v>
      </c>
    </row>
    <row r="3884" ht="15.75" customHeight="1">
      <c r="A3884" s="16">
        <v>19.0</v>
      </c>
      <c r="B3884" s="17" t="s">
        <v>7784</v>
      </c>
      <c r="C3884" s="16">
        <v>18.0</v>
      </c>
      <c r="D3884" s="18" t="s">
        <v>4183</v>
      </c>
    </row>
    <row r="3885" ht="15.75" customHeight="1">
      <c r="A3885" s="16">
        <v>20.0</v>
      </c>
      <c r="B3885" s="17" t="s">
        <v>7785</v>
      </c>
      <c r="C3885" s="16">
        <v>7.0</v>
      </c>
      <c r="D3885" s="18" t="s">
        <v>4178</v>
      </c>
    </row>
    <row r="3886" ht="15.75" customHeight="1">
      <c r="A3886" s="16">
        <v>21.0</v>
      </c>
      <c r="B3886" s="17" t="s">
        <v>7786</v>
      </c>
      <c r="C3886" s="16">
        <v>18.0</v>
      </c>
      <c r="D3886" s="18" t="s">
        <v>4183</v>
      </c>
    </row>
    <row r="3887" ht="15.75" customHeight="1">
      <c r="A3887" s="16">
        <v>22.0</v>
      </c>
      <c r="B3887" s="17" t="s">
        <v>7787</v>
      </c>
      <c r="C3887" s="16">
        <v>3.0</v>
      </c>
      <c r="D3887" s="18" t="s">
        <v>4183</v>
      </c>
    </row>
    <row r="3888" ht="15.75" customHeight="1">
      <c r="A3888" s="16">
        <v>23.0</v>
      </c>
      <c r="B3888" s="17" t="s">
        <v>7788</v>
      </c>
      <c r="C3888" s="18" t="s">
        <v>4736</v>
      </c>
      <c r="D3888" s="18" t="s">
        <v>4183</v>
      </c>
    </row>
    <row r="3889" ht="15.75" customHeight="1">
      <c r="A3889" s="16">
        <v>24.0</v>
      </c>
      <c r="B3889" s="17" t="s">
        <v>7789</v>
      </c>
      <c r="C3889" s="16">
        <v>5.0</v>
      </c>
      <c r="D3889" s="18" t="s">
        <v>4183</v>
      </c>
    </row>
    <row r="3890" ht="15.75" customHeight="1">
      <c r="A3890" s="16">
        <v>25.0</v>
      </c>
      <c r="B3890" s="17" t="s">
        <v>7790</v>
      </c>
      <c r="C3890" s="16">
        <v>3.0</v>
      </c>
      <c r="D3890" s="18" t="s">
        <v>4183</v>
      </c>
    </row>
    <row r="3891" ht="15.75" customHeight="1">
      <c r="A3891" s="16">
        <v>26.0</v>
      </c>
      <c r="B3891" s="17" t="s">
        <v>7791</v>
      </c>
      <c r="C3891" s="16">
        <v>6.0</v>
      </c>
      <c r="D3891" s="18" t="s">
        <v>4183</v>
      </c>
    </row>
    <row r="3892" ht="15.75" customHeight="1">
      <c r="A3892" s="16">
        <v>27.0</v>
      </c>
      <c r="B3892" s="17" t="s">
        <v>7792</v>
      </c>
      <c r="C3892" s="16">
        <v>2.0</v>
      </c>
      <c r="D3892" s="18" t="s">
        <v>4215</v>
      </c>
    </row>
    <row r="3893" ht="15.75" customHeight="1">
      <c r="A3893" s="16">
        <v>28.0</v>
      </c>
      <c r="B3893" s="17" t="s">
        <v>7793</v>
      </c>
      <c r="C3893" s="16">
        <v>10.0</v>
      </c>
      <c r="D3893" s="18" t="s">
        <v>4178</v>
      </c>
    </row>
    <row r="3894" ht="15.75" customHeight="1">
      <c r="A3894" s="16">
        <v>29.0</v>
      </c>
      <c r="B3894" s="17" t="s">
        <v>7794</v>
      </c>
      <c r="C3894" s="16">
        <v>5.0</v>
      </c>
      <c r="D3894" s="18" t="s">
        <v>4178</v>
      </c>
    </row>
    <row r="3895" ht="15.75" customHeight="1">
      <c r="A3895" s="16">
        <v>30.0</v>
      </c>
      <c r="B3895" s="17" t="s">
        <v>7795</v>
      </c>
      <c r="C3895" s="16">
        <v>10.0</v>
      </c>
      <c r="D3895" s="18" t="s">
        <v>4183</v>
      </c>
    </row>
    <row r="3896" ht="15.75" customHeight="1">
      <c r="A3896" s="16">
        <v>31.0</v>
      </c>
      <c r="B3896" s="17" t="s">
        <v>7796</v>
      </c>
      <c r="C3896" s="16">
        <v>4.0</v>
      </c>
      <c r="D3896" s="18" t="s">
        <v>4178</v>
      </c>
    </row>
    <row r="3897" ht="15.75" customHeight="1">
      <c r="A3897" s="16">
        <v>32.0</v>
      </c>
      <c r="B3897" s="17" t="s">
        <v>7797</v>
      </c>
      <c r="C3897" s="16">
        <v>2.0</v>
      </c>
      <c r="D3897" s="18" t="s">
        <v>4183</v>
      </c>
    </row>
    <row r="3898" ht="15.75" customHeight="1">
      <c r="A3898" s="16">
        <v>33.0</v>
      </c>
      <c r="B3898" s="17" t="s">
        <v>7798</v>
      </c>
      <c r="C3898" s="16">
        <v>10.0</v>
      </c>
      <c r="D3898" s="18" t="s">
        <v>4183</v>
      </c>
    </row>
    <row r="3899" ht="15.75" customHeight="1">
      <c r="A3899" s="16">
        <v>34.0</v>
      </c>
      <c r="B3899" s="17" t="s">
        <v>7799</v>
      </c>
      <c r="C3899" s="16">
        <v>12.0</v>
      </c>
      <c r="D3899" s="18" t="s">
        <v>4183</v>
      </c>
    </row>
    <row r="3900" ht="15.75" customHeight="1">
      <c r="A3900" s="16">
        <v>35.0</v>
      </c>
      <c r="B3900" s="17" t="s">
        <v>7800</v>
      </c>
      <c r="C3900" s="16">
        <v>17.0</v>
      </c>
      <c r="D3900" s="18" t="s">
        <v>4183</v>
      </c>
    </row>
    <row r="3901" ht="15.75" customHeight="1">
      <c r="A3901" s="16">
        <v>36.0</v>
      </c>
      <c r="B3901" s="17" t="s">
        <v>7801</v>
      </c>
      <c r="C3901" s="16">
        <v>12.0</v>
      </c>
      <c r="D3901" s="18" t="s">
        <v>4183</v>
      </c>
    </row>
    <row r="3902" ht="15.75" customHeight="1">
      <c r="A3902" s="16">
        <v>37.0</v>
      </c>
      <c r="B3902" s="17" t="s">
        <v>7802</v>
      </c>
      <c r="C3902" s="16">
        <v>7.0</v>
      </c>
      <c r="D3902" s="18" t="s">
        <v>4183</v>
      </c>
    </row>
    <row r="3903" ht="15.75" customHeight="1">
      <c r="A3903" s="16">
        <v>38.0</v>
      </c>
      <c r="B3903" s="17" t="s">
        <v>7803</v>
      </c>
      <c r="C3903" s="16">
        <v>9.0</v>
      </c>
      <c r="D3903" s="18" t="s">
        <v>4183</v>
      </c>
    </row>
    <row r="3904" ht="15.75" customHeight="1">
      <c r="A3904" s="16">
        <v>39.0</v>
      </c>
      <c r="B3904" s="17" t="s">
        <v>7804</v>
      </c>
      <c r="C3904" s="16">
        <v>9.0</v>
      </c>
      <c r="D3904" s="18" t="s">
        <v>4183</v>
      </c>
    </row>
    <row r="3905" ht="15.75" customHeight="1">
      <c r="A3905" s="16">
        <v>40.0</v>
      </c>
      <c r="B3905" s="17" t="s">
        <v>7805</v>
      </c>
      <c r="C3905" s="16">
        <v>4.0</v>
      </c>
      <c r="D3905" s="18" t="s">
        <v>4183</v>
      </c>
    </row>
    <row r="3906" ht="15.75" customHeight="1">
      <c r="A3906" s="16">
        <v>41.0</v>
      </c>
      <c r="B3906" s="17" t="s">
        <v>7806</v>
      </c>
      <c r="C3906" s="16">
        <v>4.0</v>
      </c>
      <c r="D3906" s="18" t="s">
        <v>4183</v>
      </c>
    </row>
    <row r="3907" ht="15.75" customHeight="1">
      <c r="A3907" s="16">
        <v>42.0</v>
      </c>
      <c r="B3907" s="17" t="s">
        <v>7807</v>
      </c>
      <c r="C3907" s="16">
        <v>6.0</v>
      </c>
      <c r="D3907" s="18" t="s">
        <v>4183</v>
      </c>
    </row>
    <row r="3908" ht="15.75" customHeight="1">
      <c r="A3908" s="16">
        <v>43.0</v>
      </c>
      <c r="B3908" s="17" t="s">
        <v>7808</v>
      </c>
      <c r="C3908" s="16">
        <v>10.0</v>
      </c>
      <c r="D3908" s="18" t="s">
        <v>4183</v>
      </c>
    </row>
    <row r="3909" ht="15.75" customHeight="1">
      <c r="A3909" s="16">
        <v>44.0</v>
      </c>
      <c r="B3909" s="17" t="s">
        <v>7809</v>
      </c>
      <c r="C3909" s="16">
        <v>2.0</v>
      </c>
      <c r="D3909" s="18" t="s">
        <v>4183</v>
      </c>
    </row>
    <row r="3910" ht="15.75" customHeight="1">
      <c r="A3910" s="16">
        <v>45.0</v>
      </c>
      <c r="B3910" s="17" t="s">
        <v>7810</v>
      </c>
      <c r="C3910" s="16">
        <v>3.0</v>
      </c>
      <c r="D3910" s="18" t="s">
        <v>4178</v>
      </c>
    </row>
    <row r="3911" ht="15.75" customHeight="1">
      <c r="A3911" s="16">
        <v>46.0</v>
      </c>
      <c r="B3911" s="17" t="s">
        <v>7811</v>
      </c>
      <c r="C3911" s="16">
        <v>5.0</v>
      </c>
      <c r="D3911" s="18" t="s">
        <v>4183</v>
      </c>
    </row>
    <row r="3912" ht="15.75" customHeight="1">
      <c r="A3912" s="16">
        <v>47.0</v>
      </c>
      <c r="B3912" s="17" t="s">
        <v>7812</v>
      </c>
      <c r="C3912" s="16">
        <v>2.0</v>
      </c>
      <c r="D3912" s="18" t="s">
        <v>4183</v>
      </c>
    </row>
    <row r="3913" ht="15.75" customHeight="1">
      <c r="A3913" s="16">
        <v>48.0</v>
      </c>
      <c r="B3913" s="17" t="s">
        <v>7813</v>
      </c>
      <c r="C3913" s="16">
        <v>3.0</v>
      </c>
      <c r="D3913" s="18" t="s">
        <v>4183</v>
      </c>
    </row>
    <row r="3914" ht="15.75" customHeight="1">
      <c r="A3914" s="16">
        <v>49.0</v>
      </c>
      <c r="B3914" s="17" t="s">
        <v>7814</v>
      </c>
      <c r="C3914" s="16">
        <v>1.0</v>
      </c>
      <c r="D3914" s="18" t="s">
        <v>4183</v>
      </c>
    </row>
    <row r="3915" ht="15.75" customHeight="1">
      <c r="A3915" s="16">
        <v>50.0</v>
      </c>
      <c r="B3915" s="17" t="s">
        <v>7815</v>
      </c>
      <c r="C3915" s="16">
        <v>3.0</v>
      </c>
      <c r="D3915" s="18" t="s">
        <v>4183</v>
      </c>
    </row>
    <row r="3916" ht="15.75" customHeight="1">
      <c r="A3916" s="16">
        <v>51.0</v>
      </c>
      <c r="B3916" s="17" t="s">
        <v>7816</v>
      </c>
      <c r="C3916" s="16">
        <v>6.0</v>
      </c>
      <c r="D3916" s="18" t="s">
        <v>4183</v>
      </c>
    </row>
    <row r="3917" ht="15.75" customHeight="1">
      <c r="A3917" s="16">
        <v>52.0</v>
      </c>
      <c r="B3917" s="17" t="s">
        <v>7817</v>
      </c>
      <c r="C3917" s="16">
        <v>6.0</v>
      </c>
      <c r="D3917" s="18" t="s">
        <v>4183</v>
      </c>
    </row>
    <row r="3918" ht="15.75" customHeight="1">
      <c r="A3918" s="16">
        <v>53.0</v>
      </c>
      <c r="B3918" s="17" t="s">
        <v>7818</v>
      </c>
      <c r="C3918" s="16">
        <v>8.0</v>
      </c>
      <c r="D3918" s="18" t="s">
        <v>4215</v>
      </c>
    </row>
    <row r="3919" ht="15.75" customHeight="1">
      <c r="A3919" s="16">
        <v>54.0</v>
      </c>
      <c r="B3919" s="17" t="s">
        <v>7819</v>
      </c>
      <c r="C3919" s="16">
        <v>1.0</v>
      </c>
      <c r="D3919" s="18" t="s">
        <v>4178</v>
      </c>
    </row>
    <row r="3920" ht="15.75" customHeight="1">
      <c r="A3920" s="16">
        <v>55.0</v>
      </c>
      <c r="B3920" s="17" t="s">
        <v>7820</v>
      </c>
      <c r="C3920" s="16">
        <v>5.0</v>
      </c>
      <c r="D3920" s="18" t="s">
        <v>4183</v>
      </c>
    </row>
    <row r="3921" ht="15.75" customHeight="1">
      <c r="A3921" s="16">
        <v>56.0</v>
      </c>
      <c r="B3921" s="17" t="s">
        <v>7821</v>
      </c>
      <c r="C3921" s="18" t="s">
        <v>4736</v>
      </c>
      <c r="D3921" s="18" t="s">
        <v>4183</v>
      </c>
    </row>
    <row r="3922" ht="15.75" customHeight="1">
      <c r="A3922" s="16">
        <v>57.0</v>
      </c>
      <c r="B3922" s="17" t="s">
        <v>7822</v>
      </c>
      <c r="C3922" s="16">
        <v>7.0</v>
      </c>
      <c r="D3922" s="18" t="s">
        <v>4183</v>
      </c>
    </row>
    <row r="3923" ht="15.75" customHeight="1">
      <c r="A3923" s="16">
        <v>58.0</v>
      </c>
      <c r="B3923" s="17" t="s">
        <v>7823</v>
      </c>
      <c r="C3923" s="16">
        <v>2.0</v>
      </c>
      <c r="D3923" s="18" t="s">
        <v>4183</v>
      </c>
    </row>
    <row r="3924" ht="15.75" customHeight="1">
      <c r="A3924" s="16">
        <v>59.0</v>
      </c>
      <c r="B3924" s="17" t="s">
        <v>7824</v>
      </c>
      <c r="C3924" s="16">
        <v>2.0</v>
      </c>
      <c r="D3924" s="18" t="s">
        <v>4183</v>
      </c>
    </row>
    <row r="3925" ht="15.75" customHeight="1">
      <c r="A3925" s="16">
        <v>60.0</v>
      </c>
      <c r="B3925" s="17" t="s">
        <v>7825</v>
      </c>
      <c r="C3925" s="16">
        <v>8.0</v>
      </c>
      <c r="D3925" s="18" t="s">
        <v>4183</v>
      </c>
    </row>
    <row r="3926" ht="15.75" customHeight="1">
      <c r="A3926" s="16">
        <v>61.0</v>
      </c>
      <c r="B3926" s="17" t="s">
        <v>7826</v>
      </c>
      <c r="C3926" s="16">
        <v>4.0</v>
      </c>
      <c r="D3926" s="18" t="s">
        <v>4183</v>
      </c>
    </row>
    <row r="3927" ht="15.75" customHeight="1">
      <c r="A3927" s="16">
        <v>62.0</v>
      </c>
      <c r="B3927" s="17" t="s">
        <v>7827</v>
      </c>
      <c r="C3927" s="16">
        <v>7.0</v>
      </c>
      <c r="D3927" s="18" t="s">
        <v>4183</v>
      </c>
    </row>
    <row r="3928" ht="15.75" customHeight="1">
      <c r="A3928" s="16">
        <v>63.0</v>
      </c>
      <c r="B3928" s="17" t="s">
        <v>7828</v>
      </c>
      <c r="C3928" s="18" t="s">
        <v>4270</v>
      </c>
      <c r="D3928" s="18" t="s">
        <v>4215</v>
      </c>
    </row>
    <row r="3929" ht="15.75" customHeight="1">
      <c r="A3929" s="16">
        <v>64.0</v>
      </c>
      <c r="B3929" s="17" t="s">
        <v>7829</v>
      </c>
      <c r="C3929" s="16">
        <v>4.0</v>
      </c>
      <c r="D3929" s="18" t="s">
        <v>4178</v>
      </c>
    </row>
    <row r="3930" ht="15.75" customHeight="1">
      <c r="A3930" s="16">
        <v>65.0</v>
      </c>
      <c r="B3930" s="17" t="s">
        <v>7830</v>
      </c>
      <c r="C3930" s="16">
        <v>5.0</v>
      </c>
      <c r="D3930" s="18" t="s">
        <v>4178</v>
      </c>
    </row>
    <row r="3931" ht="15.75" customHeight="1">
      <c r="A3931" s="16">
        <v>66.0</v>
      </c>
      <c r="B3931" s="17" t="s">
        <v>7831</v>
      </c>
      <c r="C3931" s="16">
        <v>20.0</v>
      </c>
      <c r="D3931" s="18" t="s">
        <v>4183</v>
      </c>
    </row>
    <row r="3932" ht="15.75" customHeight="1">
      <c r="A3932" s="16">
        <v>67.0</v>
      </c>
      <c r="B3932" s="17" t="s">
        <v>7832</v>
      </c>
      <c r="C3932" s="16">
        <v>20.0</v>
      </c>
      <c r="D3932" s="18" t="s">
        <v>4183</v>
      </c>
    </row>
    <row r="3933" ht="15.75" customHeight="1">
      <c r="A3933" s="16">
        <v>68.0</v>
      </c>
      <c r="B3933" s="17" t="s">
        <v>7833</v>
      </c>
      <c r="C3933" s="19">
        <v>34.5</v>
      </c>
      <c r="D3933" s="18" t="s">
        <v>4183</v>
      </c>
    </row>
    <row r="3934" ht="15.75" customHeight="1">
      <c r="A3934" s="16">
        <v>69.0</v>
      </c>
      <c r="B3934" s="17" t="s">
        <v>7834</v>
      </c>
      <c r="C3934" s="16">
        <v>4.0</v>
      </c>
      <c r="D3934" s="18" t="s">
        <v>4183</v>
      </c>
    </row>
    <row r="3935" ht="15.75" customHeight="1">
      <c r="A3935" s="16">
        <v>70.0</v>
      </c>
      <c r="B3935" s="17" t="s">
        <v>7835</v>
      </c>
      <c r="C3935" s="16">
        <v>8.0</v>
      </c>
      <c r="D3935" s="18" t="s">
        <v>4183</v>
      </c>
    </row>
    <row r="3936" ht="15.75" customHeight="1">
      <c r="A3936" s="16">
        <v>71.0</v>
      </c>
      <c r="B3936" s="17" t="s">
        <v>7836</v>
      </c>
      <c r="C3936" s="16">
        <v>5.0</v>
      </c>
      <c r="D3936" s="18" t="s">
        <v>4183</v>
      </c>
    </row>
    <row r="3937" ht="15.75" customHeight="1">
      <c r="A3937" s="16">
        <v>72.0</v>
      </c>
      <c r="B3937" s="17" t="s">
        <v>7837</v>
      </c>
      <c r="C3937" s="16">
        <v>2.0</v>
      </c>
      <c r="D3937" s="18" t="s">
        <v>4183</v>
      </c>
    </row>
    <row r="3938" ht="15.75" customHeight="1">
      <c r="A3938" s="16">
        <v>73.0</v>
      </c>
      <c r="B3938" s="17" t="s">
        <v>7838</v>
      </c>
      <c r="C3938" s="16">
        <v>6.0</v>
      </c>
      <c r="D3938" s="18" t="s">
        <v>4183</v>
      </c>
    </row>
    <row r="3939" ht="15.75" customHeight="1">
      <c r="A3939" s="16">
        <v>74.0</v>
      </c>
      <c r="B3939" s="17" t="s">
        <v>7839</v>
      </c>
      <c r="C3939" s="16">
        <v>4.0</v>
      </c>
      <c r="D3939" s="18" t="s">
        <v>4183</v>
      </c>
    </row>
    <row r="3940" ht="15.75" customHeight="1">
      <c r="A3940" s="16">
        <v>75.0</v>
      </c>
      <c r="B3940" s="17" t="s">
        <v>7840</v>
      </c>
      <c r="C3940" s="16">
        <v>14.0</v>
      </c>
      <c r="D3940" s="18" t="s">
        <v>4215</v>
      </c>
    </row>
    <row r="3941" ht="15.75" customHeight="1">
      <c r="A3941" s="16">
        <v>76.0</v>
      </c>
      <c r="B3941" s="17" t="s">
        <v>7841</v>
      </c>
      <c r="C3941" s="16">
        <v>3.0</v>
      </c>
      <c r="D3941" s="18" t="s">
        <v>4183</v>
      </c>
    </row>
    <row r="3942" ht="15.75" customHeight="1">
      <c r="A3942" s="16">
        <v>77.0</v>
      </c>
      <c r="B3942" s="17" t="s">
        <v>7842</v>
      </c>
      <c r="C3942" s="16">
        <v>4.0</v>
      </c>
      <c r="D3942" s="18" t="s">
        <v>4183</v>
      </c>
    </row>
    <row r="3943" ht="15.75" customHeight="1">
      <c r="A3943" s="16">
        <v>78.0</v>
      </c>
      <c r="B3943" s="17" t="s">
        <v>7843</v>
      </c>
      <c r="C3943" s="16">
        <v>16.0</v>
      </c>
      <c r="D3943" s="18" t="s">
        <v>4183</v>
      </c>
    </row>
    <row r="3944" ht="15.75" customHeight="1">
      <c r="A3944" s="16">
        <v>79.0</v>
      </c>
      <c r="B3944" s="17" t="s">
        <v>7844</v>
      </c>
      <c r="C3944" s="16">
        <v>4.0</v>
      </c>
      <c r="D3944" s="18" t="s">
        <v>4183</v>
      </c>
    </row>
    <row r="3945" ht="15.75" customHeight="1">
      <c r="A3945" s="16">
        <v>80.0</v>
      </c>
      <c r="B3945" s="17" t="s">
        <v>7845</v>
      </c>
      <c r="C3945" s="16">
        <v>2.0</v>
      </c>
      <c r="D3945" s="18" t="s">
        <v>4183</v>
      </c>
    </row>
    <row r="3946" ht="15.75" customHeight="1">
      <c r="A3946" s="16">
        <v>81.0</v>
      </c>
      <c r="B3946" s="17" t="s">
        <v>7846</v>
      </c>
      <c r="C3946" s="16">
        <v>3.0</v>
      </c>
      <c r="D3946" s="18" t="s">
        <v>4183</v>
      </c>
    </row>
    <row r="3947" ht="15.75" customHeight="1">
      <c r="A3947" s="16">
        <v>82.0</v>
      </c>
      <c r="B3947" s="17" t="s">
        <v>7847</v>
      </c>
      <c r="C3947" s="16">
        <v>55.0</v>
      </c>
      <c r="D3947" s="18" t="s">
        <v>4183</v>
      </c>
    </row>
    <row r="3948" ht="15.75" customHeight="1">
      <c r="A3948" s="16">
        <v>83.0</v>
      </c>
      <c r="B3948" s="17" t="s">
        <v>7848</v>
      </c>
      <c r="C3948" s="16">
        <v>10.0</v>
      </c>
      <c r="D3948" s="18" t="s">
        <v>4183</v>
      </c>
    </row>
    <row r="3949" ht="15.75" customHeight="1">
      <c r="A3949" s="16">
        <v>84.0</v>
      </c>
      <c r="B3949" s="17" t="s">
        <v>7849</v>
      </c>
      <c r="C3949" s="16">
        <v>8.0</v>
      </c>
      <c r="D3949" s="18" t="s">
        <v>4183</v>
      </c>
    </row>
    <row r="3950" ht="15.75" customHeight="1">
      <c r="A3950" s="16">
        <v>85.0</v>
      </c>
      <c r="B3950" s="17" t="s">
        <v>7850</v>
      </c>
      <c r="C3950" s="16">
        <v>34.0</v>
      </c>
      <c r="D3950" s="18" t="s">
        <v>4183</v>
      </c>
    </row>
    <row r="3951" ht="15.75" customHeight="1">
      <c r="A3951" s="16">
        <v>86.0</v>
      </c>
      <c r="B3951" s="17" t="s">
        <v>7851</v>
      </c>
      <c r="C3951" s="16">
        <v>4.0</v>
      </c>
      <c r="D3951" s="18" t="s">
        <v>4183</v>
      </c>
    </row>
    <row r="3952" ht="15.75" customHeight="1">
      <c r="A3952" s="16">
        <v>87.0</v>
      </c>
      <c r="B3952" s="17" t="s">
        <v>7852</v>
      </c>
      <c r="C3952" s="16">
        <v>8.0</v>
      </c>
      <c r="D3952" s="18" t="s">
        <v>4183</v>
      </c>
    </row>
    <row r="3953" ht="15.75" customHeight="1">
      <c r="A3953" s="16">
        <v>88.0</v>
      </c>
      <c r="B3953" s="17" t="s">
        <v>7853</v>
      </c>
      <c r="C3953" s="18" t="s">
        <v>4270</v>
      </c>
      <c r="D3953" s="18" t="s">
        <v>4183</v>
      </c>
    </row>
    <row r="3954" ht="15.75" customHeight="1">
      <c r="A3954" s="16">
        <v>89.0</v>
      </c>
      <c r="B3954" s="17" t="s">
        <v>7854</v>
      </c>
      <c r="C3954" s="16">
        <v>14.0</v>
      </c>
      <c r="D3954" s="18" t="s">
        <v>4183</v>
      </c>
    </row>
    <row r="3955" ht="15.75" customHeight="1">
      <c r="A3955" s="16">
        <v>90.0</v>
      </c>
      <c r="B3955" s="17" t="s">
        <v>7855</v>
      </c>
      <c r="C3955" s="16">
        <v>6.0</v>
      </c>
      <c r="D3955" s="18" t="s">
        <v>4183</v>
      </c>
    </row>
    <row r="3956" ht="15.75" customHeight="1">
      <c r="A3956" s="16">
        <v>91.0</v>
      </c>
      <c r="B3956" s="17" t="s">
        <v>7856</v>
      </c>
      <c r="C3956" s="16">
        <v>7.0</v>
      </c>
      <c r="D3956" s="18" t="s">
        <v>4215</v>
      </c>
    </row>
    <row r="3957" ht="15.75" customHeight="1">
      <c r="A3957" s="16">
        <v>92.0</v>
      </c>
      <c r="B3957" s="17" t="s">
        <v>7857</v>
      </c>
      <c r="C3957" s="16">
        <v>2.0</v>
      </c>
      <c r="D3957" s="18" t="s">
        <v>4183</v>
      </c>
    </row>
    <row r="3958" ht="15.75" customHeight="1">
      <c r="A3958" s="20"/>
      <c r="B3958" s="21" t="s">
        <v>4273</v>
      </c>
      <c r="C3958" s="22">
        <v>917.5</v>
      </c>
      <c r="D3958" s="21" t="s">
        <v>4171</v>
      </c>
    </row>
    <row r="3959" ht="15.75" customHeight="1">
      <c r="A3959" s="11"/>
      <c r="B3959" s="12"/>
      <c r="C3959" s="12"/>
      <c r="D3959" s="13"/>
    </row>
    <row r="3960" ht="15.75" customHeight="1">
      <c r="A3960" s="14" t="s">
        <v>4163</v>
      </c>
      <c r="B3960" s="15"/>
      <c r="C3960" s="15"/>
      <c r="D3960" s="15"/>
    </row>
    <row r="3961" ht="15.75" customHeight="1">
      <c r="A3961" s="16">
        <v>1.0</v>
      </c>
      <c r="B3961" s="17" t="s">
        <v>7858</v>
      </c>
      <c r="C3961" s="16">
        <v>12.0</v>
      </c>
      <c r="D3961" s="18" t="s">
        <v>4183</v>
      </c>
    </row>
    <row r="3962" ht="15.75" customHeight="1">
      <c r="A3962" s="16">
        <v>2.0</v>
      </c>
      <c r="B3962" s="17" t="s">
        <v>7859</v>
      </c>
      <c r="C3962" s="16">
        <v>68.0</v>
      </c>
      <c r="D3962" s="18" t="s">
        <v>4183</v>
      </c>
    </row>
    <row r="3963" ht="15.75" customHeight="1">
      <c r="A3963" s="20"/>
      <c r="B3963" s="21" t="s">
        <v>4273</v>
      </c>
      <c r="C3963" s="23">
        <v>80.0</v>
      </c>
      <c r="D3963" s="21" t="s">
        <v>4171</v>
      </c>
    </row>
    <row r="3964" ht="15.75" customHeight="1">
      <c r="A3964" s="11"/>
      <c r="B3964" s="12"/>
      <c r="C3964" s="12"/>
      <c r="D3964" s="13"/>
    </row>
    <row r="3965" ht="15.75" customHeight="1">
      <c r="A3965" s="14" t="s">
        <v>4158</v>
      </c>
      <c r="B3965" s="15"/>
      <c r="C3965" s="15"/>
      <c r="D3965" s="15"/>
    </row>
    <row r="3966" ht="15.75" customHeight="1">
      <c r="A3966" s="16">
        <v>1.0</v>
      </c>
      <c r="B3966" s="17" t="s">
        <v>7860</v>
      </c>
      <c r="C3966" s="16">
        <v>4.0</v>
      </c>
      <c r="D3966" s="18" t="s">
        <v>4183</v>
      </c>
    </row>
    <row r="3967" ht="15.75" customHeight="1">
      <c r="A3967" s="16">
        <v>2.0</v>
      </c>
      <c r="B3967" s="17" t="s">
        <v>7861</v>
      </c>
      <c r="C3967" s="16">
        <v>3.0</v>
      </c>
      <c r="D3967" s="18" t="s">
        <v>4183</v>
      </c>
    </row>
    <row r="3968" ht="15.75" customHeight="1">
      <c r="A3968" s="16">
        <v>3.0</v>
      </c>
      <c r="B3968" s="17" t="s">
        <v>7862</v>
      </c>
      <c r="C3968" s="16">
        <v>54.0</v>
      </c>
      <c r="D3968" s="18" t="s">
        <v>4183</v>
      </c>
    </row>
    <row r="3969" ht="15.75" customHeight="1">
      <c r="A3969" s="16">
        <v>4.0</v>
      </c>
      <c r="B3969" s="17" t="s">
        <v>7863</v>
      </c>
      <c r="C3969" s="16">
        <v>12.0</v>
      </c>
      <c r="D3969" s="18" t="s">
        <v>4183</v>
      </c>
    </row>
    <row r="3970" ht="15.75" customHeight="1">
      <c r="A3970" s="20"/>
      <c r="B3970" s="21" t="s">
        <v>4273</v>
      </c>
      <c r="C3970" s="23">
        <v>73.0</v>
      </c>
      <c r="D3970" s="21" t="s">
        <v>4171</v>
      </c>
    </row>
    <row r="3971" ht="15.75" customHeight="1">
      <c r="A3971" s="11"/>
      <c r="B3971" s="12"/>
      <c r="C3971" s="12"/>
      <c r="D3971" s="13"/>
    </row>
    <row r="3972" ht="15.75" customHeight="1">
      <c r="A3972" s="14" t="s">
        <v>4149</v>
      </c>
      <c r="B3972" s="15"/>
      <c r="C3972" s="15"/>
      <c r="D3972" s="15"/>
    </row>
    <row r="3973" ht="15.75" customHeight="1">
      <c r="A3973" s="16">
        <v>1.0</v>
      </c>
      <c r="B3973" s="17" t="s">
        <v>7864</v>
      </c>
      <c r="C3973" s="16">
        <v>4.0</v>
      </c>
      <c r="D3973" s="18" t="s">
        <v>4183</v>
      </c>
    </row>
    <row r="3974" ht="15.75" customHeight="1">
      <c r="A3974" s="16">
        <v>2.0</v>
      </c>
      <c r="B3974" s="17" t="s">
        <v>7865</v>
      </c>
      <c r="C3974" s="16">
        <v>4.0</v>
      </c>
      <c r="D3974" s="18" t="s">
        <v>4183</v>
      </c>
    </row>
    <row r="3975" ht="15.75" customHeight="1">
      <c r="A3975" s="16">
        <v>3.0</v>
      </c>
      <c r="B3975" s="17" t="s">
        <v>7866</v>
      </c>
      <c r="C3975" s="16">
        <v>5.0</v>
      </c>
      <c r="D3975" s="18" t="s">
        <v>4183</v>
      </c>
    </row>
    <row r="3976" ht="15.75" customHeight="1">
      <c r="A3976" s="16">
        <v>4.0</v>
      </c>
      <c r="B3976" s="17" t="s">
        <v>7867</v>
      </c>
      <c r="C3976" s="16">
        <v>9.0</v>
      </c>
      <c r="D3976" s="18" t="s">
        <v>4183</v>
      </c>
    </row>
    <row r="3977" ht="15.75" customHeight="1">
      <c r="A3977" s="16">
        <v>5.0</v>
      </c>
      <c r="B3977" s="17" t="s">
        <v>7868</v>
      </c>
      <c r="C3977" s="16">
        <v>8.0</v>
      </c>
      <c r="D3977" s="18" t="s">
        <v>4183</v>
      </c>
    </row>
    <row r="3978" ht="15.75" customHeight="1">
      <c r="A3978" s="16">
        <v>6.0</v>
      </c>
      <c r="B3978" s="17" t="s">
        <v>7869</v>
      </c>
      <c r="C3978" s="18" t="s">
        <v>4384</v>
      </c>
      <c r="D3978" s="18" t="s">
        <v>4183</v>
      </c>
    </row>
    <row r="3979" ht="15.75" customHeight="1">
      <c r="A3979" s="20"/>
      <c r="B3979" s="21" t="s">
        <v>4273</v>
      </c>
      <c r="C3979" s="23">
        <v>29.0</v>
      </c>
      <c r="D3979" s="21" t="s">
        <v>4171</v>
      </c>
    </row>
    <row r="3980" ht="15.75" customHeight="1">
      <c r="A3980" s="11"/>
      <c r="B3980" s="12"/>
      <c r="C3980" s="12"/>
      <c r="D3980" s="13"/>
    </row>
    <row r="3981" ht="15.75" customHeight="1">
      <c r="A3981" s="14" t="s">
        <v>4122</v>
      </c>
      <c r="B3981" s="15"/>
      <c r="C3981" s="15"/>
      <c r="D3981" s="15"/>
    </row>
    <row r="3982" ht="15.75" customHeight="1">
      <c r="A3982" s="16">
        <v>1.0</v>
      </c>
      <c r="B3982" s="17" t="s">
        <v>7870</v>
      </c>
      <c r="C3982" s="16">
        <v>38.0</v>
      </c>
      <c r="D3982" s="18" t="s">
        <v>4183</v>
      </c>
    </row>
    <row r="3983" ht="15.75" customHeight="1">
      <c r="A3983" s="16">
        <v>2.0</v>
      </c>
      <c r="B3983" s="17" t="s">
        <v>7871</v>
      </c>
      <c r="C3983" s="16">
        <v>6.0</v>
      </c>
      <c r="D3983" s="18" t="s">
        <v>4178</v>
      </c>
    </row>
    <row r="3984" ht="15.75" customHeight="1">
      <c r="A3984" s="16">
        <v>3.0</v>
      </c>
      <c r="B3984" s="17" t="s">
        <v>7872</v>
      </c>
      <c r="C3984" s="16">
        <v>9.0</v>
      </c>
      <c r="D3984" s="18" t="s">
        <v>4183</v>
      </c>
    </row>
    <row r="3985" ht="15.75" customHeight="1">
      <c r="A3985" s="16">
        <v>4.0</v>
      </c>
      <c r="B3985" s="17" t="s">
        <v>7873</v>
      </c>
      <c r="C3985" s="16">
        <v>65.0</v>
      </c>
      <c r="D3985" s="18" t="s">
        <v>4183</v>
      </c>
    </row>
    <row r="3986" ht="15.75" customHeight="1">
      <c r="A3986" s="16">
        <v>5.0</v>
      </c>
      <c r="B3986" s="17" t="s">
        <v>7874</v>
      </c>
      <c r="C3986" s="16">
        <v>46.0</v>
      </c>
      <c r="D3986" s="18" t="s">
        <v>4183</v>
      </c>
    </row>
    <row r="3987" ht="15.75" customHeight="1">
      <c r="A3987" s="16">
        <v>6.0</v>
      </c>
      <c r="B3987" s="17" t="s">
        <v>7875</v>
      </c>
      <c r="C3987" s="16">
        <v>29.0</v>
      </c>
      <c r="D3987" s="18" t="s">
        <v>4183</v>
      </c>
    </row>
    <row r="3988" ht="15.75" customHeight="1">
      <c r="A3988" s="16">
        <v>7.0</v>
      </c>
      <c r="B3988" s="17" t="s">
        <v>7876</v>
      </c>
      <c r="C3988" s="16">
        <v>14.0</v>
      </c>
      <c r="D3988" s="18" t="s">
        <v>4183</v>
      </c>
    </row>
    <row r="3989" ht="15.75" customHeight="1">
      <c r="A3989" s="16">
        <v>8.0</v>
      </c>
      <c r="B3989" s="17" t="s">
        <v>7877</v>
      </c>
      <c r="C3989" s="16">
        <v>60.0</v>
      </c>
      <c r="D3989" s="18" t="s">
        <v>4178</v>
      </c>
    </row>
    <row r="3990" ht="15.75" customHeight="1">
      <c r="A3990" s="16">
        <v>9.0</v>
      </c>
      <c r="B3990" s="17" t="s">
        <v>7878</v>
      </c>
      <c r="C3990" s="16">
        <v>54.0</v>
      </c>
      <c r="D3990" s="18" t="s">
        <v>4341</v>
      </c>
    </row>
    <row r="3991" ht="15.75" customHeight="1">
      <c r="A3991" s="16">
        <v>10.0</v>
      </c>
      <c r="B3991" s="17" t="s">
        <v>7879</v>
      </c>
      <c r="C3991" s="16">
        <v>102.0</v>
      </c>
      <c r="D3991" s="18" t="s">
        <v>4183</v>
      </c>
    </row>
    <row r="3992" ht="15.75" customHeight="1">
      <c r="A3992" s="16">
        <v>11.0</v>
      </c>
      <c r="B3992" s="17" t="s">
        <v>7880</v>
      </c>
      <c r="C3992" s="16">
        <v>6.0</v>
      </c>
      <c r="D3992" s="18" t="s">
        <v>4183</v>
      </c>
    </row>
    <row r="3993" ht="15.75" customHeight="1">
      <c r="A3993" s="16">
        <v>12.0</v>
      </c>
      <c r="B3993" s="17" t="s">
        <v>7881</v>
      </c>
      <c r="C3993" s="16">
        <v>50.0</v>
      </c>
      <c r="D3993" s="18" t="s">
        <v>6611</v>
      </c>
    </row>
    <row r="3994" ht="15.75" customHeight="1">
      <c r="A3994" s="16">
        <v>13.0</v>
      </c>
      <c r="B3994" s="17" t="s">
        <v>7882</v>
      </c>
      <c r="C3994" s="16">
        <v>86.0</v>
      </c>
      <c r="D3994" s="18" t="s">
        <v>4215</v>
      </c>
    </row>
    <row r="3995" ht="15.75" customHeight="1">
      <c r="A3995" s="16">
        <v>14.0</v>
      </c>
      <c r="B3995" s="17" t="s">
        <v>7883</v>
      </c>
      <c r="C3995" s="16">
        <v>62.0</v>
      </c>
      <c r="D3995" s="18" t="s">
        <v>4178</v>
      </c>
    </row>
    <row r="3996" ht="15.75" customHeight="1">
      <c r="A3996" s="20"/>
      <c r="B3996" s="21" t="s">
        <v>4273</v>
      </c>
      <c r="C3996" s="23">
        <v>627.0</v>
      </c>
      <c r="D3996" s="21" t="s">
        <v>4171</v>
      </c>
    </row>
    <row r="3997" ht="15.75" customHeight="1">
      <c r="A3997" s="11"/>
      <c r="B3997" s="12"/>
      <c r="C3997" s="12"/>
      <c r="D3997" s="13"/>
    </row>
    <row r="3998" ht="15.75" customHeight="1">
      <c r="A3998" s="14" t="s">
        <v>4067</v>
      </c>
      <c r="B3998" s="15"/>
      <c r="C3998" s="15"/>
      <c r="D3998" s="15"/>
    </row>
    <row r="3999" ht="15.75" customHeight="1">
      <c r="A3999" s="16">
        <v>1.0</v>
      </c>
      <c r="B3999" s="17" t="s">
        <v>7884</v>
      </c>
      <c r="C3999" s="16">
        <v>21.0</v>
      </c>
      <c r="D3999" s="18" t="s">
        <v>4183</v>
      </c>
    </row>
    <row r="4000" ht="15.75" customHeight="1">
      <c r="A4000" s="16">
        <v>2.0</v>
      </c>
      <c r="B4000" s="17" t="s">
        <v>7885</v>
      </c>
      <c r="C4000" s="16">
        <v>24.0</v>
      </c>
      <c r="D4000" s="18" t="s">
        <v>4183</v>
      </c>
    </row>
    <row r="4001" ht="15.75" customHeight="1">
      <c r="A4001" s="16">
        <v>3.0</v>
      </c>
      <c r="B4001" s="17" t="s">
        <v>7886</v>
      </c>
      <c r="C4001" s="16">
        <v>4.0</v>
      </c>
      <c r="D4001" s="18" t="s">
        <v>4183</v>
      </c>
    </row>
    <row r="4002" ht="15.75" customHeight="1">
      <c r="A4002" s="16">
        <v>4.0</v>
      </c>
      <c r="B4002" s="17" t="s">
        <v>7887</v>
      </c>
      <c r="C4002" s="16">
        <v>4.0</v>
      </c>
      <c r="D4002" s="18" t="s">
        <v>4183</v>
      </c>
    </row>
    <row r="4003" ht="15.75" customHeight="1">
      <c r="A4003" s="16">
        <v>5.0</v>
      </c>
      <c r="B4003" s="17" t="s">
        <v>7888</v>
      </c>
      <c r="C4003" s="16">
        <v>5.0</v>
      </c>
      <c r="D4003" s="18" t="s">
        <v>4183</v>
      </c>
    </row>
    <row r="4004" ht="15.75" customHeight="1">
      <c r="A4004" s="16">
        <v>6.0</v>
      </c>
      <c r="B4004" s="17" t="s">
        <v>7889</v>
      </c>
      <c r="C4004" s="16">
        <v>13.0</v>
      </c>
      <c r="D4004" s="18" t="s">
        <v>4183</v>
      </c>
    </row>
    <row r="4005" ht="15.75" customHeight="1">
      <c r="A4005" s="16">
        <v>7.0</v>
      </c>
      <c r="B4005" s="17" t="s">
        <v>7890</v>
      </c>
      <c r="C4005" s="16">
        <v>4.0</v>
      </c>
      <c r="D4005" s="18" t="s">
        <v>4183</v>
      </c>
    </row>
    <row r="4006" ht="15.75" customHeight="1">
      <c r="A4006" s="16">
        <v>8.0</v>
      </c>
      <c r="B4006" s="17" t="s">
        <v>7891</v>
      </c>
      <c r="C4006" s="16">
        <v>2.0</v>
      </c>
      <c r="D4006" s="18" t="s">
        <v>4183</v>
      </c>
    </row>
    <row r="4007" ht="15.75" customHeight="1">
      <c r="A4007" s="16">
        <v>9.0</v>
      </c>
      <c r="B4007" s="17" t="s">
        <v>7892</v>
      </c>
      <c r="C4007" s="16">
        <v>16.0</v>
      </c>
      <c r="D4007" s="18" t="s">
        <v>4183</v>
      </c>
    </row>
    <row r="4008" ht="15.75" customHeight="1">
      <c r="A4008" s="16">
        <v>10.0</v>
      </c>
      <c r="B4008" s="17" t="s">
        <v>7893</v>
      </c>
      <c r="C4008" s="16">
        <v>7.0</v>
      </c>
      <c r="D4008" s="18" t="s">
        <v>4183</v>
      </c>
    </row>
    <row r="4009" ht="15.75" customHeight="1">
      <c r="A4009" s="16">
        <v>11.0</v>
      </c>
      <c r="B4009" s="17" t="s">
        <v>7894</v>
      </c>
      <c r="C4009" s="16">
        <v>16.0</v>
      </c>
      <c r="D4009" s="18" t="s">
        <v>4183</v>
      </c>
    </row>
    <row r="4010" ht="15.75" customHeight="1">
      <c r="A4010" s="16">
        <v>12.0</v>
      </c>
      <c r="B4010" s="17" t="s">
        <v>7895</v>
      </c>
      <c r="C4010" s="16">
        <v>5.0</v>
      </c>
      <c r="D4010" s="18" t="s">
        <v>4183</v>
      </c>
    </row>
    <row r="4011" ht="15.75" customHeight="1">
      <c r="A4011" s="16">
        <v>13.0</v>
      </c>
      <c r="B4011" s="17" t="s">
        <v>7896</v>
      </c>
      <c r="C4011" s="16">
        <v>32.0</v>
      </c>
      <c r="D4011" s="18" t="s">
        <v>4183</v>
      </c>
    </row>
    <row r="4012" ht="15.75" customHeight="1">
      <c r="A4012" s="16">
        <v>14.0</v>
      </c>
      <c r="B4012" s="17" t="s">
        <v>7897</v>
      </c>
      <c r="C4012" s="16">
        <v>13.0</v>
      </c>
      <c r="D4012" s="18" t="s">
        <v>4183</v>
      </c>
    </row>
    <row r="4013" ht="15.75" customHeight="1">
      <c r="A4013" s="16">
        <v>15.0</v>
      </c>
      <c r="B4013" s="17" t="s">
        <v>7898</v>
      </c>
      <c r="C4013" s="16">
        <v>3.0</v>
      </c>
      <c r="D4013" s="18" t="s">
        <v>4183</v>
      </c>
    </row>
    <row r="4014" ht="15.75" customHeight="1">
      <c r="A4014" s="16">
        <v>16.0</v>
      </c>
      <c r="B4014" s="17" t="s">
        <v>7899</v>
      </c>
      <c r="C4014" s="16">
        <v>3.0</v>
      </c>
      <c r="D4014" s="18" t="s">
        <v>4183</v>
      </c>
    </row>
    <row r="4015" ht="15.75" customHeight="1">
      <c r="A4015" s="16">
        <v>17.0</v>
      </c>
      <c r="B4015" s="17" t="s">
        <v>7900</v>
      </c>
      <c r="C4015" s="16">
        <v>2.0</v>
      </c>
      <c r="D4015" s="18" t="s">
        <v>4183</v>
      </c>
    </row>
    <row r="4016" ht="15.75" customHeight="1">
      <c r="A4016" s="16">
        <v>18.0</v>
      </c>
      <c r="B4016" s="17" t="s">
        <v>7901</v>
      </c>
      <c r="C4016" s="16">
        <v>274.0</v>
      </c>
      <c r="D4016" s="18" t="s">
        <v>4183</v>
      </c>
    </row>
    <row r="4017" ht="15.75" customHeight="1">
      <c r="A4017" s="16">
        <v>19.0</v>
      </c>
      <c r="B4017" s="17" t="s">
        <v>7902</v>
      </c>
      <c r="C4017" s="16">
        <v>18.0</v>
      </c>
      <c r="D4017" s="18" t="s">
        <v>4183</v>
      </c>
    </row>
    <row r="4018" ht="15.75" customHeight="1">
      <c r="A4018" s="16">
        <v>20.0</v>
      </c>
      <c r="B4018" s="17" t="s">
        <v>7903</v>
      </c>
      <c r="C4018" s="16">
        <v>10.0</v>
      </c>
      <c r="D4018" s="18" t="s">
        <v>4178</v>
      </c>
    </row>
    <row r="4019" ht="15.75" customHeight="1">
      <c r="A4019" s="16">
        <v>21.0</v>
      </c>
      <c r="B4019" s="17" t="s">
        <v>7904</v>
      </c>
      <c r="C4019" s="16">
        <v>26.0</v>
      </c>
      <c r="D4019" s="18" t="s">
        <v>4183</v>
      </c>
    </row>
    <row r="4020" ht="15.75" customHeight="1">
      <c r="A4020" s="16">
        <v>22.0</v>
      </c>
      <c r="B4020" s="17" t="s">
        <v>7905</v>
      </c>
      <c r="C4020" s="16">
        <v>33.0</v>
      </c>
      <c r="D4020" s="18" t="s">
        <v>4183</v>
      </c>
    </row>
    <row r="4021" ht="15.75" customHeight="1">
      <c r="A4021" s="16">
        <v>23.0</v>
      </c>
      <c r="B4021" s="17" t="s">
        <v>7906</v>
      </c>
      <c r="C4021" s="16">
        <v>5.0</v>
      </c>
      <c r="D4021" s="18" t="s">
        <v>4178</v>
      </c>
    </row>
    <row r="4022" ht="15.75" customHeight="1">
      <c r="A4022" s="16">
        <v>24.0</v>
      </c>
      <c r="B4022" s="17" t="s">
        <v>7907</v>
      </c>
      <c r="C4022" s="16">
        <v>219.0</v>
      </c>
      <c r="D4022" s="18" t="s">
        <v>4183</v>
      </c>
    </row>
    <row r="4023" ht="15.75" customHeight="1">
      <c r="A4023" s="16">
        <v>25.0</v>
      </c>
      <c r="B4023" s="17" t="s">
        <v>7908</v>
      </c>
      <c r="C4023" s="16">
        <v>19.0</v>
      </c>
      <c r="D4023" s="18" t="s">
        <v>4183</v>
      </c>
    </row>
    <row r="4024" ht="15.75" customHeight="1">
      <c r="A4024" s="16">
        <v>26.0</v>
      </c>
      <c r="B4024" s="17" t="s">
        <v>7909</v>
      </c>
      <c r="C4024" s="16">
        <v>30.0</v>
      </c>
      <c r="D4024" s="18" t="s">
        <v>4183</v>
      </c>
    </row>
    <row r="4025" ht="15.75" customHeight="1">
      <c r="A4025" s="16">
        <v>27.0</v>
      </c>
      <c r="B4025" s="17" t="s">
        <v>7910</v>
      </c>
      <c r="C4025" s="16">
        <v>45.0</v>
      </c>
      <c r="D4025" s="18" t="s">
        <v>4183</v>
      </c>
    </row>
    <row r="4026" ht="15.75" customHeight="1">
      <c r="A4026" s="16">
        <v>28.0</v>
      </c>
      <c r="B4026" s="17" t="s">
        <v>7911</v>
      </c>
      <c r="C4026" s="16">
        <v>30.0</v>
      </c>
      <c r="D4026" s="18" t="s">
        <v>4183</v>
      </c>
    </row>
    <row r="4027" ht="15.75" customHeight="1">
      <c r="A4027" s="16">
        <v>29.0</v>
      </c>
      <c r="B4027" s="17" t="s">
        <v>7912</v>
      </c>
      <c r="C4027" s="16">
        <v>5.0</v>
      </c>
      <c r="D4027" s="18" t="s">
        <v>4183</v>
      </c>
    </row>
    <row r="4028" ht="15.75" customHeight="1">
      <c r="A4028" s="16">
        <v>30.0</v>
      </c>
      <c r="B4028" s="17" t="s">
        <v>7913</v>
      </c>
      <c r="C4028" s="16">
        <v>4.0</v>
      </c>
      <c r="D4028" s="18" t="s">
        <v>4183</v>
      </c>
    </row>
    <row r="4029" ht="15.75" customHeight="1">
      <c r="A4029" s="16">
        <v>31.0</v>
      </c>
      <c r="B4029" s="17" t="s">
        <v>7914</v>
      </c>
      <c r="C4029" s="16">
        <v>3.0</v>
      </c>
      <c r="D4029" s="18" t="s">
        <v>4183</v>
      </c>
    </row>
    <row r="4030" ht="15.75" customHeight="1">
      <c r="A4030" s="16">
        <v>32.0</v>
      </c>
      <c r="B4030" s="17" t="s">
        <v>7915</v>
      </c>
      <c r="C4030" s="16">
        <v>8.0</v>
      </c>
      <c r="D4030" s="18" t="s">
        <v>4183</v>
      </c>
    </row>
    <row r="4031" ht="15.75" customHeight="1">
      <c r="A4031" s="16">
        <v>33.0</v>
      </c>
      <c r="B4031" s="17" t="s">
        <v>7916</v>
      </c>
      <c r="C4031" s="16">
        <v>16.0</v>
      </c>
      <c r="D4031" s="18" t="s">
        <v>4183</v>
      </c>
    </row>
    <row r="4032" ht="15.75" customHeight="1">
      <c r="A4032" s="16">
        <v>34.0</v>
      </c>
      <c r="B4032" s="17" t="s">
        <v>7917</v>
      </c>
      <c r="C4032" s="16">
        <v>9.0</v>
      </c>
      <c r="D4032" s="18" t="s">
        <v>4183</v>
      </c>
    </row>
    <row r="4033" ht="15.75" customHeight="1">
      <c r="A4033" s="16">
        <v>35.0</v>
      </c>
      <c r="B4033" s="17" t="s">
        <v>7918</v>
      </c>
      <c r="C4033" s="16">
        <v>20.0</v>
      </c>
      <c r="D4033" s="18" t="s">
        <v>4183</v>
      </c>
    </row>
    <row r="4034" ht="15.75" customHeight="1">
      <c r="A4034" s="16">
        <v>36.0</v>
      </c>
      <c r="B4034" s="17" t="s">
        <v>7919</v>
      </c>
      <c r="C4034" s="16">
        <v>76.0</v>
      </c>
      <c r="D4034" s="18" t="s">
        <v>4183</v>
      </c>
    </row>
    <row r="4035" ht="15.75" customHeight="1">
      <c r="A4035" s="16">
        <v>37.0</v>
      </c>
      <c r="B4035" s="17" t="s">
        <v>7920</v>
      </c>
      <c r="C4035" s="16">
        <v>19.0</v>
      </c>
      <c r="D4035" s="18" t="s">
        <v>4183</v>
      </c>
    </row>
    <row r="4036" ht="15.75" customHeight="1">
      <c r="A4036" s="16">
        <v>38.0</v>
      </c>
      <c r="B4036" s="17" t="s">
        <v>7921</v>
      </c>
      <c r="C4036" s="16">
        <v>17.0</v>
      </c>
      <c r="D4036" s="18" t="s">
        <v>4183</v>
      </c>
    </row>
    <row r="4037" ht="15.75" customHeight="1">
      <c r="A4037" s="16">
        <v>39.0</v>
      </c>
      <c r="B4037" s="17" t="s">
        <v>7922</v>
      </c>
      <c r="C4037" s="16">
        <v>66.0</v>
      </c>
      <c r="D4037" s="18" t="s">
        <v>4183</v>
      </c>
    </row>
    <row r="4038" ht="15.75" customHeight="1">
      <c r="A4038" s="16">
        <v>40.0</v>
      </c>
      <c r="B4038" s="17" t="s">
        <v>7923</v>
      </c>
      <c r="C4038" s="16">
        <v>100.0</v>
      </c>
      <c r="D4038" s="18" t="s">
        <v>4183</v>
      </c>
    </row>
    <row r="4039" ht="15.75" customHeight="1">
      <c r="A4039" s="16">
        <v>41.0</v>
      </c>
      <c r="B4039" s="17" t="s">
        <v>7924</v>
      </c>
      <c r="C4039" s="16">
        <v>18.0</v>
      </c>
      <c r="D4039" s="18" t="s">
        <v>4183</v>
      </c>
    </row>
    <row r="4040" ht="15.75" customHeight="1">
      <c r="A4040" s="16">
        <v>42.0</v>
      </c>
      <c r="B4040" s="17" t="s">
        <v>7925</v>
      </c>
      <c r="C4040" s="16">
        <v>19.0</v>
      </c>
      <c r="D4040" s="18" t="s">
        <v>4183</v>
      </c>
    </row>
    <row r="4041" ht="15.75" customHeight="1">
      <c r="A4041" s="16">
        <v>43.0</v>
      </c>
      <c r="B4041" s="17" t="s">
        <v>7926</v>
      </c>
      <c r="C4041" s="16">
        <v>5.0</v>
      </c>
      <c r="D4041" s="18" t="s">
        <v>4183</v>
      </c>
    </row>
    <row r="4042" ht="15.75" customHeight="1">
      <c r="A4042" s="16">
        <v>44.0</v>
      </c>
      <c r="B4042" s="17" t="s">
        <v>7927</v>
      </c>
      <c r="C4042" s="16">
        <v>12.0</v>
      </c>
      <c r="D4042" s="18" t="s">
        <v>4183</v>
      </c>
    </row>
    <row r="4043" ht="15.75" customHeight="1">
      <c r="A4043" s="16">
        <v>45.0</v>
      </c>
      <c r="B4043" s="17" t="s">
        <v>7928</v>
      </c>
      <c r="C4043" s="16">
        <v>11.0</v>
      </c>
      <c r="D4043" s="18" t="s">
        <v>4183</v>
      </c>
    </row>
    <row r="4044" ht="15.75" customHeight="1">
      <c r="A4044" s="16">
        <v>46.0</v>
      </c>
      <c r="B4044" s="17" t="s">
        <v>7929</v>
      </c>
      <c r="C4044" s="16">
        <v>17.0</v>
      </c>
      <c r="D4044" s="18" t="s">
        <v>4183</v>
      </c>
    </row>
    <row r="4045" ht="15.75" customHeight="1">
      <c r="A4045" s="16">
        <v>47.0</v>
      </c>
      <c r="B4045" s="17" t="s">
        <v>7930</v>
      </c>
      <c r="C4045" s="16">
        <v>11.0</v>
      </c>
      <c r="D4045" s="18" t="s">
        <v>4183</v>
      </c>
    </row>
    <row r="4046" ht="15.75" customHeight="1">
      <c r="A4046" s="16">
        <v>48.0</v>
      </c>
      <c r="B4046" s="17" t="s">
        <v>7931</v>
      </c>
      <c r="C4046" s="16">
        <v>10.0</v>
      </c>
      <c r="D4046" s="18" t="s">
        <v>4183</v>
      </c>
    </row>
    <row r="4047" ht="15.75" customHeight="1">
      <c r="A4047" s="16">
        <v>49.0</v>
      </c>
      <c r="B4047" s="17" t="s">
        <v>7932</v>
      </c>
      <c r="C4047" s="16">
        <v>16.0</v>
      </c>
      <c r="D4047" s="18" t="s">
        <v>4183</v>
      </c>
    </row>
    <row r="4048" ht="15.75" customHeight="1">
      <c r="A4048" s="16">
        <v>50.0</v>
      </c>
      <c r="B4048" s="17" t="s">
        <v>7933</v>
      </c>
      <c r="C4048" s="16">
        <v>5.0</v>
      </c>
      <c r="D4048" s="18" t="s">
        <v>4178</v>
      </c>
    </row>
    <row r="4049" ht="15.75" customHeight="1">
      <c r="A4049" s="16">
        <v>51.0</v>
      </c>
      <c r="B4049" s="17" t="s">
        <v>7934</v>
      </c>
      <c r="C4049" s="16">
        <v>10.0</v>
      </c>
      <c r="D4049" s="18" t="s">
        <v>4183</v>
      </c>
    </row>
    <row r="4050" ht="15.75" customHeight="1">
      <c r="A4050" s="16">
        <v>52.0</v>
      </c>
      <c r="B4050" s="17" t="s">
        <v>7935</v>
      </c>
      <c r="C4050" s="16">
        <v>4.0</v>
      </c>
      <c r="D4050" s="18" t="s">
        <v>4183</v>
      </c>
    </row>
    <row r="4051" ht="15.75" customHeight="1">
      <c r="A4051" s="16">
        <v>53.0</v>
      </c>
      <c r="B4051" s="17" t="s">
        <v>7936</v>
      </c>
      <c r="C4051" s="16">
        <v>3.0</v>
      </c>
      <c r="D4051" s="18" t="s">
        <v>4183</v>
      </c>
    </row>
    <row r="4052" ht="15.75" customHeight="1">
      <c r="A4052" s="16">
        <v>54.0</v>
      </c>
      <c r="B4052" s="17" t="s">
        <v>7937</v>
      </c>
      <c r="C4052" s="16">
        <v>1.0</v>
      </c>
      <c r="D4052" s="18" t="s">
        <v>4183</v>
      </c>
    </row>
    <row r="4053" ht="15.75" customHeight="1">
      <c r="A4053" s="16">
        <v>55.0</v>
      </c>
      <c r="B4053" s="17" t="s">
        <v>7938</v>
      </c>
      <c r="C4053" s="16">
        <v>2.0</v>
      </c>
      <c r="D4053" s="18" t="s">
        <v>4183</v>
      </c>
    </row>
    <row r="4054" ht="15.75" customHeight="1">
      <c r="A4054" s="16">
        <v>56.0</v>
      </c>
      <c r="B4054" s="17" t="s">
        <v>7939</v>
      </c>
      <c r="C4054" s="16">
        <v>166.0</v>
      </c>
      <c r="D4054" s="18" t="s">
        <v>4183</v>
      </c>
    </row>
    <row r="4055" ht="15.75" customHeight="1">
      <c r="A4055" s="16">
        <v>57.0</v>
      </c>
      <c r="B4055" s="17" t="s">
        <v>7940</v>
      </c>
      <c r="C4055" s="16">
        <v>5.0</v>
      </c>
      <c r="D4055" s="18" t="s">
        <v>4183</v>
      </c>
    </row>
    <row r="4056" ht="15.75" customHeight="1">
      <c r="A4056" s="16">
        <v>58.0</v>
      </c>
      <c r="B4056" s="17" t="s">
        <v>7941</v>
      </c>
      <c r="C4056" s="19">
        <v>16.9</v>
      </c>
      <c r="D4056" s="18" t="s">
        <v>4183</v>
      </c>
    </row>
    <row r="4057" ht="15.75" customHeight="1">
      <c r="A4057" s="16">
        <v>59.0</v>
      </c>
      <c r="B4057" s="17" t="s">
        <v>7942</v>
      </c>
      <c r="C4057" s="16">
        <v>19.0</v>
      </c>
      <c r="D4057" s="18" t="s">
        <v>4183</v>
      </c>
    </row>
    <row r="4058" ht="15.75" customHeight="1">
      <c r="A4058" s="16">
        <v>60.0</v>
      </c>
      <c r="B4058" s="17" t="s">
        <v>7943</v>
      </c>
      <c r="C4058" s="16">
        <v>12.0</v>
      </c>
      <c r="D4058" s="18" t="s">
        <v>4183</v>
      </c>
    </row>
    <row r="4059" ht="15.75" customHeight="1">
      <c r="A4059" s="16">
        <v>61.0</v>
      </c>
      <c r="B4059" s="17" t="s">
        <v>7944</v>
      </c>
      <c r="C4059" s="16">
        <v>12.0</v>
      </c>
      <c r="D4059" s="18" t="s">
        <v>4183</v>
      </c>
    </row>
    <row r="4060" ht="15.75" customHeight="1">
      <c r="A4060" s="16">
        <v>62.0</v>
      </c>
      <c r="B4060" s="17" t="s">
        <v>7945</v>
      </c>
      <c r="C4060" s="16">
        <v>12.0</v>
      </c>
      <c r="D4060" s="18" t="s">
        <v>4183</v>
      </c>
    </row>
    <row r="4061" ht="15.75" customHeight="1">
      <c r="A4061" s="16">
        <v>63.0</v>
      </c>
      <c r="B4061" s="17" t="s">
        <v>7946</v>
      </c>
      <c r="C4061" s="16">
        <v>7.0</v>
      </c>
      <c r="D4061" s="18" t="s">
        <v>4183</v>
      </c>
    </row>
    <row r="4062" ht="15.75" customHeight="1">
      <c r="A4062" s="16">
        <v>64.0</v>
      </c>
      <c r="B4062" s="17" t="s">
        <v>7947</v>
      </c>
      <c r="C4062" s="16">
        <v>7.0</v>
      </c>
      <c r="D4062" s="18" t="s">
        <v>7948</v>
      </c>
    </row>
    <row r="4063" ht="15.75" customHeight="1">
      <c r="A4063" s="16">
        <v>65.0</v>
      </c>
      <c r="B4063" s="17" t="s">
        <v>7949</v>
      </c>
      <c r="C4063" s="16">
        <v>9.0</v>
      </c>
      <c r="D4063" s="18" t="s">
        <v>4178</v>
      </c>
    </row>
    <row r="4064" ht="15.75" customHeight="1">
      <c r="A4064" s="16">
        <v>66.0</v>
      </c>
      <c r="B4064" s="17" t="s">
        <v>7950</v>
      </c>
      <c r="C4064" s="16">
        <v>3.0</v>
      </c>
      <c r="D4064" s="18" t="s">
        <v>4183</v>
      </c>
    </row>
    <row r="4065" ht="15.75" customHeight="1">
      <c r="A4065" s="16">
        <v>67.0</v>
      </c>
      <c r="B4065" s="17" t="s">
        <v>7951</v>
      </c>
      <c r="C4065" s="16">
        <v>2.0</v>
      </c>
      <c r="D4065" s="18" t="s">
        <v>4183</v>
      </c>
    </row>
    <row r="4066" ht="15.75" customHeight="1">
      <c r="A4066" s="16">
        <v>68.0</v>
      </c>
      <c r="B4066" s="17" t="s">
        <v>7952</v>
      </c>
      <c r="C4066" s="16">
        <v>3.0</v>
      </c>
      <c r="D4066" s="18" t="s">
        <v>4183</v>
      </c>
    </row>
    <row r="4067" ht="15.75" customHeight="1">
      <c r="A4067" s="16">
        <v>69.0</v>
      </c>
      <c r="B4067" s="17" t="s">
        <v>7953</v>
      </c>
      <c r="C4067" s="16">
        <v>7.0</v>
      </c>
      <c r="D4067" s="18" t="s">
        <v>4183</v>
      </c>
    </row>
    <row r="4068" ht="15.75" customHeight="1">
      <c r="A4068" s="16">
        <v>70.0</v>
      </c>
      <c r="B4068" s="17" t="s">
        <v>7954</v>
      </c>
      <c r="C4068" s="16">
        <v>58.0</v>
      </c>
      <c r="D4068" s="18" t="s">
        <v>4183</v>
      </c>
    </row>
    <row r="4069" ht="15.75" customHeight="1">
      <c r="A4069" s="16">
        <v>71.0</v>
      </c>
      <c r="B4069" s="17" t="s">
        <v>7955</v>
      </c>
      <c r="C4069" s="16">
        <v>4.0</v>
      </c>
      <c r="D4069" s="18" t="s">
        <v>4183</v>
      </c>
    </row>
    <row r="4070" ht="15.75" customHeight="1">
      <c r="A4070" s="16">
        <v>72.0</v>
      </c>
      <c r="B4070" s="17" t="s">
        <v>7956</v>
      </c>
      <c r="C4070" s="16">
        <v>2.0</v>
      </c>
      <c r="D4070" s="18" t="s">
        <v>4183</v>
      </c>
    </row>
    <row r="4071" ht="15.75" customHeight="1">
      <c r="A4071" s="16">
        <v>73.0</v>
      </c>
      <c r="B4071" s="17" t="s">
        <v>7957</v>
      </c>
      <c r="C4071" s="16">
        <v>1.0</v>
      </c>
      <c r="D4071" s="18" t="s">
        <v>4183</v>
      </c>
    </row>
    <row r="4072" ht="15.75" customHeight="1">
      <c r="A4072" s="16">
        <v>74.0</v>
      </c>
      <c r="B4072" s="17" t="s">
        <v>7958</v>
      </c>
      <c r="C4072" s="16">
        <v>2.0</v>
      </c>
      <c r="D4072" s="18" t="s">
        <v>4183</v>
      </c>
    </row>
    <row r="4073" ht="15.75" customHeight="1">
      <c r="A4073" s="16">
        <v>75.0</v>
      </c>
      <c r="B4073" s="17" t="s">
        <v>7959</v>
      </c>
      <c r="C4073" s="16">
        <v>3.0</v>
      </c>
      <c r="D4073" s="18" t="s">
        <v>4183</v>
      </c>
    </row>
    <row r="4074" ht="15.75" customHeight="1">
      <c r="A4074" s="16">
        <v>76.0</v>
      </c>
      <c r="B4074" s="17" t="s">
        <v>7960</v>
      </c>
      <c r="C4074" s="16">
        <v>2.0</v>
      </c>
      <c r="D4074" s="18" t="s">
        <v>4183</v>
      </c>
    </row>
    <row r="4075" ht="15.75" customHeight="1">
      <c r="A4075" s="16">
        <v>77.0</v>
      </c>
      <c r="B4075" s="17" t="s">
        <v>7961</v>
      </c>
      <c r="C4075" s="16">
        <v>4.0</v>
      </c>
      <c r="D4075" s="18" t="s">
        <v>4183</v>
      </c>
    </row>
    <row r="4076" ht="15.75" customHeight="1">
      <c r="A4076" s="16">
        <v>78.0</v>
      </c>
      <c r="B4076" s="17" t="s">
        <v>7962</v>
      </c>
      <c r="C4076" s="16">
        <v>4.0</v>
      </c>
      <c r="D4076" s="18" t="s">
        <v>4183</v>
      </c>
    </row>
    <row r="4077" ht="15.75" customHeight="1">
      <c r="A4077" s="16">
        <v>79.0</v>
      </c>
      <c r="B4077" s="17" t="s">
        <v>7963</v>
      </c>
      <c r="C4077" s="16">
        <v>5.0</v>
      </c>
      <c r="D4077" s="18" t="s">
        <v>4183</v>
      </c>
    </row>
    <row r="4078" ht="15.75" customHeight="1">
      <c r="A4078" s="16">
        <v>80.0</v>
      </c>
      <c r="B4078" s="17" t="s">
        <v>7964</v>
      </c>
      <c r="C4078" s="16">
        <v>11.0</v>
      </c>
      <c r="D4078" s="18" t="s">
        <v>4183</v>
      </c>
    </row>
    <row r="4079" ht="15.75" customHeight="1">
      <c r="A4079" s="16">
        <v>81.0</v>
      </c>
      <c r="B4079" s="17" t="s">
        <v>7965</v>
      </c>
      <c r="C4079" s="16">
        <v>9.0</v>
      </c>
      <c r="D4079" s="18" t="s">
        <v>4183</v>
      </c>
    </row>
    <row r="4080" ht="15.75" customHeight="1">
      <c r="A4080" s="16">
        <v>82.0</v>
      </c>
      <c r="B4080" s="17" t="s">
        <v>7966</v>
      </c>
      <c r="C4080" s="16">
        <v>8.0</v>
      </c>
      <c r="D4080" s="18" t="s">
        <v>4183</v>
      </c>
    </row>
    <row r="4081" ht="15.75" customHeight="1">
      <c r="A4081" s="16">
        <v>83.0</v>
      </c>
      <c r="B4081" s="17" t="s">
        <v>7967</v>
      </c>
      <c r="C4081" s="16">
        <v>10.0</v>
      </c>
      <c r="D4081" s="18" t="s">
        <v>4183</v>
      </c>
    </row>
    <row r="4082" ht="15.75" customHeight="1">
      <c r="A4082" s="16">
        <v>84.0</v>
      </c>
      <c r="B4082" s="17" t="s">
        <v>7968</v>
      </c>
      <c r="C4082" s="16">
        <v>18.0</v>
      </c>
      <c r="D4082" s="18" t="s">
        <v>4183</v>
      </c>
    </row>
    <row r="4083" ht="15.75" customHeight="1">
      <c r="A4083" s="16">
        <v>85.0</v>
      </c>
      <c r="B4083" s="17" t="s">
        <v>7969</v>
      </c>
      <c r="C4083" s="16">
        <v>9.0</v>
      </c>
      <c r="D4083" s="18" t="s">
        <v>4183</v>
      </c>
    </row>
    <row r="4084" ht="15.75" customHeight="1">
      <c r="A4084" s="16">
        <v>86.0</v>
      </c>
      <c r="B4084" s="17" t="s">
        <v>7970</v>
      </c>
      <c r="C4084" s="16">
        <v>3.0</v>
      </c>
      <c r="D4084" s="18" t="s">
        <v>4183</v>
      </c>
    </row>
    <row r="4085" ht="15.75" customHeight="1">
      <c r="A4085" s="16">
        <v>87.0</v>
      </c>
      <c r="B4085" s="17" t="s">
        <v>7971</v>
      </c>
      <c r="C4085" s="16">
        <v>1.0</v>
      </c>
      <c r="D4085" s="18" t="s">
        <v>4178</v>
      </c>
    </row>
    <row r="4086" ht="15.75" customHeight="1">
      <c r="A4086" s="16">
        <v>88.0</v>
      </c>
      <c r="B4086" s="17" t="s">
        <v>7972</v>
      </c>
      <c r="C4086" s="16">
        <v>12.0</v>
      </c>
      <c r="D4086" s="18" t="s">
        <v>4183</v>
      </c>
    </row>
    <row r="4087" ht="15.75" customHeight="1">
      <c r="A4087" s="16">
        <v>89.0</v>
      </c>
      <c r="B4087" s="17" t="s">
        <v>7973</v>
      </c>
      <c r="C4087" s="16">
        <v>3.0</v>
      </c>
      <c r="D4087" s="18" t="s">
        <v>4183</v>
      </c>
    </row>
    <row r="4088" ht="15.75" customHeight="1">
      <c r="A4088" s="16">
        <v>90.0</v>
      </c>
      <c r="B4088" s="17" t="s">
        <v>7974</v>
      </c>
      <c r="C4088" s="16">
        <v>10.0</v>
      </c>
      <c r="D4088" s="18" t="s">
        <v>4183</v>
      </c>
    </row>
    <row r="4089" ht="15.75" customHeight="1">
      <c r="A4089" s="16">
        <v>91.0</v>
      </c>
      <c r="B4089" s="17" t="s">
        <v>7975</v>
      </c>
      <c r="C4089" s="16">
        <v>9.0</v>
      </c>
      <c r="D4089" s="18" t="s">
        <v>4183</v>
      </c>
    </row>
    <row r="4090" ht="15.75" customHeight="1">
      <c r="A4090" s="16">
        <v>92.0</v>
      </c>
      <c r="B4090" s="17" t="s">
        <v>7976</v>
      </c>
      <c r="C4090" s="16">
        <v>7.0</v>
      </c>
      <c r="D4090" s="18" t="s">
        <v>4183</v>
      </c>
    </row>
    <row r="4091" ht="15.75" customHeight="1">
      <c r="A4091" s="16">
        <v>93.0</v>
      </c>
      <c r="B4091" s="17" t="s">
        <v>7977</v>
      </c>
      <c r="C4091" s="16">
        <v>13.0</v>
      </c>
      <c r="D4091" s="18" t="s">
        <v>4183</v>
      </c>
    </row>
    <row r="4092" ht="15.75" customHeight="1">
      <c r="A4092" s="16">
        <v>94.0</v>
      </c>
      <c r="B4092" s="17" t="s">
        <v>7978</v>
      </c>
      <c r="C4092" s="16">
        <v>25.0</v>
      </c>
      <c r="D4092" s="18" t="s">
        <v>4183</v>
      </c>
    </row>
    <row r="4093" ht="15.75" customHeight="1">
      <c r="A4093" s="16">
        <v>95.0</v>
      </c>
      <c r="B4093" s="17" t="s">
        <v>7979</v>
      </c>
      <c r="C4093" s="16">
        <v>1.0</v>
      </c>
      <c r="D4093" s="18" t="s">
        <v>4178</v>
      </c>
    </row>
    <row r="4094" ht="15.75" customHeight="1">
      <c r="A4094" s="16">
        <v>96.0</v>
      </c>
      <c r="B4094" s="17" t="s">
        <v>7980</v>
      </c>
      <c r="C4094" s="16">
        <v>5.0</v>
      </c>
      <c r="D4094" s="18" t="s">
        <v>4178</v>
      </c>
    </row>
    <row r="4095" ht="15.75" customHeight="1">
      <c r="A4095" s="16">
        <v>97.0</v>
      </c>
      <c r="B4095" s="17" t="s">
        <v>7981</v>
      </c>
      <c r="C4095" s="16">
        <v>2.0</v>
      </c>
      <c r="D4095" s="18" t="s">
        <v>4183</v>
      </c>
    </row>
    <row r="4096" ht="15.75" customHeight="1">
      <c r="A4096" s="16">
        <v>98.0</v>
      </c>
      <c r="B4096" s="17" t="s">
        <v>7982</v>
      </c>
      <c r="C4096" s="16">
        <v>11.0</v>
      </c>
      <c r="D4096" s="18" t="s">
        <v>4215</v>
      </c>
    </row>
    <row r="4097" ht="15.75" customHeight="1">
      <c r="A4097" s="16">
        <v>99.0</v>
      </c>
      <c r="B4097" s="17" t="s">
        <v>7983</v>
      </c>
      <c r="C4097" s="16">
        <v>3.0</v>
      </c>
      <c r="D4097" s="18" t="s">
        <v>4183</v>
      </c>
    </row>
    <row r="4098" ht="15.75" customHeight="1">
      <c r="A4098" s="16">
        <v>100.0</v>
      </c>
      <c r="B4098" s="17" t="s">
        <v>7984</v>
      </c>
      <c r="C4098" s="16">
        <v>9.0</v>
      </c>
      <c r="D4098" s="18" t="s">
        <v>4183</v>
      </c>
    </row>
    <row r="4099" ht="15.75" customHeight="1">
      <c r="A4099" s="16">
        <v>101.0</v>
      </c>
      <c r="B4099" s="17" t="s">
        <v>7985</v>
      </c>
      <c r="C4099" s="16">
        <v>11.0</v>
      </c>
      <c r="D4099" s="18" t="s">
        <v>4183</v>
      </c>
    </row>
    <row r="4100" ht="15.75" customHeight="1">
      <c r="A4100" s="16">
        <v>102.0</v>
      </c>
      <c r="B4100" s="17" t="s">
        <v>7986</v>
      </c>
      <c r="C4100" s="16">
        <v>9.0</v>
      </c>
      <c r="D4100" s="18" t="s">
        <v>4183</v>
      </c>
    </row>
    <row r="4101" ht="15.75" customHeight="1">
      <c r="A4101" s="16">
        <v>103.0</v>
      </c>
      <c r="B4101" s="17" t="s">
        <v>7987</v>
      </c>
      <c r="C4101" s="16">
        <v>12.0</v>
      </c>
      <c r="D4101" s="18" t="s">
        <v>4183</v>
      </c>
    </row>
    <row r="4102" ht="15.75" customHeight="1">
      <c r="A4102" s="16">
        <v>104.0</v>
      </c>
      <c r="B4102" s="17" t="s">
        <v>7988</v>
      </c>
      <c r="C4102" s="16">
        <v>4.0</v>
      </c>
      <c r="D4102" s="18" t="s">
        <v>4183</v>
      </c>
    </row>
    <row r="4103" ht="15.75" customHeight="1">
      <c r="A4103" s="16">
        <v>105.0</v>
      </c>
      <c r="B4103" s="17" t="s">
        <v>7989</v>
      </c>
      <c r="C4103" s="16">
        <v>7.0</v>
      </c>
      <c r="D4103" s="18" t="s">
        <v>4183</v>
      </c>
    </row>
    <row r="4104" ht="15.75" customHeight="1">
      <c r="A4104" s="16">
        <v>106.0</v>
      </c>
      <c r="B4104" s="17" t="s">
        <v>7990</v>
      </c>
      <c r="C4104" s="16">
        <v>20.0</v>
      </c>
      <c r="D4104" s="18" t="s">
        <v>4183</v>
      </c>
    </row>
    <row r="4105" ht="15.75" customHeight="1">
      <c r="A4105" s="16">
        <v>107.0</v>
      </c>
      <c r="B4105" s="17" t="s">
        <v>7991</v>
      </c>
      <c r="C4105" s="16">
        <v>5.0</v>
      </c>
      <c r="D4105" s="18" t="s">
        <v>4183</v>
      </c>
    </row>
    <row r="4106" ht="15.75" customHeight="1">
      <c r="A4106" s="16">
        <v>108.0</v>
      </c>
      <c r="B4106" s="17" t="s">
        <v>7992</v>
      </c>
      <c r="C4106" s="16">
        <v>4.0</v>
      </c>
      <c r="D4106" s="18" t="s">
        <v>4183</v>
      </c>
    </row>
    <row r="4107" ht="15.75" customHeight="1">
      <c r="A4107" s="16">
        <v>109.0</v>
      </c>
      <c r="B4107" s="17" t="s">
        <v>7993</v>
      </c>
      <c r="C4107" s="16">
        <v>19.0</v>
      </c>
      <c r="D4107" s="18" t="s">
        <v>4183</v>
      </c>
    </row>
    <row r="4108" ht="15.75" customHeight="1">
      <c r="A4108" s="16">
        <v>110.0</v>
      </c>
      <c r="B4108" s="17" t="s">
        <v>7994</v>
      </c>
      <c r="C4108" s="16">
        <v>7.0</v>
      </c>
      <c r="D4108" s="18" t="s">
        <v>4183</v>
      </c>
    </row>
    <row r="4109" ht="15.75" customHeight="1">
      <c r="A4109" s="16">
        <v>111.0</v>
      </c>
      <c r="B4109" s="17" t="s">
        <v>7995</v>
      </c>
      <c r="C4109" s="16">
        <v>13.0</v>
      </c>
      <c r="D4109" s="18" t="s">
        <v>4183</v>
      </c>
    </row>
    <row r="4110" ht="15.75" customHeight="1">
      <c r="A4110" s="16">
        <v>112.0</v>
      </c>
      <c r="B4110" s="17" t="s">
        <v>7996</v>
      </c>
      <c r="C4110" s="16">
        <v>20.0</v>
      </c>
      <c r="D4110" s="18" t="s">
        <v>4183</v>
      </c>
    </row>
    <row r="4111" ht="15.75" customHeight="1">
      <c r="A4111" s="16">
        <v>113.0</v>
      </c>
      <c r="B4111" s="17" t="s">
        <v>7997</v>
      </c>
      <c r="C4111" s="16">
        <v>3.0</v>
      </c>
      <c r="D4111" s="18" t="s">
        <v>4183</v>
      </c>
    </row>
    <row r="4112" ht="15.75" customHeight="1">
      <c r="A4112" s="16">
        <v>114.0</v>
      </c>
      <c r="B4112" s="17" t="s">
        <v>7998</v>
      </c>
      <c r="C4112" s="16">
        <v>1.0</v>
      </c>
      <c r="D4112" s="18" t="s">
        <v>4178</v>
      </c>
    </row>
    <row r="4113" ht="15.75" customHeight="1">
      <c r="A4113" s="16">
        <v>115.0</v>
      </c>
      <c r="B4113" s="17" t="s">
        <v>7999</v>
      </c>
      <c r="C4113" s="16">
        <v>5.0</v>
      </c>
      <c r="D4113" s="18" t="s">
        <v>4183</v>
      </c>
    </row>
    <row r="4114" ht="15.75" customHeight="1">
      <c r="A4114" s="16">
        <v>116.0</v>
      </c>
      <c r="B4114" s="17" t="s">
        <v>8000</v>
      </c>
      <c r="C4114" s="16">
        <v>7.0</v>
      </c>
      <c r="D4114" s="18" t="s">
        <v>4183</v>
      </c>
    </row>
    <row r="4115" ht="15.75" customHeight="1">
      <c r="A4115" s="16">
        <v>117.0</v>
      </c>
      <c r="B4115" s="17" t="s">
        <v>8001</v>
      </c>
      <c r="C4115" s="16">
        <v>5.0</v>
      </c>
      <c r="D4115" s="18" t="s">
        <v>4183</v>
      </c>
    </row>
    <row r="4116" ht="15.75" customHeight="1">
      <c r="A4116" s="16">
        <v>118.0</v>
      </c>
      <c r="B4116" s="17" t="s">
        <v>8002</v>
      </c>
      <c r="C4116" s="16">
        <v>7.0</v>
      </c>
      <c r="D4116" s="18" t="s">
        <v>4183</v>
      </c>
    </row>
    <row r="4117" ht="15.75" customHeight="1">
      <c r="A4117" s="16">
        <v>119.0</v>
      </c>
      <c r="B4117" s="17" t="s">
        <v>8003</v>
      </c>
      <c r="C4117" s="16">
        <v>8.0</v>
      </c>
      <c r="D4117" s="18" t="s">
        <v>4341</v>
      </c>
    </row>
    <row r="4118" ht="15.75" customHeight="1">
      <c r="A4118" s="16">
        <v>120.0</v>
      </c>
      <c r="B4118" s="17" t="s">
        <v>8004</v>
      </c>
      <c r="C4118" s="16">
        <v>29.0</v>
      </c>
      <c r="D4118" s="18" t="s">
        <v>4178</v>
      </c>
    </row>
    <row r="4119" ht="15.75" customHeight="1">
      <c r="A4119" s="16">
        <v>121.0</v>
      </c>
      <c r="B4119" s="17" t="s">
        <v>8005</v>
      </c>
      <c r="C4119" s="16">
        <v>1.0</v>
      </c>
      <c r="D4119" s="18" t="s">
        <v>4178</v>
      </c>
    </row>
    <row r="4120" ht="15.75" customHeight="1">
      <c r="A4120" s="16">
        <v>122.0</v>
      </c>
      <c r="B4120" s="17" t="s">
        <v>8006</v>
      </c>
      <c r="C4120" s="16">
        <v>8.0</v>
      </c>
      <c r="D4120" s="18" t="s">
        <v>4178</v>
      </c>
    </row>
    <row r="4121" ht="15.75" customHeight="1">
      <c r="A4121" s="16">
        <v>123.0</v>
      </c>
      <c r="B4121" s="17" t="s">
        <v>8007</v>
      </c>
      <c r="C4121" s="16">
        <v>8.0</v>
      </c>
      <c r="D4121" s="18" t="s">
        <v>4178</v>
      </c>
    </row>
    <row r="4122" ht="15.75" customHeight="1">
      <c r="A4122" s="16">
        <v>124.0</v>
      </c>
      <c r="B4122" s="17" t="s">
        <v>8008</v>
      </c>
      <c r="C4122" s="16">
        <v>6.0</v>
      </c>
      <c r="D4122" s="18" t="s">
        <v>4178</v>
      </c>
    </row>
    <row r="4123" ht="15.75" customHeight="1">
      <c r="A4123" s="16">
        <v>125.0</v>
      </c>
      <c r="B4123" s="17" t="s">
        <v>8009</v>
      </c>
      <c r="C4123" s="16">
        <v>16.0</v>
      </c>
      <c r="D4123" s="18" t="s">
        <v>4183</v>
      </c>
    </row>
    <row r="4124" ht="15.75" customHeight="1">
      <c r="A4124" s="16">
        <v>126.0</v>
      </c>
      <c r="B4124" s="17" t="s">
        <v>8010</v>
      </c>
      <c r="C4124" s="16">
        <v>7.0</v>
      </c>
      <c r="D4124" s="18" t="s">
        <v>4183</v>
      </c>
    </row>
    <row r="4125" ht="15.75" customHeight="1">
      <c r="A4125" s="20"/>
      <c r="B4125" s="21" t="s">
        <v>4273</v>
      </c>
      <c r="C4125" s="22">
        <v>2156.9</v>
      </c>
      <c r="D4125" s="21" t="s">
        <v>4171</v>
      </c>
    </row>
    <row r="4126" ht="15.75" customHeight="1">
      <c r="A4126" s="11"/>
      <c r="B4126" s="12"/>
      <c r="C4126" s="12"/>
      <c r="D4126" s="13"/>
    </row>
    <row r="4127" ht="15.75" customHeight="1">
      <c r="A4127" s="14" t="s">
        <v>4135</v>
      </c>
      <c r="B4127" s="15"/>
      <c r="C4127" s="15"/>
      <c r="D4127" s="15"/>
    </row>
    <row r="4128" ht="15.75" customHeight="1">
      <c r="A4128" s="16">
        <v>1.0</v>
      </c>
      <c r="B4128" s="17" t="s">
        <v>8011</v>
      </c>
      <c r="C4128" s="16">
        <v>19.0</v>
      </c>
      <c r="D4128" s="18" t="s">
        <v>4178</v>
      </c>
    </row>
    <row r="4129" ht="15.75" customHeight="1">
      <c r="A4129" s="16">
        <v>2.0</v>
      </c>
      <c r="B4129" s="17" t="s">
        <v>8012</v>
      </c>
      <c r="C4129" s="16">
        <v>11.0</v>
      </c>
      <c r="D4129" s="18" t="s">
        <v>4178</v>
      </c>
    </row>
    <row r="4130" ht="15.75" customHeight="1">
      <c r="A4130" s="16">
        <v>3.0</v>
      </c>
      <c r="B4130" s="17" t="s">
        <v>8013</v>
      </c>
      <c r="C4130" s="16">
        <v>5.0</v>
      </c>
      <c r="D4130" s="18" t="s">
        <v>4178</v>
      </c>
    </row>
    <row r="4131" ht="15.75" customHeight="1">
      <c r="A4131" s="16">
        <v>4.0</v>
      </c>
      <c r="B4131" s="17" t="s">
        <v>8014</v>
      </c>
      <c r="C4131" s="16">
        <v>12.0</v>
      </c>
      <c r="D4131" s="18" t="s">
        <v>4178</v>
      </c>
    </row>
    <row r="4132" ht="15.75" customHeight="1">
      <c r="A4132" s="16">
        <v>5.0</v>
      </c>
      <c r="B4132" s="17" t="s">
        <v>8015</v>
      </c>
      <c r="C4132" s="16">
        <v>12.0</v>
      </c>
      <c r="D4132" s="18" t="s">
        <v>4178</v>
      </c>
    </row>
    <row r="4133" ht="15.75" customHeight="1">
      <c r="A4133" s="16">
        <v>6.0</v>
      </c>
      <c r="B4133" s="17" t="s">
        <v>8016</v>
      </c>
      <c r="C4133" s="16">
        <v>4.0</v>
      </c>
      <c r="D4133" s="18" t="s">
        <v>4178</v>
      </c>
    </row>
    <row r="4134" ht="15.75" customHeight="1">
      <c r="A4134" s="16">
        <v>7.0</v>
      </c>
      <c r="B4134" s="17" t="s">
        <v>8017</v>
      </c>
      <c r="C4134" s="16">
        <v>15.0</v>
      </c>
      <c r="D4134" s="18" t="s">
        <v>4178</v>
      </c>
    </row>
    <row r="4135" ht="15.75" customHeight="1">
      <c r="A4135" s="16">
        <v>8.0</v>
      </c>
      <c r="B4135" s="17" t="s">
        <v>8018</v>
      </c>
      <c r="C4135" s="16">
        <v>13.0</v>
      </c>
      <c r="D4135" s="18" t="s">
        <v>4178</v>
      </c>
    </row>
    <row r="4136" ht="15.75" customHeight="1">
      <c r="A4136" s="16">
        <v>9.0</v>
      </c>
      <c r="B4136" s="17" t="s">
        <v>8019</v>
      </c>
      <c r="C4136" s="16">
        <v>5.0</v>
      </c>
      <c r="D4136" s="18" t="s">
        <v>4178</v>
      </c>
    </row>
    <row r="4137" ht="15.75" customHeight="1">
      <c r="A4137" s="16">
        <v>10.0</v>
      </c>
      <c r="B4137" s="17" t="s">
        <v>8020</v>
      </c>
      <c r="C4137" s="16">
        <v>5.0</v>
      </c>
      <c r="D4137" s="18" t="s">
        <v>4178</v>
      </c>
    </row>
    <row r="4138" ht="15.75" customHeight="1">
      <c r="A4138" s="20"/>
      <c r="B4138" s="21" t="s">
        <v>4273</v>
      </c>
      <c r="C4138" s="23">
        <v>101.0</v>
      </c>
      <c r="D4138" s="21" t="s">
        <v>4171</v>
      </c>
    </row>
    <row r="4139" ht="15.75" customHeight="1">
      <c r="A4139" s="11"/>
      <c r="B4139" s="12"/>
      <c r="C4139" s="12"/>
      <c r="D4139" s="13"/>
    </row>
    <row r="4140" ht="15.75" customHeight="1">
      <c r="A4140" s="14" t="s">
        <v>4106</v>
      </c>
      <c r="B4140" s="15"/>
      <c r="C4140" s="15"/>
      <c r="D4140" s="15"/>
    </row>
    <row r="4141" ht="15.75" customHeight="1">
      <c r="A4141" s="16">
        <v>1.0</v>
      </c>
      <c r="B4141" s="17" t="s">
        <v>8021</v>
      </c>
      <c r="C4141" s="16">
        <v>5.0</v>
      </c>
      <c r="D4141" s="18" t="s">
        <v>4178</v>
      </c>
    </row>
    <row r="4142" ht="15.75" customHeight="1">
      <c r="A4142" s="16">
        <v>2.0</v>
      </c>
      <c r="B4142" s="17" t="s">
        <v>8022</v>
      </c>
      <c r="C4142" s="16">
        <v>5.0</v>
      </c>
      <c r="D4142" s="18" t="s">
        <v>4183</v>
      </c>
    </row>
    <row r="4143" ht="15.75" customHeight="1">
      <c r="A4143" s="16">
        <v>3.0</v>
      </c>
      <c r="B4143" s="17" t="s">
        <v>8023</v>
      </c>
      <c r="C4143" s="16">
        <v>2.0</v>
      </c>
      <c r="D4143" s="18" t="s">
        <v>4183</v>
      </c>
    </row>
    <row r="4144" ht="15.75" customHeight="1">
      <c r="A4144" s="16">
        <v>4.0</v>
      </c>
      <c r="B4144" s="17" t="s">
        <v>8024</v>
      </c>
      <c r="C4144" s="16">
        <v>16.0</v>
      </c>
      <c r="D4144" s="18" t="s">
        <v>4183</v>
      </c>
    </row>
    <row r="4145" ht="15.75" customHeight="1">
      <c r="A4145" s="16">
        <v>5.0</v>
      </c>
      <c r="B4145" s="17" t="s">
        <v>8025</v>
      </c>
      <c r="C4145" s="16">
        <v>24.0</v>
      </c>
      <c r="D4145" s="18" t="s">
        <v>4183</v>
      </c>
    </row>
    <row r="4146" ht="15.75" customHeight="1">
      <c r="A4146" s="16">
        <v>6.0</v>
      </c>
      <c r="B4146" s="17" t="s">
        <v>8026</v>
      </c>
      <c r="C4146" s="16">
        <v>26.0</v>
      </c>
      <c r="D4146" s="18" t="s">
        <v>4183</v>
      </c>
    </row>
    <row r="4147" ht="15.75" customHeight="1">
      <c r="A4147" s="16">
        <v>7.0</v>
      </c>
      <c r="B4147" s="17" t="s">
        <v>8027</v>
      </c>
      <c r="C4147" s="16">
        <v>12.0</v>
      </c>
      <c r="D4147" s="18" t="s">
        <v>4183</v>
      </c>
    </row>
    <row r="4148" ht="15.75" customHeight="1">
      <c r="A4148" s="16">
        <v>8.0</v>
      </c>
      <c r="B4148" s="17" t="s">
        <v>8028</v>
      </c>
      <c r="C4148" s="16">
        <v>14.0</v>
      </c>
      <c r="D4148" s="18" t="s">
        <v>4183</v>
      </c>
    </row>
    <row r="4149" ht="15.75" customHeight="1">
      <c r="A4149" s="16">
        <v>9.0</v>
      </c>
      <c r="B4149" s="17" t="s">
        <v>8029</v>
      </c>
      <c r="C4149" s="16">
        <v>17.0</v>
      </c>
      <c r="D4149" s="18" t="s">
        <v>4183</v>
      </c>
    </row>
    <row r="4150" ht="15.75" customHeight="1">
      <c r="A4150" s="16">
        <v>10.0</v>
      </c>
      <c r="B4150" s="17" t="s">
        <v>8030</v>
      </c>
      <c r="C4150" s="16">
        <v>28.0</v>
      </c>
      <c r="D4150" s="18" t="s">
        <v>4183</v>
      </c>
    </row>
    <row r="4151" ht="15.75" customHeight="1">
      <c r="A4151" s="16">
        <v>11.0</v>
      </c>
      <c r="B4151" s="17" t="s">
        <v>8031</v>
      </c>
      <c r="C4151" s="16">
        <v>31.0</v>
      </c>
      <c r="D4151" s="18" t="s">
        <v>4183</v>
      </c>
    </row>
    <row r="4152" ht="15.75" customHeight="1">
      <c r="A4152" s="16">
        <v>12.0</v>
      </c>
      <c r="B4152" s="17" t="s">
        <v>8032</v>
      </c>
      <c r="C4152" s="16">
        <v>29.0</v>
      </c>
      <c r="D4152" s="18" t="s">
        <v>4183</v>
      </c>
    </row>
    <row r="4153" ht="15.75" customHeight="1">
      <c r="A4153" s="16">
        <v>13.0</v>
      </c>
      <c r="B4153" s="17" t="s">
        <v>8033</v>
      </c>
      <c r="C4153" s="16">
        <v>7.0</v>
      </c>
      <c r="D4153" s="18" t="s">
        <v>4178</v>
      </c>
    </row>
    <row r="4154" ht="15.75" customHeight="1">
      <c r="A4154" s="16">
        <v>14.0</v>
      </c>
      <c r="B4154" s="17" t="s">
        <v>8034</v>
      </c>
      <c r="C4154" s="16">
        <v>9.0</v>
      </c>
      <c r="D4154" s="18" t="s">
        <v>4183</v>
      </c>
    </row>
    <row r="4155" ht="15.75" customHeight="1">
      <c r="A4155" s="16">
        <v>15.0</v>
      </c>
      <c r="B4155" s="17" t="s">
        <v>8035</v>
      </c>
      <c r="C4155" s="16">
        <v>11.0</v>
      </c>
      <c r="D4155" s="18" t="s">
        <v>4183</v>
      </c>
    </row>
    <row r="4156" ht="15.75" customHeight="1">
      <c r="A4156" s="16">
        <v>16.0</v>
      </c>
      <c r="B4156" s="17" t="s">
        <v>8036</v>
      </c>
      <c r="C4156" s="16">
        <v>2.0</v>
      </c>
      <c r="D4156" s="18" t="s">
        <v>4183</v>
      </c>
    </row>
    <row r="4157" ht="15.75" customHeight="1">
      <c r="A4157" s="16">
        <v>17.0</v>
      </c>
      <c r="B4157" s="17" t="s">
        <v>8037</v>
      </c>
      <c r="C4157" s="16">
        <v>44.0</v>
      </c>
      <c r="D4157" s="18" t="s">
        <v>4183</v>
      </c>
    </row>
    <row r="4158" ht="15.75" customHeight="1">
      <c r="A4158" s="16">
        <v>18.0</v>
      </c>
      <c r="B4158" s="17" t="s">
        <v>8038</v>
      </c>
      <c r="C4158" s="16">
        <v>9.0</v>
      </c>
      <c r="D4158" s="18" t="s">
        <v>4178</v>
      </c>
    </row>
    <row r="4159" ht="15.75" customHeight="1">
      <c r="A4159" s="16">
        <v>19.0</v>
      </c>
      <c r="B4159" s="17" t="s">
        <v>8039</v>
      </c>
      <c r="C4159" s="16">
        <v>4.0</v>
      </c>
      <c r="D4159" s="18" t="s">
        <v>4183</v>
      </c>
    </row>
    <row r="4160" ht="15.75" customHeight="1">
      <c r="A4160" s="16">
        <v>20.0</v>
      </c>
      <c r="B4160" s="17" t="s">
        <v>8040</v>
      </c>
      <c r="C4160" s="16">
        <v>1.0</v>
      </c>
      <c r="D4160" s="18" t="s">
        <v>4178</v>
      </c>
    </row>
    <row r="4161" ht="15.75" customHeight="1">
      <c r="A4161" s="16">
        <v>21.0</v>
      </c>
      <c r="B4161" s="17" t="s">
        <v>8041</v>
      </c>
      <c r="C4161" s="16">
        <v>2.0</v>
      </c>
      <c r="D4161" s="18" t="s">
        <v>4178</v>
      </c>
    </row>
    <row r="4162" ht="15.75" customHeight="1">
      <c r="A4162" s="20"/>
      <c r="B4162" s="21" t="s">
        <v>4273</v>
      </c>
      <c r="C4162" s="23">
        <v>298.0</v>
      </c>
      <c r="D4162" s="21" t="s">
        <v>4171</v>
      </c>
    </row>
    <row r="4163" ht="15.75" customHeight="1">
      <c r="A4163" s="11"/>
      <c r="B4163" s="12"/>
      <c r="C4163" s="12"/>
      <c r="D4163" s="13"/>
    </row>
    <row r="4164" ht="15.75" customHeight="1">
      <c r="A4164" s="14" t="s">
        <v>4118</v>
      </c>
      <c r="B4164" s="15"/>
      <c r="C4164" s="15"/>
      <c r="D4164" s="15"/>
    </row>
    <row r="4165" ht="15.75" customHeight="1">
      <c r="A4165" s="16">
        <v>1.0</v>
      </c>
      <c r="B4165" s="17" t="s">
        <v>8042</v>
      </c>
      <c r="C4165" s="16">
        <v>1.0</v>
      </c>
      <c r="D4165" s="18" t="s">
        <v>4183</v>
      </c>
    </row>
    <row r="4166" ht="15.75" customHeight="1">
      <c r="A4166" s="16">
        <v>2.0</v>
      </c>
      <c r="B4166" s="17" t="s">
        <v>8043</v>
      </c>
      <c r="C4166" s="16">
        <v>12.0</v>
      </c>
      <c r="D4166" s="18" t="s">
        <v>4183</v>
      </c>
    </row>
    <row r="4167" ht="15.75" customHeight="1">
      <c r="A4167" s="16">
        <v>3.0</v>
      </c>
      <c r="B4167" s="17" t="s">
        <v>8044</v>
      </c>
      <c r="C4167" s="16">
        <v>145.0</v>
      </c>
      <c r="D4167" s="18" t="s">
        <v>4183</v>
      </c>
    </row>
    <row r="4168" ht="15.75" customHeight="1">
      <c r="A4168" s="16">
        <v>4.0</v>
      </c>
      <c r="B4168" s="17" t="s">
        <v>8045</v>
      </c>
      <c r="C4168" s="16">
        <v>1.0</v>
      </c>
      <c r="D4168" s="18" t="s">
        <v>4183</v>
      </c>
    </row>
    <row r="4169" ht="15.75" customHeight="1">
      <c r="A4169" s="16">
        <v>5.0</v>
      </c>
      <c r="B4169" s="17" t="s">
        <v>8046</v>
      </c>
      <c r="C4169" s="16">
        <v>9.0</v>
      </c>
      <c r="D4169" s="18" t="s">
        <v>4183</v>
      </c>
    </row>
    <row r="4170" ht="15.75" customHeight="1">
      <c r="A4170" s="16">
        <v>6.0</v>
      </c>
      <c r="B4170" s="17" t="s">
        <v>8047</v>
      </c>
      <c r="C4170" s="16">
        <v>9.0</v>
      </c>
      <c r="D4170" s="18" t="s">
        <v>4183</v>
      </c>
    </row>
    <row r="4171" ht="15.75" customHeight="1">
      <c r="A4171" s="16">
        <v>7.0</v>
      </c>
      <c r="B4171" s="17" t="s">
        <v>8048</v>
      </c>
      <c r="C4171" s="16">
        <v>2.0</v>
      </c>
      <c r="D4171" s="18" t="s">
        <v>4183</v>
      </c>
    </row>
    <row r="4172" ht="15.75" customHeight="1">
      <c r="A4172" s="16">
        <v>8.0</v>
      </c>
      <c r="B4172" s="17" t="s">
        <v>8049</v>
      </c>
      <c r="C4172" s="16">
        <v>8.0</v>
      </c>
      <c r="D4172" s="18" t="s">
        <v>4183</v>
      </c>
    </row>
    <row r="4173" ht="15.75" customHeight="1">
      <c r="A4173" s="16">
        <v>9.0</v>
      </c>
      <c r="B4173" s="17" t="s">
        <v>8050</v>
      </c>
      <c r="C4173" s="16">
        <v>4.0</v>
      </c>
      <c r="D4173" s="18" t="s">
        <v>4183</v>
      </c>
    </row>
    <row r="4174" ht="15.75" customHeight="1">
      <c r="A4174" s="16">
        <v>10.0</v>
      </c>
      <c r="B4174" s="17" t="s">
        <v>8051</v>
      </c>
      <c r="C4174" s="16">
        <v>6.0</v>
      </c>
      <c r="D4174" s="18" t="s">
        <v>4183</v>
      </c>
    </row>
    <row r="4175" ht="15.75" customHeight="1">
      <c r="A4175" s="16">
        <v>11.0</v>
      </c>
      <c r="B4175" s="17" t="s">
        <v>8052</v>
      </c>
      <c r="C4175" s="16">
        <v>6.0</v>
      </c>
      <c r="D4175" s="18" t="s">
        <v>4183</v>
      </c>
    </row>
    <row r="4176" ht="15.75" customHeight="1">
      <c r="A4176" s="16">
        <v>12.0</v>
      </c>
      <c r="B4176" s="17" t="s">
        <v>8053</v>
      </c>
      <c r="C4176" s="16">
        <v>7.0</v>
      </c>
      <c r="D4176" s="18" t="s">
        <v>4183</v>
      </c>
    </row>
    <row r="4177" ht="15.75" customHeight="1">
      <c r="A4177" s="16">
        <v>13.0</v>
      </c>
      <c r="B4177" s="17" t="s">
        <v>8054</v>
      </c>
      <c r="C4177" s="16">
        <v>13.0</v>
      </c>
      <c r="D4177" s="18" t="s">
        <v>4183</v>
      </c>
    </row>
    <row r="4178" ht="15.75" customHeight="1">
      <c r="A4178" s="16">
        <v>14.0</v>
      </c>
      <c r="B4178" s="17" t="s">
        <v>8055</v>
      </c>
      <c r="C4178" s="16">
        <v>12.0</v>
      </c>
      <c r="D4178" s="18" t="s">
        <v>4183</v>
      </c>
    </row>
    <row r="4179" ht="15.75" customHeight="1">
      <c r="A4179" s="16">
        <v>15.0</v>
      </c>
      <c r="B4179" s="17" t="s">
        <v>8056</v>
      </c>
      <c r="C4179" s="16">
        <v>9.0</v>
      </c>
      <c r="D4179" s="18" t="s">
        <v>4183</v>
      </c>
    </row>
    <row r="4180" ht="15.75" customHeight="1">
      <c r="A4180" s="16">
        <v>16.0</v>
      </c>
      <c r="B4180" s="17" t="s">
        <v>8057</v>
      </c>
      <c r="C4180" s="16">
        <v>13.0</v>
      </c>
      <c r="D4180" s="18" t="s">
        <v>4183</v>
      </c>
    </row>
    <row r="4181" ht="15.75" customHeight="1">
      <c r="A4181" s="16">
        <v>17.0</v>
      </c>
      <c r="B4181" s="17" t="s">
        <v>8058</v>
      </c>
      <c r="C4181" s="16">
        <v>7.0</v>
      </c>
      <c r="D4181" s="18" t="s">
        <v>4178</v>
      </c>
    </row>
    <row r="4182" ht="15.75" customHeight="1">
      <c r="A4182" s="20"/>
      <c r="B4182" s="21" t="s">
        <v>4273</v>
      </c>
      <c r="C4182" s="23">
        <v>264.0</v>
      </c>
      <c r="D4182" s="21" t="s">
        <v>4171</v>
      </c>
    </row>
    <row r="4183" ht="15.75" customHeight="1">
      <c r="A4183" s="11"/>
      <c r="B4183" s="12"/>
      <c r="C4183" s="12"/>
      <c r="D4183" s="13"/>
    </row>
    <row r="4184" ht="15.75" customHeight="1">
      <c r="A4184" s="14" t="s">
        <v>4129</v>
      </c>
      <c r="B4184" s="15"/>
      <c r="C4184" s="15"/>
      <c r="D4184" s="15"/>
    </row>
    <row r="4185" ht="15.75" customHeight="1">
      <c r="A4185" s="16">
        <v>1.0</v>
      </c>
      <c r="B4185" s="17" t="s">
        <v>8059</v>
      </c>
      <c r="C4185" s="16">
        <v>6.0</v>
      </c>
      <c r="D4185" s="18" t="s">
        <v>4183</v>
      </c>
    </row>
    <row r="4186" ht="15.75" customHeight="1">
      <c r="A4186" s="16">
        <v>2.0</v>
      </c>
      <c r="B4186" s="17" t="s">
        <v>8060</v>
      </c>
      <c r="C4186" s="16">
        <v>19.0</v>
      </c>
      <c r="D4186" s="18" t="s">
        <v>4183</v>
      </c>
    </row>
    <row r="4187" ht="15.75" customHeight="1">
      <c r="A4187" s="16">
        <v>3.0</v>
      </c>
      <c r="B4187" s="17" t="s">
        <v>8061</v>
      </c>
      <c r="C4187" s="16">
        <v>5.0</v>
      </c>
      <c r="D4187" s="18" t="s">
        <v>4183</v>
      </c>
    </row>
    <row r="4188" ht="15.75" customHeight="1">
      <c r="A4188" s="16">
        <v>4.0</v>
      </c>
      <c r="B4188" s="17" t="s">
        <v>8062</v>
      </c>
      <c r="C4188" s="16">
        <v>26.0</v>
      </c>
      <c r="D4188" s="18" t="s">
        <v>4183</v>
      </c>
    </row>
    <row r="4189" ht="15.75" customHeight="1">
      <c r="A4189" s="16">
        <v>5.0</v>
      </c>
      <c r="B4189" s="17" t="s">
        <v>8063</v>
      </c>
      <c r="C4189" s="16">
        <v>1.0</v>
      </c>
      <c r="D4189" s="18" t="s">
        <v>4183</v>
      </c>
    </row>
    <row r="4190" ht="15.75" customHeight="1">
      <c r="A4190" s="16">
        <v>6.0</v>
      </c>
      <c r="B4190" s="17" t="s">
        <v>8064</v>
      </c>
      <c r="C4190" s="16">
        <v>18.0</v>
      </c>
      <c r="D4190" s="18" t="s">
        <v>4183</v>
      </c>
    </row>
    <row r="4191" ht="15.75" customHeight="1">
      <c r="A4191" s="16">
        <v>7.0</v>
      </c>
      <c r="B4191" s="17" t="s">
        <v>8065</v>
      </c>
      <c r="C4191" s="16">
        <v>14.0</v>
      </c>
      <c r="D4191" s="18" t="s">
        <v>4183</v>
      </c>
    </row>
    <row r="4192" ht="15.75" customHeight="1">
      <c r="A4192" s="16">
        <v>8.0</v>
      </c>
      <c r="B4192" s="17" t="s">
        <v>8066</v>
      </c>
      <c r="C4192" s="16">
        <v>8.0</v>
      </c>
      <c r="D4192" s="18" t="s">
        <v>4183</v>
      </c>
    </row>
    <row r="4193" ht="15.75" customHeight="1">
      <c r="A4193" s="16">
        <v>9.0</v>
      </c>
      <c r="B4193" s="17" t="s">
        <v>8067</v>
      </c>
      <c r="C4193" s="18" t="s">
        <v>4384</v>
      </c>
      <c r="D4193" s="18" t="s">
        <v>4183</v>
      </c>
    </row>
    <row r="4194" ht="15.75" customHeight="1">
      <c r="A4194" s="16">
        <v>10.0</v>
      </c>
      <c r="B4194" s="17" t="s">
        <v>8068</v>
      </c>
      <c r="C4194" s="16">
        <v>10.0</v>
      </c>
      <c r="D4194" s="18" t="s">
        <v>4183</v>
      </c>
    </row>
    <row r="4195" ht="15.75" customHeight="1">
      <c r="A4195" s="16">
        <v>11.0</v>
      </c>
      <c r="B4195" s="17" t="s">
        <v>8069</v>
      </c>
      <c r="C4195" s="16">
        <v>19.0</v>
      </c>
      <c r="D4195" s="18" t="s">
        <v>4183</v>
      </c>
    </row>
    <row r="4196" ht="15.75" customHeight="1">
      <c r="A4196" s="16">
        <v>12.0</v>
      </c>
      <c r="B4196" s="17" t="s">
        <v>8070</v>
      </c>
      <c r="C4196" s="16">
        <v>17.0</v>
      </c>
      <c r="D4196" s="18" t="s">
        <v>4183</v>
      </c>
    </row>
    <row r="4197" ht="15.75" customHeight="1">
      <c r="A4197" s="20"/>
      <c r="B4197" s="21" t="s">
        <v>4273</v>
      </c>
      <c r="C4197" s="23">
        <v>142.0</v>
      </c>
      <c r="D4197" s="21" t="s">
        <v>4171</v>
      </c>
    </row>
    <row r="4198" ht="15.75" customHeight="1">
      <c r="A4198" s="11"/>
      <c r="B4198" s="12"/>
      <c r="C4198" s="12"/>
      <c r="D4198" s="13"/>
    </row>
    <row r="4199" ht="15.75" customHeight="1">
      <c r="A4199" s="14" t="s">
        <v>4125</v>
      </c>
      <c r="B4199" s="15"/>
      <c r="C4199" s="15"/>
      <c r="D4199" s="15"/>
    </row>
    <row r="4200" ht="15.75" customHeight="1">
      <c r="A4200" s="16">
        <v>1.0</v>
      </c>
      <c r="B4200" s="17" t="s">
        <v>8071</v>
      </c>
      <c r="C4200" s="16">
        <v>4.0</v>
      </c>
      <c r="D4200" s="18" t="s">
        <v>4178</v>
      </c>
    </row>
    <row r="4201" ht="15.75" customHeight="1">
      <c r="A4201" s="16">
        <v>2.0</v>
      </c>
      <c r="B4201" s="17" t="s">
        <v>8072</v>
      </c>
      <c r="C4201" s="16">
        <v>1.0</v>
      </c>
      <c r="D4201" s="18" t="s">
        <v>4178</v>
      </c>
    </row>
    <row r="4202" ht="15.75" customHeight="1">
      <c r="A4202" s="16">
        <v>3.0</v>
      </c>
      <c r="B4202" s="17" t="s">
        <v>8073</v>
      </c>
      <c r="C4202" s="16">
        <v>13.0</v>
      </c>
      <c r="D4202" s="18" t="s">
        <v>4215</v>
      </c>
    </row>
    <row r="4203" ht="15.75" customHeight="1">
      <c r="A4203" s="16">
        <v>4.0</v>
      </c>
      <c r="B4203" s="17" t="s">
        <v>8074</v>
      </c>
      <c r="C4203" s="16">
        <v>9.0</v>
      </c>
      <c r="D4203" s="18" t="s">
        <v>4183</v>
      </c>
    </row>
    <row r="4204" ht="15.75" customHeight="1">
      <c r="A4204" s="16">
        <v>5.0</v>
      </c>
      <c r="B4204" s="17" t="s">
        <v>8075</v>
      </c>
      <c r="C4204" s="16">
        <v>9.0</v>
      </c>
      <c r="D4204" s="18" t="s">
        <v>4183</v>
      </c>
    </row>
    <row r="4205" ht="15.75" customHeight="1">
      <c r="A4205" s="16">
        <v>6.0</v>
      </c>
      <c r="B4205" s="17" t="s">
        <v>8076</v>
      </c>
      <c r="C4205" s="16">
        <v>4.0</v>
      </c>
      <c r="D4205" s="18" t="s">
        <v>4178</v>
      </c>
    </row>
    <row r="4206" ht="15.75" customHeight="1">
      <c r="A4206" s="16">
        <v>7.0</v>
      </c>
      <c r="B4206" s="17" t="s">
        <v>8077</v>
      </c>
      <c r="C4206" s="16">
        <v>2.0</v>
      </c>
      <c r="D4206" s="18" t="s">
        <v>4178</v>
      </c>
    </row>
    <row r="4207" ht="15.75" customHeight="1">
      <c r="A4207" s="16">
        <v>8.0</v>
      </c>
      <c r="B4207" s="17" t="s">
        <v>8078</v>
      </c>
      <c r="C4207" s="16">
        <v>5.0</v>
      </c>
      <c r="D4207" s="18" t="s">
        <v>4178</v>
      </c>
    </row>
    <row r="4208" ht="15.75" customHeight="1">
      <c r="A4208" s="16">
        <v>9.0</v>
      </c>
      <c r="B4208" s="17" t="s">
        <v>8079</v>
      </c>
      <c r="C4208" s="16">
        <v>11.0</v>
      </c>
      <c r="D4208" s="18" t="s">
        <v>4178</v>
      </c>
    </row>
    <row r="4209" ht="15.75" customHeight="1">
      <c r="A4209" s="16">
        <v>10.0</v>
      </c>
      <c r="B4209" s="17" t="s">
        <v>8080</v>
      </c>
      <c r="C4209" s="16">
        <v>6.0</v>
      </c>
      <c r="D4209" s="18" t="s">
        <v>4178</v>
      </c>
    </row>
    <row r="4210" ht="15.75" customHeight="1">
      <c r="A4210" s="16">
        <v>11.0</v>
      </c>
      <c r="B4210" s="17" t="s">
        <v>8081</v>
      </c>
      <c r="C4210" s="16">
        <v>3.0</v>
      </c>
      <c r="D4210" s="18" t="s">
        <v>4178</v>
      </c>
    </row>
    <row r="4211" ht="15.75" customHeight="1">
      <c r="A4211" s="16">
        <v>12.0</v>
      </c>
      <c r="B4211" s="17" t="s">
        <v>8082</v>
      </c>
      <c r="C4211" s="16">
        <v>8.0</v>
      </c>
      <c r="D4211" s="18" t="s">
        <v>4178</v>
      </c>
    </row>
    <row r="4212" ht="15.75" customHeight="1">
      <c r="A4212" s="16">
        <v>13.0</v>
      </c>
      <c r="B4212" s="17" t="s">
        <v>8083</v>
      </c>
      <c r="C4212" s="16">
        <v>11.0</v>
      </c>
      <c r="D4212" s="18" t="s">
        <v>4178</v>
      </c>
    </row>
    <row r="4213" ht="15.75" customHeight="1">
      <c r="A4213" s="20"/>
      <c r="B4213" s="21" t="s">
        <v>4273</v>
      </c>
      <c r="C4213" s="23">
        <v>86.0</v>
      </c>
      <c r="D4213" s="21" t="s">
        <v>4171</v>
      </c>
    </row>
    <row r="4214" ht="15.75" customHeight="1">
      <c r="A4214" s="11"/>
      <c r="B4214" s="12"/>
      <c r="C4214" s="12"/>
      <c r="D4214" s="13"/>
    </row>
    <row r="4215" ht="15.75" customHeight="1">
      <c r="A4215" s="14" t="s">
        <v>4094</v>
      </c>
      <c r="B4215" s="15"/>
      <c r="C4215" s="15"/>
      <c r="D4215" s="15"/>
    </row>
    <row r="4216" ht="15.75" customHeight="1">
      <c r="A4216" s="16">
        <v>1.0</v>
      </c>
      <c r="B4216" s="17" t="s">
        <v>8084</v>
      </c>
      <c r="C4216" s="16">
        <v>1.0</v>
      </c>
      <c r="D4216" s="18" t="s">
        <v>4183</v>
      </c>
    </row>
    <row r="4217" ht="15.75" customHeight="1">
      <c r="A4217" s="16">
        <v>2.0</v>
      </c>
      <c r="B4217" s="17" t="s">
        <v>8085</v>
      </c>
      <c r="C4217" s="16">
        <v>5.0</v>
      </c>
      <c r="D4217" s="18" t="s">
        <v>4183</v>
      </c>
    </row>
    <row r="4218" ht="15.75" customHeight="1">
      <c r="A4218" s="16">
        <v>3.0</v>
      </c>
      <c r="B4218" s="17" t="s">
        <v>8086</v>
      </c>
      <c r="C4218" s="16">
        <v>2.0</v>
      </c>
      <c r="D4218" s="18" t="s">
        <v>4183</v>
      </c>
    </row>
    <row r="4219" ht="15.75" customHeight="1">
      <c r="A4219" s="16">
        <v>4.0</v>
      </c>
      <c r="B4219" s="17" t="s">
        <v>8087</v>
      </c>
      <c r="C4219" s="16">
        <v>2.0</v>
      </c>
      <c r="D4219" s="18" t="s">
        <v>4183</v>
      </c>
    </row>
    <row r="4220" ht="15.75" customHeight="1">
      <c r="A4220" s="16">
        <v>5.0</v>
      </c>
      <c r="B4220" s="17" t="s">
        <v>8088</v>
      </c>
      <c r="C4220" s="16">
        <v>7.0</v>
      </c>
      <c r="D4220" s="18" t="s">
        <v>4183</v>
      </c>
    </row>
    <row r="4221" ht="15.75" customHeight="1">
      <c r="A4221" s="16">
        <v>6.0</v>
      </c>
      <c r="B4221" s="17" t="s">
        <v>8089</v>
      </c>
      <c r="C4221" s="16">
        <v>141.0</v>
      </c>
      <c r="D4221" s="18" t="s">
        <v>4183</v>
      </c>
    </row>
    <row r="4222" ht="15.75" customHeight="1">
      <c r="A4222" s="16">
        <v>7.0</v>
      </c>
      <c r="B4222" s="17" t="s">
        <v>8090</v>
      </c>
      <c r="C4222" s="16">
        <v>1.0</v>
      </c>
      <c r="D4222" s="18" t="s">
        <v>4183</v>
      </c>
    </row>
    <row r="4223" ht="15.75" customHeight="1">
      <c r="A4223" s="16">
        <v>8.0</v>
      </c>
      <c r="B4223" s="17" t="s">
        <v>8091</v>
      </c>
      <c r="C4223" s="16">
        <v>7.0</v>
      </c>
      <c r="D4223" s="18" t="s">
        <v>4183</v>
      </c>
    </row>
    <row r="4224" ht="15.75" customHeight="1">
      <c r="A4224" s="16">
        <v>9.0</v>
      </c>
      <c r="B4224" s="17" t="s">
        <v>8092</v>
      </c>
      <c r="C4224" s="16">
        <v>16.0</v>
      </c>
      <c r="D4224" s="18" t="s">
        <v>4183</v>
      </c>
    </row>
    <row r="4225" ht="15.75" customHeight="1">
      <c r="A4225" s="16">
        <v>10.0</v>
      </c>
      <c r="B4225" s="17" t="s">
        <v>8093</v>
      </c>
      <c r="C4225" s="16">
        <v>3.0</v>
      </c>
      <c r="D4225" s="18" t="s">
        <v>4183</v>
      </c>
    </row>
    <row r="4226" ht="15.75" customHeight="1">
      <c r="A4226" s="16">
        <v>11.0</v>
      </c>
      <c r="B4226" s="17" t="s">
        <v>8094</v>
      </c>
      <c r="C4226" s="16">
        <v>3.0</v>
      </c>
      <c r="D4226" s="18" t="s">
        <v>4178</v>
      </c>
    </row>
    <row r="4227" ht="15.75" customHeight="1">
      <c r="A4227" s="16">
        <v>12.0</v>
      </c>
      <c r="B4227" s="17" t="s">
        <v>8095</v>
      </c>
      <c r="C4227" s="16">
        <v>3.0</v>
      </c>
      <c r="D4227" s="18" t="s">
        <v>4183</v>
      </c>
    </row>
    <row r="4228" ht="15.75" customHeight="1">
      <c r="A4228" s="16">
        <v>13.0</v>
      </c>
      <c r="B4228" s="17" t="s">
        <v>8096</v>
      </c>
      <c r="C4228" s="16">
        <v>3.0</v>
      </c>
      <c r="D4228" s="18" t="s">
        <v>4183</v>
      </c>
    </row>
    <row r="4229" ht="15.75" customHeight="1">
      <c r="A4229" s="16">
        <v>14.0</v>
      </c>
      <c r="B4229" s="17" t="s">
        <v>8097</v>
      </c>
      <c r="C4229" s="16">
        <v>2.0</v>
      </c>
      <c r="D4229" s="18" t="s">
        <v>4183</v>
      </c>
    </row>
    <row r="4230" ht="15.75" customHeight="1">
      <c r="A4230" s="16">
        <v>15.0</v>
      </c>
      <c r="B4230" s="17" t="s">
        <v>8098</v>
      </c>
      <c r="C4230" s="16">
        <v>1.0</v>
      </c>
      <c r="D4230" s="18" t="s">
        <v>4183</v>
      </c>
    </row>
    <row r="4231" ht="15.75" customHeight="1">
      <c r="A4231" s="16">
        <v>16.0</v>
      </c>
      <c r="B4231" s="17" t="s">
        <v>8099</v>
      </c>
      <c r="C4231" s="16">
        <v>1.0</v>
      </c>
      <c r="D4231" s="18" t="s">
        <v>4178</v>
      </c>
    </row>
    <row r="4232" ht="15.75" customHeight="1">
      <c r="A4232" s="16">
        <v>17.0</v>
      </c>
      <c r="B4232" s="17" t="s">
        <v>8100</v>
      </c>
      <c r="C4232" s="16">
        <v>5.0</v>
      </c>
      <c r="D4232" s="18" t="s">
        <v>4183</v>
      </c>
    </row>
    <row r="4233" ht="15.75" customHeight="1">
      <c r="A4233" s="16">
        <v>18.0</v>
      </c>
      <c r="B4233" s="17" t="s">
        <v>8101</v>
      </c>
      <c r="C4233" s="16">
        <v>1.0</v>
      </c>
      <c r="D4233" s="18" t="s">
        <v>4183</v>
      </c>
    </row>
    <row r="4234" ht="15.75" customHeight="1">
      <c r="A4234" s="16">
        <v>19.0</v>
      </c>
      <c r="B4234" s="17" t="s">
        <v>8102</v>
      </c>
      <c r="C4234" s="16">
        <v>16.0</v>
      </c>
      <c r="D4234" s="18" t="s">
        <v>4183</v>
      </c>
    </row>
    <row r="4235" ht="15.75" customHeight="1">
      <c r="A4235" s="16">
        <v>20.0</v>
      </c>
      <c r="B4235" s="17" t="s">
        <v>8103</v>
      </c>
      <c r="C4235" s="16">
        <v>6.0</v>
      </c>
      <c r="D4235" s="18" t="s">
        <v>6611</v>
      </c>
    </row>
    <row r="4236" ht="15.75" customHeight="1">
      <c r="A4236" s="16">
        <v>21.0</v>
      </c>
      <c r="B4236" s="17" t="s">
        <v>8104</v>
      </c>
      <c r="C4236" s="16">
        <v>7.0</v>
      </c>
      <c r="D4236" s="18" t="s">
        <v>4183</v>
      </c>
    </row>
    <row r="4237" ht="15.75" customHeight="1">
      <c r="A4237" s="16">
        <v>22.0</v>
      </c>
      <c r="B4237" s="17" t="s">
        <v>8105</v>
      </c>
      <c r="C4237" s="16">
        <v>1.0</v>
      </c>
      <c r="D4237" s="18" t="s">
        <v>4473</v>
      </c>
    </row>
    <row r="4238" ht="15.75" customHeight="1">
      <c r="A4238" s="16">
        <v>23.0</v>
      </c>
      <c r="B4238" s="17" t="s">
        <v>8106</v>
      </c>
      <c r="C4238" s="16">
        <v>8.0</v>
      </c>
      <c r="D4238" s="18" t="s">
        <v>4183</v>
      </c>
    </row>
    <row r="4239" ht="15.75" customHeight="1">
      <c r="A4239" s="16">
        <v>24.0</v>
      </c>
      <c r="B4239" s="17" t="s">
        <v>8107</v>
      </c>
      <c r="C4239" s="16">
        <v>3.0</v>
      </c>
      <c r="D4239" s="18" t="s">
        <v>4183</v>
      </c>
    </row>
    <row r="4240" ht="15.75" customHeight="1">
      <c r="A4240" s="16">
        <v>25.0</v>
      </c>
      <c r="B4240" s="17" t="s">
        <v>8108</v>
      </c>
      <c r="C4240" s="16">
        <v>4.0</v>
      </c>
      <c r="D4240" s="18" t="s">
        <v>4183</v>
      </c>
    </row>
    <row r="4241" ht="15.75" customHeight="1">
      <c r="A4241" s="20"/>
      <c r="B4241" s="21" t="s">
        <v>4273</v>
      </c>
      <c r="C4241" s="23">
        <v>249.0</v>
      </c>
      <c r="D4241" s="21" t="s">
        <v>4171</v>
      </c>
    </row>
    <row r="4242" ht="15.75" customHeight="1">
      <c r="A4242" s="11"/>
      <c r="B4242" s="12"/>
      <c r="C4242" s="12"/>
      <c r="D4242" s="13"/>
    </row>
    <row r="4243" ht="15.75" customHeight="1">
      <c r="A4243" s="14" t="s">
        <v>4099</v>
      </c>
      <c r="B4243" s="15"/>
      <c r="C4243" s="15"/>
      <c r="D4243" s="15"/>
    </row>
    <row r="4244" ht="15.75" customHeight="1">
      <c r="A4244" s="16">
        <v>1.0</v>
      </c>
      <c r="B4244" s="17" t="s">
        <v>8109</v>
      </c>
      <c r="C4244" s="16">
        <v>23.0</v>
      </c>
      <c r="D4244" s="18" t="s">
        <v>4183</v>
      </c>
    </row>
    <row r="4245" ht="15.75" customHeight="1">
      <c r="A4245" s="16">
        <v>2.0</v>
      </c>
      <c r="B4245" s="17" t="s">
        <v>8110</v>
      </c>
      <c r="C4245" s="16">
        <v>8.0</v>
      </c>
      <c r="D4245" s="18" t="s">
        <v>4183</v>
      </c>
    </row>
    <row r="4246" ht="15.75" customHeight="1">
      <c r="A4246" s="16">
        <v>3.0</v>
      </c>
      <c r="B4246" s="17" t="s">
        <v>8111</v>
      </c>
      <c r="C4246" s="16">
        <v>5.0</v>
      </c>
      <c r="D4246" s="18" t="s">
        <v>4183</v>
      </c>
    </row>
    <row r="4247" ht="15.75" customHeight="1">
      <c r="A4247" s="16">
        <v>4.0</v>
      </c>
      <c r="B4247" s="17" t="s">
        <v>8112</v>
      </c>
      <c r="C4247" s="16">
        <v>10.0</v>
      </c>
      <c r="D4247" s="18" t="s">
        <v>4339</v>
      </c>
    </row>
    <row r="4248" ht="15.75" customHeight="1">
      <c r="A4248" s="16">
        <v>5.0</v>
      </c>
      <c r="B4248" s="17" t="s">
        <v>8113</v>
      </c>
      <c r="C4248" s="16">
        <v>3.0</v>
      </c>
      <c r="D4248" s="18" t="s">
        <v>4178</v>
      </c>
    </row>
    <row r="4249" ht="15.75" customHeight="1">
      <c r="A4249" s="16">
        <v>6.0</v>
      </c>
      <c r="B4249" s="17" t="s">
        <v>8114</v>
      </c>
      <c r="C4249" s="16">
        <v>11.0</v>
      </c>
      <c r="D4249" s="18" t="s">
        <v>4178</v>
      </c>
    </row>
    <row r="4250" ht="15.75" customHeight="1">
      <c r="A4250" s="16">
        <v>7.0</v>
      </c>
      <c r="B4250" s="17" t="s">
        <v>8115</v>
      </c>
      <c r="C4250" s="16">
        <v>3.0</v>
      </c>
      <c r="D4250" s="18" t="s">
        <v>4183</v>
      </c>
    </row>
    <row r="4251" ht="15.75" customHeight="1">
      <c r="A4251" s="16">
        <v>8.0</v>
      </c>
      <c r="B4251" s="17" t="s">
        <v>8116</v>
      </c>
      <c r="C4251" s="16">
        <v>4.0</v>
      </c>
      <c r="D4251" s="18" t="s">
        <v>4183</v>
      </c>
    </row>
    <row r="4252" ht="15.75" customHeight="1">
      <c r="A4252" s="16">
        <v>9.0</v>
      </c>
      <c r="B4252" s="17" t="s">
        <v>8117</v>
      </c>
      <c r="C4252" s="16">
        <v>19.0</v>
      </c>
      <c r="D4252" s="18" t="s">
        <v>4183</v>
      </c>
    </row>
    <row r="4253" ht="15.75" customHeight="1">
      <c r="A4253" s="16">
        <v>10.0</v>
      </c>
      <c r="B4253" s="17" t="s">
        <v>8118</v>
      </c>
      <c r="C4253" s="16">
        <v>5.0</v>
      </c>
      <c r="D4253" s="18" t="s">
        <v>4183</v>
      </c>
    </row>
    <row r="4254" ht="15.75" customHeight="1">
      <c r="A4254" s="16">
        <v>11.0</v>
      </c>
      <c r="B4254" s="17" t="s">
        <v>8119</v>
      </c>
      <c r="C4254" s="16">
        <v>21.0</v>
      </c>
      <c r="D4254" s="18" t="s">
        <v>4183</v>
      </c>
    </row>
    <row r="4255" ht="15.75" customHeight="1">
      <c r="A4255" s="16">
        <v>12.0</v>
      </c>
      <c r="B4255" s="17" t="s">
        <v>8120</v>
      </c>
      <c r="C4255" s="16">
        <v>11.0</v>
      </c>
      <c r="D4255" s="18" t="s">
        <v>4183</v>
      </c>
    </row>
    <row r="4256" ht="15.75" customHeight="1">
      <c r="A4256" s="16">
        <v>13.0</v>
      </c>
      <c r="B4256" s="17" t="s">
        <v>8121</v>
      </c>
      <c r="C4256" s="16">
        <v>8.0</v>
      </c>
      <c r="D4256" s="18" t="s">
        <v>4183</v>
      </c>
    </row>
    <row r="4257" ht="15.75" customHeight="1">
      <c r="A4257" s="16">
        <v>14.0</v>
      </c>
      <c r="B4257" s="17" t="s">
        <v>8122</v>
      </c>
      <c r="C4257" s="16">
        <v>1.0</v>
      </c>
      <c r="D4257" s="18" t="s">
        <v>4183</v>
      </c>
    </row>
    <row r="4258" ht="15.75" customHeight="1">
      <c r="A4258" s="16">
        <v>15.0</v>
      </c>
      <c r="B4258" s="17" t="s">
        <v>8123</v>
      </c>
      <c r="C4258" s="16">
        <v>93.0</v>
      </c>
      <c r="D4258" s="18" t="s">
        <v>4178</v>
      </c>
    </row>
    <row r="4259" ht="15.75" customHeight="1">
      <c r="A4259" s="16">
        <v>16.0</v>
      </c>
      <c r="B4259" s="17" t="s">
        <v>8124</v>
      </c>
      <c r="C4259" s="16">
        <v>7.0</v>
      </c>
      <c r="D4259" s="18" t="s">
        <v>4183</v>
      </c>
    </row>
    <row r="4260" ht="15.75" customHeight="1">
      <c r="A4260" s="16">
        <v>17.0</v>
      </c>
      <c r="B4260" s="17" t="s">
        <v>8125</v>
      </c>
      <c r="C4260" s="16">
        <v>11.0</v>
      </c>
      <c r="D4260" s="18" t="s">
        <v>4183</v>
      </c>
    </row>
    <row r="4261" ht="15.75" customHeight="1">
      <c r="A4261" s="16">
        <v>18.0</v>
      </c>
      <c r="B4261" s="17" t="s">
        <v>8126</v>
      </c>
      <c r="C4261" s="16">
        <v>31.0</v>
      </c>
      <c r="D4261" s="18" t="s">
        <v>4183</v>
      </c>
    </row>
    <row r="4262" ht="15.75" customHeight="1">
      <c r="A4262" s="16">
        <v>19.0</v>
      </c>
      <c r="B4262" s="17" t="s">
        <v>8127</v>
      </c>
      <c r="C4262" s="16">
        <v>2.0</v>
      </c>
      <c r="D4262" s="18" t="s">
        <v>4183</v>
      </c>
    </row>
    <row r="4263" ht="15.75" customHeight="1">
      <c r="A4263" s="16">
        <v>20.0</v>
      </c>
      <c r="B4263" s="17" t="s">
        <v>8128</v>
      </c>
      <c r="C4263" s="16">
        <v>12.0</v>
      </c>
      <c r="D4263" s="18" t="s">
        <v>4183</v>
      </c>
    </row>
    <row r="4264" ht="15.75" customHeight="1">
      <c r="A4264" s="16">
        <v>21.0</v>
      </c>
      <c r="B4264" s="17" t="s">
        <v>8129</v>
      </c>
      <c r="C4264" s="19">
        <v>6.25</v>
      </c>
      <c r="D4264" s="18" t="s">
        <v>4183</v>
      </c>
    </row>
    <row r="4265" ht="15.75" customHeight="1">
      <c r="A4265" s="16">
        <v>22.0</v>
      </c>
      <c r="B4265" s="17" t="s">
        <v>8130</v>
      </c>
      <c r="C4265" s="19">
        <v>47.4</v>
      </c>
      <c r="D4265" s="18" t="s">
        <v>4183</v>
      </c>
    </row>
    <row r="4266" ht="15.75" customHeight="1">
      <c r="A4266" s="20"/>
      <c r="B4266" s="21" t="s">
        <v>4273</v>
      </c>
      <c r="C4266" s="22">
        <v>341.65</v>
      </c>
      <c r="D4266" s="21" t="s">
        <v>4171</v>
      </c>
    </row>
    <row r="4267" ht="15.75" customHeight="1">
      <c r="A4267" s="11"/>
      <c r="B4267" s="12"/>
      <c r="C4267" s="12"/>
      <c r="D4267" s="13"/>
    </row>
    <row r="4268" ht="15.75" customHeight="1">
      <c r="A4268" s="14" t="s">
        <v>4113</v>
      </c>
      <c r="B4268" s="15"/>
      <c r="C4268" s="15"/>
      <c r="D4268" s="15"/>
    </row>
    <row r="4269" ht="15.75" customHeight="1">
      <c r="A4269" s="16">
        <v>1.0</v>
      </c>
      <c r="B4269" s="17" t="s">
        <v>8131</v>
      </c>
      <c r="C4269" s="16">
        <v>2.0</v>
      </c>
      <c r="D4269" s="18" t="s">
        <v>4183</v>
      </c>
    </row>
    <row r="4270" ht="15.75" customHeight="1">
      <c r="A4270" s="16">
        <v>2.0</v>
      </c>
      <c r="B4270" s="17" t="s">
        <v>8132</v>
      </c>
      <c r="C4270" s="16">
        <v>20.0</v>
      </c>
      <c r="D4270" s="18" t="s">
        <v>4183</v>
      </c>
    </row>
    <row r="4271" ht="15.75" customHeight="1">
      <c r="A4271" s="16">
        <v>3.0</v>
      </c>
      <c r="B4271" s="17" t="s">
        <v>8133</v>
      </c>
      <c r="C4271" s="16">
        <v>12.0</v>
      </c>
      <c r="D4271" s="18" t="s">
        <v>4183</v>
      </c>
    </row>
    <row r="4272" ht="15.75" customHeight="1">
      <c r="A4272" s="16">
        <v>4.0</v>
      </c>
      <c r="B4272" s="17" t="s">
        <v>8134</v>
      </c>
      <c r="C4272" s="16">
        <v>26.0</v>
      </c>
      <c r="D4272" s="18" t="s">
        <v>4183</v>
      </c>
    </row>
    <row r="4273" ht="15.75" customHeight="1">
      <c r="A4273" s="16">
        <v>5.0</v>
      </c>
      <c r="B4273" s="17" t="s">
        <v>8135</v>
      </c>
      <c r="C4273" s="19">
        <v>52.96</v>
      </c>
      <c r="D4273" s="18" t="s">
        <v>4183</v>
      </c>
    </row>
    <row r="4274" ht="15.75" customHeight="1">
      <c r="A4274" s="16">
        <v>6.0</v>
      </c>
      <c r="B4274" s="17" t="s">
        <v>8136</v>
      </c>
      <c r="C4274" s="16">
        <v>30.0</v>
      </c>
      <c r="D4274" s="18" t="s">
        <v>4183</v>
      </c>
    </row>
    <row r="4275" ht="15.75" customHeight="1">
      <c r="A4275" s="16">
        <v>7.0</v>
      </c>
      <c r="B4275" s="17" t="s">
        <v>8137</v>
      </c>
      <c r="C4275" s="16">
        <v>5.0</v>
      </c>
      <c r="D4275" s="18" t="s">
        <v>4183</v>
      </c>
    </row>
    <row r="4276" ht="15.75" customHeight="1">
      <c r="A4276" s="16">
        <v>8.0</v>
      </c>
      <c r="B4276" s="17" t="s">
        <v>8138</v>
      </c>
      <c r="C4276" s="19">
        <v>0.05</v>
      </c>
      <c r="D4276" s="18" t="s">
        <v>4183</v>
      </c>
    </row>
    <row r="4277" ht="15.75" customHeight="1">
      <c r="A4277" s="16">
        <v>9.0</v>
      </c>
      <c r="B4277" s="17" t="s">
        <v>8139</v>
      </c>
      <c r="C4277" s="16">
        <v>9.0</v>
      </c>
      <c r="D4277" s="18" t="s">
        <v>4183</v>
      </c>
    </row>
    <row r="4278" ht="15.75" customHeight="1">
      <c r="A4278" s="16">
        <v>10.0</v>
      </c>
      <c r="B4278" s="17" t="s">
        <v>8140</v>
      </c>
      <c r="C4278" s="16">
        <v>13.0</v>
      </c>
      <c r="D4278" s="18" t="s">
        <v>4183</v>
      </c>
    </row>
    <row r="4279" ht="15.75" customHeight="1">
      <c r="A4279" s="16">
        <v>11.0</v>
      </c>
      <c r="B4279" s="17" t="s">
        <v>8141</v>
      </c>
      <c r="C4279" s="16">
        <v>6.0</v>
      </c>
      <c r="D4279" s="18" t="s">
        <v>4183</v>
      </c>
    </row>
    <row r="4280" ht="15.75" customHeight="1">
      <c r="A4280" s="16">
        <v>12.0</v>
      </c>
      <c r="B4280" s="17" t="s">
        <v>8142</v>
      </c>
      <c r="C4280" s="16">
        <v>8.0</v>
      </c>
      <c r="D4280" s="18" t="s">
        <v>4183</v>
      </c>
    </row>
    <row r="4281" ht="15.75" customHeight="1">
      <c r="A4281" s="16">
        <v>13.0</v>
      </c>
      <c r="B4281" s="17" t="s">
        <v>8143</v>
      </c>
      <c r="C4281" s="16">
        <v>27.0</v>
      </c>
      <c r="D4281" s="18" t="s">
        <v>4183</v>
      </c>
    </row>
    <row r="4282" ht="15.75" customHeight="1">
      <c r="A4282" s="16">
        <v>14.0</v>
      </c>
      <c r="B4282" s="17" t="s">
        <v>8144</v>
      </c>
      <c r="C4282" s="16">
        <v>13.0</v>
      </c>
      <c r="D4282" s="18" t="s">
        <v>4183</v>
      </c>
    </row>
    <row r="4283" ht="15.75" customHeight="1">
      <c r="A4283" s="16">
        <v>15.0</v>
      </c>
      <c r="B4283" s="17" t="s">
        <v>8145</v>
      </c>
      <c r="C4283" s="16">
        <v>12.0</v>
      </c>
      <c r="D4283" s="18" t="s">
        <v>4183</v>
      </c>
    </row>
    <row r="4284" ht="15.75" customHeight="1">
      <c r="A4284" s="16">
        <v>16.0</v>
      </c>
      <c r="B4284" s="17" t="s">
        <v>8146</v>
      </c>
      <c r="C4284" s="16">
        <v>3.0</v>
      </c>
      <c r="D4284" s="18" t="s">
        <v>4183</v>
      </c>
    </row>
    <row r="4285" ht="15.75" customHeight="1">
      <c r="A4285" s="16">
        <v>17.0</v>
      </c>
      <c r="B4285" s="17" t="s">
        <v>8147</v>
      </c>
      <c r="C4285" s="16">
        <v>5.0</v>
      </c>
      <c r="D4285" s="18" t="s">
        <v>4183</v>
      </c>
    </row>
    <row r="4286" ht="15.75" customHeight="1">
      <c r="A4286" s="16">
        <v>18.0</v>
      </c>
      <c r="B4286" s="17" t="s">
        <v>8148</v>
      </c>
      <c r="C4286" s="19">
        <v>2.67</v>
      </c>
      <c r="D4286" s="18" t="s">
        <v>4183</v>
      </c>
    </row>
    <row r="4287" ht="15.75" customHeight="1">
      <c r="A4287" s="16">
        <v>19.0</v>
      </c>
      <c r="B4287" s="17" t="s">
        <v>8149</v>
      </c>
      <c r="C4287" s="19">
        <v>8.75</v>
      </c>
      <c r="D4287" s="18" t="s">
        <v>4183</v>
      </c>
    </row>
    <row r="4288" ht="15.75" customHeight="1">
      <c r="A4288" s="20"/>
      <c r="B4288" s="21" t="s">
        <v>4273</v>
      </c>
      <c r="C4288" s="22">
        <v>255.43</v>
      </c>
      <c r="D4288" s="21" t="s">
        <v>4171</v>
      </c>
    </row>
    <row r="4289" ht="15.75" customHeight="1">
      <c r="A4289" s="11"/>
      <c r="B4289" s="12"/>
      <c r="C4289" s="12"/>
      <c r="D4289" s="13"/>
    </row>
    <row r="4290" ht="15.75" customHeight="1">
      <c r="A4290" s="14" t="s">
        <v>4064</v>
      </c>
      <c r="B4290" s="15"/>
      <c r="C4290" s="15"/>
      <c r="D4290" s="15"/>
    </row>
    <row r="4291" ht="15.75" customHeight="1">
      <c r="A4291" s="16">
        <v>1.0</v>
      </c>
      <c r="B4291" s="17" t="s">
        <v>8150</v>
      </c>
      <c r="C4291" s="16">
        <v>1285.0</v>
      </c>
      <c r="D4291" s="18" t="s">
        <v>4183</v>
      </c>
    </row>
    <row r="4292" ht="15.75" customHeight="1">
      <c r="A4292" s="16">
        <v>2.0</v>
      </c>
      <c r="B4292" s="17" t="s">
        <v>8151</v>
      </c>
      <c r="C4292" s="16">
        <v>11.0</v>
      </c>
      <c r="D4292" s="18" t="s">
        <v>4183</v>
      </c>
    </row>
    <row r="4293" ht="15.75" customHeight="1">
      <c r="A4293" s="16">
        <v>3.0</v>
      </c>
      <c r="B4293" s="17" t="s">
        <v>8152</v>
      </c>
      <c r="C4293" s="19">
        <v>599.46</v>
      </c>
      <c r="D4293" s="18" t="s">
        <v>4183</v>
      </c>
    </row>
    <row r="4294" ht="15.75" customHeight="1">
      <c r="A4294" s="16">
        <v>4.0</v>
      </c>
      <c r="B4294" s="17" t="s">
        <v>8153</v>
      </c>
      <c r="C4294" s="16">
        <v>6.0</v>
      </c>
      <c r="D4294" s="18" t="s">
        <v>4183</v>
      </c>
    </row>
    <row r="4295" ht="15.75" customHeight="1">
      <c r="A4295" s="16">
        <v>5.0</v>
      </c>
      <c r="B4295" s="17" t="s">
        <v>8154</v>
      </c>
      <c r="C4295" s="16">
        <v>12.0</v>
      </c>
      <c r="D4295" s="18" t="s">
        <v>4183</v>
      </c>
    </row>
    <row r="4296" ht="15.75" customHeight="1">
      <c r="A4296" s="16">
        <v>6.0</v>
      </c>
      <c r="B4296" s="17" t="s">
        <v>8155</v>
      </c>
      <c r="C4296" s="16">
        <v>5.0</v>
      </c>
      <c r="D4296" s="18" t="s">
        <v>4183</v>
      </c>
    </row>
    <row r="4297" ht="15.75" customHeight="1">
      <c r="A4297" s="16">
        <v>7.0</v>
      </c>
      <c r="B4297" s="17" t="s">
        <v>8156</v>
      </c>
      <c r="C4297" s="16">
        <v>6.0</v>
      </c>
      <c r="D4297" s="18" t="s">
        <v>4183</v>
      </c>
    </row>
    <row r="4298" ht="15.75" customHeight="1">
      <c r="A4298" s="16">
        <v>8.0</v>
      </c>
      <c r="B4298" s="17" t="s">
        <v>8157</v>
      </c>
      <c r="C4298" s="16">
        <v>10.0</v>
      </c>
      <c r="D4298" s="18" t="s">
        <v>4183</v>
      </c>
    </row>
    <row r="4299" ht="15.75" customHeight="1">
      <c r="A4299" s="16">
        <v>9.0</v>
      </c>
      <c r="B4299" s="17" t="s">
        <v>8158</v>
      </c>
      <c r="C4299" s="16">
        <v>9.0</v>
      </c>
      <c r="D4299" s="18" t="s">
        <v>4183</v>
      </c>
    </row>
    <row r="4300" ht="15.75" customHeight="1">
      <c r="A4300" s="16">
        <v>10.0</v>
      </c>
      <c r="B4300" s="17" t="s">
        <v>8159</v>
      </c>
      <c r="C4300" s="16">
        <v>7.0</v>
      </c>
      <c r="D4300" s="18" t="s">
        <v>4183</v>
      </c>
    </row>
    <row r="4301" ht="15.75" customHeight="1">
      <c r="A4301" s="16">
        <v>11.0</v>
      </c>
      <c r="B4301" s="17" t="s">
        <v>8160</v>
      </c>
      <c r="C4301" s="16">
        <v>41.0</v>
      </c>
      <c r="D4301" s="18" t="s">
        <v>4183</v>
      </c>
    </row>
    <row r="4302" ht="15.75" customHeight="1">
      <c r="A4302" s="16">
        <v>12.0</v>
      </c>
      <c r="B4302" s="17" t="s">
        <v>8161</v>
      </c>
      <c r="C4302" s="16">
        <v>8.0</v>
      </c>
      <c r="D4302" s="18" t="s">
        <v>4183</v>
      </c>
    </row>
    <row r="4303" ht="15.75" customHeight="1">
      <c r="A4303" s="16">
        <v>13.0</v>
      </c>
      <c r="B4303" s="17" t="s">
        <v>8162</v>
      </c>
      <c r="C4303" s="16">
        <v>56.0</v>
      </c>
      <c r="D4303" s="18" t="s">
        <v>4183</v>
      </c>
    </row>
    <row r="4304" ht="15.75" customHeight="1">
      <c r="A4304" s="16">
        <v>14.0</v>
      </c>
      <c r="B4304" s="17" t="s">
        <v>8163</v>
      </c>
      <c r="C4304" s="16">
        <v>19.0</v>
      </c>
      <c r="D4304" s="18" t="s">
        <v>4183</v>
      </c>
    </row>
    <row r="4305" ht="15.75" customHeight="1">
      <c r="A4305" s="16">
        <v>15.0</v>
      </c>
      <c r="B4305" s="17" t="s">
        <v>8164</v>
      </c>
      <c r="C4305" s="16">
        <v>9.0</v>
      </c>
      <c r="D4305" s="18" t="s">
        <v>4183</v>
      </c>
    </row>
    <row r="4306" ht="15.75" customHeight="1">
      <c r="A4306" s="16">
        <v>16.0</v>
      </c>
      <c r="B4306" s="17" t="s">
        <v>8165</v>
      </c>
      <c r="C4306" s="16">
        <v>8.0</v>
      </c>
      <c r="D4306" s="18" t="s">
        <v>4183</v>
      </c>
    </row>
    <row r="4307" ht="15.75" customHeight="1">
      <c r="A4307" s="16">
        <v>17.0</v>
      </c>
      <c r="B4307" s="17" t="s">
        <v>8166</v>
      </c>
      <c r="C4307" s="16">
        <v>9.0</v>
      </c>
      <c r="D4307" s="18" t="s">
        <v>4183</v>
      </c>
    </row>
    <row r="4308" ht="15.75" customHeight="1">
      <c r="A4308" s="16">
        <v>18.0</v>
      </c>
      <c r="B4308" s="17" t="s">
        <v>8167</v>
      </c>
      <c r="C4308" s="16">
        <v>14.0</v>
      </c>
      <c r="D4308" s="18" t="s">
        <v>4183</v>
      </c>
    </row>
    <row r="4309" ht="15.75" customHeight="1">
      <c r="A4309" s="16">
        <v>19.0</v>
      </c>
      <c r="B4309" s="17" t="s">
        <v>8168</v>
      </c>
      <c r="C4309" s="16">
        <v>24.0</v>
      </c>
      <c r="D4309" s="18" t="s">
        <v>4183</v>
      </c>
    </row>
    <row r="4310" ht="15.75" customHeight="1">
      <c r="A4310" s="16">
        <v>20.0</v>
      </c>
      <c r="B4310" s="17" t="s">
        <v>8169</v>
      </c>
      <c r="C4310" s="16">
        <v>7.0</v>
      </c>
      <c r="D4310" s="18" t="s">
        <v>4183</v>
      </c>
    </row>
    <row r="4311" ht="15.75" customHeight="1">
      <c r="A4311" s="16">
        <v>21.0</v>
      </c>
      <c r="B4311" s="17" t="s">
        <v>8170</v>
      </c>
      <c r="C4311" s="16">
        <v>10.0</v>
      </c>
      <c r="D4311" s="18" t="s">
        <v>4183</v>
      </c>
    </row>
    <row r="4312" ht="15.75" customHeight="1">
      <c r="A4312" s="16">
        <v>22.0</v>
      </c>
      <c r="B4312" s="17" t="s">
        <v>8171</v>
      </c>
      <c r="C4312" s="16">
        <v>3.0</v>
      </c>
      <c r="D4312" s="18" t="s">
        <v>4183</v>
      </c>
    </row>
    <row r="4313" ht="15.75" customHeight="1">
      <c r="A4313" s="16">
        <v>23.0</v>
      </c>
      <c r="B4313" s="17" t="s">
        <v>8172</v>
      </c>
      <c r="C4313" s="16">
        <v>2.0</v>
      </c>
      <c r="D4313" s="18" t="s">
        <v>4178</v>
      </c>
    </row>
    <row r="4314" ht="15.75" customHeight="1">
      <c r="A4314" s="16">
        <v>24.0</v>
      </c>
      <c r="B4314" s="17" t="s">
        <v>8173</v>
      </c>
      <c r="C4314" s="16">
        <v>3.0</v>
      </c>
      <c r="D4314" s="18" t="s">
        <v>4178</v>
      </c>
    </row>
    <row r="4315" ht="15.75" customHeight="1">
      <c r="A4315" s="16">
        <v>25.0</v>
      </c>
      <c r="B4315" s="17" t="s">
        <v>8174</v>
      </c>
      <c r="C4315" s="16">
        <v>29.0</v>
      </c>
      <c r="D4315" s="18" t="s">
        <v>4183</v>
      </c>
    </row>
    <row r="4316" ht="15.75" customHeight="1">
      <c r="A4316" s="16">
        <v>26.0</v>
      </c>
      <c r="B4316" s="17" t="s">
        <v>8175</v>
      </c>
      <c r="C4316" s="16">
        <v>238.0</v>
      </c>
      <c r="D4316" s="18" t="s">
        <v>4183</v>
      </c>
    </row>
    <row r="4317" ht="15.75" customHeight="1">
      <c r="A4317" s="16">
        <v>27.0</v>
      </c>
      <c r="B4317" s="17" t="s">
        <v>8176</v>
      </c>
      <c r="C4317" s="16">
        <v>7.0</v>
      </c>
      <c r="D4317" s="18" t="s">
        <v>4183</v>
      </c>
    </row>
    <row r="4318" ht="15.75" customHeight="1">
      <c r="A4318" s="16">
        <v>28.0</v>
      </c>
      <c r="B4318" s="17" t="s">
        <v>8177</v>
      </c>
      <c r="C4318" s="16">
        <v>5.0</v>
      </c>
      <c r="D4318" s="18" t="s">
        <v>4183</v>
      </c>
    </row>
    <row r="4319" ht="15.75" customHeight="1">
      <c r="A4319" s="16">
        <v>29.0</v>
      </c>
      <c r="B4319" s="17" t="s">
        <v>8178</v>
      </c>
      <c r="C4319" s="16">
        <v>16.0</v>
      </c>
      <c r="D4319" s="18" t="s">
        <v>4178</v>
      </c>
    </row>
    <row r="4320" ht="15.75" customHeight="1">
      <c r="A4320" s="16">
        <v>30.0</v>
      </c>
      <c r="B4320" s="17" t="s">
        <v>8179</v>
      </c>
      <c r="C4320" s="16">
        <v>13.0</v>
      </c>
      <c r="D4320" s="18" t="s">
        <v>4183</v>
      </c>
    </row>
    <row r="4321" ht="15.75" customHeight="1">
      <c r="A4321" s="16">
        <v>31.0</v>
      </c>
      <c r="B4321" s="17" t="s">
        <v>8180</v>
      </c>
      <c r="C4321" s="16">
        <v>77.0</v>
      </c>
      <c r="D4321" s="18" t="s">
        <v>4183</v>
      </c>
    </row>
    <row r="4322" ht="15.75" customHeight="1">
      <c r="A4322" s="16">
        <v>32.0</v>
      </c>
      <c r="B4322" s="17" t="s">
        <v>8181</v>
      </c>
      <c r="C4322" s="16">
        <v>6.0</v>
      </c>
      <c r="D4322" s="18" t="s">
        <v>4183</v>
      </c>
    </row>
    <row r="4323" ht="15.75" customHeight="1">
      <c r="A4323" s="16">
        <v>33.0</v>
      </c>
      <c r="B4323" s="17" t="s">
        <v>8182</v>
      </c>
      <c r="C4323" s="16">
        <v>6.0</v>
      </c>
      <c r="D4323" s="18" t="s">
        <v>4183</v>
      </c>
    </row>
    <row r="4324" ht="15.75" customHeight="1">
      <c r="A4324" s="16">
        <v>34.0</v>
      </c>
      <c r="B4324" s="17" t="s">
        <v>8183</v>
      </c>
      <c r="C4324" s="16">
        <v>12.0</v>
      </c>
      <c r="D4324" s="18" t="s">
        <v>4178</v>
      </c>
    </row>
    <row r="4325" ht="15.75" customHeight="1">
      <c r="A4325" s="16">
        <v>35.0</v>
      </c>
      <c r="B4325" s="17" t="s">
        <v>8184</v>
      </c>
      <c r="C4325" s="16">
        <v>5.0</v>
      </c>
      <c r="D4325" s="18" t="s">
        <v>4178</v>
      </c>
    </row>
    <row r="4326" ht="15.75" customHeight="1">
      <c r="A4326" s="16">
        <v>36.0</v>
      </c>
      <c r="B4326" s="17" t="s">
        <v>8185</v>
      </c>
      <c r="C4326" s="16">
        <v>14.0</v>
      </c>
      <c r="D4326" s="18" t="s">
        <v>4183</v>
      </c>
    </row>
    <row r="4327" ht="15.75" customHeight="1">
      <c r="A4327" s="16">
        <v>37.0</v>
      </c>
      <c r="B4327" s="17" t="s">
        <v>8186</v>
      </c>
      <c r="C4327" s="16">
        <v>2.0</v>
      </c>
      <c r="D4327" s="18" t="s">
        <v>4183</v>
      </c>
    </row>
    <row r="4328" ht="15.75" customHeight="1">
      <c r="A4328" s="16">
        <v>38.0</v>
      </c>
      <c r="B4328" s="17" t="s">
        <v>8187</v>
      </c>
      <c r="C4328" s="16">
        <v>70.0</v>
      </c>
      <c r="D4328" s="18" t="s">
        <v>4183</v>
      </c>
    </row>
    <row r="4329" ht="15.75" customHeight="1">
      <c r="A4329" s="16">
        <v>39.0</v>
      </c>
      <c r="B4329" s="17" t="s">
        <v>8188</v>
      </c>
      <c r="C4329" s="16">
        <v>139.0</v>
      </c>
      <c r="D4329" s="18" t="s">
        <v>4183</v>
      </c>
    </row>
    <row r="4330" ht="15.75" customHeight="1">
      <c r="A4330" s="16">
        <v>40.0</v>
      </c>
      <c r="B4330" s="17" t="s">
        <v>8189</v>
      </c>
      <c r="C4330" s="16">
        <v>4.0</v>
      </c>
      <c r="D4330" s="18" t="s">
        <v>4183</v>
      </c>
    </row>
    <row r="4331" ht="15.75" customHeight="1">
      <c r="A4331" s="16">
        <v>41.0</v>
      </c>
      <c r="B4331" s="17" t="s">
        <v>8190</v>
      </c>
      <c r="C4331" s="18" t="s">
        <v>4736</v>
      </c>
      <c r="D4331" s="18" t="s">
        <v>4183</v>
      </c>
    </row>
    <row r="4332" ht="15.75" customHeight="1">
      <c r="A4332" s="16">
        <v>42.0</v>
      </c>
      <c r="B4332" s="17" t="s">
        <v>8191</v>
      </c>
      <c r="C4332" s="16">
        <v>4.0</v>
      </c>
      <c r="D4332" s="18" t="s">
        <v>4183</v>
      </c>
    </row>
    <row r="4333" ht="15.75" customHeight="1">
      <c r="A4333" s="16">
        <v>43.0</v>
      </c>
      <c r="B4333" s="17" t="s">
        <v>8192</v>
      </c>
      <c r="C4333" s="16">
        <v>26.0</v>
      </c>
      <c r="D4333" s="18" t="s">
        <v>4183</v>
      </c>
    </row>
    <row r="4334" ht="15.75" customHeight="1">
      <c r="A4334" s="16">
        <v>44.0</v>
      </c>
      <c r="B4334" s="17" t="s">
        <v>8193</v>
      </c>
      <c r="C4334" s="16">
        <v>15.0</v>
      </c>
      <c r="D4334" s="18" t="s">
        <v>4183</v>
      </c>
    </row>
    <row r="4335" ht="15.75" customHeight="1">
      <c r="A4335" s="16">
        <v>45.0</v>
      </c>
      <c r="B4335" s="17" t="s">
        <v>8194</v>
      </c>
      <c r="C4335" s="16">
        <v>4.0</v>
      </c>
      <c r="D4335" s="18" t="s">
        <v>4183</v>
      </c>
    </row>
    <row r="4336" ht="15.75" customHeight="1">
      <c r="A4336" s="16">
        <v>46.0</v>
      </c>
      <c r="B4336" s="17" t="s">
        <v>8195</v>
      </c>
      <c r="C4336" s="16">
        <v>89.0</v>
      </c>
      <c r="D4336" s="18" t="s">
        <v>4183</v>
      </c>
    </row>
    <row r="4337" ht="15.75" customHeight="1">
      <c r="A4337" s="16">
        <v>47.0</v>
      </c>
      <c r="B4337" s="17" t="s">
        <v>8196</v>
      </c>
      <c r="C4337" s="16">
        <v>2.0</v>
      </c>
      <c r="D4337" s="18" t="s">
        <v>4183</v>
      </c>
    </row>
    <row r="4338" ht="15.75" customHeight="1">
      <c r="A4338" s="16">
        <v>48.0</v>
      </c>
      <c r="B4338" s="17" t="s">
        <v>8197</v>
      </c>
      <c r="C4338" s="16">
        <v>5.0</v>
      </c>
      <c r="D4338" s="18" t="s">
        <v>4183</v>
      </c>
    </row>
    <row r="4339" ht="15.75" customHeight="1">
      <c r="A4339" s="16">
        <v>49.0</v>
      </c>
      <c r="B4339" s="17" t="s">
        <v>8198</v>
      </c>
      <c r="C4339" s="16">
        <v>5.0</v>
      </c>
      <c r="D4339" s="18" t="s">
        <v>4183</v>
      </c>
    </row>
    <row r="4340" ht="15.75" customHeight="1">
      <c r="A4340" s="16">
        <v>50.0</v>
      </c>
      <c r="B4340" s="17" t="s">
        <v>8199</v>
      </c>
      <c r="C4340" s="16">
        <v>12.0</v>
      </c>
      <c r="D4340" s="18" t="s">
        <v>4183</v>
      </c>
    </row>
    <row r="4341" ht="15.75" customHeight="1">
      <c r="A4341" s="16">
        <v>51.0</v>
      </c>
      <c r="B4341" s="17" t="s">
        <v>8200</v>
      </c>
      <c r="C4341" s="16">
        <v>23.0</v>
      </c>
      <c r="D4341" s="18" t="s">
        <v>4183</v>
      </c>
    </row>
    <row r="4342" ht="15.75" customHeight="1">
      <c r="A4342" s="16">
        <v>52.0</v>
      </c>
      <c r="B4342" s="17" t="s">
        <v>8201</v>
      </c>
      <c r="C4342" s="16">
        <v>4.0</v>
      </c>
      <c r="D4342" s="18" t="s">
        <v>4183</v>
      </c>
    </row>
    <row r="4343" ht="15.75" customHeight="1">
      <c r="A4343" s="16">
        <v>53.0</v>
      </c>
      <c r="B4343" s="17" t="s">
        <v>8202</v>
      </c>
      <c r="C4343" s="16">
        <v>9.0</v>
      </c>
      <c r="D4343" s="18" t="s">
        <v>4183</v>
      </c>
    </row>
    <row r="4344" ht="15.75" customHeight="1">
      <c r="A4344" s="16">
        <v>54.0</v>
      </c>
      <c r="B4344" s="17" t="s">
        <v>8203</v>
      </c>
      <c r="C4344" s="16">
        <v>11.0</v>
      </c>
      <c r="D4344" s="18" t="s">
        <v>4183</v>
      </c>
    </row>
    <row r="4345" ht="15.75" customHeight="1">
      <c r="A4345" s="16">
        <v>55.0</v>
      </c>
      <c r="B4345" s="17" t="s">
        <v>8204</v>
      </c>
      <c r="C4345" s="16">
        <v>18.0</v>
      </c>
      <c r="D4345" s="18" t="s">
        <v>4183</v>
      </c>
    </row>
    <row r="4346" ht="15.75" customHeight="1">
      <c r="A4346" s="16">
        <v>56.0</v>
      </c>
      <c r="B4346" s="17" t="s">
        <v>8205</v>
      </c>
      <c r="C4346" s="16">
        <v>5.0</v>
      </c>
      <c r="D4346" s="18" t="s">
        <v>4183</v>
      </c>
    </row>
    <row r="4347" ht="15.75" customHeight="1">
      <c r="A4347" s="16">
        <v>57.0</v>
      </c>
      <c r="B4347" s="17" t="s">
        <v>8206</v>
      </c>
      <c r="C4347" s="16">
        <v>4.0</v>
      </c>
      <c r="D4347" s="18" t="s">
        <v>4178</v>
      </c>
    </row>
    <row r="4348" ht="15.75" customHeight="1">
      <c r="A4348" s="16">
        <v>58.0</v>
      </c>
      <c r="B4348" s="17" t="s">
        <v>8207</v>
      </c>
      <c r="C4348" s="16">
        <v>4.0</v>
      </c>
      <c r="D4348" s="18" t="s">
        <v>4183</v>
      </c>
    </row>
    <row r="4349" ht="15.75" customHeight="1">
      <c r="A4349" s="16">
        <v>59.0</v>
      </c>
      <c r="B4349" s="17" t="s">
        <v>8208</v>
      </c>
      <c r="C4349" s="16">
        <v>12.0</v>
      </c>
      <c r="D4349" s="18" t="s">
        <v>4183</v>
      </c>
    </row>
    <row r="4350" ht="15.75" customHeight="1">
      <c r="A4350" s="16">
        <v>60.0</v>
      </c>
      <c r="B4350" s="17" t="s">
        <v>8209</v>
      </c>
      <c r="C4350" s="16">
        <v>4.0</v>
      </c>
      <c r="D4350" s="18" t="s">
        <v>4183</v>
      </c>
    </row>
    <row r="4351" ht="15.75" customHeight="1">
      <c r="A4351" s="16">
        <v>61.0</v>
      </c>
      <c r="B4351" s="17" t="s">
        <v>8210</v>
      </c>
      <c r="C4351" s="16">
        <v>4.0</v>
      </c>
      <c r="D4351" s="18" t="s">
        <v>4183</v>
      </c>
    </row>
    <row r="4352" ht="15.75" customHeight="1">
      <c r="A4352" s="16">
        <v>62.0</v>
      </c>
      <c r="B4352" s="17" t="s">
        <v>8211</v>
      </c>
      <c r="C4352" s="16">
        <v>5.0</v>
      </c>
      <c r="D4352" s="18" t="s">
        <v>4183</v>
      </c>
    </row>
    <row r="4353" ht="15.75" customHeight="1">
      <c r="A4353" s="16">
        <v>63.0</v>
      </c>
      <c r="B4353" s="17" t="s">
        <v>8212</v>
      </c>
      <c r="C4353" s="16">
        <v>3.0</v>
      </c>
      <c r="D4353" s="18" t="s">
        <v>4183</v>
      </c>
    </row>
    <row r="4354" ht="15.75" customHeight="1">
      <c r="A4354" s="16">
        <v>64.0</v>
      </c>
      <c r="B4354" s="17" t="s">
        <v>8213</v>
      </c>
      <c r="C4354" s="16">
        <v>12.0</v>
      </c>
      <c r="D4354" s="18" t="s">
        <v>4183</v>
      </c>
    </row>
    <row r="4355" ht="15.75" customHeight="1">
      <c r="A4355" s="16">
        <v>65.0</v>
      </c>
      <c r="B4355" s="17" t="s">
        <v>8214</v>
      </c>
      <c r="C4355" s="16">
        <v>8.0</v>
      </c>
      <c r="D4355" s="18" t="s">
        <v>4215</v>
      </c>
    </row>
    <row r="4356" ht="15.75" customHeight="1">
      <c r="A4356" s="16">
        <v>66.0</v>
      </c>
      <c r="B4356" s="17" t="s">
        <v>8215</v>
      </c>
      <c r="C4356" s="16">
        <v>2.0</v>
      </c>
      <c r="D4356" s="18" t="s">
        <v>4183</v>
      </c>
    </row>
    <row r="4357" ht="15.75" customHeight="1">
      <c r="A4357" s="16">
        <v>67.0</v>
      </c>
      <c r="B4357" s="17" t="s">
        <v>8216</v>
      </c>
      <c r="C4357" s="16">
        <v>77.0</v>
      </c>
      <c r="D4357" s="18" t="s">
        <v>4183</v>
      </c>
    </row>
    <row r="4358" ht="15.75" customHeight="1">
      <c r="A4358" s="16">
        <v>68.0</v>
      </c>
      <c r="B4358" s="17" t="s">
        <v>8217</v>
      </c>
      <c r="C4358" s="16">
        <v>30.0</v>
      </c>
      <c r="D4358" s="18" t="s">
        <v>4183</v>
      </c>
    </row>
    <row r="4359" ht="15.75" customHeight="1">
      <c r="A4359" s="16">
        <v>69.0</v>
      </c>
      <c r="B4359" s="17" t="s">
        <v>8218</v>
      </c>
      <c r="C4359" s="16">
        <v>11.0</v>
      </c>
      <c r="D4359" s="18" t="s">
        <v>4183</v>
      </c>
    </row>
    <row r="4360" ht="15.75" customHeight="1">
      <c r="A4360" s="16">
        <v>70.0</v>
      </c>
      <c r="B4360" s="17" t="s">
        <v>8219</v>
      </c>
      <c r="C4360" s="16">
        <v>9.0</v>
      </c>
      <c r="D4360" s="18" t="s">
        <v>4183</v>
      </c>
    </row>
    <row r="4361" ht="15.75" customHeight="1">
      <c r="A4361" s="16">
        <v>71.0</v>
      </c>
      <c r="B4361" s="17" t="s">
        <v>8220</v>
      </c>
      <c r="C4361" s="16">
        <v>2.0</v>
      </c>
      <c r="D4361" s="18" t="s">
        <v>4183</v>
      </c>
    </row>
    <row r="4362" ht="15.75" customHeight="1">
      <c r="A4362" s="16">
        <v>72.0</v>
      </c>
      <c r="B4362" s="17" t="s">
        <v>8221</v>
      </c>
      <c r="C4362" s="16">
        <v>6.0</v>
      </c>
      <c r="D4362" s="18" t="s">
        <v>4183</v>
      </c>
    </row>
    <row r="4363" ht="15.75" customHeight="1">
      <c r="A4363" s="16">
        <v>73.0</v>
      </c>
      <c r="B4363" s="17" t="s">
        <v>8222</v>
      </c>
      <c r="C4363" s="16">
        <v>4.0</v>
      </c>
      <c r="D4363" s="18" t="s">
        <v>4183</v>
      </c>
    </row>
    <row r="4364" ht="15.75" customHeight="1">
      <c r="A4364" s="16">
        <v>74.0</v>
      </c>
      <c r="B4364" s="17" t="s">
        <v>8223</v>
      </c>
      <c r="C4364" s="16">
        <v>4.0</v>
      </c>
      <c r="D4364" s="18" t="s">
        <v>4183</v>
      </c>
    </row>
    <row r="4365" ht="15.75" customHeight="1">
      <c r="A4365" s="16">
        <v>75.0</v>
      </c>
      <c r="B4365" s="17" t="s">
        <v>8224</v>
      </c>
      <c r="C4365" s="18" t="s">
        <v>4384</v>
      </c>
      <c r="D4365" s="18" t="s">
        <v>4183</v>
      </c>
    </row>
    <row r="4366" ht="15.75" customHeight="1">
      <c r="A4366" s="16">
        <v>76.0</v>
      </c>
      <c r="B4366" s="17" t="s">
        <v>8225</v>
      </c>
      <c r="C4366" s="16">
        <v>4.0</v>
      </c>
      <c r="D4366" s="18" t="s">
        <v>4183</v>
      </c>
    </row>
    <row r="4367" ht="15.75" customHeight="1">
      <c r="A4367" s="16">
        <v>77.0</v>
      </c>
      <c r="B4367" s="17" t="s">
        <v>8226</v>
      </c>
      <c r="C4367" s="16">
        <v>2.0</v>
      </c>
      <c r="D4367" s="18" t="s">
        <v>4183</v>
      </c>
    </row>
    <row r="4368" ht="15.75" customHeight="1">
      <c r="A4368" s="16">
        <v>78.0</v>
      </c>
      <c r="B4368" s="17" t="s">
        <v>8227</v>
      </c>
      <c r="C4368" s="16">
        <v>1.0</v>
      </c>
      <c r="D4368" s="18" t="s">
        <v>4183</v>
      </c>
    </row>
    <row r="4369" ht="15.75" customHeight="1">
      <c r="A4369" s="16">
        <v>79.0</v>
      </c>
      <c r="B4369" s="17" t="s">
        <v>8228</v>
      </c>
      <c r="C4369" s="16">
        <v>3.0</v>
      </c>
      <c r="D4369" s="18" t="s">
        <v>4183</v>
      </c>
    </row>
    <row r="4370" ht="15.75" customHeight="1">
      <c r="A4370" s="16">
        <v>80.0</v>
      </c>
      <c r="B4370" s="17" t="s">
        <v>8229</v>
      </c>
      <c r="C4370" s="16">
        <v>4.0</v>
      </c>
      <c r="D4370" s="18" t="s">
        <v>4183</v>
      </c>
    </row>
    <row r="4371" ht="15.75" customHeight="1">
      <c r="A4371" s="16">
        <v>81.0</v>
      </c>
      <c r="B4371" s="17" t="s">
        <v>8230</v>
      </c>
      <c r="C4371" s="16">
        <v>17.0</v>
      </c>
      <c r="D4371" s="18" t="s">
        <v>4183</v>
      </c>
    </row>
    <row r="4372" ht="15.75" customHeight="1">
      <c r="A4372" s="16">
        <v>82.0</v>
      </c>
      <c r="B4372" s="17" t="s">
        <v>8231</v>
      </c>
      <c r="C4372" s="16">
        <v>7.0</v>
      </c>
      <c r="D4372" s="18" t="s">
        <v>4183</v>
      </c>
    </row>
    <row r="4373" ht="15.75" customHeight="1">
      <c r="A4373" s="16">
        <v>83.0</v>
      </c>
      <c r="B4373" s="17" t="s">
        <v>8232</v>
      </c>
      <c r="C4373" s="16">
        <v>23.0</v>
      </c>
      <c r="D4373" s="18" t="s">
        <v>4183</v>
      </c>
    </row>
    <row r="4374" ht="15.75" customHeight="1">
      <c r="A4374" s="16">
        <v>84.0</v>
      </c>
      <c r="B4374" s="17" t="s">
        <v>8233</v>
      </c>
      <c r="C4374" s="16">
        <v>3.0</v>
      </c>
      <c r="D4374" s="18" t="s">
        <v>4183</v>
      </c>
    </row>
    <row r="4375" ht="15.75" customHeight="1">
      <c r="A4375" s="16">
        <v>85.0</v>
      </c>
      <c r="B4375" s="17" t="s">
        <v>8234</v>
      </c>
      <c r="C4375" s="16">
        <v>3.0</v>
      </c>
      <c r="D4375" s="18" t="s">
        <v>4183</v>
      </c>
    </row>
    <row r="4376" ht="15.75" customHeight="1">
      <c r="A4376" s="16">
        <v>86.0</v>
      </c>
      <c r="B4376" s="17" t="s">
        <v>8235</v>
      </c>
      <c r="C4376" s="16">
        <v>6.0</v>
      </c>
      <c r="D4376" s="18" t="s">
        <v>4183</v>
      </c>
    </row>
    <row r="4377" ht="15.75" customHeight="1">
      <c r="A4377" s="16">
        <v>87.0</v>
      </c>
      <c r="B4377" s="17" t="s">
        <v>8236</v>
      </c>
      <c r="C4377" s="16">
        <v>2.0</v>
      </c>
      <c r="D4377" s="18" t="s">
        <v>4183</v>
      </c>
    </row>
    <row r="4378" ht="15.75" customHeight="1">
      <c r="A4378" s="16">
        <v>88.0</v>
      </c>
      <c r="B4378" s="17" t="s">
        <v>8237</v>
      </c>
      <c r="C4378" s="16">
        <v>7.0</v>
      </c>
      <c r="D4378" s="18" t="s">
        <v>4183</v>
      </c>
    </row>
    <row r="4379" ht="15.75" customHeight="1">
      <c r="A4379" s="16">
        <v>89.0</v>
      </c>
      <c r="B4379" s="17" t="s">
        <v>8238</v>
      </c>
      <c r="C4379" s="16">
        <v>9.0</v>
      </c>
      <c r="D4379" s="18" t="s">
        <v>4183</v>
      </c>
    </row>
    <row r="4380" ht="15.75" customHeight="1">
      <c r="A4380" s="16">
        <v>90.0</v>
      </c>
      <c r="B4380" s="17" t="s">
        <v>8239</v>
      </c>
      <c r="C4380" s="16">
        <v>14.0</v>
      </c>
      <c r="D4380" s="18" t="s">
        <v>4183</v>
      </c>
    </row>
    <row r="4381" ht="15.75" customHeight="1">
      <c r="A4381" s="16">
        <v>91.0</v>
      </c>
      <c r="B4381" s="17" t="s">
        <v>8240</v>
      </c>
      <c r="C4381" s="16">
        <v>20.0</v>
      </c>
      <c r="D4381" s="18" t="s">
        <v>4183</v>
      </c>
    </row>
    <row r="4382" ht="15.75" customHeight="1">
      <c r="A4382" s="16">
        <v>92.0</v>
      </c>
      <c r="B4382" s="17" t="s">
        <v>8241</v>
      </c>
      <c r="C4382" s="16">
        <v>19.0</v>
      </c>
      <c r="D4382" s="18" t="s">
        <v>4183</v>
      </c>
    </row>
    <row r="4383" ht="15.75" customHeight="1">
      <c r="A4383" s="16">
        <v>93.0</v>
      </c>
      <c r="B4383" s="17" t="s">
        <v>8242</v>
      </c>
      <c r="C4383" s="16">
        <v>17.0</v>
      </c>
      <c r="D4383" s="18" t="s">
        <v>4183</v>
      </c>
    </row>
    <row r="4384" ht="15.75" customHeight="1">
      <c r="A4384" s="16">
        <v>94.0</v>
      </c>
      <c r="B4384" s="17" t="s">
        <v>8243</v>
      </c>
      <c r="C4384" s="16">
        <v>15.0</v>
      </c>
      <c r="D4384" s="18" t="s">
        <v>4183</v>
      </c>
    </row>
    <row r="4385" ht="15.75" customHeight="1">
      <c r="A4385" s="16">
        <v>95.0</v>
      </c>
      <c r="B4385" s="17" t="s">
        <v>8244</v>
      </c>
      <c r="C4385" s="16">
        <v>5.0</v>
      </c>
      <c r="D4385" s="18" t="s">
        <v>4183</v>
      </c>
    </row>
    <row r="4386" ht="15.75" customHeight="1">
      <c r="A4386" s="16">
        <v>96.0</v>
      </c>
      <c r="B4386" s="17" t="s">
        <v>8245</v>
      </c>
      <c r="C4386" s="16">
        <v>6.0</v>
      </c>
      <c r="D4386" s="18" t="s">
        <v>4183</v>
      </c>
    </row>
    <row r="4387" ht="15.75" customHeight="1">
      <c r="A4387" s="16">
        <v>97.0</v>
      </c>
      <c r="B4387" s="17" t="s">
        <v>8246</v>
      </c>
      <c r="C4387" s="16">
        <v>11.0</v>
      </c>
      <c r="D4387" s="18" t="s">
        <v>4183</v>
      </c>
    </row>
    <row r="4388" ht="15.75" customHeight="1">
      <c r="A4388" s="16">
        <v>98.0</v>
      </c>
      <c r="B4388" s="17" t="s">
        <v>8247</v>
      </c>
      <c r="C4388" s="16">
        <v>4.0</v>
      </c>
      <c r="D4388" s="18" t="s">
        <v>4183</v>
      </c>
    </row>
    <row r="4389" ht="15.75" customHeight="1">
      <c r="A4389" s="16">
        <v>99.0</v>
      </c>
      <c r="B4389" s="17" t="s">
        <v>8248</v>
      </c>
      <c r="C4389" s="16">
        <v>18.0</v>
      </c>
      <c r="D4389" s="18" t="s">
        <v>4183</v>
      </c>
    </row>
    <row r="4390" ht="15.75" customHeight="1">
      <c r="A4390" s="16">
        <v>100.0</v>
      </c>
      <c r="B4390" s="17" t="s">
        <v>8249</v>
      </c>
      <c r="C4390" s="16">
        <v>2.0</v>
      </c>
      <c r="D4390" s="18" t="s">
        <v>4183</v>
      </c>
    </row>
    <row r="4391" ht="15.75" customHeight="1">
      <c r="A4391" s="16">
        <v>101.0</v>
      </c>
      <c r="B4391" s="17" t="s">
        <v>8250</v>
      </c>
      <c r="C4391" s="16">
        <v>12.0</v>
      </c>
      <c r="D4391" s="18" t="s">
        <v>4183</v>
      </c>
    </row>
    <row r="4392" ht="15.75" customHeight="1">
      <c r="A4392" s="16">
        <v>102.0</v>
      </c>
      <c r="B4392" s="17" t="s">
        <v>8251</v>
      </c>
      <c r="C4392" s="16">
        <v>4.0</v>
      </c>
      <c r="D4392" s="18" t="s">
        <v>4183</v>
      </c>
    </row>
    <row r="4393" ht="15.75" customHeight="1">
      <c r="A4393" s="16">
        <v>103.0</v>
      </c>
      <c r="B4393" s="17" t="s">
        <v>8252</v>
      </c>
      <c r="C4393" s="16">
        <v>6.0</v>
      </c>
      <c r="D4393" s="18" t="s">
        <v>4183</v>
      </c>
    </row>
    <row r="4394" ht="15.75" customHeight="1">
      <c r="A4394" s="16">
        <v>104.0</v>
      </c>
      <c r="B4394" s="17" t="s">
        <v>8253</v>
      </c>
      <c r="C4394" s="16">
        <v>5.0</v>
      </c>
      <c r="D4394" s="18" t="s">
        <v>4183</v>
      </c>
    </row>
    <row r="4395" ht="15.75" customHeight="1">
      <c r="A4395" s="16">
        <v>105.0</v>
      </c>
      <c r="B4395" s="17" t="s">
        <v>8254</v>
      </c>
      <c r="C4395" s="16">
        <v>3.0</v>
      </c>
      <c r="D4395" s="18" t="s">
        <v>4183</v>
      </c>
    </row>
    <row r="4396" ht="15.75" customHeight="1">
      <c r="A4396" s="16">
        <v>106.0</v>
      </c>
      <c r="B4396" s="17" t="s">
        <v>8255</v>
      </c>
      <c r="C4396" s="16">
        <v>7.0</v>
      </c>
      <c r="D4396" s="18" t="s">
        <v>4183</v>
      </c>
    </row>
    <row r="4397" ht="15.75" customHeight="1">
      <c r="A4397" s="16">
        <v>107.0</v>
      </c>
      <c r="B4397" s="17" t="s">
        <v>8256</v>
      </c>
      <c r="C4397" s="16">
        <v>10.0</v>
      </c>
      <c r="D4397" s="18" t="s">
        <v>4183</v>
      </c>
    </row>
    <row r="4398" ht="15.75" customHeight="1">
      <c r="A4398" s="16">
        <v>108.0</v>
      </c>
      <c r="B4398" s="17" t="s">
        <v>8257</v>
      </c>
      <c r="C4398" s="16">
        <v>19.0</v>
      </c>
      <c r="D4398" s="18" t="s">
        <v>4183</v>
      </c>
    </row>
    <row r="4399" ht="15.75" customHeight="1">
      <c r="A4399" s="16">
        <v>109.0</v>
      </c>
      <c r="B4399" s="17" t="s">
        <v>8258</v>
      </c>
      <c r="C4399" s="16">
        <v>10.0</v>
      </c>
      <c r="D4399" s="18" t="s">
        <v>4183</v>
      </c>
    </row>
    <row r="4400" ht="15.75" customHeight="1">
      <c r="A4400" s="16">
        <v>110.0</v>
      </c>
      <c r="B4400" s="17" t="s">
        <v>8259</v>
      </c>
      <c r="C4400" s="16">
        <v>18.0</v>
      </c>
      <c r="D4400" s="18" t="s">
        <v>4183</v>
      </c>
    </row>
    <row r="4401" ht="15.75" customHeight="1">
      <c r="A4401" s="16">
        <v>111.0</v>
      </c>
      <c r="B4401" s="17" t="s">
        <v>8260</v>
      </c>
      <c r="C4401" s="16">
        <v>11.0</v>
      </c>
      <c r="D4401" s="18" t="s">
        <v>4183</v>
      </c>
    </row>
    <row r="4402" ht="15.75" customHeight="1">
      <c r="A4402" s="16">
        <v>112.0</v>
      </c>
      <c r="B4402" s="17" t="s">
        <v>8261</v>
      </c>
      <c r="C4402" s="16">
        <v>2.0</v>
      </c>
      <c r="D4402" s="18" t="s">
        <v>4215</v>
      </c>
    </row>
    <row r="4403" ht="15.75" customHeight="1">
      <c r="A4403" s="16">
        <v>113.0</v>
      </c>
      <c r="B4403" s="17" t="s">
        <v>8262</v>
      </c>
      <c r="C4403" s="16">
        <v>4.0</v>
      </c>
      <c r="D4403" s="18" t="s">
        <v>4183</v>
      </c>
    </row>
    <row r="4404" ht="15.75" customHeight="1">
      <c r="A4404" s="16">
        <v>114.0</v>
      </c>
      <c r="B4404" s="17" t="s">
        <v>8263</v>
      </c>
      <c r="C4404" s="16">
        <v>6.0</v>
      </c>
      <c r="D4404" s="18" t="s">
        <v>4183</v>
      </c>
    </row>
    <row r="4405" ht="15.75" customHeight="1">
      <c r="A4405" s="16">
        <v>115.0</v>
      </c>
      <c r="B4405" s="17" t="s">
        <v>8264</v>
      </c>
      <c r="C4405" s="16">
        <v>8.0</v>
      </c>
      <c r="D4405" s="18" t="s">
        <v>4183</v>
      </c>
    </row>
    <row r="4406" ht="15.75" customHeight="1">
      <c r="A4406" s="16">
        <v>116.0</v>
      </c>
      <c r="B4406" s="17" t="s">
        <v>8265</v>
      </c>
      <c r="C4406" s="16">
        <v>15.0</v>
      </c>
      <c r="D4406" s="18" t="s">
        <v>4183</v>
      </c>
    </row>
    <row r="4407" ht="15.75" customHeight="1">
      <c r="A4407" s="16">
        <v>117.0</v>
      </c>
      <c r="B4407" s="17" t="s">
        <v>8266</v>
      </c>
      <c r="C4407" s="16">
        <v>13.0</v>
      </c>
      <c r="D4407" s="18" t="s">
        <v>4183</v>
      </c>
    </row>
    <row r="4408" ht="15.75" customHeight="1">
      <c r="A4408" s="16">
        <v>118.0</v>
      </c>
      <c r="B4408" s="17" t="s">
        <v>8267</v>
      </c>
      <c r="C4408" s="16">
        <v>141.0</v>
      </c>
      <c r="D4408" s="18" t="s">
        <v>4183</v>
      </c>
    </row>
    <row r="4409" ht="15.75" customHeight="1">
      <c r="A4409" s="16">
        <v>119.0</v>
      </c>
      <c r="B4409" s="17" t="s">
        <v>8268</v>
      </c>
      <c r="C4409" s="16">
        <v>11.0</v>
      </c>
      <c r="D4409" s="18" t="s">
        <v>4183</v>
      </c>
    </row>
    <row r="4410" ht="15.75" customHeight="1">
      <c r="A4410" s="16">
        <v>120.0</v>
      </c>
      <c r="B4410" s="17" t="s">
        <v>8269</v>
      </c>
      <c r="C4410" s="16">
        <v>4.0</v>
      </c>
      <c r="D4410" s="18" t="s">
        <v>4183</v>
      </c>
    </row>
    <row r="4411" ht="15.75" customHeight="1">
      <c r="A4411" s="16">
        <v>121.0</v>
      </c>
      <c r="B4411" s="17" t="s">
        <v>8270</v>
      </c>
      <c r="C4411" s="16">
        <v>16.0</v>
      </c>
      <c r="D4411" s="18" t="s">
        <v>4183</v>
      </c>
    </row>
    <row r="4412" ht="15.75" customHeight="1">
      <c r="A4412" s="16">
        <v>122.0</v>
      </c>
      <c r="B4412" s="17" t="s">
        <v>8271</v>
      </c>
      <c r="C4412" s="16">
        <v>5.0</v>
      </c>
      <c r="D4412" s="18" t="s">
        <v>4183</v>
      </c>
    </row>
    <row r="4413" ht="15.75" customHeight="1">
      <c r="A4413" s="16">
        <v>123.0</v>
      </c>
      <c r="B4413" s="17" t="s">
        <v>8272</v>
      </c>
      <c r="C4413" s="16">
        <v>10.0</v>
      </c>
      <c r="D4413" s="18" t="s">
        <v>4178</v>
      </c>
    </row>
    <row r="4414" ht="15.75" customHeight="1">
      <c r="A4414" s="16">
        <v>124.0</v>
      </c>
      <c r="B4414" s="17" t="s">
        <v>8273</v>
      </c>
      <c r="C4414" s="16">
        <v>7.0</v>
      </c>
      <c r="D4414" s="18" t="s">
        <v>4178</v>
      </c>
    </row>
    <row r="4415" ht="15.75" customHeight="1">
      <c r="A4415" s="16">
        <v>125.0</v>
      </c>
      <c r="B4415" s="17" t="s">
        <v>8274</v>
      </c>
      <c r="C4415" s="16">
        <v>6.0</v>
      </c>
      <c r="D4415" s="18" t="s">
        <v>4178</v>
      </c>
    </row>
    <row r="4416" ht="15.75" customHeight="1">
      <c r="A4416" s="16">
        <v>126.0</v>
      </c>
      <c r="B4416" s="17" t="s">
        <v>8275</v>
      </c>
      <c r="C4416" s="16">
        <v>4.0</v>
      </c>
      <c r="D4416" s="18" t="s">
        <v>4183</v>
      </c>
    </row>
    <row r="4417" ht="15.75" customHeight="1">
      <c r="A4417" s="16">
        <v>127.0</v>
      </c>
      <c r="B4417" s="17" t="s">
        <v>8276</v>
      </c>
      <c r="C4417" s="16">
        <v>5.0</v>
      </c>
      <c r="D4417" s="18" t="s">
        <v>4183</v>
      </c>
    </row>
    <row r="4418" ht="15.75" customHeight="1">
      <c r="A4418" s="16">
        <v>128.0</v>
      </c>
      <c r="B4418" s="17" t="s">
        <v>8277</v>
      </c>
      <c r="C4418" s="16">
        <v>3.0</v>
      </c>
      <c r="D4418" s="18" t="s">
        <v>4178</v>
      </c>
    </row>
    <row r="4419" ht="15.75" customHeight="1">
      <c r="A4419" s="16">
        <v>129.0</v>
      </c>
      <c r="B4419" s="17" t="s">
        <v>8278</v>
      </c>
      <c r="C4419" s="16">
        <v>3.0</v>
      </c>
      <c r="D4419" s="18" t="s">
        <v>4183</v>
      </c>
    </row>
    <row r="4420" ht="15.75" customHeight="1">
      <c r="A4420" s="16">
        <v>130.0</v>
      </c>
      <c r="B4420" s="17" t="s">
        <v>8279</v>
      </c>
      <c r="C4420" s="16">
        <v>7.0</v>
      </c>
      <c r="D4420" s="18" t="s">
        <v>4183</v>
      </c>
    </row>
    <row r="4421" ht="15.75" customHeight="1">
      <c r="A4421" s="16">
        <v>131.0</v>
      </c>
      <c r="B4421" s="17" t="s">
        <v>8280</v>
      </c>
      <c r="C4421" s="16">
        <v>13.0</v>
      </c>
      <c r="D4421" s="18" t="s">
        <v>4183</v>
      </c>
    </row>
    <row r="4422" ht="15.75" customHeight="1">
      <c r="A4422" s="16">
        <v>132.0</v>
      </c>
      <c r="B4422" s="17" t="s">
        <v>8281</v>
      </c>
      <c r="C4422" s="16">
        <v>27.0</v>
      </c>
      <c r="D4422" s="18" t="s">
        <v>4183</v>
      </c>
    </row>
    <row r="4423" ht="15.75" customHeight="1">
      <c r="A4423" s="16">
        <v>133.0</v>
      </c>
      <c r="B4423" s="17" t="s">
        <v>8282</v>
      </c>
      <c r="C4423" s="16">
        <v>3.0</v>
      </c>
      <c r="D4423" s="18" t="s">
        <v>4183</v>
      </c>
    </row>
    <row r="4424" ht="15.75" customHeight="1">
      <c r="A4424" s="16">
        <v>134.0</v>
      </c>
      <c r="B4424" s="17" t="s">
        <v>8283</v>
      </c>
      <c r="C4424" s="16">
        <v>2.0</v>
      </c>
      <c r="D4424" s="18" t="s">
        <v>4178</v>
      </c>
    </row>
    <row r="4425" ht="15.75" customHeight="1">
      <c r="A4425" s="16">
        <v>135.0</v>
      </c>
      <c r="B4425" s="17" t="s">
        <v>8284</v>
      </c>
      <c r="C4425" s="16">
        <v>14.0</v>
      </c>
      <c r="D4425" s="18" t="s">
        <v>4183</v>
      </c>
    </row>
    <row r="4426" ht="15.75" customHeight="1">
      <c r="A4426" s="16">
        <v>136.0</v>
      </c>
      <c r="B4426" s="17" t="s">
        <v>8285</v>
      </c>
      <c r="C4426" s="16">
        <v>4.0</v>
      </c>
      <c r="D4426" s="18" t="s">
        <v>4183</v>
      </c>
    </row>
    <row r="4427" ht="15.75" customHeight="1">
      <c r="A4427" s="16">
        <v>137.0</v>
      </c>
      <c r="B4427" s="17" t="s">
        <v>8286</v>
      </c>
      <c r="C4427" s="16">
        <v>1.0</v>
      </c>
      <c r="D4427" s="18" t="s">
        <v>4183</v>
      </c>
    </row>
    <row r="4428" ht="15.75" customHeight="1">
      <c r="A4428" s="16">
        <v>138.0</v>
      </c>
      <c r="B4428" s="17" t="s">
        <v>8287</v>
      </c>
      <c r="C4428" s="16">
        <v>2.0</v>
      </c>
      <c r="D4428" s="18" t="s">
        <v>4178</v>
      </c>
    </row>
    <row r="4429" ht="15.75" customHeight="1">
      <c r="A4429" s="16">
        <v>139.0</v>
      </c>
      <c r="B4429" s="17" t="s">
        <v>8288</v>
      </c>
      <c r="C4429" s="16">
        <v>24.0</v>
      </c>
      <c r="D4429" s="18" t="s">
        <v>4183</v>
      </c>
    </row>
    <row r="4430" ht="15.75" customHeight="1">
      <c r="A4430" s="16">
        <v>140.0</v>
      </c>
      <c r="B4430" s="17" t="s">
        <v>8289</v>
      </c>
      <c r="C4430" s="16">
        <v>12.0</v>
      </c>
      <c r="D4430" s="18" t="s">
        <v>4183</v>
      </c>
    </row>
    <row r="4431" ht="15.75" customHeight="1">
      <c r="A4431" s="16">
        <v>141.0</v>
      </c>
      <c r="B4431" s="17" t="s">
        <v>8290</v>
      </c>
      <c r="C4431" s="16">
        <v>6.0</v>
      </c>
      <c r="D4431" s="18" t="s">
        <v>4183</v>
      </c>
    </row>
    <row r="4432" ht="15.75" customHeight="1">
      <c r="A4432" s="20"/>
      <c r="B4432" s="21" t="s">
        <v>4273</v>
      </c>
      <c r="C4432" s="22">
        <v>3939.46</v>
      </c>
      <c r="D4432" s="21" t="s">
        <v>4171</v>
      </c>
    </row>
    <row r="4433" ht="15.75" customHeight="1">
      <c r="A4433" s="24" t="s">
        <v>8291</v>
      </c>
      <c r="B4433" s="15"/>
      <c r="C4433" s="15"/>
      <c r="D4433" s="15"/>
    </row>
  </sheetData>
  <mergeCells count="254">
    <mergeCell ref="A1:D1"/>
    <mergeCell ref="A2:D2"/>
    <mergeCell ref="A3:D3"/>
    <mergeCell ref="A4:D4"/>
    <mergeCell ref="A5:D5"/>
    <mergeCell ref="A6:D6"/>
    <mergeCell ref="A7:D7"/>
    <mergeCell ref="A9:D9"/>
    <mergeCell ref="A10:D10"/>
    <mergeCell ref="A101:D101"/>
    <mergeCell ref="A102:D102"/>
    <mergeCell ref="A158:D158"/>
    <mergeCell ref="A159:D159"/>
    <mergeCell ref="A165:D165"/>
    <mergeCell ref="A166:D166"/>
    <mergeCell ref="A172:D172"/>
    <mergeCell ref="A173:D173"/>
    <mergeCell ref="A176:D176"/>
    <mergeCell ref="A177:D177"/>
    <mergeCell ref="A185:D185"/>
    <mergeCell ref="A186:D186"/>
    <mergeCell ref="A195:D195"/>
    <mergeCell ref="A196:D196"/>
    <mergeCell ref="A204:D204"/>
    <mergeCell ref="A205:D205"/>
    <mergeCell ref="A294:D294"/>
    <mergeCell ref="A295:D295"/>
    <mergeCell ref="A383:D383"/>
    <mergeCell ref="A384:D384"/>
    <mergeCell ref="A404:D404"/>
    <mergeCell ref="A405:D405"/>
    <mergeCell ref="A428:D428"/>
    <mergeCell ref="A429:D429"/>
    <mergeCell ref="A451:D451"/>
    <mergeCell ref="A452:D452"/>
    <mergeCell ref="A457:D457"/>
    <mergeCell ref="A458:D458"/>
    <mergeCell ref="A477:D477"/>
    <mergeCell ref="A478:D478"/>
    <mergeCell ref="A485:D485"/>
    <mergeCell ref="A486:D486"/>
    <mergeCell ref="A487:D487"/>
    <mergeCell ref="A639:D639"/>
    <mergeCell ref="A640:D640"/>
    <mergeCell ref="A669:D669"/>
    <mergeCell ref="A670:D670"/>
    <mergeCell ref="A671:D671"/>
    <mergeCell ref="A763:D763"/>
    <mergeCell ref="A764:D764"/>
    <mergeCell ref="A779:D779"/>
    <mergeCell ref="A780:D780"/>
    <mergeCell ref="A792:D792"/>
    <mergeCell ref="A793:D793"/>
    <mergeCell ref="A818:D818"/>
    <mergeCell ref="A819:D819"/>
    <mergeCell ref="A831:D831"/>
    <mergeCell ref="A832:D832"/>
    <mergeCell ref="A847:D847"/>
    <mergeCell ref="A848:D848"/>
    <mergeCell ref="A856:D856"/>
    <mergeCell ref="A857:D857"/>
    <mergeCell ref="A875:D875"/>
    <mergeCell ref="A876:D876"/>
    <mergeCell ref="A946:D946"/>
    <mergeCell ref="A947:D947"/>
    <mergeCell ref="A958:D958"/>
    <mergeCell ref="A959:D959"/>
    <mergeCell ref="A988:D988"/>
    <mergeCell ref="A989:D989"/>
    <mergeCell ref="A1007:D1007"/>
    <mergeCell ref="A1008:D1008"/>
    <mergeCell ref="A1014:D1014"/>
    <mergeCell ref="A1015:D1015"/>
    <mergeCell ref="A1016:D1016"/>
    <mergeCell ref="A1149:D1149"/>
    <mergeCell ref="A1150:D1150"/>
    <mergeCell ref="A1153:D1153"/>
    <mergeCell ref="A1154:D1154"/>
    <mergeCell ref="A1198:D1198"/>
    <mergeCell ref="A1199:D1199"/>
    <mergeCell ref="A1222:D1222"/>
    <mergeCell ref="A1223:D1223"/>
    <mergeCell ref="A1238:D1238"/>
    <mergeCell ref="A1239:D1239"/>
    <mergeCell ref="A1402:D1402"/>
    <mergeCell ref="A1403:D1403"/>
    <mergeCell ref="A1442:D1442"/>
    <mergeCell ref="A1443:D1443"/>
    <mergeCell ref="A1502:D1502"/>
    <mergeCell ref="A1503:D1503"/>
    <mergeCell ref="A1513:D1513"/>
    <mergeCell ref="A1514:D1514"/>
    <mergeCell ref="A1607:D1607"/>
    <mergeCell ref="A1608:D1608"/>
    <mergeCell ref="A1618:D1618"/>
    <mergeCell ref="A1619:D1619"/>
    <mergeCell ref="A1712:D1712"/>
    <mergeCell ref="A1713:D1713"/>
    <mergeCell ref="A2666:D2666"/>
    <mergeCell ref="A2667:D2667"/>
    <mergeCell ref="A2668:D2668"/>
    <mergeCell ref="A2693:D2693"/>
    <mergeCell ref="A2694:D2694"/>
    <mergeCell ref="A2704:D2704"/>
    <mergeCell ref="A2705:D2705"/>
    <mergeCell ref="A2711:D2711"/>
    <mergeCell ref="A2712:D2712"/>
    <mergeCell ref="A2720:D2720"/>
    <mergeCell ref="A2726:D2726"/>
    <mergeCell ref="A2727:D2727"/>
    <mergeCell ref="A2749:D2749"/>
    <mergeCell ref="A2750:D2750"/>
    <mergeCell ref="A1743:D1743"/>
    <mergeCell ref="A1744:D1744"/>
    <mergeCell ref="A1872:D1872"/>
    <mergeCell ref="A1873:D1873"/>
    <mergeCell ref="A1878:D1878"/>
    <mergeCell ref="A1879:D1879"/>
    <mergeCell ref="A1896:D1896"/>
    <mergeCell ref="A1897:D1897"/>
    <mergeCell ref="A1939:D1939"/>
    <mergeCell ref="A1940:D1940"/>
    <mergeCell ref="A1963:D1963"/>
    <mergeCell ref="A1964:D1964"/>
    <mergeCell ref="A1977:D1977"/>
    <mergeCell ref="A1978:D1978"/>
    <mergeCell ref="A2003:D2003"/>
    <mergeCell ref="A2004:D2004"/>
    <mergeCell ref="A2163:D2163"/>
    <mergeCell ref="A2164:D2164"/>
    <mergeCell ref="A2185:D2185"/>
    <mergeCell ref="A2186:D2186"/>
    <mergeCell ref="A2195:D2195"/>
    <mergeCell ref="A2196:D2196"/>
    <mergeCell ref="A2197:D2197"/>
    <mergeCell ref="A2205:D2205"/>
    <mergeCell ref="A2206:D2206"/>
    <mergeCell ref="A2228:D2228"/>
    <mergeCell ref="A2229:D2229"/>
    <mergeCell ref="A2235:D2235"/>
    <mergeCell ref="A2236:D2236"/>
    <mergeCell ref="A2270:D2270"/>
    <mergeCell ref="A2271:D2271"/>
    <mergeCell ref="A2293:D2293"/>
    <mergeCell ref="A2294:D2294"/>
    <mergeCell ref="A2295:D2295"/>
    <mergeCell ref="A2556:D2556"/>
    <mergeCell ref="A2557:D2557"/>
    <mergeCell ref="A2591:D2591"/>
    <mergeCell ref="A2592:D2592"/>
    <mergeCell ref="A2615:D2615"/>
    <mergeCell ref="A2616:D2616"/>
    <mergeCell ref="A2646:D2646"/>
    <mergeCell ref="A2647:D2647"/>
    <mergeCell ref="A2903:D2903"/>
    <mergeCell ref="A2904:D2904"/>
    <mergeCell ref="A2909:D2909"/>
    <mergeCell ref="A2910:D2910"/>
    <mergeCell ref="A2944:D2944"/>
    <mergeCell ref="A2945:D2945"/>
    <mergeCell ref="A2954:D2954"/>
    <mergeCell ref="A3475:D3475"/>
    <mergeCell ref="A3639:D3639"/>
    <mergeCell ref="A3640:D3640"/>
    <mergeCell ref="A3667:D3667"/>
    <mergeCell ref="A3668:D3668"/>
    <mergeCell ref="A3687:D3687"/>
    <mergeCell ref="A3688:D3688"/>
    <mergeCell ref="A3740:D3740"/>
    <mergeCell ref="A3741:D3741"/>
    <mergeCell ref="A3742:D3742"/>
    <mergeCell ref="A3747:D3747"/>
    <mergeCell ref="A3748:D3748"/>
    <mergeCell ref="A3755:D3755"/>
    <mergeCell ref="A3756:D3756"/>
    <mergeCell ref="A3823:D3823"/>
    <mergeCell ref="A3824:D3824"/>
    <mergeCell ref="A3837:D3837"/>
    <mergeCell ref="A3838:D3838"/>
    <mergeCell ref="A3846:D3846"/>
    <mergeCell ref="A3847:D3847"/>
    <mergeCell ref="A3864:D3864"/>
    <mergeCell ref="A3865:D3865"/>
    <mergeCell ref="A3959:D3959"/>
    <mergeCell ref="A3960:D3960"/>
    <mergeCell ref="A3964:D3964"/>
    <mergeCell ref="A3965:D3965"/>
    <mergeCell ref="A3971:D3971"/>
    <mergeCell ref="A3972:D3972"/>
    <mergeCell ref="A3980:D3980"/>
    <mergeCell ref="A3981:D3981"/>
    <mergeCell ref="A3997:D3997"/>
    <mergeCell ref="A3998:D3998"/>
    <mergeCell ref="A4126:D4126"/>
    <mergeCell ref="A4127:D4127"/>
    <mergeCell ref="A4139:D4139"/>
    <mergeCell ref="A4140:D4140"/>
    <mergeCell ref="A4163:D4163"/>
    <mergeCell ref="A4164:D4164"/>
    <mergeCell ref="A4183:D4183"/>
    <mergeCell ref="A4184:D4184"/>
    <mergeCell ref="A4198:D4198"/>
    <mergeCell ref="A4199:D4199"/>
    <mergeCell ref="A2955:D2955"/>
    <mergeCell ref="A2956:D2956"/>
    <mergeCell ref="A2963:D2963"/>
    <mergeCell ref="A2964:D2964"/>
    <mergeCell ref="A2983:D2983"/>
    <mergeCell ref="A2984:D2984"/>
    <mergeCell ref="A2997:D2997"/>
    <mergeCell ref="A2998:D2998"/>
    <mergeCell ref="A3036:D3036"/>
    <mergeCell ref="A3037:D3037"/>
    <mergeCell ref="A3060:D3060"/>
    <mergeCell ref="A3061:D3061"/>
    <mergeCell ref="A3094:D3094"/>
    <mergeCell ref="A3095:D3095"/>
    <mergeCell ref="A3099:D3099"/>
    <mergeCell ref="A3100:D3100"/>
    <mergeCell ref="A3202:D3202"/>
    <mergeCell ref="A3203:D3203"/>
    <mergeCell ref="A3246:D3246"/>
    <mergeCell ref="A3247:D3247"/>
    <mergeCell ref="A3261:D3261"/>
    <mergeCell ref="A3262:D3262"/>
    <mergeCell ref="A3276:D3276"/>
    <mergeCell ref="A3277:D3277"/>
    <mergeCell ref="A3312:D3312"/>
    <mergeCell ref="A3313:D3313"/>
    <mergeCell ref="A3335:D3335"/>
    <mergeCell ref="A3336:D3336"/>
    <mergeCell ref="A3356:D3356"/>
    <mergeCell ref="A3357:D3357"/>
    <mergeCell ref="A3381:D3381"/>
    <mergeCell ref="A3382:D3382"/>
    <mergeCell ref="A3405:D3405"/>
    <mergeCell ref="A3406:D3406"/>
    <mergeCell ref="A3414:D3414"/>
    <mergeCell ref="A3415:D3415"/>
    <mergeCell ref="A3416:D3416"/>
    <mergeCell ref="A3426:D3426"/>
    <mergeCell ref="A3427:D3427"/>
    <mergeCell ref="A3467:D3467"/>
    <mergeCell ref="A3468:D3468"/>
    <mergeCell ref="A3474:D3474"/>
    <mergeCell ref="A4290:D4290"/>
    <mergeCell ref="A4433:D4433"/>
    <mergeCell ref="A4214:D4214"/>
    <mergeCell ref="A4215:D4215"/>
    <mergeCell ref="A4242:D4242"/>
    <mergeCell ref="A4243:D4243"/>
    <mergeCell ref="A4267:D4267"/>
    <mergeCell ref="A4268:D4268"/>
    <mergeCell ref="A4289:D428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2022-12-08T12:44:27Z</dcterms:created>
  <dc:creator>adnin</dc:creator>
</cp:coreProperties>
</file>